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mundi_Milan\Sales&amp;Marketing\_COMMON\SERVICES &amp; SOLUTIONS\STACCHI CEDOLE\FONDI LUX\2026\"/>
    </mc:Choice>
  </mc:AlternateContent>
  <xr:revisionPtr revIDLastSave="0" documentId="8_{E3701DE3-BDDB-4A27-B3ED-05282693CBE6}" xr6:coauthVersionLast="47" xr6:coauthVersionMax="47" xr10:uidLastSave="{00000000-0000-0000-0000-000000000000}"/>
  <bookViews>
    <workbookView xWindow="-120" yWindow="-120" windowWidth="24240" windowHeight="13020" tabRatio="590" firstSheet="2" activeTab="3" xr2:uid="{AB014AFF-0599-469E-92B4-67760328F261}"/>
  </bookViews>
  <sheets>
    <sheet name="DISTRIBUTION TYPE" sheetId="10" r:id="rId1"/>
    <sheet name="AF Classi E-E2 F-F2 G-G2" sheetId="13" r:id="rId2"/>
    <sheet name="AF Classi M-M2" sheetId="8" r:id="rId3"/>
    <sheet name="ASI-Amundi S.F." sheetId="9" r:id="rId4"/>
    <sheet name="Amundi Fund Solutions" sheetId="14" r:id="rId5"/>
    <sheet name="First Eagle Amundi" sheetId="11" r:id="rId6"/>
    <sheet name="CPR Invest" sheetId="12" r:id="rId7"/>
    <sheet name="FCIP" sheetId="1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1" hidden="1">'AF Classi E-E2 F-F2 G-G2'!$A$5:$IO$4141</definedName>
    <definedName name="_xlnm._FilterDatabase" localSheetId="2" hidden="1">'AF Classi M-M2'!$A$5:$IU$672</definedName>
    <definedName name="_xlnm._FilterDatabase" localSheetId="4" hidden="1">'Amundi Fund Solutions'!$A$5:$K$16</definedName>
    <definedName name="_xlnm._FilterDatabase" localSheetId="3" hidden="1">'ASI-Amundi S.F.'!$A$5:$K$647</definedName>
    <definedName name="_xlnm._FilterDatabase" localSheetId="6" hidden="1">'CPR Invest'!$A$5:$GY$20</definedName>
    <definedName name="_xlnm._FilterDatabase" localSheetId="7" hidden="1">FCIP!$A$5:$M$5</definedName>
    <definedName name="_xlnm._FilterDatabase" localSheetId="5" hidden="1">'First Eagle Amundi'!$A$5:$GY$173</definedName>
    <definedName name="_xlnm.Print_Area" localSheetId="1">'AF Classi E-E2 F-F2 G-G2'!$A$5:$N$688</definedName>
    <definedName name="_xlnm.Print_Area" localSheetId="2">'AF Classi M-M2'!$B$5:$N$225</definedName>
    <definedName name="_xlnm.Print_Area" localSheetId="4">'Amundi Fund Solutions'!$A$5:$K$8</definedName>
    <definedName name="_xlnm.Print_Area" localSheetId="6">'CPR Invest'!$A$5:$I$9</definedName>
    <definedName name="_xlnm.Print_Area" localSheetId="5">'First Eagle Amundi'!$A$5:$M$12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838" i="13" l="1"/>
  <c r="L3837" i="13"/>
  <c r="L3835" i="13"/>
  <c r="L3834" i="13"/>
  <c r="L3833" i="13"/>
  <c r="L3701" i="13"/>
  <c r="L3700" i="13"/>
  <c r="L3698" i="13"/>
  <c r="L3697" i="13"/>
  <c r="L3696" i="13"/>
  <c r="L3823" i="13"/>
  <c r="L3822" i="13"/>
  <c r="L3686" i="13"/>
  <c r="L3685" i="13"/>
  <c r="L3821" i="13"/>
  <c r="L3820" i="13"/>
  <c r="L3684" i="13"/>
  <c r="L3683" i="13"/>
  <c r="L3817" i="13"/>
  <c r="L3816" i="13"/>
  <c r="L3815" i="13"/>
  <c r="L3680" i="13"/>
  <c r="L3679" i="13"/>
  <c r="L3678" i="13"/>
  <c r="L3814" i="13"/>
  <c r="L3813" i="13"/>
  <c r="L3677" i="13"/>
  <c r="L3676" i="13"/>
  <c r="L3812" i="13"/>
  <c r="L3811" i="13"/>
  <c r="L3675" i="13"/>
  <c r="L3674" i="13"/>
  <c r="L3810" i="13"/>
  <c r="L3673" i="13"/>
  <c r="L3807" i="13"/>
  <c r="L3670" i="13"/>
  <c r="L3806" i="13"/>
  <c r="L3669" i="13"/>
  <c r="L3805" i="13"/>
  <c r="L3668" i="13"/>
  <c r="L3804" i="13"/>
  <c r="L3803" i="13"/>
  <c r="L3802" i="13"/>
  <c r="L3801" i="13"/>
  <c r="L3800" i="13"/>
  <c r="L3667" i="13"/>
  <c r="L3666" i="13"/>
  <c r="L3665" i="13"/>
  <c r="L3664" i="13"/>
  <c r="L3663" i="13"/>
  <c r="L3794" i="13"/>
  <c r="L3793" i="13"/>
  <c r="L3797" i="13"/>
  <c r="L3796" i="13"/>
  <c r="L3795" i="13"/>
  <c r="L3660" i="13"/>
  <c r="L3659" i="13"/>
  <c r="L3658" i="13"/>
  <c r="L3792" i="13"/>
  <c r="L3657" i="13"/>
  <c r="L3656" i="13"/>
  <c r="L3655" i="13"/>
  <c r="L3791" i="13"/>
  <c r="L3790" i="13"/>
  <c r="L3789" i="13"/>
  <c r="L3654" i="13"/>
  <c r="L3653" i="13"/>
  <c r="L3652" i="13"/>
  <c r="K187" i="11"/>
  <c r="K186" i="11"/>
  <c r="L186" i="11"/>
  <c r="K185" i="11"/>
  <c r="K184" i="11"/>
  <c r="K183" i="11"/>
  <c r="K182" i="11"/>
  <c r="K181" i="11"/>
  <c r="K180" i="11"/>
  <c r="K179" i="11"/>
  <c r="L179" i="11"/>
  <c r="K178" i="11"/>
  <c r="L178" i="11"/>
  <c r="K177" i="11"/>
  <c r="K176" i="11"/>
  <c r="K175" i="11"/>
  <c r="K174" i="11"/>
  <c r="L3832" i="13"/>
  <c r="L3831" i="13"/>
  <c r="L3764" i="13"/>
  <c r="M3764" i="13"/>
  <c r="L3695" i="13"/>
  <c r="L3694" i="13"/>
  <c r="L3627" i="13"/>
  <c r="M3627" i="13"/>
  <c r="L3827" i="13"/>
  <c r="L3826" i="13"/>
  <c r="L3825" i="13"/>
  <c r="L3824" i="13"/>
  <c r="L3763" i="13"/>
  <c r="M3763" i="13"/>
  <c r="L3690" i="13"/>
  <c r="L3689" i="13"/>
  <c r="L3688" i="13"/>
  <c r="L3687" i="13"/>
  <c r="L3626" i="13"/>
  <c r="M3626" i="13"/>
  <c r="L3819" i="13"/>
  <c r="L3818" i="13"/>
  <c r="L3762" i="13"/>
  <c r="M3762" i="13"/>
  <c r="L3682" i="13"/>
  <c r="L3681" i="13"/>
  <c r="L3625" i="13"/>
  <c r="M3625" i="13"/>
  <c r="L3830" i="13"/>
  <c r="L3829" i="13"/>
  <c r="L3828" i="13"/>
  <c r="L3788" i="13"/>
  <c r="M3788" i="13"/>
  <c r="L3761" i="13"/>
  <c r="M3761" i="13"/>
  <c r="L3737" i="13"/>
  <c r="M3737" i="13"/>
  <c r="L3693" i="13"/>
  <c r="L3692" i="13"/>
  <c r="L3691" i="13"/>
  <c r="L3651" i="13"/>
  <c r="M3651" i="13"/>
  <c r="L3624" i="13"/>
  <c r="M3624" i="13"/>
  <c r="L3600" i="13"/>
  <c r="M3600" i="13"/>
  <c r="L3787" i="13"/>
  <c r="M3787" i="13"/>
  <c r="L3786" i="13"/>
  <c r="M3786" i="13"/>
  <c r="L3785" i="13"/>
  <c r="M3785" i="13"/>
  <c r="L3760" i="13"/>
  <c r="M3760" i="13"/>
  <c r="L3759" i="13"/>
  <c r="M3759" i="13"/>
  <c r="L3758" i="13"/>
  <c r="M3758" i="13"/>
  <c r="L3736" i="13"/>
  <c r="M3736" i="13"/>
  <c r="L3735" i="13"/>
  <c r="M3735" i="13"/>
  <c r="L3734" i="13"/>
  <c r="M3734" i="13"/>
  <c r="L3650" i="13"/>
  <c r="M3650" i="13"/>
  <c r="L3649" i="13"/>
  <c r="M3649" i="13"/>
  <c r="L3648" i="13"/>
  <c r="M3648" i="13"/>
  <c r="L3623" i="13"/>
  <c r="M3623" i="13"/>
  <c r="L3622" i="13"/>
  <c r="M3622" i="13"/>
  <c r="L3621" i="13"/>
  <c r="M3621" i="13"/>
  <c r="L3599" i="13"/>
  <c r="M3599" i="13"/>
  <c r="L3598" i="13"/>
  <c r="M3598" i="13"/>
  <c r="L3597" i="13"/>
  <c r="M3597" i="13"/>
  <c r="L3784" i="13"/>
  <c r="M3784" i="13"/>
  <c r="L3783" i="13"/>
  <c r="M3783" i="13"/>
  <c r="L3782" i="13"/>
  <c r="M3782" i="13"/>
  <c r="L3757" i="13"/>
  <c r="M3757" i="13"/>
  <c r="L3756" i="13"/>
  <c r="M3756" i="13"/>
  <c r="L3755" i="13"/>
  <c r="M3755" i="13"/>
  <c r="L3733" i="13"/>
  <c r="M3733" i="13"/>
  <c r="L3732" i="13"/>
  <c r="M3732" i="13"/>
  <c r="L3731" i="13"/>
  <c r="M3731" i="13"/>
  <c r="L3647" i="13"/>
  <c r="M3647" i="13"/>
  <c r="L3646" i="13"/>
  <c r="M3646" i="13"/>
  <c r="L3645" i="13"/>
  <c r="M3645" i="13"/>
  <c r="L3620" i="13"/>
  <c r="M3620" i="13"/>
  <c r="L3619" i="13"/>
  <c r="M3619" i="13"/>
  <c r="L3618" i="13"/>
  <c r="M3618" i="13"/>
  <c r="L3596" i="13"/>
  <c r="M3596" i="13"/>
  <c r="L3595" i="13"/>
  <c r="M3595" i="13"/>
  <c r="L3594" i="13"/>
  <c r="M3594" i="13"/>
  <c r="L3781" i="13"/>
  <c r="M3781" i="13"/>
  <c r="L3780" i="13"/>
  <c r="M3780" i="13"/>
  <c r="L3779" i="13"/>
  <c r="M3779" i="13"/>
  <c r="L3754" i="13"/>
  <c r="M3754" i="13"/>
  <c r="L3753" i="13"/>
  <c r="M3753" i="13"/>
  <c r="L3752" i="13"/>
  <c r="M3752" i="13"/>
  <c r="L3730" i="13"/>
  <c r="M3730" i="13"/>
  <c r="L3729" i="13"/>
  <c r="M3729" i="13"/>
  <c r="L3728" i="13"/>
  <c r="M3728" i="13"/>
  <c r="L3644" i="13"/>
  <c r="M3644" i="13"/>
  <c r="L3643" i="13"/>
  <c r="M3643" i="13"/>
  <c r="L3642" i="13"/>
  <c r="M3642" i="13"/>
  <c r="L3617" i="13"/>
  <c r="M3617" i="13"/>
  <c r="L3616" i="13"/>
  <c r="M3616" i="13"/>
  <c r="L3615" i="13"/>
  <c r="M3615" i="13"/>
  <c r="L3593" i="13"/>
  <c r="M3593" i="13"/>
  <c r="L3592" i="13"/>
  <c r="M3592" i="13"/>
  <c r="L3591" i="13"/>
  <c r="M3591" i="13"/>
  <c r="L3809" i="13"/>
  <c r="L3808" i="13"/>
  <c r="L3778" i="13"/>
  <c r="M3778" i="13"/>
  <c r="L3777" i="13"/>
  <c r="M3777" i="13"/>
  <c r="L3776" i="13"/>
  <c r="M3776" i="13"/>
  <c r="L3751" i="13"/>
  <c r="M3751" i="13"/>
  <c r="L3750" i="13"/>
  <c r="M3750" i="13"/>
  <c r="L3749" i="13"/>
  <c r="M3749" i="13"/>
  <c r="L3727" i="13"/>
  <c r="M3727" i="13"/>
  <c r="L3726" i="13"/>
  <c r="M3726" i="13"/>
  <c r="L3725" i="13"/>
  <c r="M3725" i="13"/>
  <c r="L3672" i="13"/>
  <c r="L3671" i="13"/>
  <c r="L3641" i="13"/>
  <c r="M3641" i="13"/>
  <c r="L3640" i="13"/>
  <c r="M3640" i="13"/>
  <c r="L3639" i="13"/>
  <c r="M3639" i="13"/>
  <c r="L3614" i="13"/>
  <c r="M3614" i="13"/>
  <c r="L3613" i="13"/>
  <c r="M3613" i="13"/>
  <c r="L3612" i="13"/>
  <c r="M3612" i="13"/>
  <c r="L3590" i="13"/>
  <c r="M3590" i="13"/>
  <c r="L3589" i="13"/>
  <c r="M3589" i="13"/>
  <c r="L3588" i="13"/>
  <c r="M3588" i="13"/>
  <c r="L3775" i="13"/>
  <c r="M3775" i="13"/>
  <c r="L3774" i="13"/>
  <c r="M3774" i="13"/>
  <c r="L3773" i="13"/>
  <c r="M3773" i="13"/>
  <c r="L3748" i="13"/>
  <c r="M3748" i="13"/>
  <c r="L3747" i="13"/>
  <c r="M3747" i="13"/>
  <c r="L3746" i="13"/>
  <c r="M3746" i="13"/>
  <c r="L3724" i="13"/>
  <c r="M3724" i="13"/>
  <c r="L3723" i="13"/>
  <c r="M3723" i="13"/>
  <c r="L3722" i="13"/>
  <c r="M3722" i="13"/>
  <c r="L3638" i="13"/>
  <c r="M3638" i="13"/>
  <c r="L3637" i="13"/>
  <c r="M3637" i="13"/>
  <c r="L3636" i="13"/>
  <c r="M3636" i="13"/>
  <c r="L3611" i="13"/>
  <c r="M3611" i="13"/>
  <c r="L3610" i="13"/>
  <c r="M3610" i="13"/>
  <c r="L3609" i="13"/>
  <c r="M3609" i="13"/>
  <c r="L3587" i="13"/>
  <c r="M3587" i="13"/>
  <c r="L3586" i="13"/>
  <c r="M3586" i="13"/>
  <c r="L3585" i="13"/>
  <c r="M3585" i="13"/>
  <c r="L3772" i="13"/>
  <c r="M3772" i="13"/>
  <c r="L3771" i="13"/>
  <c r="M3771" i="13"/>
  <c r="L3770" i="13"/>
  <c r="M3770" i="13"/>
  <c r="L3745" i="13"/>
  <c r="M3745" i="13"/>
  <c r="L3744" i="13"/>
  <c r="M3744" i="13"/>
  <c r="L3743" i="13"/>
  <c r="M3743" i="13"/>
  <c r="L3721" i="13"/>
  <c r="M3721" i="13"/>
  <c r="L3720" i="13"/>
  <c r="M3720" i="13"/>
  <c r="L3719" i="13"/>
  <c r="M3719" i="13"/>
  <c r="L3635" i="13"/>
  <c r="M3635" i="13"/>
  <c r="L3634" i="13"/>
  <c r="M3634" i="13"/>
  <c r="L3633" i="13"/>
  <c r="M3633" i="13"/>
  <c r="L3608" i="13"/>
  <c r="M3608" i="13"/>
  <c r="L3607" i="13"/>
  <c r="M3607" i="13"/>
  <c r="L3606" i="13"/>
  <c r="M3606" i="13"/>
  <c r="L3584" i="13"/>
  <c r="M3584" i="13"/>
  <c r="L3583" i="13"/>
  <c r="M3583" i="13"/>
  <c r="L3582" i="13"/>
  <c r="M3582" i="13"/>
  <c r="L3799" i="13"/>
  <c r="L3798" i="13"/>
  <c r="L3769" i="13"/>
  <c r="M3769" i="13"/>
  <c r="L3768" i="13"/>
  <c r="M3768" i="13"/>
  <c r="L3742" i="13"/>
  <c r="M3742" i="13"/>
  <c r="L3741" i="13"/>
  <c r="M3741" i="13"/>
  <c r="L3718" i="13"/>
  <c r="M3718" i="13"/>
  <c r="L3717" i="13"/>
  <c r="M3717" i="13"/>
  <c r="L3662" i="13"/>
  <c r="L3661" i="13"/>
  <c r="L3632" i="13"/>
  <c r="M3632" i="13"/>
  <c r="L3631" i="13"/>
  <c r="M3631" i="13"/>
  <c r="L3605" i="13"/>
  <c r="M3605" i="13"/>
  <c r="L3604" i="13"/>
  <c r="M3604" i="13"/>
  <c r="L3581" i="13"/>
  <c r="M3581" i="13"/>
  <c r="L3580" i="13"/>
  <c r="M3580" i="13"/>
  <c r="L3767" i="13"/>
  <c r="M3767" i="13"/>
  <c r="L3766" i="13"/>
  <c r="M3766" i="13"/>
  <c r="L3765" i="13"/>
  <c r="M3765" i="13"/>
  <c r="L3740" i="13"/>
  <c r="M3740" i="13"/>
  <c r="L3739" i="13"/>
  <c r="M3739" i="13"/>
  <c r="L3738" i="13"/>
  <c r="M3738" i="13"/>
  <c r="L3716" i="13"/>
  <c r="M3716" i="13"/>
  <c r="L3715" i="13"/>
  <c r="M3715" i="13"/>
  <c r="L3714" i="13"/>
  <c r="M3714" i="13"/>
  <c r="L3630" i="13"/>
  <c r="M3630" i="13"/>
  <c r="L3629" i="13"/>
  <c r="M3629" i="13"/>
  <c r="L3628" i="13"/>
  <c r="M3628" i="13"/>
  <c r="L3603" i="13"/>
  <c r="M3603" i="13"/>
  <c r="L3602" i="13"/>
  <c r="M3602" i="13"/>
  <c r="L3601" i="13"/>
  <c r="M3601" i="13"/>
  <c r="L3579" i="13"/>
  <c r="M3579" i="13"/>
  <c r="L3578" i="13"/>
  <c r="M3578" i="13"/>
  <c r="L3577" i="13"/>
  <c r="M3577" i="13"/>
  <c r="L633" i="8"/>
  <c r="M633" i="8"/>
  <c r="L621" i="8"/>
  <c r="M621" i="8"/>
  <c r="L632" i="8"/>
  <c r="M632" i="8"/>
  <c r="L620" i="8"/>
  <c r="M620" i="8"/>
  <c r="L631" i="8"/>
  <c r="L630" i="8"/>
  <c r="M630" i="8"/>
  <c r="L619" i="8"/>
  <c r="M619" i="8"/>
  <c r="L618" i="8"/>
  <c r="M618" i="8"/>
  <c r="M668" i="8"/>
  <c r="L629" i="8"/>
  <c r="L617" i="8"/>
  <c r="M617" i="8"/>
  <c r="M667" i="8"/>
  <c r="M655" i="8"/>
  <c r="L628" i="8"/>
  <c r="M628" i="8"/>
  <c r="L616" i="8"/>
  <c r="M616" i="8"/>
  <c r="M666" i="8"/>
  <c r="M654" i="8"/>
  <c r="M645" i="8"/>
  <c r="L627" i="8"/>
  <c r="M627" i="8"/>
  <c r="L615" i="8"/>
  <c r="M615" i="8"/>
  <c r="M665" i="8"/>
  <c r="M653" i="8"/>
  <c r="M644" i="8"/>
  <c r="L626" i="8"/>
  <c r="M626" i="8"/>
  <c r="L614" i="8"/>
  <c r="M614" i="8"/>
  <c r="M664" i="8"/>
  <c r="M652" i="8"/>
  <c r="L625" i="8"/>
  <c r="M625" i="8"/>
  <c r="L613" i="8"/>
  <c r="M613" i="8"/>
  <c r="L3836" i="13"/>
  <c r="L3699" i="13"/>
  <c r="L3570" i="13"/>
  <c r="M3570" i="13"/>
  <c r="L3569" i="13"/>
  <c r="M3569" i="13"/>
  <c r="L3713" i="13"/>
  <c r="M3713" i="13"/>
  <c r="L3576" i="13"/>
  <c r="M3576" i="13"/>
  <c r="L3568" i="13"/>
  <c r="M3568" i="13"/>
  <c r="L3712" i="13"/>
  <c r="M3712" i="13"/>
  <c r="L3711" i="13"/>
  <c r="M3711" i="13"/>
  <c r="L3710" i="13"/>
  <c r="M3710" i="13"/>
  <c r="L3709" i="13"/>
  <c r="M3709" i="13"/>
  <c r="L3708" i="13"/>
  <c r="M3708" i="13"/>
  <c r="L3707" i="13"/>
  <c r="M3707" i="13"/>
  <c r="L3567" i="13"/>
  <c r="M3567" i="13"/>
  <c r="L3566" i="13"/>
  <c r="M3566" i="13"/>
  <c r="L3565" i="13"/>
  <c r="M3565" i="13"/>
  <c r="L3564" i="13"/>
  <c r="M3564" i="13"/>
  <c r="L3563" i="13"/>
  <c r="M3563" i="13"/>
  <c r="L3562" i="13"/>
  <c r="M3562" i="13"/>
  <c r="L3706" i="13"/>
  <c r="M3706" i="13"/>
  <c r="L3705" i="13"/>
  <c r="M3705" i="13"/>
  <c r="L3575" i="13"/>
  <c r="M3575" i="13"/>
  <c r="L3574" i="13"/>
  <c r="M3574" i="13"/>
  <c r="L3561" i="13"/>
  <c r="M3561" i="13"/>
  <c r="L3560" i="13"/>
  <c r="M3560" i="13"/>
  <c r="L3704" i="13"/>
  <c r="M3704" i="13"/>
  <c r="L3573" i="13"/>
  <c r="M3573" i="13"/>
  <c r="L3572" i="13"/>
  <c r="M3572" i="13"/>
  <c r="L3571" i="13"/>
  <c r="M3571" i="13"/>
  <c r="L3559" i="13"/>
  <c r="M3559" i="13"/>
  <c r="L3703" i="13"/>
  <c r="M3703" i="13"/>
  <c r="L3702" i="13"/>
  <c r="M3702" i="13"/>
  <c r="L3558" i="13"/>
  <c r="M3558" i="13"/>
  <c r="L3557" i="13"/>
  <c r="M3557" i="13"/>
  <c r="L3556" i="13"/>
  <c r="M3556" i="13"/>
  <c r="L3555" i="13"/>
  <c r="M3555" i="13"/>
  <c r="L611" i="8"/>
  <c r="M611" i="8"/>
  <c r="L610" i="8"/>
  <c r="M610" i="8"/>
  <c r="L609" i="8"/>
  <c r="M609" i="8"/>
  <c r="M636" i="8"/>
  <c r="L624" i="8"/>
  <c r="M624" i="8"/>
  <c r="L612" i="8"/>
  <c r="M612" i="8"/>
  <c r="L607" i="8"/>
  <c r="M607" i="8"/>
  <c r="L623" i="8"/>
  <c r="M623" i="8"/>
  <c r="L608" i="8"/>
  <c r="M608" i="8"/>
  <c r="L606" i="8"/>
  <c r="M606" i="8"/>
  <c r="L622" i="8"/>
  <c r="M622" i="8"/>
  <c r="L605" i="8"/>
  <c r="M605" i="8"/>
  <c r="L604" i="8"/>
  <c r="M604" i="8"/>
  <c r="M640" i="8"/>
  <c r="M639" i="8"/>
  <c r="M638" i="8"/>
  <c r="M637" i="8"/>
  <c r="M662" i="8"/>
  <c r="M661" i="8"/>
  <c r="M635" i="8"/>
  <c r="M634" i="8"/>
  <c r="M672" i="8"/>
  <c r="M671" i="8"/>
  <c r="M670" i="8"/>
  <c r="M669" i="8"/>
  <c r="M660" i="8"/>
  <c r="M659" i="8"/>
  <c r="M658" i="8"/>
  <c r="M657" i="8"/>
  <c r="M656" i="8"/>
  <c r="M631" i="8"/>
  <c r="M629" i="8"/>
  <c r="M663" i="8"/>
  <c r="M651" i="8"/>
  <c r="M650" i="8"/>
  <c r="M649" i="8"/>
  <c r="M648" i="8"/>
  <c r="M647" i="8"/>
  <c r="M646" i="8"/>
  <c r="M643" i="8"/>
  <c r="M642" i="8"/>
  <c r="M641" i="8"/>
  <c r="M3858" i="13"/>
  <c r="M3857" i="13"/>
  <c r="M3856" i="13"/>
  <c r="M3855" i="13"/>
  <c r="M3854" i="13"/>
  <c r="M3853" i="13"/>
  <c r="M3852" i="13"/>
  <c r="M3851" i="13"/>
  <c r="M4016" i="13"/>
  <c r="M4015" i="13"/>
  <c r="M4014" i="13"/>
  <c r="M4013" i="13"/>
  <c r="M4012" i="13"/>
  <c r="M4011" i="13"/>
  <c r="M4010" i="13"/>
  <c r="M4009" i="13"/>
  <c r="M4008" i="13"/>
  <c r="M4007" i="13"/>
  <c r="M4006" i="13"/>
  <c r="M4005" i="13"/>
  <c r="M3850" i="13"/>
  <c r="M3849" i="13"/>
  <c r="M3848" i="13"/>
  <c r="M3847" i="13"/>
  <c r="M3846" i="13"/>
  <c r="M3845" i="13"/>
  <c r="M3844" i="13"/>
  <c r="M3843" i="13"/>
  <c r="M3842" i="13"/>
  <c r="M3841" i="13"/>
  <c r="M3840" i="13"/>
  <c r="M3839" i="13"/>
  <c r="L3554" i="13"/>
  <c r="M3554" i="13"/>
  <c r="L3553" i="13"/>
  <c r="M3553" i="13"/>
  <c r="L3552" i="13"/>
  <c r="M3552" i="13"/>
  <c r="L3551" i="13"/>
  <c r="M3551" i="13"/>
  <c r="L3550" i="13"/>
  <c r="M3550" i="13"/>
  <c r="L3549" i="13"/>
  <c r="M3549" i="13"/>
  <c r="L3417" i="13"/>
  <c r="M3417" i="13"/>
  <c r="L3416" i="13"/>
  <c r="M3416" i="13"/>
  <c r="L3415" i="13"/>
  <c r="M3415" i="13"/>
  <c r="M4066" i="13"/>
  <c r="M4065" i="13"/>
  <c r="M4064" i="13"/>
  <c r="M3930" i="13"/>
  <c r="M3929" i="13"/>
  <c r="M3928" i="13"/>
  <c r="M3927" i="13"/>
  <c r="M3926" i="13"/>
  <c r="M3925" i="13"/>
  <c r="M3924" i="13"/>
  <c r="M3923" i="13"/>
  <c r="M3922" i="13"/>
  <c r="M3921" i="13"/>
  <c r="M3920" i="13"/>
  <c r="M3919" i="13"/>
  <c r="M3918" i="13"/>
  <c r="M3917" i="13"/>
  <c r="M3916" i="13"/>
  <c r="M3915" i="13"/>
  <c r="M3914" i="13"/>
  <c r="M3913" i="13"/>
  <c r="M3912" i="13"/>
  <c r="M3911" i="13"/>
  <c r="M3910" i="13"/>
  <c r="M3909" i="13"/>
  <c r="M3908" i="13"/>
  <c r="M3907" i="13"/>
  <c r="M4091" i="13"/>
  <c r="M4090" i="13"/>
  <c r="M4089" i="13"/>
  <c r="M4088" i="13"/>
  <c r="M4087" i="13"/>
  <c r="M4086" i="13"/>
  <c r="M4085" i="13"/>
  <c r="M4084" i="13"/>
  <c r="M4083" i="13"/>
  <c r="M4082" i="13"/>
  <c r="M4081" i="13"/>
  <c r="M4080" i="13"/>
  <c r="M4079" i="13"/>
  <c r="M4078" i="13"/>
  <c r="M4077" i="13"/>
  <c r="M4076" i="13"/>
  <c r="M4075" i="13"/>
  <c r="M4074" i="13"/>
  <c r="M4073" i="13"/>
  <c r="M4072" i="13"/>
  <c r="M4071" i="13"/>
  <c r="M4070" i="13"/>
  <c r="M4069" i="13"/>
  <c r="M4068" i="13"/>
  <c r="M4067" i="13"/>
  <c r="M4063" i="13"/>
  <c r="M4062" i="13"/>
  <c r="M4061" i="13"/>
  <c r="M4060" i="13"/>
  <c r="M4059" i="13"/>
  <c r="M4058" i="13"/>
  <c r="M4057" i="13"/>
  <c r="M4056" i="13"/>
  <c r="M4055" i="13"/>
  <c r="M4054" i="13"/>
  <c r="M4053" i="13"/>
  <c r="M4052" i="13"/>
  <c r="M4051" i="13"/>
  <c r="M4050" i="13"/>
  <c r="M4049" i="13"/>
  <c r="M4048" i="13"/>
  <c r="M4047" i="13"/>
  <c r="M4046" i="13"/>
  <c r="M4045" i="13"/>
  <c r="M4044" i="13"/>
  <c r="M4043" i="13"/>
  <c r="M4042" i="13"/>
  <c r="M4041" i="13"/>
  <c r="M4040" i="13"/>
  <c r="M4039" i="13"/>
  <c r="M4038" i="13"/>
  <c r="M4037" i="13"/>
  <c r="M4036" i="13"/>
  <c r="M4035" i="13"/>
  <c r="M4034" i="13"/>
  <c r="M4033" i="13"/>
  <c r="M4032" i="13"/>
  <c r="M4031" i="13"/>
  <c r="M4030" i="13"/>
  <c r="M4029" i="13"/>
  <c r="M4028" i="13"/>
  <c r="M4027" i="13"/>
  <c r="M4026" i="13"/>
  <c r="M4025" i="13"/>
  <c r="M4024" i="13"/>
  <c r="M4023" i="13"/>
  <c r="M4022" i="13"/>
  <c r="M4021" i="13"/>
  <c r="M4020" i="13"/>
  <c r="M4019" i="13"/>
  <c r="M4018" i="13"/>
  <c r="M4017" i="13"/>
  <c r="M3954" i="13"/>
  <c r="M3953" i="13"/>
  <c r="M3952" i="13"/>
  <c r="M3951" i="13"/>
  <c r="M3950" i="13"/>
  <c r="M3949" i="13"/>
  <c r="M3948" i="13"/>
  <c r="M3947" i="13"/>
  <c r="M3946" i="13"/>
  <c r="M3945" i="13"/>
  <c r="M3944" i="13"/>
  <c r="M3943" i="13"/>
  <c r="M3942" i="13"/>
  <c r="M3941" i="13"/>
  <c r="M3940" i="13"/>
  <c r="M3939" i="13"/>
  <c r="M3938" i="13"/>
  <c r="M3937" i="13"/>
  <c r="M3936" i="13"/>
  <c r="M3935" i="13"/>
  <c r="M3934" i="13"/>
  <c r="M3933" i="13"/>
  <c r="M3932" i="13"/>
  <c r="M3931" i="13"/>
  <c r="M3906" i="13"/>
  <c r="M3905" i="13"/>
  <c r="M3904" i="13"/>
  <c r="M3903" i="13"/>
  <c r="M3902" i="13"/>
  <c r="M3901" i="13"/>
  <c r="M3900" i="13"/>
  <c r="M3899" i="13"/>
  <c r="M3898" i="13"/>
  <c r="M3897" i="13"/>
  <c r="M3896" i="13"/>
  <c r="M3895" i="13"/>
  <c r="M3894" i="13"/>
  <c r="M3893" i="13"/>
  <c r="M3892" i="13"/>
  <c r="M3891" i="13"/>
  <c r="M3890" i="13"/>
  <c r="M3889" i="13"/>
  <c r="M3888" i="13"/>
  <c r="M3887" i="13"/>
  <c r="M3886" i="13"/>
  <c r="M3885" i="13"/>
  <c r="M3884" i="13"/>
  <c r="M3883" i="13"/>
  <c r="M3882" i="13"/>
  <c r="M3881" i="13"/>
  <c r="M3880" i="13"/>
  <c r="M3879" i="13"/>
  <c r="M3878" i="13"/>
  <c r="M3877" i="13"/>
  <c r="M3876" i="13"/>
  <c r="M3875" i="13"/>
  <c r="M3874" i="13"/>
  <c r="M3873" i="13"/>
  <c r="M3872" i="13"/>
  <c r="M3871" i="13"/>
  <c r="M3870" i="13"/>
  <c r="M3869" i="13"/>
  <c r="M3868" i="13"/>
  <c r="M3867" i="13"/>
  <c r="M3866" i="13"/>
  <c r="M3865" i="13"/>
  <c r="M3864" i="13"/>
  <c r="M3863" i="13"/>
  <c r="M3862" i="13"/>
  <c r="M3861" i="13"/>
  <c r="M3860" i="13"/>
  <c r="M3859" i="13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5" i="11"/>
  <c r="L184" i="11"/>
  <c r="L183" i="11"/>
  <c r="L182" i="11"/>
  <c r="L181" i="11"/>
  <c r="L180" i="11"/>
  <c r="L177" i="11"/>
  <c r="L176" i="11"/>
  <c r="L175" i="11"/>
  <c r="L174" i="11"/>
  <c r="L3461" i="13"/>
  <c r="M3461" i="13"/>
  <c r="L3469" i="13"/>
  <c r="M3469" i="13"/>
  <c r="L3477" i="13"/>
  <c r="M3477" i="13"/>
  <c r="L3454" i="13"/>
  <c r="M3454" i="13"/>
  <c r="I3464" i="13"/>
  <c r="I3465" i="13"/>
  <c r="I3466" i="13"/>
  <c r="I3467" i="13"/>
  <c r="I3468" i="13"/>
  <c r="I3469" i="13"/>
  <c r="I3470" i="13"/>
  <c r="I3471" i="13"/>
  <c r="I3472" i="13"/>
  <c r="I3473" i="13"/>
  <c r="I3474" i="13"/>
  <c r="I3475" i="13"/>
  <c r="I3476" i="13"/>
  <c r="I3477" i="13"/>
  <c r="I3455" i="13"/>
  <c r="I3456" i="13"/>
  <c r="I3457" i="13"/>
  <c r="I3458" i="13"/>
  <c r="I3459" i="13"/>
  <c r="I3460" i="13"/>
  <c r="I3461" i="13"/>
  <c r="I3462" i="13"/>
  <c r="I3463" i="13"/>
  <c r="I3454" i="13"/>
  <c r="K171" i="11"/>
  <c r="L171" i="11"/>
  <c r="K169" i="11"/>
  <c r="L169" i="11"/>
  <c r="L167" i="11"/>
  <c r="L3438" i="13"/>
  <c r="M3438" i="13"/>
  <c r="L3441" i="13"/>
  <c r="M3441" i="13"/>
  <c r="L3446" i="13"/>
  <c r="M3446" i="13"/>
  <c r="L3430" i="13"/>
  <c r="M3430" i="13"/>
  <c r="L593" i="8"/>
  <c r="M593" i="8"/>
  <c r="L592" i="8"/>
  <c r="M592" i="8"/>
  <c r="L3418" i="13"/>
  <c r="M3418" i="13"/>
  <c r="L3350" i="13"/>
  <c r="M3350" i="13"/>
  <c r="L3358" i="13"/>
  <c r="M3358" i="13"/>
  <c r="L3366" i="13"/>
  <c r="M3366" i="13"/>
  <c r="L3374" i="13"/>
  <c r="M3374" i="13"/>
  <c r="L3382" i="13"/>
  <c r="M3382" i="13"/>
  <c r="L3390" i="13"/>
  <c r="M3390" i="13"/>
  <c r="L3398" i="13"/>
  <c r="M3398" i="13"/>
  <c r="L3403" i="13"/>
  <c r="M3403" i="13"/>
  <c r="L3406" i="13"/>
  <c r="M3406" i="13"/>
  <c r="L3411" i="13"/>
  <c r="M3411" i="13"/>
  <c r="L3414" i="13"/>
  <c r="M3414" i="13"/>
  <c r="L3347" i="13"/>
  <c r="M3347" i="13"/>
  <c r="L3344" i="13"/>
  <c r="M3344" i="13"/>
  <c r="I581" i="8"/>
  <c r="L582" i="8"/>
  <c r="M582" i="8"/>
  <c r="L581" i="8"/>
  <c r="M581" i="8"/>
  <c r="L3324" i="13"/>
  <c r="M3324" i="13"/>
  <c r="L3328" i="13"/>
  <c r="M3328" i="13"/>
  <c r="L3331" i="13"/>
  <c r="M3331" i="13"/>
  <c r="L3333" i="13"/>
  <c r="M3333" i="13"/>
  <c r="L3339" i="13"/>
  <c r="M3339" i="13"/>
  <c r="L3340" i="13"/>
  <c r="M3340" i="13"/>
  <c r="L3323" i="13"/>
  <c r="M3323" i="13"/>
  <c r="L3306" i="13"/>
  <c r="M3306" i="13"/>
  <c r="L3307" i="13"/>
  <c r="M3307" i="13"/>
  <c r="L3314" i="13"/>
  <c r="M3314" i="13"/>
  <c r="L3315" i="13"/>
  <c r="M3315" i="13"/>
  <c r="L3322" i="13"/>
  <c r="M3322" i="13"/>
  <c r="I3324" i="13"/>
  <c r="I3325" i="13"/>
  <c r="I3326" i="13"/>
  <c r="I3327" i="13"/>
  <c r="I3328" i="13"/>
  <c r="I3329" i="13"/>
  <c r="I3330" i="13"/>
  <c r="I3331" i="13"/>
  <c r="I3332" i="13"/>
  <c r="I3333" i="13"/>
  <c r="I3334" i="13"/>
  <c r="I3335" i="13"/>
  <c r="I3336" i="13"/>
  <c r="I3337" i="13"/>
  <c r="I3338" i="13"/>
  <c r="I3339" i="13"/>
  <c r="I3340" i="13"/>
  <c r="I3341" i="13"/>
  <c r="I3323" i="13"/>
  <c r="K161" i="11"/>
  <c r="L161" i="11"/>
  <c r="K162" i="11"/>
  <c r="K163" i="11"/>
  <c r="L163" i="11"/>
  <c r="K166" i="11"/>
  <c r="K160" i="11"/>
  <c r="L160" i="11"/>
  <c r="L3278" i="13"/>
  <c r="M3278" i="13"/>
  <c r="L3283" i="13"/>
  <c r="M3283" i="13"/>
  <c r="L3286" i="13"/>
  <c r="M3286" i="13"/>
  <c r="L3291" i="13"/>
  <c r="M3291" i="13"/>
  <c r="L3294" i="13"/>
  <c r="M3294" i="13"/>
  <c r="L3275" i="13"/>
  <c r="M3275" i="13"/>
  <c r="L570" i="8"/>
  <c r="M570" i="8"/>
  <c r="L564" i="8"/>
  <c r="M564" i="8"/>
  <c r="L3256" i="13"/>
  <c r="M3256" i="13"/>
  <c r="L3261" i="13"/>
  <c r="M3261" i="13"/>
  <c r="L3264" i="13"/>
  <c r="M3264" i="13"/>
  <c r="L3268" i="13"/>
  <c r="M3268" i="13"/>
  <c r="L3269" i="13"/>
  <c r="M3269" i="13"/>
  <c r="L3272" i="13"/>
  <c r="M3272" i="13"/>
  <c r="L3255" i="13"/>
  <c r="M3255" i="13"/>
  <c r="L3193" i="13"/>
  <c r="M3193" i="13"/>
  <c r="L3203" i="13"/>
  <c r="M3203" i="13"/>
  <c r="L3211" i="13"/>
  <c r="M3211" i="13"/>
  <c r="L3217" i="13"/>
  <c r="M3217" i="13"/>
  <c r="L3219" i="13"/>
  <c r="M3219" i="13"/>
  <c r="L3225" i="13"/>
  <c r="M3225" i="13"/>
  <c r="L3227" i="13"/>
  <c r="M3227" i="13"/>
  <c r="L3233" i="13"/>
  <c r="M3233" i="13"/>
  <c r="L3235" i="13"/>
  <c r="M3235" i="13"/>
  <c r="L3241" i="13"/>
  <c r="M3241" i="13"/>
  <c r="L3243" i="13"/>
  <c r="M3243" i="13"/>
  <c r="L3251" i="13"/>
  <c r="M3251" i="13"/>
  <c r="L3187" i="13"/>
  <c r="M3187" i="13"/>
  <c r="L563" i="8"/>
  <c r="M563" i="8"/>
  <c r="L555" i="8"/>
  <c r="M555" i="8"/>
  <c r="L3515" i="13"/>
  <c r="M3515" i="13"/>
  <c r="L3514" i="13"/>
  <c r="M3514" i="13"/>
  <c r="L3485" i="13"/>
  <c r="M3485" i="13"/>
  <c r="L3484" i="13"/>
  <c r="M3484" i="13"/>
  <c r="L3458" i="13"/>
  <c r="M3458" i="13"/>
  <c r="L3457" i="13"/>
  <c r="M3457" i="13"/>
  <c r="L3434" i="13"/>
  <c r="M3434" i="13"/>
  <c r="L3433" i="13"/>
  <c r="M3433" i="13"/>
  <c r="L3381" i="13"/>
  <c r="M3381" i="13"/>
  <c r="L3380" i="13"/>
  <c r="M3380" i="13"/>
  <c r="L3351" i="13"/>
  <c r="M3351" i="13"/>
  <c r="L3327" i="13"/>
  <c r="M3327" i="13"/>
  <c r="L3303" i="13"/>
  <c r="M3303" i="13"/>
  <c r="L3302" i="13"/>
  <c r="M3302" i="13"/>
  <c r="L3279" i="13"/>
  <c r="M3279" i="13"/>
  <c r="L3523" i="13"/>
  <c r="M3523" i="13"/>
  <c r="L3389" i="13"/>
  <c r="M3389" i="13"/>
  <c r="L3497" i="13"/>
  <c r="M3497" i="13"/>
  <c r="L3496" i="13"/>
  <c r="M3496" i="13"/>
  <c r="L3495" i="13"/>
  <c r="M3495" i="13"/>
  <c r="L3470" i="13"/>
  <c r="M3470" i="13"/>
  <c r="L3468" i="13"/>
  <c r="M3468" i="13"/>
  <c r="L3445" i="13"/>
  <c r="M3445" i="13"/>
  <c r="L3444" i="13"/>
  <c r="M3444" i="13"/>
  <c r="L3363" i="13"/>
  <c r="M3363" i="13"/>
  <c r="L3362" i="13"/>
  <c r="M3362" i="13"/>
  <c r="L3361" i="13"/>
  <c r="M3361" i="13"/>
  <c r="L3313" i="13"/>
  <c r="M3313" i="13"/>
  <c r="L3290" i="13"/>
  <c r="M3290" i="13"/>
  <c r="L3289" i="13"/>
  <c r="M3289" i="13"/>
  <c r="L3525" i="13"/>
  <c r="M3525" i="13"/>
  <c r="L3524" i="13"/>
  <c r="M3524" i="13"/>
  <c r="L3494" i="13"/>
  <c r="M3494" i="13"/>
  <c r="L3493" i="13"/>
  <c r="M3493" i="13"/>
  <c r="L3492" i="13"/>
  <c r="M3492" i="13"/>
  <c r="L3467" i="13"/>
  <c r="M3467" i="13"/>
  <c r="L3466" i="13"/>
  <c r="M3466" i="13"/>
  <c r="L3465" i="13"/>
  <c r="M3465" i="13"/>
  <c r="L3443" i="13"/>
  <c r="M3443" i="13"/>
  <c r="L3442" i="13"/>
  <c r="M3442" i="13"/>
  <c r="L3391" i="13"/>
  <c r="M3391" i="13"/>
  <c r="L3360" i="13"/>
  <c r="M3360" i="13"/>
  <c r="L3359" i="13"/>
  <c r="M3359" i="13"/>
  <c r="L3312" i="13"/>
  <c r="M3312" i="13"/>
  <c r="L3311" i="13"/>
  <c r="M3311" i="13"/>
  <c r="L3310" i="13"/>
  <c r="M3310" i="13"/>
  <c r="L3288" i="13"/>
  <c r="M3288" i="13"/>
  <c r="L3287" i="13"/>
  <c r="M3287" i="13"/>
  <c r="L3507" i="13"/>
  <c r="M3507" i="13"/>
  <c r="L3506" i="13"/>
  <c r="M3506" i="13"/>
  <c r="L3505" i="13"/>
  <c r="M3505" i="13"/>
  <c r="L3373" i="13"/>
  <c r="M3373" i="13"/>
  <c r="L3372" i="13"/>
  <c r="M3372" i="13"/>
  <c r="L3371" i="13"/>
  <c r="M3371" i="13"/>
  <c r="L3325" i="13"/>
  <c r="M3325" i="13"/>
  <c r="L3526" i="13"/>
  <c r="M3526" i="13"/>
  <c r="L3392" i="13"/>
  <c r="M3392" i="13"/>
  <c r="L3510" i="13"/>
  <c r="M3510" i="13"/>
  <c r="L3509" i="13"/>
  <c r="M3509" i="13"/>
  <c r="L3508" i="13"/>
  <c r="M3508" i="13"/>
  <c r="L3376" i="13"/>
  <c r="M3376" i="13"/>
  <c r="L3375" i="13"/>
  <c r="M3375" i="13"/>
  <c r="L3326" i="13"/>
  <c r="M3326" i="13"/>
  <c r="L3521" i="13"/>
  <c r="M3521" i="13"/>
  <c r="L3387" i="13"/>
  <c r="M3387" i="13"/>
  <c r="L3330" i="13"/>
  <c r="M3330" i="13"/>
  <c r="L3329" i="13"/>
  <c r="M3329" i="13"/>
  <c r="L3533" i="13"/>
  <c r="M3533" i="13"/>
  <c r="L3532" i="13"/>
  <c r="M3532" i="13"/>
  <c r="L3531" i="13"/>
  <c r="M3531" i="13"/>
  <c r="L3399" i="13"/>
  <c r="M3399" i="13"/>
  <c r="L3397" i="13"/>
  <c r="M3397" i="13"/>
  <c r="L3546" i="13"/>
  <c r="M3546" i="13"/>
  <c r="L3545" i="13"/>
  <c r="M3545" i="13"/>
  <c r="L3544" i="13"/>
  <c r="M3544" i="13"/>
  <c r="L3504" i="13"/>
  <c r="M3504" i="13"/>
  <c r="L3453" i="13"/>
  <c r="M3453" i="13"/>
  <c r="L3412" i="13"/>
  <c r="M3412" i="13"/>
  <c r="L3410" i="13"/>
  <c r="M3410" i="13"/>
  <c r="L3370" i="13"/>
  <c r="M3370" i="13"/>
  <c r="L3298" i="13"/>
  <c r="M3298" i="13"/>
  <c r="L3422" i="13"/>
  <c r="M3422" i="13"/>
  <c r="L3421" i="13"/>
  <c r="M3421" i="13"/>
  <c r="L3273" i="13"/>
  <c r="M3273" i="13"/>
  <c r="L3259" i="13"/>
  <c r="M3259" i="13"/>
  <c r="L3258" i="13"/>
  <c r="M3258" i="13"/>
  <c r="L3419" i="13"/>
  <c r="M3419" i="13"/>
  <c r="L3530" i="13"/>
  <c r="M3530" i="13"/>
  <c r="L3529" i="13"/>
  <c r="M3529" i="13"/>
  <c r="L3396" i="13"/>
  <c r="M3396" i="13"/>
  <c r="L3395" i="13"/>
  <c r="M3395" i="13"/>
  <c r="L3543" i="13"/>
  <c r="M3543" i="13"/>
  <c r="L3542" i="13"/>
  <c r="M3542" i="13"/>
  <c r="L3541" i="13"/>
  <c r="M3541" i="13"/>
  <c r="L3540" i="13"/>
  <c r="M3540" i="13"/>
  <c r="L3479" i="13"/>
  <c r="M3479" i="13"/>
  <c r="L3409" i="13"/>
  <c r="M3409" i="13"/>
  <c r="L3408" i="13"/>
  <c r="M3408" i="13"/>
  <c r="L3407" i="13"/>
  <c r="M3407" i="13"/>
  <c r="L3345" i="13"/>
  <c r="M3345" i="13"/>
  <c r="L3338" i="13"/>
  <c r="M3338" i="13"/>
  <c r="L3337" i="13"/>
  <c r="M3337" i="13"/>
  <c r="L3336" i="13"/>
  <c r="M3336" i="13"/>
  <c r="L3335" i="13"/>
  <c r="M3335" i="13"/>
  <c r="L3334" i="13"/>
  <c r="M3334" i="13"/>
  <c r="L3429" i="13"/>
  <c r="M3429" i="13"/>
  <c r="L3274" i="13"/>
  <c r="M3274" i="13"/>
  <c r="L3266" i="13"/>
  <c r="M3266" i="13"/>
  <c r="L3520" i="13"/>
  <c r="M3520" i="13"/>
  <c r="L3519" i="13"/>
  <c r="M3519" i="13"/>
  <c r="L3518" i="13"/>
  <c r="M3518" i="13"/>
  <c r="L3517" i="13"/>
  <c r="M3517" i="13"/>
  <c r="L3516" i="13"/>
  <c r="M3516" i="13"/>
  <c r="L3386" i="13"/>
  <c r="M3386" i="13"/>
  <c r="L3385" i="13"/>
  <c r="M3385" i="13"/>
  <c r="L3384" i="13"/>
  <c r="M3384" i="13"/>
  <c r="L3383" i="13"/>
  <c r="M3383" i="13"/>
  <c r="L3548" i="13"/>
  <c r="M3548" i="13"/>
  <c r="L3547" i="13"/>
  <c r="M3547" i="13"/>
  <c r="L3480" i="13"/>
  <c r="M3480" i="13"/>
  <c r="L3413" i="13"/>
  <c r="M3413" i="13"/>
  <c r="L3346" i="13"/>
  <c r="M3346" i="13"/>
  <c r="L3341" i="13"/>
  <c r="M3341" i="13"/>
  <c r="L3483" i="13"/>
  <c r="M3483" i="13"/>
  <c r="L3482" i="13"/>
  <c r="M3482" i="13"/>
  <c r="L3481" i="13"/>
  <c r="M3481" i="13"/>
  <c r="L3456" i="13"/>
  <c r="M3456" i="13"/>
  <c r="L3455" i="13"/>
  <c r="M3455" i="13"/>
  <c r="L3432" i="13"/>
  <c r="M3432" i="13"/>
  <c r="L3431" i="13"/>
  <c r="M3431" i="13"/>
  <c r="L3349" i="13"/>
  <c r="M3349" i="13"/>
  <c r="L3348" i="13"/>
  <c r="M3348" i="13"/>
  <c r="L3301" i="13"/>
  <c r="M3301" i="13"/>
  <c r="L3300" i="13"/>
  <c r="M3300" i="13"/>
  <c r="L3299" i="13"/>
  <c r="M3299" i="13"/>
  <c r="L3277" i="13"/>
  <c r="M3277" i="13"/>
  <c r="L3276" i="13"/>
  <c r="M3276" i="13"/>
  <c r="L3522" i="13"/>
  <c r="M3522" i="13"/>
  <c r="L3388" i="13"/>
  <c r="M3388" i="13"/>
  <c r="L3537" i="13"/>
  <c r="M3537" i="13"/>
  <c r="L3536" i="13"/>
  <c r="M3536" i="13"/>
  <c r="L3402" i="13"/>
  <c r="M3402" i="13"/>
  <c r="L3332" i="13"/>
  <c r="M3332" i="13"/>
  <c r="L3539" i="13"/>
  <c r="M3539" i="13"/>
  <c r="L3538" i="13"/>
  <c r="M3538" i="13"/>
  <c r="L3405" i="13"/>
  <c r="M3405" i="13"/>
  <c r="L3404" i="13"/>
  <c r="M3404" i="13"/>
  <c r="L3528" i="13"/>
  <c r="M3528" i="13"/>
  <c r="L3527" i="13"/>
  <c r="M3527" i="13"/>
  <c r="L3394" i="13"/>
  <c r="M3394" i="13"/>
  <c r="L3393" i="13"/>
  <c r="M3393" i="13"/>
  <c r="L3535" i="13"/>
  <c r="M3535" i="13"/>
  <c r="L3534" i="13"/>
  <c r="M3534" i="13"/>
  <c r="L3478" i="13"/>
  <c r="M3478" i="13"/>
  <c r="L3401" i="13"/>
  <c r="M3401" i="13"/>
  <c r="L3400" i="13"/>
  <c r="M3400" i="13"/>
  <c r="L3500" i="13"/>
  <c r="M3500" i="13"/>
  <c r="L3499" i="13"/>
  <c r="M3499" i="13"/>
  <c r="L3498" i="13"/>
  <c r="M3498" i="13"/>
  <c r="L3473" i="13"/>
  <c r="M3473" i="13"/>
  <c r="L3472" i="13"/>
  <c r="M3472" i="13"/>
  <c r="L3471" i="13"/>
  <c r="M3471" i="13"/>
  <c r="L3449" i="13"/>
  <c r="M3449" i="13"/>
  <c r="L3448" i="13"/>
  <c r="M3448" i="13"/>
  <c r="L3447" i="13"/>
  <c r="M3447" i="13"/>
  <c r="L3365" i="13"/>
  <c r="M3365" i="13"/>
  <c r="L3364" i="13"/>
  <c r="M3364" i="13"/>
  <c r="L3318" i="13"/>
  <c r="M3318" i="13"/>
  <c r="L3317" i="13"/>
  <c r="M3317" i="13"/>
  <c r="L3316" i="13"/>
  <c r="M3316" i="13"/>
  <c r="L3293" i="13"/>
  <c r="M3293" i="13"/>
  <c r="L3292" i="13"/>
  <c r="M3292" i="13"/>
  <c r="L3513" i="13"/>
  <c r="M3513" i="13"/>
  <c r="L3512" i="13"/>
  <c r="M3512" i="13"/>
  <c r="L3511" i="13"/>
  <c r="M3511" i="13"/>
  <c r="L3379" i="13"/>
  <c r="M3379" i="13"/>
  <c r="L3378" i="13"/>
  <c r="M3378" i="13"/>
  <c r="L3377" i="13"/>
  <c r="M3377" i="13"/>
  <c r="L3428" i="13"/>
  <c r="M3428" i="13"/>
  <c r="L3427" i="13"/>
  <c r="M3427" i="13"/>
  <c r="L3426" i="13"/>
  <c r="M3426" i="13"/>
  <c r="L3425" i="13"/>
  <c r="M3425" i="13"/>
  <c r="L3424" i="13"/>
  <c r="M3424" i="13"/>
  <c r="L3423" i="13"/>
  <c r="M3423" i="13"/>
  <c r="L3265" i="13"/>
  <c r="M3265" i="13"/>
  <c r="L3263" i="13"/>
  <c r="M3263" i="13"/>
  <c r="L3262" i="13"/>
  <c r="M3262" i="13"/>
  <c r="L3260" i="13"/>
  <c r="M3260" i="13"/>
  <c r="L3491" i="13"/>
  <c r="M3491" i="13"/>
  <c r="L3490" i="13"/>
  <c r="M3490" i="13"/>
  <c r="L3489" i="13"/>
  <c r="M3489" i="13"/>
  <c r="L3464" i="13"/>
  <c r="M3464" i="13"/>
  <c r="L3463" i="13"/>
  <c r="M3463" i="13"/>
  <c r="L3462" i="13"/>
  <c r="M3462" i="13"/>
  <c r="L3440" i="13"/>
  <c r="M3440" i="13"/>
  <c r="L3439" i="13"/>
  <c r="M3439" i="13"/>
  <c r="L3357" i="13"/>
  <c r="M3357" i="13"/>
  <c r="L3356" i="13"/>
  <c r="M3356" i="13"/>
  <c r="L3355" i="13"/>
  <c r="M3355" i="13"/>
  <c r="L3309" i="13"/>
  <c r="M3309" i="13"/>
  <c r="L3308" i="13"/>
  <c r="M3308" i="13"/>
  <c r="L3285" i="13"/>
  <c r="M3285" i="13"/>
  <c r="L3284" i="13"/>
  <c r="M3284" i="13"/>
  <c r="L3420" i="13"/>
  <c r="M3420" i="13"/>
  <c r="L3271" i="13"/>
  <c r="M3271" i="13"/>
  <c r="L3270" i="13"/>
  <c r="M3270" i="13"/>
  <c r="L3257" i="13"/>
  <c r="M3257" i="13"/>
  <c r="L3503" i="13"/>
  <c r="M3503" i="13"/>
  <c r="L3502" i="13"/>
  <c r="M3502" i="13"/>
  <c r="L3501" i="13"/>
  <c r="M3501" i="13"/>
  <c r="L3476" i="13"/>
  <c r="M3476" i="13"/>
  <c r="L3475" i="13"/>
  <c r="M3475" i="13"/>
  <c r="L3474" i="13"/>
  <c r="M3474" i="13"/>
  <c r="L3452" i="13"/>
  <c r="M3452" i="13"/>
  <c r="L3451" i="13"/>
  <c r="M3451" i="13"/>
  <c r="L3450" i="13"/>
  <c r="M3450" i="13"/>
  <c r="L3369" i="13"/>
  <c r="M3369" i="13"/>
  <c r="L3368" i="13"/>
  <c r="M3368" i="13"/>
  <c r="L3367" i="13"/>
  <c r="M3367" i="13"/>
  <c r="L3321" i="13"/>
  <c r="M3321" i="13"/>
  <c r="L3320" i="13"/>
  <c r="M3320" i="13"/>
  <c r="L3319" i="13"/>
  <c r="M3319" i="13"/>
  <c r="L3297" i="13"/>
  <c r="M3297" i="13"/>
  <c r="L3296" i="13"/>
  <c r="M3296" i="13"/>
  <c r="L3295" i="13"/>
  <c r="M3295" i="13"/>
  <c r="L3488" i="13"/>
  <c r="M3488" i="13"/>
  <c r="L3487" i="13"/>
  <c r="M3487" i="13"/>
  <c r="L3486" i="13"/>
  <c r="M3486" i="13"/>
  <c r="L3460" i="13"/>
  <c r="M3460" i="13"/>
  <c r="L3459" i="13"/>
  <c r="M3459" i="13"/>
  <c r="L3437" i="13"/>
  <c r="M3437" i="13"/>
  <c r="L3436" i="13"/>
  <c r="M3436" i="13"/>
  <c r="L3435" i="13"/>
  <c r="M3435" i="13"/>
  <c r="L3354" i="13"/>
  <c r="M3354" i="13"/>
  <c r="L3353" i="13"/>
  <c r="M3353" i="13"/>
  <c r="L3352" i="13"/>
  <c r="M3352" i="13"/>
  <c r="L3305" i="13"/>
  <c r="M3305" i="13"/>
  <c r="L3304" i="13"/>
  <c r="M3304" i="13"/>
  <c r="L3282" i="13"/>
  <c r="M3282" i="13"/>
  <c r="L3281" i="13"/>
  <c r="M3281" i="13"/>
  <c r="L3280" i="13"/>
  <c r="M3280" i="13"/>
  <c r="L3343" i="13"/>
  <c r="M3343" i="13"/>
  <c r="L3342" i="13"/>
  <c r="M3342" i="13"/>
  <c r="L3267" i="13"/>
  <c r="M3267" i="13"/>
  <c r="L591" i="8"/>
  <c r="M591" i="8"/>
  <c r="L568" i="8"/>
  <c r="M568" i="8"/>
  <c r="L573" i="8"/>
  <c r="M573" i="8"/>
  <c r="L598" i="8"/>
  <c r="M598" i="8"/>
  <c r="L585" i="8"/>
  <c r="M585" i="8"/>
  <c r="L601" i="8"/>
  <c r="M601" i="8"/>
  <c r="L600" i="8"/>
  <c r="M600" i="8"/>
  <c r="L588" i="8"/>
  <c r="M588" i="8"/>
  <c r="L587" i="8"/>
  <c r="M587" i="8"/>
  <c r="L576" i="8"/>
  <c r="M576" i="8"/>
  <c r="L572" i="8"/>
  <c r="M572" i="8"/>
  <c r="L596" i="8"/>
  <c r="M596" i="8"/>
  <c r="L583" i="8"/>
  <c r="M583" i="8"/>
  <c r="L574" i="8"/>
  <c r="M574" i="8"/>
  <c r="L569" i="8"/>
  <c r="M569" i="8"/>
  <c r="L577" i="8"/>
  <c r="M577" i="8"/>
  <c r="L579" i="8"/>
  <c r="M579" i="8"/>
  <c r="L597" i="8"/>
  <c r="M597" i="8"/>
  <c r="L584" i="8"/>
  <c r="M584" i="8"/>
  <c r="L575" i="8"/>
  <c r="M575" i="8"/>
  <c r="L595" i="8"/>
  <c r="M595" i="8"/>
  <c r="L599" i="8"/>
  <c r="M599" i="8"/>
  <c r="L586" i="8"/>
  <c r="M586" i="8"/>
  <c r="L578" i="8"/>
  <c r="M578" i="8"/>
  <c r="L603" i="8"/>
  <c r="M603" i="8"/>
  <c r="L590" i="8"/>
  <c r="M590" i="8"/>
  <c r="L602" i="8"/>
  <c r="M602" i="8"/>
  <c r="L589" i="8"/>
  <c r="M589" i="8"/>
  <c r="L571" i="8"/>
  <c r="M571" i="8"/>
  <c r="L567" i="8"/>
  <c r="M567" i="8"/>
  <c r="L565" i="8"/>
  <c r="M565" i="8"/>
  <c r="L594" i="8"/>
  <c r="M594" i="8"/>
  <c r="L580" i="8"/>
  <c r="M580" i="8"/>
  <c r="L566" i="8"/>
  <c r="M566" i="8"/>
  <c r="K173" i="11"/>
  <c r="K172" i="11"/>
  <c r="L172" i="11"/>
  <c r="K165" i="11"/>
  <c r="K170" i="11"/>
  <c r="K168" i="11"/>
  <c r="L168" i="11"/>
  <c r="K167" i="11"/>
  <c r="K164" i="11"/>
  <c r="K159" i="11"/>
  <c r="L3183" i="13"/>
  <c r="M3183" i="13"/>
  <c r="L3166" i="13"/>
  <c r="M3166" i="13"/>
  <c r="L3167" i="13"/>
  <c r="M3167" i="13"/>
  <c r="L3168" i="13"/>
  <c r="M3168" i="13"/>
  <c r="L3174" i="13"/>
  <c r="M3174" i="13"/>
  <c r="L3175" i="13"/>
  <c r="M3175" i="13"/>
  <c r="L3176" i="13"/>
  <c r="M3176" i="13"/>
  <c r="L3182" i="13"/>
  <c r="M3182" i="13"/>
  <c r="L3144" i="13"/>
  <c r="M3144" i="13"/>
  <c r="L3152" i="13"/>
  <c r="M3152" i="13"/>
  <c r="L3057" i="13"/>
  <c r="M3057" i="13"/>
  <c r="L3062" i="13"/>
  <c r="M3062" i="13"/>
  <c r="L3065" i="13"/>
  <c r="M3065" i="13"/>
  <c r="L3070" i="13"/>
  <c r="M3070" i="13"/>
  <c r="L3073" i="13"/>
  <c r="M3073" i="13"/>
  <c r="L3075" i="13"/>
  <c r="M3075" i="13"/>
  <c r="L3078" i="13"/>
  <c r="M3078" i="13"/>
  <c r="L3079" i="13"/>
  <c r="M3079" i="13"/>
  <c r="L3056" i="13"/>
  <c r="M3056" i="13"/>
  <c r="L547" i="8"/>
  <c r="M547" i="8"/>
  <c r="L548" i="8"/>
  <c r="M548" i="8"/>
  <c r="L550" i="8"/>
  <c r="M550" i="8"/>
  <c r="L3081" i="13"/>
  <c r="M3081" i="13"/>
  <c r="L3087" i="13"/>
  <c r="M3087" i="13"/>
  <c r="L3088" i="13"/>
  <c r="M3088" i="13"/>
  <c r="L3089" i="13"/>
  <c r="M3089" i="13"/>
  <c r="L3095" i="13"/>
  <c r="M3095" i="13"/>
  <c r="L3096" i="13"/>
  <c r="M3096" i="13"/>
  <c r="L3097" i="13"/>
  <c r="M3097" i="13"/>
  <c r="L3103" i="13"/>
  <c r="M3103" i="13"/>
  <c r="L3104" i="13"/>
  <c r="M3104" i="13"/>
  <c r="L3105" i="13"/>
  <c r="M3105" i="13"/>
  <c r="L3111" i="13"/>
  <c r="M3111" i="13"/>
  <c r="L3112" i="13"/>
  <c r="M3112" i="13"/>
  <c r="L3113" i="13"/>
  <c r="M3113" i="13"/>
  <c r="L3119" i="13"/>
  <c r="M3119" i="13"/>
  <c r="L3120" i="13"/>
  <c r="M3120" i="13"/>
  <c r="L3121" i="13"/>
  <c r="M3121" i="13"/>
  <c r="L3080" i="13"/>
  <c r="M3080" i="13"/>
  <c r="L3054" i="13"/>
  <c r="J3053" i="13"/>
  <c r="L3053" i="13"/>
  <c r="J3054" i="13"/>
  <c r="J3055" i="13"/>
  <c r="I541" i="8"/>
  <c r="I540" i="8"/>
  <c r="L3035" i="13"/>
  <c r="M3035" i="13"/>
  <c r="L3043" i="13"/>
  <c r="M3043" i="13"/>
  <c r="L3051" i="13"/>
  <c r="M3051" i="13"/>
  <c r="L3029" i="13"/>
  <c r="M3029" i="13"/>
  <c r="K148" i="11"/>
  <c r="L148" i="11"/>
  <c r="K149" i="11"/>
  <c r="L149" i="11"/>
  <c r="K146" i="11"/>
  <c r="L146" i="11"/>
  <c r="L3011" i="13"/>
  <c r="M3011" i="13"/>
  <c r="L3019" i="13"/>
  <c r="M3019" i="13"/>
  <c r="L3021" i="13"/>
  <c r="M3021" i="13"/>
  <c r="L3027" i="13"/>
  <c r="M3027" i="13"/>
  <c r="L3005" i="13"/>
  <c r="M3005" i="13"/>
  <c r="L534" i="8"/>
  <c r="M534" i="8"/>
  <c r="L538" i="8"/>
  <c r="M538" i="8"/>
  <c r="L532" i="8"/>
  <c r="M532" i="8"/>
  <c r="L2986" i="13"/>
  <c r="M2986" i="13"/>
  <c r="L2987" i="13"/>
  <c r="M2987" i="13"/>
  <c r="L2992" i="13"/>
  <c r="M2992" i="13"/>
  <c r="L2993" i="13"/>
  <c r="M2993" i="13"/>
  <c r="L2995" i="13"/>
  <c r="M2995" i="13"/>
  <c r="L3000" i="13"/>
  <c r="M3000" i="13"/>
  <c r="L3001" i="13"/>
  <c r="M3001" i="13"/>
  <c r="L3003" i="13"/>
  <c r="M3003" i="13"/>
  <c r="L2984" i="13"/>
  <c r="M2984" i="13"/>
  <c r="L2937" i="13"/>
  <c r="M2937" i="13"/>
  <c r="L2936" i="13"/>
  <c r="M2936" i="13"/>
  <c r="L2935" i="13"/>
  <c r="M2935" i="13"/>
  <c r="L2933" i="13"/>
  <c r="M2933" i="13"/>
  <c r="L2930" i="13"/>
  <c r="M2930" i="13"/>
  <c r="L2929" i="13"/>
  <c r="M2929" i="13"/>
  <c r="L2925" i="13"/>
  <c r="M2925" i="13"/>
  <c r="L2922" i="13"/>
  <c r="M2922" i="13"/>
  <c r="L2919" i="13"/>
  <c r="M2919" i="13"/>
  <c r="L2918" i="13"/>
  <c r="M2918" i="13"/>
  <c r="L2913" i="13"/>
  <c r="M2913" i="13"/>
  <c r="L521" i="8"/>
  <c r="M521" i="8"/>
  <c r="L529" i="8"/>
  <c r="M529" i="8"/>
  <c r="L523" i="8"/>
  <c r="M523" i="8"/>
  <c r="L2948" i="13"/>
  <c r="M2948" i="13"/>
  <c r="L2964" i="13"/>
  <c r="M2964" i="13"/>
  <c r="L2972" i="13"/>
  <c r="M2972" i="13"/>
  <c r="L2980" i="13"/>
  <c r="M2980" i="13"/>
  <c r="L2940" i="13"/>
  <c r="M2940" i="13"/>
  <c r="L2915" i="13"/>
  <c r="M2915" i="13"/>
  <c r="L3221" i="13"/>
  <c r="M3221" i="13"/>
  <c r="L3220" i="13"/>
  <c r="M3220" i="13"/>
  <c r="L3191" i="13"/>
  <c r="M3191" i="13"/>
  <c r="L3190" i="13"/>
  <c r="M3190" i="13"/>
  <c r="L3164" i="13"/>
  <c r="M3164" i="13"/>
  <c r="L3163" i="13"/>
  <c r="M3163" i="13"/>
  <c r="L3140" i="13"/>
  <c r="M3140" i="13"/>
  <c r="L3139" i="13"/>
  <c r="M3139" i="13"/>
  <c r="L3090" i="13"/>
  <c r="M3090" i="13"/>
  <c r="L3060" i="13"/>
  <c r="M3060" i="13"/>
  <c r="L3059" i="13"/>
  <c r="M3059" i="13"/>
  <c r="L3033" i="13"/>
  <c r="M3033" i="13"/>
  <c r="L3032" i="13"/>
  <c r="M3032" i="13"/>
  <c r="L3009" i="13"/>
  <c r="M3009" i="13"/>
  <c r="L3008" i="13"/>
  <c r="M3008" i="13"/>
  <c r="L3229" i="13"/>
  <c r="M3229" i="13"/>
  <c r="L3098" i="13"/>
  <c r="M3098" i="13"/>
  <c r="L3202" i="13"/>
  <c r="M3202" i="13"/>
  <c r="L3201" i="13"/>
  <c r="M3201" i="13"/>
  <c r="L3151" i="13"/>
  <c r="M3151" i="13"/>
  <c r="L3150" i="13"/>
  <c r="M3150" i="13"/>
  <c r="L3072" i="13"/>
  <c r="M3072" i="13"/>
  <c r="L3071" i="13"/>
  <c r="M3071" i="13"/>
  <c r="L3045" i="13"/>
  <c r="M3045" i="13"/>
  <c r="L3044" i="13"/>
  <c r="M3044" i="13"/>
  <c r="L3020" i="13"/>
  <c r="M3020" i="13"/>
  <c r="L3231" i="13"/>
  <c r="M3231" i="13"/>
  <c r="L3230" i="13"/>
  <c r="M3230" i="13"/>
  <c r="L3200" i="13"/>
  <c r="M3200" i="13"/>
  <c r="L3199" i="13"/>
  <c r="M3199" i="13"/>
  <c r="L3198" i="13"/>
  <c r="M3198" i="13"/>
  <c r="L3173" i="13"/>
  <c r="M3173" i="13"/>
  <c r="L3172" i="13"/>
  <c r="M3172" i="13"/>
  <c r="L3171" i="13"/>
  <c r="M3171" i="13"/>
  <c r="L3149" i="13"/>
  <c r="M3149" i="13"/>
  <c r="L3148" i="13"/>
  <c r="M3148" i="13"/>
  <c r="L3147" i="13"/>
  <c r="M3147" i="13"/>
  <c r="L3100" i="13"/>
  <c r="M3100" i="13"/>
  <c r="L3099" i="13"/>
  <c r="M3099" i="13"/>
  <c r="L3069" i="13"/>
  <c r="M3069" i="13"/>
  <c r="L3068" i="13"/>
  <c r="M3068" i="13"/>
  <c r="L3067" i="13"/>
  <c r="M3067" i="13"/>
  <c r="L3042" i="13"/>
  <c r="M3042" i="13"/>
  <c r="L3041" i="13"/>
  <c r="M3041" i="13"/>
  <c r="L3040" i="13"/>
  <c r="M3040" i="13"/>
  <c r="L3018" i="13"/>
  <c r="M3018" i="13"/>
  <c r="L3017" i="13"/>
  <c r="M3017" i="13"/>
  <c r="L3016" i="13"/>
  <c r="M3016" i="13"/>
  <c r="L3213" i="13"/>
  <c r="M3213" i="13"/>
  <c r="L3212" i="13"/>
  <c r="M3212" i="13"/>
  <c r="L3082" i="13"/>
  <c r="M3082" i="13"/>
  <c r="L3232" i="13"/>
  <c r="M3232" i="13"/>
  <c r="L3101" i="13"/>
  <c r="M3101" i="13"/>
  <c r="L3239" i="13"/>
  <c r="M3239" i="13"/>
  <c r="L3238" i="13"/>
  <c r="M3238" i="13"/>
  <c r="L3237" i="13"/>
  <c r="M3237" i="13"/>
  <c r="L3108" i="13"/>
  <c r="M3108" i="13"/>
  <c r="L3107" i="13"/>
  <c r="M3107" i="13"/>
  <c r="L3106" i="13"/>
  <c r="M3106" i="13"/>
  <c r="L3216" i="13"/>
  <c r="M3216" i="13"/>
  <c r="L3215" i="13"/>
  <c r="M3215" i="13"/>
  <c r="L3214" i="13"/>
  <c r="M3214" i="13"/>
  <c r="L3085" i="13"/>
  <c r="M3085" i="13"/>
  <c r="L3084" i="13"/>
  <c r="M3084" i="13"/>
  <c r="L3083" i="13"/>
  <c r="M3083" i="13"/>
  <c r="L3252" i="13"/>
  <c r="M3252" i="13"/>
  <c r="L3250" i="13"/>
  <c r="M3250" i="13"/>
  <c r="L3210" i="13"/>
  <c r="M3210" i="13"/>
  <c r="L3159" i="13"/>
  <c r="M3159" i="13"/>
  <c r="L3052" i="13"/>
  <c r="M3052" i="13"/>
  <c r="L3028" i="13"/>
  <c r="M3028" i="13"/>
  <c r="L3125" i="13"/>
  <c r="M3125" i="13"/>
  <c r="L3124" i="13"/>
  <c r="M3124" i="13"/>
  <c r="L3249" i="13"/>
  <c r="M3249" i="13"/>
  <c r="L3248" i="13"/>
  <c r="M3248" i="13"/>
  <c r="L3247" i="13"/>
  <c r="M3247" i="13"/>
  <c r="L3246" i="13"/>
  <c r="M3246" i="13"/>
  <c r="L3185" i="13"/>
  <c r="M3185" i="13"/>
  <c r="L3118" i="13"/>
  <c r="M3118" i="13"/>
  <c r="L3117" i="13"/>
  <c r="M3117" i="13"/>
  <c r="L3116" i="13"/>
  <c r="M3116" i="13"/>
  <c r="L3115" i="13"/>
  <c r="M3115" i="13"/>
  <c r="L3128" i="13"/>
  <c r="M3128" i="13"/>
  <c r="L3127" i="13"/>
  <c r="M3127" i="13"/>
  <c r="L3002" i="13"/>
  <c r="M3002" i="13"/>
  <c r="L2990" i="13"/>
  <c r="M2990" i="13"/>
  <c r="L2989" i="13"/>
  <c r="M2989" i="13"/>
  <c r="L3236" i="13"/>
  <c r="M3236" i="13"/>
  <c r="L2985" i="13"/>
  <c r="M2985" i="13"/>
  <c r="L3135" i="13"/>
  <c r="M3135" i="13"/>
  <c r="L3004" i="13"/>
  <c r="M3004" i="13"/>
  <c r="L2997" i="13"/>
  <c r="M2997" i="13"/>
  <c r="L3254" i="13"/>
  <c r="M3254" i="13"/>
  <c r="L3253" i="13"/>
  <c r="M3253" i="13"/>
  <c r="L3186" i="13"/>
  <c r="M3186" i="13"/>
  <c r="L3123" i="13"/>
  <c r="M3123" i="13"/>
  <c r="L3122" i="13"/>
  <c r="M3122" i="13"/>
  <c r="L3055" i="13"/>
  <c r="L3134" i="13"/>
  <c r="M3134" i="13"/>
  <c r="L3133" i="13"/>
  <c r="M3133" i="13"/>
  <c r="L3132" i="13"/>
  <c r="M3132" i="13"/>
  <c r="L3131" i="13"/>
  <c r="M3131" i="13"/>
  <c r="L3130" i="13"/>
  <c r="M3130" i="13"/>
  <c r="L3129" i="13"/>
  <c r="M3129" i="13"/>
  <c r="L2996" i="13"/>
  <c r="M2996" i="13"/>
  <c r="L2994" i="13"/>
  <c r="M2994" i="13"/>
  <c r="L2991" i="13"/>
  <c r="M2991" i="13"/>
  <c r="L3226" i="13"/>
  <c r="M3226" i="13"/>
  <c r="L3224" i="13"/>
  <c r="M3224" i="13"/>
  <c r="L3223" i="13"/>
  <c r="M3223" i="13"/>
  <c r="L3222" i="13"/>
  <c r="M3222" i="13"/>
  <c r="L3094" i="13"/>
  <c r="M3094" i="13"/>
  <c r="L3093" i="13"/>
  <c r="M3093" i="13"/>
  <c r="L3092" i="13"/>
  <c r="M3092" i="13"/>
  <c r="L3091" i="13"/>
  <c r="M3091" i="13"/>
  <c r="L3228" i="13"/>
  <c r="M3228" i="13"/>
  <c r="L3206" i="13"/>
  <c r="M3206" i="13"/>
  <c r="L3205" i="13"/>
  <c r="M3205" i="13"/>
  <c r="L3204" i="13"/>
  <c r="M3204" i="13"/>
  <c r="L3179" i="13"/>
  <c r="M3179" i="13"/>
  <c r="L3178" i="13"/>
  <c r="M3178" i="13"/>
  <c r="L3177" i="13"/>
  <c r="M3177" i="13"/>
  <c r="L3155" i="13"/>
  <c r="M3155" i="13"/>
  <c r="L3154" i="13"/>
  <c r="M3154" i="13"/>
  <c r="L3153" i="13"/>
  <c r="M3153" i="13"/>
  <c r="L3074" i="13"/>
  <c r="M3074" i="13"/>
  <c r="L3048" i="13"/>
  <c r="M3048" i="13"/>
  <c r="L3047" i="13"/>
  <c r="M3047" i="13"/>
  <c r="L3046" i="13"/>
  <c r="M3046" i="13"/>
  <c r="L3024" i="13"/>
  <c r="M3024" i="13"/>
  <c r="L3023" i="13"/>
  <c r="M3023" i="13"/>
  <c r="L3022" i="13"/>
  <c r="M3022" i="13"/>
  <c r="L3189" i="13"/>
  <c r="M3189" i="13"/>
  <c r="L3188" i="13"/>
  <c r="M3188" i="13"/>
  <c r="L3162" i="13"/>
  <c r="M3162" i="13"/>
  <c r="L3161" i="13"/>
  <c r="M3161" i="13"/>
  <c r="L3160" i="13"/>
  <c r="M3160" i="13"/>
  <c r="L3138" i="13"/>
  <c r="M3138" i="13"/>
  <c r="L3137" i="13"/>
  <c r="M3137" i="13"/>
  <c r="L3136" i="13"/>
  <c r="M3136" i="13"/>
  <c r="L3058" i="13"/>
  <c r="M3058" i="13"/>
  <c r="L3031" i="13"/>
  <c r="M3031" i="13"/>
  <c r="L3030" i="13"/>
  <c r="M3030" i="13"/>
  <c r="L3007" i="13"/>
  <c r="M3007" i="13"/>
  <c r="L3006" i="13"/>
  <c r="M3006" i="13"/>
  <c r="L3240" i="13"/>
  <c r="M3240" i="13"/>
  <c r="L3184" i="13"/>
  <c r="M3184" i="13"/>
  <c r="L3110" i="13"/>
  <c r="M3110" i="13"/>
  <c r="L3109" i="13"/>
  <c r="M3109" i="13"/>
  <c r="L3245" i="13"/>
  <c r="M3245" i="13"/>
  <c r="L3244" i="13"/>
  <c r="M3244" i="13"/>
  <c r="L3114" i="13"/>
  <c r="M3114" i="13"/>
  <c r="L3242" i="13"/>
  <c r="M3242" i="13"/>
  <c r="L3218" i="13"/>
  <c r="M3218" i="13"/>
  <c r="L3086" i="13"/>
  <c r="M3086" i="13"/>
  <c r="L3197" i="13"/>
  <c r="M3197" i="13"/>
  <c r="L3196" i="13"/>
  <c r="M3196" i="13"/>
  <c r="L3195" i="13"/>
  <c r="M3195" i="13"/>
  <c r="L3170" i="13"/>
  <c r="M3170" i="13"/>
  <c r="L3169" i="13"/>
  <c r="M3169" i="13"/>
  <c r="L3146" i="13"/>
  <c r="M3146" i="13"/>
  <c r="L3145" i="13"/>
  <c r="M3145" i="13"/>
  <c r="L3066" i="13"/>
  <c r="M3066" i="13"/>
  <c r="L3064" i="13"/>
  <c r="M3064" i="13"/>
  <c r="L3039" i="13"/>
  <c r="M3039" i="13"/>
  <c r="L3038" i="13"/>
  <c r="M3038" i="13"/>
  <c r="L3037" i="13"/>
  <c r="M3037" i="13"/>
  <c r="L3015" i="13"/>
  <c r="M3015" i="13"/>
  <c r="L3014" i="13"/>
  <c r="M3014" i="13"/>
  <c r="L3013" i="13"/>
  <c r="M3013" i="13"/>
  <c r="L3126" i="13"/>
  <c r="M3126" i="13"/>
  <c r="L2988" i="13"/>
  <c r="M2988" i="13"/>
  <c r="L3194" i="13"/>
  <c r="M3194" i="13"/>
  <c r="L3192" i="13"/>
  <c r="M3192" i="13"/>
  <c r="L3165" i="13"/>
  <c r="M3165" i="13"/>
  <c r="L3143" i="13"/>
  <c r="M3143" i="13"/>
  <c r="L3142" i="13"/>
  <c r="M3142" i="13"/>
  <c r="L3141" i="13"/>
  <c r="M3141" i="13"/>
  <c r="L3063" i="13"/>
  <c r="M3063" i="13"/>
  <c r="L3061" i="13"/>
  <c r="M3061" i="13"/>
  <c r="L3036" i="13"/>
  <c r="M3036" i="13"/>
  <c r="L3034" i="13"/>
  <c r="M3034" i="13"/>
  <c r="L3012" i="13"/>
  <c r="M3012" i="13"/>
  <c r="L3010" i="13"/>
  <c r="M3010" i="13"/>
  <c r="L3234" i="13"/>
  <c r="M3234" i="13"/>
  <c r="L3209" i="13"/>
  <c r="M3209" i="13"/>
  <c r="L3208" i="13"/>
  <c r="M3208" i="13"/>
  <c r="L3207" i="13"/>
  <c r="M3207" i="13"/>
  <c r="L3181" i="13"/>
  <c r="M3181" i="13"/>
  <c r="L3180" i="13"/>
  <c r="M3180" i="13"/>
  <c r="L3158" i="13"/>
  <c r="M3158" i="13"/>
  <c r="L3157" i="13"/>
  <c r="M3157" i="13"/>
  <c r="L3156" i="13"/>
  <c r="M3156" i="13"/>
  <c r="L3102" i="13"/>
  <c r="M3102" i="13"/>
  <c r="L3077" i="13"/>
  <c r="M3077" i="13"/>
  <c r="L3076" i="13"/>
  <c r="M3076" i="13"/>
  <c r="L3050" i="13"/>
  <c r="M3050" i="13"/>
  <c r="L3049" i="13"/>
  <c r="M3049" i="13"/>
  <c r="L3026" i="13"/>
  <c r="M3026" i="13"/>
  <c r="L3025" i="13"/>
  <c r="M3025" i="13"/>
  <c r="L2999" i="13"/>
  <c r="M2999" i="13"/>
  <c r="L2998" i="13"/>
  <c r="M2998" i="13"/>
  <c r="L561" i="8"/>
  <c r="M561" i="8"/>
  <c r="L558" i="8"/>
  <c r="M558" i="8"/>
  <c r="L545" i="8"/>
  <c r="M545" i="8"/>
  <c r="L557" i="8"/>
  <c r="M557" i="8"/>
  <c r="L544" i="8"/>
  <c r="M544" i="8"/>
  <c r="L542" i="8"/>
  <c r="M542" i="8"/>
  <c r="L560" i="8"/>
  <c r="M560" i="8"/>
  <c r="L559" i="8"/>
  <c r="M559" i="8"/>
  <c r="L546" i="8"/>
  <c r="M546" i="8"/>
  <c r="L554" i="8"/>
  <c r="M554" i="8"/>
  <c r="L541" i="8"/>
  <c r="M541" i="8"/>
  <c r="L562" i="8"/>
  <c r="M562" i="8"/>
  <c r="L553" i="8"/>
  <c r="M553" i="8"/>
  <c r="L549" i="8"/>
  <c r="M549" i="8"/>
  <c r="L540" i="8"/>
  <c r="M540" i="8"/>
  <c r="L537" i="8"/>
  <c r="M537" i="8"/>
  <c r="L535" i="8"/>
  <c r="M535" i="8"/>
  <c r="L552" i="8"/>
  <c r="M552" i="8"/>
  <c r="L536" i="8"/>
  <c r="M536" i="8"/>
  <c r="L551" i="8"/>
  <c r="M551" i="8"/>
  <c r="L533" i="8"/>
  <c r="M533" i="8"/>
  <c r="L539" i="8"/>
  <c r="M539" i="8"/>
  <c r="L556" i="8"/>
  <c r="M556" i="8"/>
  <c r="L543" i="8"/>
  <c r="M543" i="8"/>
  <c r="L159" i="11"/>
  <c r="K158" i="11"/>
  <c r="L158" i="11"/>
  <c r="K152" i="11"/>
  <c r="K151" i="11"/>
  <c r="L151" i="11"/>
  <c r="K157" i="11"/>
  <c r="L157" i="11"/>
  <c r="K156" i="11"/>
  <c r="L156" i="11"/>
  <c r="K155" i="11"/>
  <c r="L155" i="11"/>
  <c r="K154" i="11"/>
  <c r="K153" i="11"/>
  <c r="L153" i="11"/>
  <c r="K150" i="11"/>
  <c r="L150" i="11"/>
  <c r="K147" i="11"/>
  <c r="L147" i="11"/>
  <c r="L173" i="11"/>
  <c r="L165" i="11"/>
  <c r="L164" i="11"/>
  <c r="L154" i="11"/>
  <c r="L2928" i="13"/>
  <c r="M2928" i="13"/>
  <c r="L2927" i="13"/>
  <c r="M2927" i="13"/>
  <c r="L2926" i="13"/>
  <c r="M2926" i="13"/>
  <c r="L2924" i="13"/>
  <c r="M2924" i="13"/>
  <c r="L2923" i="13"/>
  <c r="M2923" i="13"/>
  <c r="L2921" i="13"/>
  <c r="M2921" i="13"/>
  <c r="L2920" i="13"/>
  <c r="M2920" i="13"/>
  <c r="L2917" i="13"/>
  <c r="M2917" i="13"/>
  <c r="L2916" i="13"/>
  <c r="M2916" i="13"/>
  <c r="L2914" i="13"/>
  <c r="M2914" i="13"/>
  <c r="L2912" i="13"/>
  <c r="M2912" i="13"/>
  <c r="L2911" i="13"/>
  <c r="M2911" i="13"/>
  <c r="L2910" i="13"/>
  <c r="M2910" i="13"/>
  <c r="L2909" i="13"/>
  <c r="M2909" i="13"/>
  <c r="L2908" i="13"/>
  <c r="M2908" i="13"/>
  <c r="L2907" i="13"/>
  <c r="M2907" i="13"/>
  <c r="L2893" i="13"/>
  <c r="M2893" i="13"/>
  <c r="L2897" i="13"/>
  <c r="M2897" i="13"/>
  <c r="L2901" i="13"/>
  <c r="M2901" i="13"/>
  <c r="K143" i="11"/>
  <c r="L143" i="11"/>
  <c r="K139" i="11"/>
  <c r="L139" i="11"/>
  <c r="L2867" i="13"/>
  <c r="M2867" i="13"/>
  <c r="L2871" i="13"/>
  <c r="M2871" i="13"/>
  <c r="L2875" i="13"/>
  <c r="M2875" i="13"/>
  <c r="L2879" i="13"/>
  <c r="M2879" i="13"/>
  <c r="L2883" i="13"/>
  <c r="M2883" i="13"/>
  <c r="L2859" i="13"/>
  <c r="M2859" i="13"/>
  <c r="L2852" i="13"/>
  <c r="M2852" i="13"/>
  <c r="L2853" i="13"/>
  <c r="M2853" i="13"/>
  <c r="L2851" i="13"/>
  <c r="M2851" i="13"/>
  <c r="L509" i="8"/>
  <c r="M509" i="8"/>
  <c r="L2812" i="13"/>
  <c r="M2812" i="13"/>
  <c r="L2813" i="13"/>
  <c r="M2813" i="13"/>
  <c r="L2820" i="13"/>
  <c r="M2820" i="13"/>
  <c r="L2821" i="13"/>
  <c r="M2821" i="13"/>
  <c r="L2828" i="13"/>
  <c r="M2828" i="13"/>
  <c r="L2829" i="13"/>
  <c r="M2829" i="13"/>
  <c r="L2831" i="13"/>
  <c r="M2831" i="13"/>
  <c r="L2837" i="13"/>
  <c r="M2837" i="13"/>
  <c r="L2839" i="13"/>
  <c r="M2839" i="13"/>
  <c r="L2845" i="13"/>
  <c r="M2845" i="13"/>
  <c r="L2847" i="13"/>
  <c r="M2847" i="13"/>
  <c r="L2807" i="13"/>
  <c r="M2807" i="13"/>
  <c r="L2787" i="13"/>
  <c r="M2787" i="13"/>
  <c r="L2791" i="13"/>
  <c r="M2791" i="13"/>
  <c r="L2799" i="13"/>
  <c r="M2799" i="13"/>
  <c r="L2803" i="13"/>
  <c r="M2803" i="13"/>
  <c r="L2780" i="13"/>
  <c r="M2780" i="13"/>
  <c r="L2767" i="13"/>
  <c r="M2767" i="13"/>
  <c r="L2771" i="13"/>
  <c r="M2771" i="13"/>
  <c r="L2775" i="13"/>
  <c r="M2775" i="13"/>
  <c r="L2776" i="13"/>
  <c r="M2776" i="13"/>
  <c r="L2777" i="13"/>
  <c r="M2777" i="13"/>
  <c r="L2779" i="13"/>
  <c r="M2779" i="13"/>
  <c r="L499" i="8"/>
  <c r="M499" i="8"/>
  <c r="L2741" i="13"/>
  <c r="M2741" i="13"/>
  <c r="L2745" i="13"/>
  <c r="M2745" i="13"/>
  <c r="L2753" i="13"/>
  <c r="M2753" i="13"/>
  <c r="L2757" i="13"/>
  <c r="M2757" i="13"/>
  <c r="L2759" i="13"/>
  <c r="M2759" i="13"/>
  <c r="K136" i="11"/>
  <c r="L136" i="11"/>
  <c r="L2717" i="13"/>
  <c r="M2717" i="13"/>
  <c r="L2721" i="13"/>
  <c r="M2721" i="13"/>
  <c r="L2725" i="13"/>
  <c r="M2725" i="13"/>
  <c r="L2729" i="13"/>
  <c r="M2729" i="13"/>
  <c r="L2733" i="13"/>
  <c r="M2733" i="13"/>
  <c r="L2713" i="13"/>
  <c r="M2713" i="13"/>
  <c r="L2888" i="13"/>
  <c r="M2888" i="13"/>
  <c r="L2887" i="13"/>
  <c r="M2887" i="13"/>
  <c r="L2968" i="13"/>
  <c r="M2968" i="13"/>
  <c r="L2967" i="13"/>
  <c r="M2967" i="13"/>
  <c r="L2966" i="13"/>
  <c r="M2966" i="13"/>
  <c r="L2835" i="13"/>
  <c r="M2835" i="13"/>
  <c r="L2834" i="13"/>
  <c r="M2834" i="13"/>
  <c r="L2833" i="13"/>
  <c r="M2833" i="13"/>
  <c r="L2965" i="13"/>
  <c r="M2965" i="13"/>
  <c r="L2832" i="13"/>
  <c r="M2832" i="13"/>
  <c r="L2963" i="13"/>
  <c r="M2963" i="13"/>
  <c r="L2962" i="13"/>
  <c r="M2962" i="13"/>
  <c r="L2830" i="13"/>
  <c r="M2830" i="13"/>
  <c r="L2958" i="13"/>
  <c r="M2958" i="13"/>
  <c r="L2825" i="13"/>
  <c r="M2825" i="13"/>
  <c r="L2957" i="13"/>
  <c r="M2957" i="13"/>
  <c r="L2824" i="13"/>
  <c r="M2824" i="13"/>
  <c r="L2955" i="13"/>
  <c r="M2955" i="13"/>
  <c r="L2954" i="13"/>
  <c r="M2954" i="13"/>
  <c r="L2953" i="13"/>
  <c r="M2953" i="13"/>
  <c r="L2952" i="13"/>
  <c r="M2952" i="13"/>
  <c r="L2951" i="13"/>
  <c r="M2951" i="13"/>
  <c r="L2822" i="13"/>
  <c r="M2822" i="13"/>
  <c r="L2819" i="13"/>
  <c r="M2819" i="13"/>
  <c r="L2818" i="13"/>
  <c r="M2818" i="13"/>
  <c r="L2947" i="13"/>
  <c r="M2947" i="13"/>
  <c r="L2946" i="13"/>
  <c r="M2946" i="13"/>
  <c r="L2815" i="13"/>
  <c r="M2815" i="13"/>
  <c r="L2814" i="13"/>
  <c r="M2814" i="13"/>
  <c r="L2942" i="13"/>
  <c r="M2942" i="13"/>
  <c r="L2941" i="13"/>
  <c r="M2941" i="13"/>
  <c r="L2809" i="13"/>
  <c r="M2809" i="13"/>
  <c r="L2808" i="13"/>
  <c r="M2808" i="13"/>
  <c r="L2970" i="13"/>
  <c r="M2970" i="13"/>
  <c r="L2969" i="13"/>
  <c r="M2969" i="13"/>
  <c r="L2836" i="13"/>
  <c r="M2836" i="13"/>
  <c r="L2983" i="13"/>
  <c r="M2983" i="13"/>
  <c r="L2982" i="13"/>
  <c r="M2982" i="13"/>
  <c r="L2850" i="13"/>
  <c r="M2850" i="13"/>
  <c r="L2849" i="13"/>
  <c r="M2849" i="13"/>
  <c r="L2782" i="13"/>
  <c r="M2782" i="13"/>
  <c r="L2778" i="13"/>
  <c r="M2778" i="13"/>
  <c r="L2978" i="13"/>
  <c r="M2978" i="13"/>
  <c r="L2977" i="13"/>
  <c r="M2977" i="13"/>
  <c r="L2976" i="13"/>
  <c r="M2976" i="13"/>
  <c r="L2975" i="13"/>
  <c r="M2975" i="13"/>
  <c r="L2844" i="13"/>
  <c r="M2844" i="13"/>
  <c r="L2843" i="13"/>
  <c r="M2843" i="13"/>
  <c r="L2842" i="13"/>
  <c r="M2842" i="13"/>
  <c r="L2781" i="13"/>
  <c r="M2781" i="13"/>
  <c r="L2774" i="13"/>
  <c r="M2774" i="13"/>
  <c r="L2773" i="13"/>
  <c r="M2773" i="13"/>
  <c r="L2772" i="13"/>
  <c r="M2772" i="13"/>
  <c r="L2974" i="13"/>
  <c r="M2974" i="13"/>
  <c r="L2973" i="13"/>
  <c r="M2973" i="13"/>
  <c r="L2841" i="13"/>
  <c r="M2841" i="13"/>
  <c r="L2840" i="13"/>
  <c r="M2840" i="13"/>
  <c r="L2971" i="13"/>
  <c r="M2971" i="13"/>
  <c r="L2838" i="13"/>
  <c r="M2838" i="13"/>
  <c r="L2770" i="13"/>
  <c r="M2770" i="13"/>
  <c r="L2961" i="13"/>
  <c r="M2961" i="13"/>
  <c r="L2769" i="13"/>
  <c r="M2769" i="13"/>
  <c r="L2956" i="13"/>
  <c r="M2956" i="13"/>
  <c r="L2823" i="13"/>
  <c r="M2823" i="13"/>
  <c r="L2768" i="13"/>
  <c r="M2768" i="13"/>
  <c r="L2945" i="13"/>
  <c r="M2945" i="13"/>
  <c r="L2944" i="13"/>
  <c r="M2944" i="13"/>
  <c r="L2943" i="13"/>
  <c r="M2943" i="13"/>
  <c r="L2811" i="13"/>
  <c r="M2811" i="13"/>
  <c r="L2810" i="13"/>
  <c r="M2810" i="13"/>
  <c r="L2764" i="13"/>
  <c r="M2764" i="13"/>
  <c r="L2763" i="13"/>
  <c r="M2763" i="13"/>
  <c r="L2762" i="13"/>
  <c r="M2762" i="13"/>
  <c r="L2761" i="13"/>
  <c r="M2761" i="13"/>
  <c r="L2981" i="13"/>
  <c r="M2981" i="13"/>
  <c r="L2979" i="13"/>
  <c r="M2979" i="13"/>
  <c r="L2939" i="13"/>
  <c r="M2939" i="13"/>
  <c r="L2886" i="13"/>
  <c r="M2886" i="13"/>
  <c r="L2848" i="13"/>
  <c r="M2848" i="13"/>
  <c r="L2846" i="13"/>
  <c r="M2846" i="13"/>
  <c r="L2806" i="13"/>
  <c r="M2806" i="13"/>
  <c r="L2760" i="13"/>
  <c r="M2760" i="13"/>
  <c r="L2736" i="13"/>
  <c r="M2736" i="13"/>
  <c r="L2938" i="13"/>
  <c r="M2938" i="13"/>
  <c r="L2885" i="13"/>
  <c r="M2885" i="13"/>
  <c r="L2884" i="13"/>
  <c r="M2884" i="13"/>
  <c r="L2805" i="13"/>
  <c r="M2805" i="13"/>
  <c r="L2804" i="13"/>
  <c r="M2804" i="13"/>
  <c r="L2758" i="13"/>
  <c r="M2758" i="13"/>
  <c r="L2735" i="13"/>
  <c r="M2735" i="13"/>
  <c r="L2734" i="13"/>
  <c r="M2734" i="13"/>
  <c r="L2934" i="13"/>
  <c r="M2934" i="13"/>
  <c r="L2906" i="13"/>
  <c r="M2906" i="13"/>
  <c r="L2882" i="13"/>
  <c r="M2882" i="13"/>
  <c r="L2881" i="13"/>
  <c r="M2881" i="13"/>
  <c r="L2880" i="13"/>
  <c r="M2880" i="13"/>
  <c r="L2802" i="13"/>
  <c r="M2802" i="13"/>
  <c r="L2801" i="13"/>
  <c r="M2801" i="13"/>
  <c r="L2800" i="13"/>
  <c r="M2800" i="13"/>
  <c r="L2756" i="13"/>
  <c r="M2756" i="13"/>
  <c r="L2755" i="13"/>
  <c r="M2755" i="13"/>
  <c r="L2754" i="13"/>
  <c r="M2754" i="13"/>
  <c r="L2732" i="13"/>
  <c r="M2732" i="13"/>
  <c r="L2731" i="13"/>
  <c r="M2731" i="13"/>
  <c r="L2730" i="13"/>
  <c r="M2730" i="13"/>
  <c r="L2932" i="13"/>
  <c r="M2932" i="13"/>
  <c r="L2931" i="13"/>
  <c r="M2931" i="13"/>
  <c r="L2905" i="13"/>
  <c r="M2905" i="13"/>
  <c r="L2904" i="13"/>
  <c r="M2904" i="13"/>
  <c r="L2903" i="13"/>
  <c r="M2903" i="13"/>
  <c r="L2878" i="13"/>
  <c r="M2878" i="13"/>
  <c r="L2877" i="13"/>
  <c r="M2877" i="13"/>
  <c r="L2798" i="13"/>
  <c r="M2798" i="13"/>
  <c r="L2797" i="13"/>
  <c r="M2797" i="13"/>
  <c r="L2752" i="13"/>
  <c r="M2752" i="13"/>
  <c r="L2751" i="13"/>
  <c r="M2751" i="13"/>
  <c r="L2728" i="13"/>
  <c r="M2728" i="13"/>
  <c r="L2727" i="13"/>
  <c r="M2727" i="13"/>
  <c r="L2960" i="13"/>
  <c r="M2960" i="13"/>
  <c r="L2959" i="13"/>
  <c r="M2959" i="13"/>
  <c r="L2902" i="13"/>
  <c r="M2902" i="13"/>
  <c r="L2900" i="13"/>
  <c r="M2900" i="13"/>
  <c r="L2876" i="13"/>
  <c r="M2876" i="13"/>
  <c r="L2874" i="13"/>
  <c r="M2874" i="13"/>
  <c r="L2827" i="13"/>
  <c r="M2827" i="13"/>
  <c r="L2826" i="13"/>
  <c r="M2826" i="13"/>
  <c r="L2796" i="13"/>
  <c r="M2796" i="13"/>
  <c r="L2795" i="13"/>
  <c r="M2795" i="13"/>
  <c r="L2794" i="13"/>
  <c r="M2794" i="13"/>
  <c r="L2750" i="13"/>
  <c r="M2750" i="13"/>
  <c r="L2749" i="13"/>
  <c r="M2749" i="13"/>
  <c r="L2748" i="13"/>
  <c r="M2748" i="13"/>
  <c r="L2726" i="13"/>
  <c r="M2726" i="13"/>
  <c r="L2724" i="13"/>
  <c r="M2724" i="13"/>
  <c r="L2899" i="13"/>
  <c r="M2899" i="13"/>
  <c r="L2898" i="13"/>
  <c r="M2898" i="13"/>
  <c r="L2873" i="13"/>
  <c r="M2873" i="13"/>
  <c r="L2872" i="13"/>
  <c r="M2872" i="13"/>
  <c r="L2793" i="13"/>
  <c r="M2793" i="13"/>
  <c r="L2792" i="13"/>
  <c r="M2792" i="13"/>
  <c r="L2747" i="13"/>
  <c r="M2747" i="13"/>
  <c r="L2746" i="13"/>
  <c r="M2746" i="13"/>
  <c r="L2723" i="13"/>
  <c r="M2723" i="13"/>
  <c r="L2722" i="13"/>
  <c r="M2722" i="13"/>
  <c r="L2896" i="13"/>
  <c r="M2896" i="13"/>
  <c r="L2895" i="13"/>
  <c r="M2895" i="13"/>
  <c r="L2894" i="13"/>
  <c r="M2894" i="13"/>
  <c r="L2870" i="13"/>
  <c r="M2870" i="13"/>
  <c r="L2869" i="13"/>
  <c r="M2869" i="13"/>
  <c r="L2868" i="13"/>
  <c r="M2868" i="13"/>
  <c r="L2790" i="13"/>
  <c r="M2790" i="13"/>
  <c r="L2789" i="13"/>
  <c r="M2789" i="13"/>
  <c r="L2788" i="13"/>
  <c r="M2788" i="13"/>
  <c r="L2744" i="13"/>
  <c r="M2744" i="13"/>
  <c r="L2743" i="13"/>
  <c r="M2743" i="13"/>
  <c r="L2742" i="13"/>
  <c r="M2742" i="13"/>
  <c r="L2720" i="13"/>
  <c r="M2720" i="13"/>
  <c r="L2719" i="13"/>
  <c r="M2719" i="13"/>
  <c r="L2718" i="13"/>
  <c r="M2718" i="13"/>
  <c r="L2950" i="13"/>
  <c r="M2950" i="13"/>
  <c r="L2949" i="13"/>
  <c r="M2949" i="13"/>
  <c r="L2892" i="13"/>
  <c r="M2892" i="13"/>
  <c r="L2866" i="13"/>
  <c r="M2866" i="13"/>
  <c r="L2817" i="13"/>
  <c r="M2817" i="13"/>
  <c r="L2816" i="13"/>
  <c r="M2816" i="13"/>
  <c r="L2786" i="13"/>
  <c r="M2786" i="13"/>
  <c r="L2766" i="13"/>
  <c r="M2766" i="13"/>
  <c r="L2765" i="13"/>
  <c r="M2765" i="13"/>
  <c r="L2740" i="13"/>
  <c r="M2740" i="13"/>
  <c r="L2716" i="13"/>
  <c r="M2716" i="13"/>
  <c r="L2891" i="13"/>
  <c r="M2891" i="13"/>
  <c r="L2890" i="13"/>
  <c r="M2890" i="13"/>
  <c r="L2889" i="13"/>
  <c r="M2889" i="13"/>
  <c r="L2865" i="13"/>
  <c r="M2865" i="13"/>
  <c r="L2864" i="13"/>
  <c r="M2864" i="13"/>
  <c r="L2863" i="13"/>
  <c r="M2863" i="13"/>
  <c r="L2785" i="13"/>
  <c r="M2785" i="13"/>
  <c r="L2784" i="13"/>
  <c r="M2784" i="13"/>
  <c r="L2783" i="13"/>
  <c r="M2783" i="13"/>
  <c r="L2739" i="13"/>
  <c r="M2739" i="13"/>
  <c r="L2738" i="13"/>
  <c r="M2738" i="13"/>
  <c r="L2737" i="13"/>
  <c r="M2737" i="13"/>
  <c r="L2715" i="13"/>
  <c r="M2715" i="13"/>
  <c r="L2714" i="13"/>
  <c r="M2714" i="13"/>
  <c r="L520" i="8"/>
  <c r="M520" i="8"/>
  <c r="L530" i="8"/>
  <c r="M530" i="8"/>
  <c r="L516" i="8"/>
  <c r="M516" i="8"/>
  <c r="L515" i="8"/>
  <c r="M515" i="8"/>
  <c r="L526" i="8"/>
  <c r="M526" i="8"/>
  <c r="L512" i="8"/>
  <c r="M512" i="8"/>
  <c r="L525" i="8"/>
  <c r="M525" i="8"/>
  <c r="L511" i="8"/>
  <c r="M511" i="8"/>
  <c r="L522" i="8"/>
  <c r="M522" i="8"/>
  <c r="L508" i="8"/>
  <c r="M508" i="8"/>
  <c r="L507" i="8"/>
  <c r="M507" i="8"/>
  <c r="L506" i="8"/>
  <c r="M506" i="8"/>
  <c r="K145" i="11"/>
  <c r="L145" i="11"/>
  <c r="K144" i="11"/>
  <c r="L144" i="11"/>
  <c r="K138" i="11"/>
  <c r="L138" i="11"/>
  <c r="K137" i="11"/>
  <c r="L137" i="11"/>
  <c r="K131" i="11"/>
  <c r="L131" i="11"/>
  <c r="K142" i="11"/>
  <c r="L142" i="11"/>
  <c r="K141" i="11"/>
  <c r="L141" i="11"/>
  <c r="K140" i="11"/>
  <c r="L140" i="11"/>
  <c r="K135" i="11"/>
  <c r="K134" i="11"/>
  <c r="L134" i="11"/>
  <c r="K133" i="11"/>
  <c r="L133" i="11"/>
  <c r="K132" i="11"/>
  <c r="L132" i="11"/>
  <c r="L531" i="8"/>
  <c r="M531" i="8"/>
  <c r="L517" i="8"/>
  <c r="M517" i="8"/>
  <c r="L505" i="8"/>
  <c r="M505" i="8"/>
  <c r="L504" i="8"/>
  <c r="M504" i="8"/>
  <c r="L528" i="8"/>
  <c r="M528" i="8"/>
  <c r="L527" i="8"/>
  <c r="M527" i="8"/>
  <c r="L514" i="8"/>
  <c r="M514" i="8"/>
  <c r="L513" i="8"/>
  <c r="M513" i="8"/>
  <c r="L503" i="8"/>
  <c r="M503" i="8"/>
  <c r="L524" i="8"/>
  <c r="M524" i="8"/>
  <c r="L510" i="8"/>
  <c r="M510" i="8"/>
  <c r="L502" i="8"/>
  <c r="M502" i="8"/>
  <c r="L501" i="8"/>
  <c r="M501" i="8"/>
  <c r="L500" i="8"/>
  <c r="M500" i="8"/>
  <c r="L498" i="8"/>
  <c r="M498" i="8"/>
  <c r="L2707" i="13"/>
  <c r="M2707" i="13"/>
  <c r="L2706" i="13"/>
  <c r="M2706" i="13"/>
  <c r="L2861" i="13"/>
  <c r="M2861" i="13"/>
  <c r="L2860" i="13"/>
  <c r="M2860" i="13"/>
  <c r="L2858" i="13"/>
  <c r="M2858" i="13"/>
  <c r="L2857" i="13"/>
  <c r="M2857" i="13"/>
  <c r="L2856" i="13"/>
  <c r="M2856" i="13"/>
  <c r="L2704" i="13"/>
  <c r="M2704" i="13"/>
  <c r="L2703" i="13"/>
  <c r="M2703" i="13"/>
  <c r="L2702" i="13"/>
  <c r="M2702" i="13"/>
  <c r="L2701" i="13"/>
  <c r="M2701" i="13"/>
  <c r="L2700" i="13"/>
  <c r="M2700" i="13"/>
  <c r="L2699" i="13"/>
  <c r="M2699" i="13"/>
  <c r="L2709" i="13"/>
  <c r="M2709" i="13"/>
  <c r="L2708" i="13"/>
  <c r="M2708" i="13"/>
  <c r="L2696" i="13"/>
  <c r="M2696" i="13"/>
  <c r="L2695" i="13"/>
  <c r="M2695" i="13"/>
  <c r="L2694" i="13"/>
  <c r="M2694" i="13"/>
  <c r="L497" i="8"/>
  <c r="M497" i="8"/>
  <c r="L2862" i="13"/>
  <c r="M2862" i="13"/>
  <c r="L2712" i="13"/>
  <c r="M2712" i="13"/>
  <c r="L2705" i="13"/>
  <c r="M2705" i="13"/>
  <c r="L2855" i="13"/>
  <c r="M2855" i="13"/>
  <c r="L2854" i="13"/>
  <c r="M2854" i="13"/>
  <c r="L2711" i="13"/>
  <c r="M2711" i="13"/>
  <c r="L2710" i="13"/>
  <c r="M2710" i="13"/>
  <c r="L2698" i="13"/>
  <c r="M2698" i="13"/>
  <c r="L2697" i="13"/>
  <c r="M2697" i="13"/>
  <c r="L496" i="8"/>
  <c r="M496" i="8"/>
  <c r="L495" i="8"/>
  <c r="M495" i="8"/>
  <c r="L519" i="8"/>
  <c r="M519" i="8"/>
  <c r="L494" i="8"/>
  <c r="M494" i="8"/>
  <c r="L493" i="8"/>
  <c r="M493" i="8"/>
  <c r="L492" i="8"/>
  <c r="M492" i="8"/>
  <c r="L518" i="8"/>
  <c r="M518" i="8"/>
  <c r="L491" i="8"/>
  <c r="M491" i="8"/>
  <c r="L484" i="8"/>
  <c r="M484" i="8"/>
  <c r="L486" i="8"/>
  <c r="M486" i="8"/>
  <c r="L488" i="8"/>
  <c r="M488" i="8"/>
  <c r="L490" i="8"/>
  <c r="M490" i="8"/>
  <c r="L482" i="8"/>
  <c r="M482" i="8"/>
  <c r="L2654" i="13"/>
  <c r="M2654" i="13"/>
  <c r="L2658" i="13"/>
  <c r="M2658" i="13"/>
  <c r="L2662" i="13"/>
  <c r="M2662" i="13"/>
  <c r="L2666" i="13"/>
  <c r="M2666" i="13"/>
  <c r="L2670" i="13"/>
  <c r="M2670" i="13"/>
  <c r="L2674" i="13"/>
  <c r="M2674" i="13"/>
  <c r="L2678" i="13"/>
  <c r="M2678" i="13"/>
  <c r="L2682" i="13"/>
  <c r="M2682" i="13"/>
  <c r="L2686" i="13"/>
  <c r="M2686" i="13"/>
  <c r="L2690" i="13"/>
  <c r="M2690" i="13"/>
  <c r="L2650" i="13"/>
  <c r="M2650" i="13"/>
  <c r="L2638" i="13"/>
  <c r="M2638" i="13"/>
  <c r="L2642" i="13"/>
  <c r="M2642" i="13"/>
  <c r="L2646" i="13"/>
  <c r="M2646" i="13"/>
  <c r="L2626" i="13"/>
  <c r="M2626" i="13"/>
  <c r="L2605" i="13"/>
  <c r="M2605" i="13"/>
  <c r="L2607" i="13"/>
  <c r="M2607" i="13"/>
  <c r="L2613" i="13"/>
  <c r="M2613" i="13"/>
  <c r="L2615" i="13"/>
  <c r="M2615" i="13"/>
  <c r="L2621" i="13"/>
  <c r="M2621" i="13"/>
  <c r="L2599" i="13"/>
  <c r="M2599" i="13"/>
  <c r="K127" i="11"/>
  <c r="L127" i="11"/>
  <c r="K125" i="11"/>
  <c r="L125" i="11"/>
  <c r="L2598" i="13"/>
  <c r="M2598" i="13"/>
  <c r="L2597" i="13"/>
  <c r="M2597" i="13"/>
  <c r="L2596" i="13"/>
  <c r="M2596" i="13"/>
  <c r="L2517" i="13"/>
  <c r="M2517" i="13"/>
  <c r="L2516" i="13"/>
  <c r="M2516" i="13"/>
  <c r="L2595" i="13"/>
  <c r="M2595" i="13"/>
  <c r="L2515" i="13"/>
  <c r="M2515" i="13"/>
  <c r="L2594" i="13"/>
  <c r="M2594" i="13"/>
  <c r="L2593" i="13"/>
  <c r="M2593" i="13"/>
  <c r="L2514" i="13"/>
  <c r="M2514" i="13"/>
  <c r="L2513" i="13"/>
  <c r="M2513" i="13"/>
  <c r="L2592" i="13"/>
  <c r="M2592" i="13"/>
  <c r="L2512" i="13"/>
  <c r="M2512" i="13"/>
  <c r="L2511" i="13"/>
  <c r="M2511" i="13"/>
  <c r="L2510" i="13"/>
  <c r="M2510" i="13"/>
  <c r="L2591" i="13"/>
  <c r="M2591" i="13"/>
  <c r="L2590" i="13"/>
  <c r="M2590" i="13"/>
  <c r="L2589" i="13"/>
  <c r="M2589" i="13"/>
  <c r="L2509" i="13"/>
  <c r="M2509" i="13"/>
  <c r="L2588" i="13"/>
  <c r="M2588" i="13"/>
  <c r="L2587" i="13"/>
  <c r="M2587" i="13"/>
  <c r="L2586" i="13"/>
  <c r="M2586" i="13"/>
  <c r="L2585" i="13"/>
  <c r="M2585" i="13"/>
  <c r="L2584" i="13"/>
  <c r="M2584" i="13"/>
  <c r="L2583" i="13"/>
  <c r="M2583" i="13"/>
  <c r="L2582" i="13"/>
  <c r="M2582" i="13"/>
  <c r="L2581" i="13"/>
  <c r="M2581" i="13"/>
  <c r="L2580" i="13"/>
  <c r="M2580" i="13"/>
  <c r="L2579" i="13"/>
  <c r="M2579" i="13"/>
  <c r="L2578" i="13"/>
  <c r="M2578" i="13"/>
  <c r="L2577" i="13"/>
  <c r="M2577" i="13"/>
  <c r="L2576" i="13"/>
  <c r="M2576" i="13"/>
  <c r="L2575" i="13"/>
  <c r="M2575" i="13"/>
  <c r="L2574" i="13"/>
  <c r="M2574" i="13"/>
  <c r="L2573" i="13"/>
  <c r="M2573" i="13"/>
  <c r="L2572" i="13"/>
  <c r="M2572" i="13"/>
  <c r="L2571" i="13"/>
  <c r="M2571" i="13"/>
  <c r="L2570" i="13"/>
  <c r="M2570" i="13"/>
  <c r="L2569" i="13"/>
  <c r="M2569" i="13"/>
  <c r="L2568" i="13"/>
  <c r="M2568" i="13"/>
  <c r="L2567" i="13"/>
  <c r="M2567" i="13"/>
  <c r="L2566" i="13"/>
  <c r="M2566" i="13"/>
  <c r="L2565" i="13"/>
  <c r="M2565" i="13"/>
  <c r="L2564" i="13"/>
  <c r="M2564" i="13"/>
  <c r="L2563" i="13"/>
  <c r="M2563" i="13"/>
  <c r="L478" i="8"/>
  <c r="M478" i="8"/>
  <c r="L477" i="8"/>
  <c r="M477" i="8"/>
  <c r="K479" i="8"/>
  <c r="L479" i="8"/>
  <c r="M479" i="8"/>
  <c r="L462" i="8"/>
  <c r="M462" i="8"/>
  <c r="L2506" i="13"/>
  <c r="M2506" i="13"/>
  <c r="L2505" i="13"/>
  <c r="M2505" i="13"/>
  <c r="L2502" i="13"/>
  <c r="M2502" i="13"/>
  <c r="L2503" i="13"/>
  <c r="M2503" i="13"/>
  <c r="L2504" i="13"/>
  <c r="M2504" i="13"/>
  <c r="L2500" i="13"/>
  <c r="M2500" i="13"/>
  <c r="L2499" i="13"/>
  <c r="M2499" i="13"/>
  <c r="L2498" i="13"/>
  <c r="M2498" i="13"/>
  <c r="L463" i="8"/>
  <c r="M463" i="8"/>
  <c r="L464" i="8"/>
  <c r="M464" i="8"/>
  <c r="L465" i="8"/>
  <c r="M465" i="8"/>
  <c r="L466" i="8"/>
  <c r="M466" i="8"/>
  <c r="L467" i="8"/>
  <c r="M467" i="8"/>
  <c r="L468" i="8"/>
  <c r="M468" i="8"/>
  <c r="L469" i="8"/>
  <c r="M469" i="8"/>
  <c r="L470" i="8"/>
  <c r="M470" i="8"/>
  <c r="L2497" i="13"/>
  <c r="M2497" i="13"/>
  <c r="L2534" i="13"/>
  <c r="M2534" i="13"/>
  <c r="L2507" i="13"/>
  <c r="M2507" i="13"/>
  <c r="L2546" i="13"/>
  <c r="M2546" i="13"/>
  <c r="L2558" i="13"/>
  <c r="M2558" i="13"/>
  <c r="L2561" i="13"/>
  <c r="M2561" i="13"/>
  <c r="L2519" i="13"/>
  <c r="M2519" i="13"/>
  <c r="L2474" i="13"/>
  <c r="M2474" i="13"/>
  <c r="L2490" i="13"/>
  <c r="M2490" i="13"/>
  <c r="K121" i="11"/>
  <c r="L121" i="11"/>
  <c r="K118" i="11"/>
  <c r="L118" i="11"/>
  <c r="L2494" i="13"/>
  <c r="M2494" i="13"/>
  <c r="L2520" i="13"/>
  <c r="M2520" i="13"/>
  <c r="L2434" i="13"/>
  <c r="M2434" i="13"/>
  <c r="L2423" i="13"/>
  <c r="M2423" i="13"/>
  <c r="L2424" i="13"/>
  <c r="M2424" i="13"/>
  <c r="L2427" i="13"/>
  <c r="M2427" i="13"/>
  <c r="L2430" i="13"/>
  <c r="M2430" i="13"/>
  <c r="L2420" i="13"/>
  <c r="M2420" i="13"/>
  <c r="L2432" i="13"/>
  <c r="M2432" i="13"/>
  <c r="L451" i="8"/>
  <c r="M451" i="8"/>
  <c r="L453" i="8"/>
  <c r="M453" i="8"/>
  <c r="L455" i="8"/>
  <c r="M455" i="8"/>
  <c r="L457" i="8"/>
  <c r="M457" i="8"/>
  <c r="L293" i="8"/>
  <c r="M293" i="8"/>
  <c r="L316" i="8"/>
  <c r="M316" i="8"/>
  <c r="L344" i="8"/>
  <c r="M344" i="8"/>
  <c r="L366" i="8"/>
  <c r="M366" i="8"/>
  <c r="L407" i="8"/>
  <c r="M407" i="8"/>
  <c r="L458" i="8"/>
  <c r="M458" i="8"/>
  <c r="L430" i="8"/>
  <c r="M430" i="8"/>
  <c r="K113" i="11"/>
  <c r="L113" i="11"/>
  <c r="K115" i="11"/>
  <c r="L445" i="8"/>
  <c r="M445" i="8"/>
  <c r="L447" i="8"/>
  <c r="M447" i="8"/>
  <c r="L443" i="8"/>
  <c r="M443" i="8"/>
  <c r="L441" i="8"/>
  <c r="M441" i="8"/>
  <c r="L434" i="8"/>
  <c r="M434" i="8"/>
  <c r="L2410" i="13"/>
  <c r="M2410" i="13"/>
  <c r="L2408" i="13"/>
  <c r="M2408" i="13"/>
  <c r="L2400" i="13"/>
  <c r="M2400" i="13"/>
  <c r="L2373" i="13"/>
  <c r="M2373" i="13"/>
  <c r="L2372" i="13"/>
  <c r="M2372" i="13"/>
  <c r="L2386" i="13"/>
  <c r="M2386" i="13"/>
  <c r="L2383" i="13"/>
  <c r="M2383" i="13"/>
  <c r="L2381" i="13"/>
  <c r="M2381" i="13"/>
  <c r="L2367" i="13"/>
  <c r="M2367" i="13"/>
  <c r="L2356" i="13"/>
  <c r="M2356" i="13"/>
  <c r="L2349" i="13"/>
  <c r="M2349" i="13"/>
  <c r="L2681" i="13"/>
  <c r="M2681" i="13"/>
  <c r="L2551" i="13"/>
  <c r="M2551" i="13"/>
  <c r="L2550" i="13"/>
  <c r="M2550" i="13"/>
  <c r="L2677" i="13"/>
  <c r="M2677" i="13"/>
  <c r="L2676" i="13"/>
  <c r="M2676" i="13"/>
  <c r="L2547" i="13"/>
  <c r="M2547" i="13"/>
  <c r="L2545" i="13"/>
  <c r="M2545" i="13"/>
  <c r="L2675" i="13"/>
  <c r="M2675" i="13"/>
  <c r="L2544" i="13"/>
  <c r="M2544" i="13"/>
  <c r="L2543" i="13"/>
  <c r="M2543" i="13"/>
  <c r="L2673" i="13"/>
  <c r="M2673" i="13"/>
  <c r="L2672" i="13"/>
  <c r="M2672" i="13"/>
  <c r="L2542" i="13"/>
  <c r="M2542" i="13"/>
  <c r="L2541" i="13"/>
  <c r="M2541" i="13"/>
  <c r="L2671" i="13"/>
  <c r="M2671" i="13"/>
  <c r="L2540" i="13"/>
  <c r="M2540" i="13"/>
  <c r="L2668" i="13"/>
  <c r="M2668" i="13"/>
  <c r="L2537" i="13"/>
  <c r="M2537" i="13"/>
  <c r="L2667" i="13"/>
  <c r="M2667" i="13"/>
  <c r="L2536" i="13"/>
  <c r="M2536" i="13"/>
  <c r="L2535" i="13"/>
  <c r="M2535" i="13"/>
  <c r="L2665" i="13"/>
  <c r="M2665" i="13"/>
  <c r="L2664" i="13"/>
  <c r="M2664" i="13"/>
  <c r="L2663" i="13"/>
  <c r="M2663" i="13"/>
  <c r="L2661" i="13"/>
  <c r="M2661" i="13"/>
  <c r="L2533" i="13"/>
  <c r="M2533" i="13"/>
  <c r="L2532" i="13"/>
  <c r="M2532" i="13"/>
  <c r="L2531" i="13"/>
  <c r="M2531" i="13"/>
  <c r="L2530" i="13"/>
  <c r="M2530" i="13"/>
  <c r="L2657" i="13"/>
  <c r="M2657" i="13"/>
  <c r="L2656" i="13"/>
  <c r="M2656" i="13"/>
  <c r="L2527" i="13"/>
  <c r="M2527" i="13"/>
  <c r="L2526" i="13"/>
  <c r="M2526" i="13"/>
  <c r="L2525" i="13"/>
  <c r="M2525" i="13"/>
  <c r="L2655" i="13"/>
  <c r="M2655" i="13"/>
  <c r="L2653" i="13"/>
  <c r="M2653" i="13"/>
  <c r="L2524" i="13"/>
  <c r="M2524" i="13"/>
  <c r="L2523" i="13"/>
  <c r="M2523" i="13"/>
  <c r="L2522" i="13"/>
  <c r="M2522" i="13"/>
  <c r="L2652" i="13"/>
  <c r="M2652" i="13"/>
  <c r="L2651" i="13"/>
  <c r="M2651" i="13"/>
  <c r="L2521" i="13"/>
  <c r="M2521" i="13"/>
  <c r="L2693" i="13"/>
  <c r="M2693" i="13"/>
  <c r="L2692" i="13"/>
  <c r="M2692" i="13"/>
  <c r="L2625" i="13"/>
  <c r="M2625" i="13"/>
  <c r="L2562" i="13"/>
  <c r="M2562" i="13"/>
  <c r="L2688" i="13"/>
  <c r="M2688" i="13"/>
  <c r="L2687" i="13"/>
  <c r="M2687" i="13"/>
  <c r="L2685" i="13"/>
  <c r="M2685" i="13"/>
  <c r="L2624" i="13"/>
  <c r="M2624" i="13"/>
  <c r="L2557" i="13"/>
  <c r="M2557" i="13"/>
  <c r="L2556" i="13"/>
  <c r="M2556" i="13"/>
  <c r="L2555" i="13"/>
  <c r="M2555" i="13"/>
  <c r="L2554" i="13"/>
  <c r="M2554" i="13"/>
  <c r="L2493" i="13"/>
  <c r="M2493" i="13"/>
  <c r="L2691" i="13"/>
  <c r="M2691" i="13"/>
  <c r="L2689" i="13"/>
  <c r="M2689" i="13"/>
  <c r="L2649" i="13"/>
  <c r="M2649" i="13"/>
  <c r="L2622" i="13"/>
  <c r="M2622" i="13"/>
  <c r="L2560" i="13"/>
  <c r="M2560" i="13"/>
  <c r="L2559" i="13"/>
  <c r="M2559" i="13"/>
  <c r="L2518" i="13"/>
  <c r="M2518" i="13"/>
  <c r="L2684" i="13"/>
  <c r="M2684" i="13"/>
  <c r="L2683" i="13"/>
  <c r="M2683" i="13"/>
  <c r="L2553" i="13"/>
  <c r="M2553" i="13"/>
  <c r="L2552" i="13"/>
  <c r="M2552" i="13"/>
  <c r="L2409" i="13"/>
  <c r="M2409" i="13"/>
  <c r="L2648" i="13"/>
  <c r="M2648" i="13"/>
  <c r="L2647" i="13"/>
  <c r="M2647" i="13"/>
  <c r="L2620" i="13"/>
  <c r="M2620" i="13"/>
  <c r="L2619" i="13"/>
  <c r="M2619" i="13"/>
  <c r="L2645" i="13"/>
  <c r="M2645" i="13"/>
  <c r="L2644" i="13"/>
  <c r="M2644" i="13"/>
  <c r="L2643" i="13"/>
  <c r="M2643" i="13"/>
  <c r="L2618" i="13"/>
  <c r="M2618" i="13"/>
  <c r="L2617" i="13"/>
  <c r="M2617" i="13"/>
  <c r="L2616" i="13"/>
  <c r="M2616" i="13"/>
  <c r="L2641" i="13"/>
  <c r="M2641" i="13"/>
  <c r="L2640" i="13"/>
  <c r="M2640" i="13"/>
  <c r="L2614" i="13"/>
  <c r="M2614" i="13"/>
  <c r="L2669" i="13"/>
  <c r="M2669" i="13"/>
  <c r="L2639" i="13"/>
  <c r="M2639" i="13"/>
  <c r="L2637" i="13"/>
  <c r="M2637" i="13"/>
  <c r="L2612" i="13"/>
  <c r="M2612" i="13"/>
  <c r="L2611" i="13"/>
  <c r="M2611" i="13"/>
  <c r="L2610" i="13"/>
  <c r="M2610" i="13"/>
  <c r="L2539" i="13"/>
  <c r="M2539" i="13"/>
  <c r="L2538" i="13"/>
  <c r="M2538" i="13"/>
  <c r="L2508" i="13"/>
  <c r="M2508" i="13"/>
  <c r="L2636" i="13"/>
  <c r="M2636" i="13"/>
  <c r="L2635" i="13"/>
  <c r="M2635" i="13"/>
  <c r="L2634" i="13"/>
  <c r="M2634" i="13"/>
  <c r="L2609" i="13"/>
  <c r="M2609" i="13"/>
  <c r="L2608" i="13"/>
  <c r="M2608" i="13"/>
  <c r="L2633" i="13"/>
  <c r="M2633" i="13"/>
  <c r="L2632" i="13"/>
  <c r="M2632" i="13"/>
  <c r="L2631" i="13"/>
  <c r="M2631" i="13"/>
  <c r="L2606" i="13"/>
  <c r="M2606" i="13"/>
  <c r="L2604" i="13"/>
  <c r="M2604" i="13"/>
  <c r="L2501" i="13"/>
  <c r="M2501" i="13"/>
  <c r="L2660" i="13"/>
  <c r="M2660" i="13"/>
  <c r="L2659" i="13"/>
  <c r="M2659" i="13"/>
  <c r="L2630" i="13"/>
  <c r="M2630" i="13"/>
  <c r="L2629" i="13"/>
  <c r="M2629" i="13"/>
  <c r="L2603" i="13"/>
  <c r="M2603" i="13"/>
  <c r="L2602" i="13"/>
  <c r="M2602" i="13"/>
  <c r="L2529" i="13"/>
  <c r="M2529" i="13"/>
  <c r="L2528" i="13"/>
  <c r="M2528" i="13"/>
  <c r="L2628" i="13"/>
  <c r="M2628" i="13"/>
  <c r="L2627" i="13"/>
  <c r="M2627" i="13"/>
  <c r="L2601" i="13"/>
  <c r="M2601" i="13"/>
  <c r="L2600" i="13"/>
  <c r="M2600" i="13"/>
  <c r="L2496" i="13"/>
  <c r="M2496" i="13"/>
  <c r="L2439" i="13"/>
  <c r="M2439" i="13"/>
  <c r="L2419" i="13"/>
  <c r="M2419" i="13"/>
  <c r="L2431" i="13"/>
  <c r="M2431" i="13"/>
  <c r="L2429" i="13"/>
  <c r="M2429" i="13"/>
  <c r="L2428" i="13"/>
  <c r="M2428" i="13"/>
  <c r="L2426" i="13"/>
  <c r="M2426" i="13"/>
  <c r="L2425" i="13"/>
  <c r="M2425" i="13"/>
  <c r="L2438" i="13"/>
  <c r="M2438" i="13"/>
  <c r="L2437" i="13"/>
  <c r="M2437" i="13"/>
  <c r="L2436" i="13"/>
  <c r="M2436" i="13"/>
  <c r="L2435" i="13"/>
  <c r="M2435" i="13"/>
  <c r="L2433" i="13"/>
  <c r="M2433" i="13"/>
  <c r="L2422" i="13"/>
  <c r="M2422" i="13"/>
  <c r="L2421" i="13"/>
  <c r="M2421" i="13"/>
  <c r="L2680" i="13"/>
  <c r="M2680" i="13"/>
  <c r="L2679" i="13"/>
  <c r="M2679" i="13"/>
  <c r="L2623" i="13"/>
  <c r="M2623" i="13"/>
  <c r="L2549" i="13"/>
  <c r="M2549" i="13"/>
  <c r="L2548" i="13"/>
  <c r="M2548" i="13"/>
  <c r="L2492" i="13"/>
  <c r="M2492" i="13"/>
  <c r="L2405" i="13"/>
  <c r="M2405" i="13"/>
  <c r="L485" i="8"/>
  <c r="M485" i="8"/>
  <c r="L475" i="8"/>
  <c r="M475" i="8"/>
  <c r="L474" i="8"/>
  <c r="M474" i="8"/>
  <c r="L473" i="8"/>
  <c r="M473" i="8"/>
  <c r="L472" i="8"/>
  <c r="M472" i="8"/>
  <c r="L471" i="8"/>
  <c r="M471" i="8"/>
  <c r="L489" i="8"/>
  <c r="M489" i="8"/>
  <c r="L487" i="8"/>
  <c r="M487" i="8"/>
  <c r="L476" i="8"/>
  <c r="M476" i="8"/>
  <c r="L483" i="8"/>
  <c r="M483" i="8"/>
  <c r="L481" i="8"/>
  <c r="M481" i="8"/>
  <c r="L461" i="8"/>
  <c r="M461" i="8"/>
  <c r="L480" i="8"/>
  <c r="M480" i="8"/>
  <c r="L460" i="8"/>
  <c r="M460" i="8"/>
  <c r="L459" i="8"/>
  <c r="M459" i="8"/>
  <c r="L454" i="8"/>
  <c r="M454" i="8"/>
  <c r="L450" i="8"/>
  <c r="M450" i="8"/>
  <c r="L456" i="8"/>
  <c r="M456" i="8"/>
  <c r="L452" i="8"/>
  <c r="M452" i="8"/>
  <c r="L449" i="8"/>
  <c r="M449" i="8"/>
  <c r="K130" i="11"/>
  <c r="L130" i="11"/>
  <c r="K124" i="11"/>
  <c r="L124" i="11"/>
  <c r="K123" i="11"/>
  <c r="L123" i="11"/>
  <c r="K117" i="11"/>
  <c r="L117" i="11"/>
  <c r="K116" i="11"/>
  <c r="L116" i="11"/>
  <c r="K129" i="11"/>
  <c r="L129" i="11"/>
  <c r="K128" i="11"/>
  <c r="L128" i="11"/>
  <c r="K126" i="11"/>
  <c r="L126" i="11"/>
  <c r="K122" i="11"/>
  <c r="L122" i="11"/>
  <c r="K120" i="11"/>
  <c r="L120" i="11"/>
  <c r="K119" i="11"/>
  <c r="L119" i="11"/>
  <c r="K114" i="11"/>
  <c r="L114" i="11"/>
  <c r="K112" i="11"/>
  <c r="L112" i="11"/>
  <c r="K111" i="11"/>
  <c r="L111" i="11"/>
  <c r="L135" i="11"/>
  <c r="L2334" i="13"/>
  <c r="M2334" i="13"/>
  <c r="L2341" i="13"/>
  <c r="M2341" i="13"/>
  <c r="L2342" i="13"/>
  <c r="M2342" i="13"/>
  <c r="L2320" i="13"/>
  <c r="M2320" i="13"/>
  <c r="L2293" i="13"/>
  <c r="M2293" i="13"/>
  <c r="L2294" i="13"/>
  <c r="M2294" i="13"/>
  <c r="L2296" i="13"/>
  <c r="M2296" i="13"/>
  <c r="L2297" i="13"/>
  <c r="M2297" i="13"/>
  <c r="L2298" i="13"/>
  <c r="M2298" i="13"/>
  <c r="L2300" i="13"/>
  <c r="M2300" i="13"/>
  <c r="L2301" i="13"/>
  <c r="M2301" i="13"/>
  <c r="L2304" i="13"/>
  <c r="M2304" i="13"/>
  <c r="L2305" i="13"/>
  <c r="M2305" i="13"/>
  <c r="L2308" i="13"/>
  <c r="M2308" i="13"/>
  <c r="L2309" i="13"/>
  <c r="M2309" i="13"/>
  <c r="L2310" i="13"/>
  <c r="M2310" i="13"/>
  <c r="L2312" i="13"/>
  <c r="M2312" i="13"/>
  <c r="L2314" i="13"/>
  <c r="M2314" i="13"/>
  <c r="L2316" i="13"/>
  <c r="M2316" i="13"/>
  <c r="L2317" i="13"/>
  <c r="M2317" i="13"/>
  <c r="L2292" i="13"/>
  <c r="M2292" i="13"/>
  <c r="L2295" i="13"/>
  <c r="M2295" i="13"/>
  <c r="L2286" i="13"/>
  <c r="M2286" i="13"/>
  <c r="L2288" i="13"/>
  <c r="M2288" i="13"/>
  <c r="L2280" i="13"/>
  <c r="M2280" i="13"/>
  <c r="L2235" i="13"/>
  <c r="M2235" i="13"/>
  <c r="L2228" i="13"/>
  <c r="M2228" i="13"/>
  <c r="L2224" i="13"/>
  <c r="M2224" i="13"/>
  <c r="L2219" i="13"/>
  <c r="M2219" i="13"/>
  <c r="L2215" i="13"/>
  <c r="M2215" i="13"/>
  <c r="L425" i="8"/>
  <c r="M425" i="8"/>
  <c r="L419" i="8"/>
  <c r="M419" i="8"/>
  <c r="L423" i="8"/>
  <c r="M423" i="8"/>
  <c r="L424" i="8"/>
  <c r="M424" i="8"/>
  <c r="L411" i="8"/>
  <c r="M411" i="8"/>
  <c r="L2220" i="13"/>
  <c r="M2220" i="13"/>
  <c r="L2223" i="13"/>
  <c r="M2223" i="13"/>
  <c r="L2230" i="13"/>
  <c r="M2230" i="13"/>
  <c r="L2234" i="13"/>
  <c r="M2234" i="13"/>
  <c r="L2260" i="13"/>
  <c r="M2260" i="13"/>
  <c r="L2268" i="13"/>
  <c r="M2268" i="13"/>
  <c r="L2272" i="13"/>
  <c r="M2272" i="13"/>
  <c r="L2276" i="13"/>
  <c r="M2276" i="13"/>
  <c r="L2279" i="13"/>
  <c r="M2279" i="13"/>
  <c r="L2244" i="13"/>
  <c r="M2244" i="13"/>
  <c r="L2242" i="13"/>
  <c r="M2242" i="13"/>
  <c r="L2236" i="13"/>
  <c r="M2236" i="13"/>
  <c r="L2208" i="13"/>
  <c r="M2208" i="13"/>
  <c r="L2209" i="13"/>
  <c r="M2209" i="13"/>
  <c r="L2207" i="13"/>
  <c r="M2207" i="13"/>
  <c r="L409" i="8"/>
  <c r="M409" i="8"/>
  <c r="L410" i="8"/>
  <c r="M410" i="8"/>
  <c r="L408" i="8"/>
  <c r="M408" i="8"/>
  <c r="L2168" i="13"/>
  <c r="M2168" i="13"/>
  <c r="L2176" i="13"/>
  <c r="M2176" i="13"/>
  <c r="L2184" i="13"/>
  <c r="M2184" i="13"/>
  <c r="L2162" i="13"/>
  <c r="M2162" i="13"/>
  <c r="K110" i="11"/>
  <c r="L110" i="11"/>
  <c r="K109" i="11"/>
  <c r="L109" i="11"/>
  <c r="K108" i="11"/>
  <c r="L108" i="11"/>
  <c r="K107" i="11"/>
  <c r="L107" i="11"/>
  <c r="K106" i="11"/>
  <c r="L106" i="11"/>
  <c r="K105" i="11"/>
  <c r="L105" i="11"/>
  <c r="K104" i="11"/>
  <c r="L104" i="11"/>
  <c r="L2161" i="13"/>
  <c r="M2161" i="13"/>
  <c r="L2160" i="13"/>
  <c r="M2160" i="13"/>
  <c r="L2159" i="13"/>
  <c r="M2159" i="13"/>
  <c r="L2158" i="13"/>
  <c r="M2158" i="13"/>
  <c r="L2157" i="13"/>
  <c r="M2157" i="13"/>
  <c r="L2156" i="13"/>
  <c r="M2156" i="13"/>
  <c r="L2155" i="13"/>
  <c r="M2155" i="13"/>
  <c r="L2154" i="13"/>
  <c r="M2154" i="13"/>
  <c r="L2153" i="13"/>
  <c r="M2153" i="13"/>
  <c r="L2152" i="13"/>
  <c r="M2152" i="13"/>
  <c r="L2151" i="13"/>
  <c r="M2151" i="13"/>
  <c r="L2150" i="13"/>
  <c r="M2150" i="13"/>
  <c r="L2149" i="13"/>
  <c r="M2149" i="13"/>
  <c r="L2148" i="13"/>
  <c r="M2148" i="13"/>
  <c r="L2147" i="13"/>
  <c r="M2147" i="13"/>
  <c r="L2146" i="13"/>
  <c r="M2146" i="13"/>
  <c r="L2145" i="13"/>
  <c r="M2145" i="13"/>
  <c r="L2144" i="13"/>
  <c r="M2144" i="13"/>
  <c r="L2143" i="13"/>
  <c r="M2143" i="13"/>
  <c r="L2142" i="13"/>
  <c r="M2142" i="13"/>
  <c r="L2141" i="13"/>
  <c r="M2141" i="13"/>
  <c r="L2140" i="13"/>
  <c r="M2140" i="13"/>
  <c r="L2139" i="13"/>
  <c r="M2139" i="13"/>
  <c r="L2138" i="13"/>
  <c r="M2138" i="13"/>
  <c r="L2137" i="13"/>
  <c r="M2137" i="13"/>
  <c r="L2136" i="13"/>
  <c r="M2136" i="13"/>
  <c r="L429" i="8"/>
  <c r="M429" i="8"/>
  <c r="L428" i="8"/>
  <c r="M428" i="8"/>
  <c r="L427" i="8"/>
  <c r="M427" i="8"/>
  <c r="L438" i="8"/>
  <c r="M438" i="8"/>
  <c r="L415" i="8"/>
  <c r="M415" i="8"/>
  <c r="L426" i="8"/>
  <c r="M426" i="8"/>
  <c r="L446" i="8"/>
  <c r="M446" i="8"/>
  <c r="L444" i="8"/>
  <c r="M444" i="8"/>
  <c r="L421" i="8"/>
  <c r="M421" i="8"/>
  <c r="L420" i="8"/>
  <c r="M420" i="8"/>
  <c r="L442" i="8"/>
  <c r="M442" i="8"/>
  <c r="L418" i="8"/>
  <c r="M418" i="8"/>
  <c r="L437" i="8"/>
  <c r="M437" i="8"/>
  <c r="L414" i="8"/>
  <c r="M414" i="8"/>
  <c r="L433" i="8"/>
  <c r="M433" i="8"/>
  <c r="L432" i="8"/>
  <c r="M432" i="8"/>
  <c r="L431" i="8"/>
  <c r="M431" i="8"/>
  <c r="L422" i="8"/>
  <c r="M422" i="8"/>
  <c r="L405" i="8"/>
  <c r="M405" i="8"/>
  <c r="L404" i="8"/>
  <c r="M404" i="8"/>
  <c r="L403" i="8"/>
  <c r="M403" i="8"/>
  <c r="L402" i="8"/>
  <c r="M402" i="8"/>
  <c r="L440" i="8"/>
  <c r="M440" i="8"/>
  <c r="L439" i="8"/>
  <c r="M439" i="8"/>
  <c r="L417" i="8"/>
  <c r="M417" i="8"/>
  <c r="L416" i="8"/>
  <c r="M416" i="8"/>
  <c r="L401" i="8"/>
  <c r="M401" i="8"/>
  <c r="L400" i="8"/>
  <c r="M400" i="8"/>
  <c r="L448" i="8"/>
  <c r="M448" i="8"/>
  <c r="L406" i="8"/>
  <c r="M406" i="8"/>
  <c r="L399" i="8"/>
  <c r="M399" i="8"/>
  <c r="L436" i="8"/>
  <c r="M436" i="8"/>
  <c r="L413" i="8"/>
  <c r="M413" i="8"/>
  <c r="L398" i="8"/>
  <c r="M398" i="8"/>
  <c r="L435" i="8"/>
  <c r="M435" i="8"/>
  <c r="L412" i="8"/>
  <c r="M412" i="8"/>
  <c r="L397" i="8"/>
  <c r="M397" i="8"/>
  <c r="L396" i="8"/>
  <c r="M396" i="8"/>
  <c r="L395" i="8"/>
  <c r="M395" i="8"/>
  <c r="L394" i="8"/>
  <c r="M394" i="8"/>
  <c r="L2319" i="13"/>
  <c r="M2319" i="13"/>
  <c r="L2318" i="13"/>
  <c r="M2318" i="13"/>
  <c r="L2282" i="13"/>
  <c r="M2282" i="13"/>
  <c r="L2403" i="13"/>
  <c r="M2403" i="13"/>
  <c r="L2402" i="13"/>
  <c r="M2402" i="13"/>
  <c r="L2401" i="13"/>
  <c r="M2401" i="13"/>
  <c r="L2264" i="13"/>
  <c r="M2264" i="13"/>
  <c r="L2263" i="13"/>
  <c r="M2263" i="13"/>
  <c r="L2262" i="13"/>
  <c r="M2262" i="13"/>
  <c r="L2399" i="13"/>
  <c r="M2399" i="13"/>
  <c r="L2261" i="13"/>
  <c r="M2261" i="13"/>
  <c r="L2398" i="13"/>
  <c r="M2398" i="13"/>
  <c r="L2397" i="13"/>
  <c r="M2397" i="13"/>
  <c r="L2259" i="13"/>
  <c r="M2259" i="13"/>
  <c r="L2258" i="13"/>
  <c r="M2258" i="13"/>
  <c r="L2393" i="13"/>
  <c r="M2393" i="13"/>
  <c r="L2254" i="13"/>
  <c r="M2254" i="13"/>
  <c r="L2392" i="13"/>
  <c r="M2392" i="13"/>
  <c r="L2253" i="13"/>
  <c r="M2253" i="13"/>
  <c r="L2390" i="13"/>
  <c r="M2390" i="13"/>
  <c r="L2389" i="13"/>
  <c r="M2389" i="13"/>
  <c r="L2388" i="13"/>
  <c r="M2388" i="13"/>
  <c r="L2387" i="13"/>
  <c r="M2387" i="13"/>
  <c r="L2251" i="13"/>
  <c r="M2251" i="13"/>
  <c r="L2250" i="13"/>
  <c r="M2250" i="13"/>
  <c r="L2249" i="13"/>
  <c r="M2249" i="13"/>
  <c r="L2248" i="13"/>
  <c r="M2248" i="13"/>
  <c r="L2247" i="13"/>
  <c r="M2247" i="13"/>
  <c r="L2382" i="13"/>
  <c r="M2382" i="13"/>
  <c r="L2243" i="13"/>
  <c r="M2243" i="13"/>
  <c r="L2377" i="13"/>
  <c r="M2377" i="13"/>
  <c r="L2376" i="13"/>
  <c r="M2376" i="13"/>
  <c r="L2375" i="13"/>
  <c r="M2375" i="13"/>
  <c r="L2238" i="13"/>
  <c r="M2238" i="13"/>
  <c r="L2237" i="13"/>
  <c r="M2237" i="13"/>
  <c r="L2404" i="13"/>
  <c r="M2404" i="13"/>
  <c r="L2346" i="13"/>
  <c r="M2346" i="13"/>
  <c r="L2266" i="13"/>
  <c r="M2266" i="13"/>
  <c r="L2265" i="13"/>
  <c r="M2265" i="13"/>
  <c r="L2418" i="13"/>
  <c r="M2418" i="13"/>
  <c r="L2417" i="13"/>
  <c r="M2417" i="13"/>
  <c r="L2348" i="13"/>
  <c r="M2348" i="13"/>
  <c r="L2278" i="13"/>
  <c r="M2278" i="13"/>
  <c r="L2206" i="13"/>
  <c r="M2206" i="13"/>
  <c r="L2205" i="13"/>
  <c r="M2205" i="13"/>
  <c r="L2204" i="13"/>
  <c r="M2204" i="13"/>
  <c r="L2413" i="13"/>
  <c r="M2413" i="13"/>
  <c r="L2412" i="13"/>
  <c r="M2412" i="13"/>
  <c r="L2411" i="13"/>
  <c r="M2411" i="13"/>
  <c r="L2347" i="13"/>
  <c r="M2347" i="13"/>
  <c r="L2274" i="13"/>
  <c r="M2274" i="13"/>
  <c r="L2273" i="13"/>
  <c r="M2273" i="13"/>
  <c r="L2271" i="13"/>
  <c r="M2271" i="13"/>
  <c r="L2203" i="13"/>
  <c r="M2203" i="13"/>
  <c r="L2202" i="13"/>
  <c r="M2202" i="13"/>
  <c r="L2201" i="13"/>
  <c r="M2201" i="13"/>
  <c r="L2200" i="13"/>
  <c r="M2200" i="13"/>
  <c r="L2199" i="13"/>
  <c r="M2199" i="13"/>
  <c r="L2270" i="13"/>
  <c r="M2270" i="13"/>
  <c r="L2269" i="13"/>
  <c r="M2269" i="13"/>
  <c r="L2198" i="13"/>
  <c r="M2198" i="13"/>
  <c r="L2407" i="13"/>
  <c r="M2407" i="13"/>
  <c r="L2406" i="13"/>
  <c r="M2406" i="13"/>
  <c r="L2267" i="13"/>
  <c r="M2267" i="13"/>
  <c r="L2197" i="13"/>
  <c r="M2197" i="13"/>
  <c r="L2396" i="13"/>
  <c r="M2396" i="13"/>
  <c r="L2257" i="13"/>
  <c r="M2257" i="13"/>
  <c r="L2196" i="13"/>
  <c r="M2196" i="13"/>
  <c r="L2391" i="13"/>
  <c r="M2391" i="13"/>
  <c r="L2252" i="13"/>
  <c r="M2252" i="13"/>
  <c r="L2195" i="13"/>
  <c r="M2195" i="13"/>
  <c r="L2194" i="13"/>
  <c r="M2194" i="13"/>
  <c r="L2380" i="13"/>
  <c r="M2380" i="13"/>
  <c r="L2379" i="13"/>
  <c r="M2379" i="13"/>
  <c r="L2378" i="13"/>
  <c r="M2378" i="13"/>
  <c r="L2241" i="13"/>
  <c r="M2241" i="13"/>
  <c r="L2240" i="13"/>
  <c r="M2240" i="13"/>
  <c r="L2239" i="13"/>
  <c r="M2239" i="13"/>
  <c r="L2191" i="13"/>
  <c r="M2191" i="13"/>
  <c r="L2190" i="13"/>
  <c r="M2190" i="13"/>
  <c r="L2189" i="13"/>
  <c r="M2189" i="13"/>
  <c r="L2188" i="13"/>
  <c r="M2188" i="13"/>
  <c r="L2416" i="13"/>
  <c r="M2416" i="13"/>
  <c r="L2374" i="13"/>
  <c r="M2374" i="13"/>
  <c r="L2415" i="13"/>
  <c r="M2415" i="13"/>
  <c r="L2414" i="13"/>
  <c r="M2414" i="13"/>
  <c r="L2345" i="13"/>
  <c r="M2345" i="13"/>
  <c r="L2277" i="13"/>
  <c r="M2277" i="13"/>
  <c r="L2275" i="13"/>
  <c r="M2275" i="13"/>
  <c r="L2187" i="13"/>
  <c r="M2187" i="13"/>
  <c r="L2344" i="13"/>
  <c r="M2344" i="13"/>
  <c r="L2343" i="13"/>
  <c r="M2343" i="13"/>
  <c r="L2315" i="13"/>
  <c r="M2315" i="13"/>
  <c r="L2233" i="13"/>
  <c r="M2233" i="13"/>
  <c r="L2186" i="13"/>
  <c r="M2186" i="13"/>
  <c r="L2185" i="13"/>
  <c r="M2185" i="13"/>
  <c r="L2371" i="13"/>
  <c r="M2371" i="13"/>
  <c r="L2370" i="13"/>
  <c r="M2370" i="13"/>
  <c r="L2369" i="13"/>
  <c r="M2369" i="13"/>
  <c r="L2340" i="13"/>
  <c r="M2340" i="13"/>
  <c r="L2313" i="13"/>
  <c r="M2313" i="13"/>
  <c r="L2232" i="13"/>
  <c r="M2232" i="13"/>
  <c r="L2231" i="13"/>
  <c r="M2231" i="13"/>
  <c r="L2183" i="13"/>
  <c r="M2183" i="13"/>
  <c r="L2182" i="13"/>
  <c r="M2182" i="13"/>
  <c r="L2368" i="13"/>
  <c r="M2368" i="13"/>
  <c r="L2366" i="13"/>
  <c r="M2366" i="13"/>
  <c r="L2339" i="13"/>
  <c r="M2339" i="13"/>
  <c r="L2338" i="13"/>
  <c r="M2338" i="13"/>
  <c r="L2337" i="13"/>
  <c r="M2337" i="13"/>
  <c r="L2311" i="13"/>
  <c r="M2311" i="13"/>
  <c r="L2229" i="13"/>
  <c r="M2229" i="13"/>
  <c r="L2227" i="13"/>
  <c r="M2227" i="13"/>
  <c r="L2181" i="13"/>
  <c r="M2181" i="13"/>
  <c r="L2180" i="13"/>
  <c r="M2180" i="13"/>
  <c r="L2179" i="13"/>
  <c r="M2179" i="13"/>
  <c r="L2365" i="13"/>
  <c r="M2365" i="13"/>
  <c r="L2364" i="13"/>
  <c r="M2364" i="13"/>
  <c r="L2363" i="13"/>
  <c r="M2363" i="13"/>
  <c r="L2336" i="13"/>
  <c r="M2336" i="13"/>
  <c r="L2335" i="13"/>
  <c r="M2335" i="13"/>
  <c r="L2307" i="13"/>
  <c r="M2307" i="13"/>
  <c r="L2306" i="13"/>
  <c r="M2306" i="13"/>
  <c r="L2226" i="13"/>
  <c r="M2226" i="13"/>
  <c r="L2225" i="13"/>
  <c r="M2225" i="13"/>
  <c r="L2178" i="13"/>
  <c r="M2178" i="13"/>
  <c r="L2177" i="13"/>
  <c r="M2177" i="13"/>
  <c r="L2395" i="13"/>
  <c r="M2395" i="13"/>
  <c r="L2362" i="13"/>
  <c r="M2362" i="13"/>
  <c r="L2361" i="13"/>
  <c r="M2361" i="13"/>
  <c r="L2360" i="13"/>
  <c r="M2360" i="13"/>
  <c r="L2394" i="13"/>
  <c r="M2394" i="13"/>
  <c r="L2333" i="13"/>
  <c r="M2333" i="13"/>
  <c r="L2332" i="13"/>
  <c r="M2332" i="13"/>
  <c r="L2331" i="13"/>
  <c r="M2331" i="13"/>
  <c r="L2303" i="13"/>
  <c r="M2303" i="13"/>
  <c r="L2256" i="13"/>
  <c r="M2256" i="13"/>
  <c r="L2222" i="13"/>
  <c r="M2222" i="13"/>
  <c r="L2221" i="13"/>
  <c r="M2221" i="13"/>
  <c r="L2255" i="13"/>
  <c r="M2255" i="13"/>
  <c r="L2175" i="13"/>
  <c r="M2175" i="13"/>
  <c r="L2174" i="13"/>
  <c r="M2174" i="13"/>
  <c r="L2173" i="13"/>
  <c r="M2173" i="13"/>
  <c r="L2359" i="13"/>
  <c r="M2359" i="13"/>
  <c r="L2358" i="13"/>
  <c r="M2358" i="13"/>
  <c r="L2357" i="13"/>
  <c r="M2357" i="13"/>
  <c r="L2330" i="13"/>
  <c r="M2330" i="13"/>
  <c r="L2329" i="13"/>
  <c r="M2329" i="13"/>
  <c r="L2328" i="13"/>
  <c r="M2328" i="13"/>
  <c r="L2302" i="13"/>
  <c r="M2302" i="13"/>
  <c r="L2218" i="13"/>
  <c r="M2218" i="13"/>
  <c r="L2172" i="13"/>
  <c r="M2172" i="13"/>
  <c r="L2171" i="13"/>
  <c r="M2171" i="13"/>
  <c r="L2170" i="13"/>
  <c r="M2170" i="13"/>
  <c r="L2355" i="13"/>
  <c r="M2355" i="13"/>
  <c r="L2354" i="13"/>
  <c r="M2354" i="13"/>
  <c r="L2327" i="13"/>
  <c r="M2327" i="13"/>
  <c r="L2326" i="13"/>
  <c r="M2326" i="13"/>
  <c r="L2325" i="13"/>
  <c r="M2325" i="13"/>
  <c r="L2299" i="13"/>
  <c r="M2299" i="13"/>
  <c r="L2217" i="13"/>
  <c r="M2217" i="13"/>
  <c r="L2216" i="13"/>
  <c r="M2216" i="13"/>
  <c r="L2169" i="13"/>
  <c r="M2169" i="13"/>
  <c r="L2167" i="13"/>
  <c r="M2167" i="13"/>
  <c r="L2353" i="13"/>
  <c r="M2353" i="13"/>
  <c r="L2352" i="13"/>
  <c r="M2352" i="13"/>
  <c r="L2385" i="13"/>
  <c r="M2385" i="13"/>
  <c r="L2384" i="13"/>
  <c r="M2384" i="13"/>
  <c r="L2324" i="13"/>
  <c r="M2324" i="13"/>
  <c r="L2323" i="13"/>
  <c r="M2323" i="13"/>
  <c r="L2214" i="13"/>
  <c r="M2214" i="13"/>
  <c r="L2213" i="13"/>
  <c r="M2213" i="13"/>
  <c r="L2246" i="13"/>
  <c r="M2246" i="13"/>
  <c r="L2245" i="13"/>
  <c r="M2245" i="13"/>
  <c r="L2193" i="13"/>
  <c r="M2193" i="13"/>
  <c r="L2192" i="13"/>
  <c r="M2192" i="13"/>
  <c r="L2166" i="13"/>
  <c r="M2166" i="13"/>
  <c r="L2165" i="13"/>
  <c r="M2165" i="13"/>
  <c r="L2351" i="13"/>
  <c r="M2351" i="13"/>
  <c r="L2350" i="13"/>
  <c r="M2350" i="13"/>
  <c r="L2322" i="13"/>
  <c r="M2322" i="13"/>
  <c r="L2321" i="13"/>
  <c r="M2321" i="13"/>
  <c r="L2212" i="13"/>
  <c r="M2212" i="13"/>
  <c r="L2211" i="13"/>
  <c r="M2211" i="13"/>
  <c r="L2210" i="13"/>
  <c r="M2210" i="13"/>
  <c r="L2164" i="13"/>
  <c r="M2164" i="13"/>
  <c r="L2163" i="13"/>
  <c r="M2163" i="13"/>
  <c r="L393" i="8"/>
  <c r="M393" i="8"/>
  <c r="K389" i="8"/>
  <c r="L389" i="8"/>
  <c r="K391" i="8"/>
  <c r="L391" i="8"/>
  <c r="K392" i="8"/>
  <c r="L392" i="8"/>
  <c r="K385" i="8"/>
  <c r="L385" i="8"/>
  <c r="M385" i="8"/>
  <c r="K387" i="8"/>
  <c r="L387" i="8"/>
  <c r="K386" i="8"/>
  <c r="L386" i="8"/>
  <c r="J387" i="8"/>
  <c r="J392" i="8"/>
  <c r="J391" i="8"/>
  <c r="J389" i="8"/>
  <c r="J386" i="8"/>
  <c r="L2120" i="13"/>
  <c r="M2120" i="13"/>
  <c r="L2127" i="13"/>
  <c r="M2127" i="13"/>
  <c r="L2135" i="13"/>
  <c r="M2135" i="13"/>
  <c r="L2117" i="13"/>
  <c r="M2117" i="13"/>
  <c r="L2290" i="13"/>
  <c r="M2290" i="13"/>
  <c r="L2289" i="13"/>
  <c r="M2289" i="13"/>
  <c r="L2287" i="13"/>
  <c r="M2287" i="13"/>
  <c r="L2285" i="13"/>
  <c r="M2285" i="13"/>
  <c r="L2126" i="13"/>
  <c r="M2126" i="13"/>
  <c r="L2125" i="13"/>
  <c r="M2125" i="13"/>
  <c r="L2124" i="13"/>
  <c r="M2124" i="13"/>
  <c r="L2123" i="13"/>
  <c r="M2123" i="13"/>
  <c r="L2122" i="13"/>
  <c r="M2122" i="13"/>
  <c r="L2281" i="13"/>
  <c r="M2281" i="13"/>
  <c r="L2118" i="13"/>
  <c r="M2118" i="13"/>
  <c r="L2291" i="13"/>
  <c r="M2291" i="13"/>
  <c r="L2128" i="13"/>
  <c r="M2128" i="13"/>
  <c r="L2284" i="13"/>
  <c r="M2284" i="13"/>
  <c r="L2283" i="13"/>
  <c r="M2283" i="13"/>
  <c r="L2121" i="13"/>
  <c r="M2121" i="13"/>
  <c r="L2134" i="13"/>
  <c r="M2134" i="13"/>
  <c r="L2133" i="13"/>
  <c r="M2133" i="13"/>
  <c r="L390" i="8"/>
  <c r="M390" i="8"/>
  <c r="L2132" i="13"/>
  <c r="M2132" i="13"/>
  <c r="L2131" i="13"/>
  <c r="M2131" i="13"/>
  <c r="L2119" i="13"/>
  <c r="M2119" i="13"/>
  <c r="L388" i="8"/>
  <c r="M388" i="8"/>
  <c r="L2130" i="13"/>
  <c r="M2130" i="13"/>
  <c r="L2129" i="13"/>
  <c r="M2129" i="13"/>
  <c r="L2113" i="13"/>
  <c r="M2113" i="13"/>
  <c r="L2109" i="13"/>
  <c r="M2109" i="13"/>
  <c r="L2106" i="13"/>
  <c r="M2106" i="13"/>
  <c r="L2105" i="13"/>
  <c r="M2105" i="13"/>
  <c r="L2102" i="13"/>
  <c r="M2102" i="13"/>
  <c r="L2101" i="13"/>
  <c r="M2101" i="13"/>
  <c r="L2098" i="13"/>
  <c r="M2098" i="13"/>
  <c r="L2094" i="13"/>
  <c r="M2094" i="13"/>
  <c r="L2089" i="13"/>
  <c r="M2089" i="13"/>
  <c r="L2086" i="13"/>
  <c r="M2086" i="13"/>
  <c r="L2082" i="13"/>
  <c r="M2082" i="13"/>
  <c r="L2081" i="13"/>
  <c r="M2081" i="13"/>
  <c r="L2078" i="13"/>
  <c r="M2078" i="13"/>
  <c r="L2077" i="13"/>
  <c r="M2077" i="13"/>
  <c r="L2074" i="13"/>
  <c r="M2074" i="13"/>
  <c r="L384" i="8"/>
  <c r="M384" i="8"/>
  <c r="L378" i="8"/>
  <c r="M378" i="8"/>
  <c r="L382" i="8"/>
  <c r="M382" i="8"/>
  <c r="L2045" i="13"/>
  <c r="M2045" i="13"/>
  <c r="L6" i="13"/>
  <c r="M6" i="13"/>
  <c r="L33" i="13"/>
  <c r="M33" i="13"/>
  <c r="L34" i="13"/>
  <c r="M34" i="13"/>
  <c r="L35" i="13"/>
  <c r="M35" i="13"/>
  <c r="L36" i="13"/>
  <c r="M36" i="13"/>
  <c r="L37" i="13"/>
  <c r="M37" i="13"/>
  <c r="L38" i="13"/>
  <c r="M38" i="13"/>
  <c r="L7" i="13"/>
  <c r="M7" i="13"/>
  <c r="L8" i="13"/>
  <c r="M8" i="13"/>
  <c r="L9" i="13"/>
  <c r="M9" i="13"/>
  <c r="L39" i="13"/>
  <c r="M39" i="13"/>
  <c r="L40" i="13"/>
  <c r="M40" i="13"/>
  <c r="L41" i="13"/>
  <c r="M41" i="13"/>
  <c r="L42" i="13"/>
  <c r="M42" i="13"/>
  <c r="L10" i="13"/>
  <c r="M10" i="13"/>
  <c r="L11" i="13"/>
  <c r="M11" i="13"/>
  <c r="L43" i="13"/>
  <c r="M43" i="13"/>
  <c r="L44" i="13"/>
  <c r="M44" i="13"/>
  <c r="L45" i="13"/>
  <c r="M45" i="13"/>
  <c r="L46" i="13"/>
  <c r="M46" i="13"/>
  <c r="L47" i="13"/>
  <c r="M47" i="13"/>
  <c r="L48" i="13"/>
  <c r="M48" i="13"/>
  <c r="L49" i="13"/>
  <c r="M49" i="13"/>
  <c r="L50" i="13"/>
  <c r="M50" i="13"/>
  <c r="L12" i="13"/>
  <c r="M12" i="13"/>
  <c r="L13" i="13"/>
  <c r="M13" i="13"/>
  <c r="L14" i="13"/>
  <c r="M14" i="13"/>
  <c r="L15" i="13"/>
  <c r="M15" i="13"/>
  <c r="L16" i="13"/>
  <c r="M16" i="13"/>
  <c r="L17" i="13"/>
  <c r="M17" i="13"/>
  <c r="L51" i="13"/>
  <c r="M51" i="13"/>
  <c r="L52" i="13"/>
  <c r="M52" i="13"/>
  <c r="L53" i="13"/>
  <c r="M53" i="13"/>
  <c r="L18" i="13"/>
  <c r="M18" i="13"/>
  <c r="L19" i="13"/>
  <c r="M19" i="13"/>
  <c r="L20" i="13"/>
  <c r="M20" i="13"/>
  <c r="L54" i="13"/>
  <c r="M54" i="13"/>
  <c r="L21" i="13"/>
  <c r="M21" i="13"/>
  <c r="L22" i="13"/>
  <c r="M22" i="13"/>
  <c r="L23" i="13"/>
  <c r="M23" i="13"/>
  <c r="L24" i="13"/>
  <c r="M24" i="13"/>
  <c r="L25" i="13"/>
  <c r="M25" i="13"/>
  <c r="L26" i="13"/>
  <c r="M26" i="13"/>
  <c r="L27" i="13"/>
  <c r="M27" i="13"/>
  <c r="L28" i="13"/>
  <c r="M28" i="13"/>
  <c r="L29" i="13"/>
  <c r="M29" i="13"/>
  <c r="L30" i="13"/>
  <c r="M30" i="13"/>
  <c r="L31" i="13"/>
  <c r="M31" i="13"/>
  <c r="L55" i="13"/>
  <c r="M55" i="13"/>
  <c r="L56" i="13"/>
  <c r="M56" i="13"/>
  <c r="L57" i="13"/>
  <c r="M57" i="13"/>
  <c r="L58" i="13"/>
  <c r="M58" i="13"/>
  <c r="L59" i="13"/>
  <c r="M59" i="13"/>
  <c r="L60" i="13"/>
  <c r="M60" i="13"/>
  <c r="L61" i="13"/>
  <c r="M61" i="13"/>
  <c r="L62" i="13"/>
  <c r="M62" i="13"/>
  <c r="L63" i="13"/>
  <c r="M63" i="13"/>
  <c r="L64" i="13"/>
  <c r="M64" i="13"/>
  <c r="L65" i="13"/>
  <c r="M65" i="13"/>
  <c r="L66" i="13"/>
  <c r="M66" i="13"/>
  <c r="L67" i="13"/>
  <c r="M67" i="13"/>
  <c r="L68" i="13"/>
  <c r="M68" i="13"/>
  <c r="L69" i="13"/>
  <c r="M69" i="13"/>
  <c r="L70" i="13"/>
  <c r="M70" i="13"/>
  <c r="L71" i="13"/>
  <c r="M71" i="13"/>
  <c r="L72" i="13"/>
  <c r="M72" i="13"/>
  <c r="L73" i="13"/>
  <c r="M73" i="13"/>
  <c r="L74" i="13"/>
  <c r="M74" i="13"/>
  <c r="L32" i="13"/>
  <c r="M32" i="13"/>
  <c r="L75" i="13"/>
  <c r="M75" i="13"/>
  <c r="L78" i="13"/>
  <c r="M78" i="13"/>
  <c r="L79" i="13"/>
  <c r="M79" i="13"/>
  <c r="L90" i="13"/>
  <c r="M90" i="13"/>
  <c r="L91" i="13"/>
  <c r="M91" i="13"/>
  <c r="L80" i="13"/>
  <c r="M80" i="13"/>
  <c r="L92" i="13"/>
  <c r="M92" i="13"/>
  <c r="L93" i="13"/>
  <c r="M93" i="13"/>
  <c r="L94" i="13"/>
  <c r="M94" i="13"/>
  <c r="L81" i="13"/>
  <c r="M81" i="13"/>
  <c r="L95" i="13"/>
  <c r="M95" i="13"/>
  <c r="L82" i="13"/>
  <c r="M82" i="13"/>
  <c r="L83" i="13"/>
  <c r="M83" i="13"/>
  <c r="L84" i="13"/>
  <c r="M84" i="13"/>
  <c r="L85" i="13"/>
  <c r="M85" i="13"/>
  <c r="L86" i="13"/>
  <c r="M86" i="13"/>
  <c r="L87" i="13"/>
  <c r="M87" i="13"/>
  <c r="L88" i="13"/>
  <c r="M88" i="13"/>
  <c r="L76" i="13"/>
  <c r="M76" i="13"/>
  <c r="L96" i="13"/>
  <c r="M96" i="13"/>
  <c r="L77" i="13"/>
  <c r="M77" i="13"/>
  <c r="L89" i="13"/>
  <c r="M89" i="13"/>
  <c r="L97" i="13"/>
  <c r="M97" i="13"/>
  <c r="L98" i="13"/>
  <c r="M98" i="13"/>
  <c r="L99" i="13"/>
  <c r="M99" i="13"/>
  <c r="L100" i="13"/>
  <c r="M100" i="13"/>
  <c r="L101" i="13"/>
  <c r="M101" i="13"/>
  <c r="L102" i="13"/>
  <c r="M102" i="13"/>
  <c r="L103" i="13"/>
  <c r="M103" i="13"/>
  <c r="L104" i="13"/>
  <c r="M104" i="13"/>
  <c r="L105" i="13"/>
  <c r="M105" i="13"/>
  <c r="L106" i="13"/>
  <c r="M106" i="13"/>
  <c r="L107" i="13"/>
  <c r="M107" i="13"/>
  <c r="L108" i="13"/>
  <c r="M108" i="13"/>
  <c r="L109" i="13"/>
  <c r="M109" i="13"/>
  <c r="L110" i="13"/>
  <c r="M110" i="13"/>
  <c r="L111" i="13"/>
  <c r="M111" i="13"/>
  <c r="L112" i="13"/>
  <c r="M112" i="13"/>
  <c r="L113" i="13"/>
  <c r="M113" i="13"/>
  <c r="L114" i="13"/>
  <c r="M114" i="13"/>
  <c r="L115" i="13"/>
  <c r="M115" i="13"/>
  <c r="L116" i="13"/>
  <c r="M116" i="13"/>
  <c r="L117" i="13"/>
  <c r="M117" i="13"/>
  <c r="L118" i="13"/>
  <c r="M118" i="13"/>
  <c r="L119" i="13"/>
  <c r="M119" i="13"/>
  <c r="L120" i="13"/>
  <c r="M120" i="13"/>
  <c r="L121" i="13"/>
  <c r="M121" i="13"/>
  <c r="L122" i="13"/>
  <c r="M122" i="13"/>
  <c r="L123" i="13"/>
  <c r="M123" i="13"/>
  <c r="L124" i="13"/>
  <c r="M124" i="13"/>
  <c r="L125" i="13"/>
  <c r="M125" i="13"/>
  <c r="L126" i="13"/>
  <c r="M126" i="13"/>
  <c r="L127" i="13"/>
  <c r="M127" i="13"/>
  <c r="L128" i="13"/>
  <c r="M128" i="13"/>
  <c r="L129" i="13"/>
  <c r="M129" i="13"/>
  <c r="L130" i="13"/>
  <c r="M130" i="13"/>
  <c r="L131" i="13"/>
  <c r="M131" i="13"/>
  <c r="L132" i="13"/>
  <c r="M132" i="13"/>
  <c r="L133" i="13"/>
  <c r="M133" i="13"/>
  <c r="L134" i="13"/>
  <c r="M134" i="13"/>
  <c r="L135" i="13"/>
  <c r="M135" i="13"/>
  <c r="L136" i="13"/>
  <c r="M136" i="13"/>
  <c r="L137" i="13"/>
  <c r="M137" i="13"/>
  <c r="L138" i="13"/>
  <c r="M138" i="13"/>
  <c r="L139" i="13"/>
  <c r="M139" i="13"/>
  <c r="L140" i="13"/>
  <c r="M140" i="13"/>
  <c r="L141" i="13"/>
  <c r="M141" i="13"/>
  <c r="L142" i="13"/>
  <c r="M142" i="13"/>
  <c r="L143" i="13"/>
  <c r="M143" i="13"/>
  <c r="L144" i="13"/>
  <c r="M144" i="13"/>
  <c r="L145" i="13"/>
  <c r="M145" i="13"/>
  <c r="L146" i="13"/>
  <c r="M146" i="13"/>
  <c r="L147" i="13"/>
  <c r="M147" i="13"/>
  <c r="L148" i="13"/>
  <c r="M148" i="13"/>
  <c r="L149" i="13"/>
  <c r="M149" i="13"/>
  <c r="L150" i="13"/>
  <c r="M150" i="13"/>
  <c r="L151" i="13"/>
  <c r="M151" i="13"/>
  <c r="L152" i="13"/>
  <c r="M152" i="13"/>
  <c r="L153" i="13"/>
  <c r="M153" i="13"/>
  <c r="L154" i="13"/>
  <c r="M154" i="13"/>
  <c r="L181" i="13"/>
  <c r="M181" i="13"/>
  <c r="L182" i="13"/>
  <c r="M182" i="13"/>
  <c r="L183" i="13"/>
  <c r="M183" i="13"/>
  <c r="L184" i="13"/>
  <c r="M184" i="13"/>
  <c r="L185" i="13"/>
  <c r="M185" i="13"/>
  <c r="L186" i="13"/>
  <c r="M186" i="13"/>
  <c r="L155" i="13"/>
  <c r="M155" i="13"/>
  <c r="L156" i="13"/>
  <c r="M156" i="13"/>
  <c r="L157" i="13"/>
  <c r="M157" i="13"/>
  <c r="L187" i="13"/>
  <c r="M187" i="13"/>
  <c r="L188" i="13"/>
  <c r="M188" i="13"/>
  <c r="L189" i="13"/>
  <c r="M189" i="13"/>
  <c r="L190" i="13"/>
  <c r="M190" i="13"/>
  <c r="L191" i="13"/>
  <c r="M191" i="13"/>
  <c r="L158" i="13"/>
  <c r="M158" i="13"/>
  <c r="L159" i="13"/>
  <c r="M159" i="13"/>
  <c r="L192" i="13"/>
  <c r="M192" i="13"/>
  <c r="L193" i="13"/>
  <c r="M193" i="13"/>
  <c r="L194" i="13"/>
  <c r="M194" i="13"/>
  <c r="L195" i="13"/>
  <c r="M195" i="13"/>
  <c r="L196" i="13"/>
  <c r="M196" i="13"/>
  <c r="L197" i="13"/>
  <c r="M197" i="13"/>
  <c r="L198" i="13"/>
  <c r="M198" i="13"/>
  <c r="L199" i="13"/>
  <c r="M199" i="13"/>
  <c r="L160" i="13"/>
  <c r="M160" i="13"/>
  <c r="L161" i="13"/>
  <c r="M161" i="13"/>
  <c r="L162" i="13"/>
  <c r="M162" i="13"/>
  <c r="L163" i="13"/>
  <c r="M163" i="13"/>
  <c r="L164" i="13"/>
  <c r="M164" i="13"/>
  <c r="L165" i="13"/>
  <c r="M165" i="13"/>
  <c r="L200" i="13"/>
  <c r="M200" i="13"/>
  <c r="L166" i="13"/>
  <c r="M166" i="13"/>
  <c r="L167" i="13"/>
  <c r="M167" i="13"/>
  <c r="L168" i="13"/>
  <c r="M168" i="13"/>
  <c r="L201" i="13"/>
  <c r="M201" i="13"/>
  <c r="L169" i="13"/>
  <c r="M169" i="13"/>
  <c r="L170" i="13"/>
  <c r="M170" i="13"/>
  <c r="L171" i="13"/>
  <c r="M171" i="13"/>
  <c r="L172" i="13"/>
  <c r="M172" i="13"/>
  <c r="L173" i="13"/>
  <c r="M173" i="13"/>
  <c r="L174" i="13"/>
  <c r="M174" i="13"/>
  <c r="L175" i="13"/>
  <c r="M175" i="13"/>
  <c r="L176" i="13"/>
  <c r="M176" i="13"/>
  <c r="L177" i="13"/>
  <c r="M177" i="13"/>
  <c r="L178" i="13"/>
  <c r="M178" i="13"/>
  <c r="L179" i="13"/>
  <c r="M179" i="13"/>
  <c r="L202" i="13"/>
  <c r="M202" i="13"/>
  <c r="L203" i="13"/>
  <c r="M203" i="13"/>
  <c r="L204" i="13"/>
  <c r="M204" i="13"/>
  <c r="L205" i="13"/>
  <c r="M205" i="13"/>
  <c r="L206" i="13"/>
  <c r="M206" i="13"/>
  <c r="L207" i="13"/>
  <c r="M207" i="13"/>
  <c r="L208" i="13"/>
  <c r="M208" i="13"/>
  <c r="L209" i="13"/>
  <c r="M209" i="13"/>
  <c r="L210" i="13"/>
  <c r="M210" i="13"/>
  <c r="L211" i="13"/>
  <c r="M211" i="13"/>
  <c r="L212" i="13"/>
  <c r="M212" i="13"/>
  <c r="L213" i="13"/>
  <c r="M213" i="13"/>
  <c r="L214" i="13"/>
  <c r="M214" i="13"/>
  <c r="L215" i="13"/>
  <c r="M215" i="13"/>
  <c r="L216" i="13"/>
  <c r="M216" i="13"/>
  <c r="L217" i="13"/>
  <c r="M217" i="13"/>
  <c r="L218" i="13"/>
  <c r="M218" i="13"/>
  <c r="L219" i="13"/>
  <c r="M219" i="13"/>
  <c r="L220" i="13"/>
  <c r="M220" i="13"/>
  <c r="L221" i="13"/>
  <c r="M221" i="13"/>
  <c r="L222" i="13"/>
  <c r="M222" i="13"/>
  <c r="L180" i="13"/>
  <c r="M180" i="13"/>
  <c r="L223" i="13"/>
  <c r="M223" i="13"/>
  <c r="L224" i="13"/>
  <c r="M224" i="13"/>
  <c r="L225" i="13"/>
  <c r="M225" i="13"/>
  <c r="L226" i="13"/>
  <c r="M226" i="13"/>
  <c r="L227" i="13"/>
  <c r="M227" i="13"/>
  <c r="L228" i="13"/>
  <c r="M228" i="13"/>
  <c r="L229" i="13"/>
  <c r="M229" i="13"/>
  <c r="L230" i="13"/>
  <c r="M230" i="13"/>
  <c r="L231" i="13"/>
  <c r="M231" i="13"/>
  <c r="L232" i="13"/>
  <c r="M232" i="13"/>
  <c r="L233" i="13"/>
  <c r="M233" i="13"/>
  <c r="L234" i="13"/>
  <c r="M234" i="13"/>
  <c r="L235" i="13"/>
  <c r="M235" i="13"/>
  <c r="L236" i="13"/>
  <c r="M236" i="13"/>
  <c r="L237" i="13"/>
  <c r="M237" i="13"/>
  <c r="L238" i="13"/>
  <c r="M238" i="13"/>
  <c r="L239" i="13"/>
  <c r="M239" i="13"/>
  <c r="L240" i="13"/>
  <c r="M240" i="13"/>
  <c r="L241" i="13"/>
  <c r="M241" i="13"/>
  <c r="L242" i="13"/>
  <c r="M242" i="13"/>
  <c r="L243" i="13"/>
  <c r="M243" i="13"/>
  <c r="L244" i="13"/>
  <c r="M244" i="13"/>
  <c r="L245" i="13"/>
  <c r="M245" i="13"/>
  <c r="L246" i="13"/>
  <c r="M246" i="13"/>
  <c r="L247" i="13"/>
  <c r="M247" i="13"/>
  <c r="L248" i="13"/>
  <c r="M248" i="13"/>
  <c r="L249" i="13"/>
  <c r="M249" i="13"/>
  <c r="L250" i="13"/>
  <c r="M250" i="13"/>
  <c r="L251" i="13"/>
  <c r="M251" i="13"/>
  <c r="L252" i="13"/>
  <c r="M252" i="13"/>
  <c r="L253" i="13"/>
  <c r="M253" i="13"/>
  <c r="L254" i="13"/>
  <c r="M254" i="13"/>
  <c r="L255" i="13"/>
  <c r="M255" i="13"/>
  <c r="L256" i="13"/>
  <c r="M256" i="13"/>
  <c r="L257" i="13"/>
  <c r="M257" i="13"/>
  <c r="L258" i="13"/>
  <c r="M258" i="13"/>
  <c r="L259" i="13"/>
  <c r="M259" i="13"/>
  <c r="L260" i="13"/>
  <c r="M260" i="13"/>
  <c r="L261" i="13"/>
  <c r="M261" i="13"/>
  <c r="L262" i="13"/>
  <c r="M262" i="13"/>
  <c r="L263" i="13"/>
  <c r="M263" i="13"/>
  <c r="L264" i="13"/>
  <c r="M264" i="13"/>
  <c r="L265" i="13"/>
  <c r="M265" i="13"/>
  <c r="L266" i="13"/>
  <c r="M266" i="13"/>
  <c r="L267" i="13"/>
  <c r="M267" i="13"/>
  <c r="L268" i="13"/>
  <c r="M268" i="13"/>
  <c r="L269" i="13"/>
  <c r="M269" i="13"/>
  <c r="L270" i="13"/>
  <c r="M270" i="13"/>
  <c r="L271" i="13"/>
  <c r="M271" i="13"/>
  <c r="L272" i="13"/>
  <c r="M272" i="13"/>
  <c r="L273" i="13"/>
  <c r="M273" i="13"/>
  <c r="L274" i="13"/>
  <c r="M274" i="13"/>
  <c r="L275" i="13"/>
  <c r="M275" i="13"/>
  <c r="L276" i="13"/>
  <c r="M276" i="13"/>
  <c r="L277" i="13"/>
  <c r="M277" i="13"/>
  <c r="L278" i="13"/>
  <c r="M278" i="13"/>
  <c r="L279" i="13"/>
  <c r="M279" i="13"/>
  <c r="L280" i="13"/>
  <c r="M280" i="13"/>
  <c r="L281" i="13"/>
  <c r="M281" i="13"/>
  <c r="L282" i="13"/>
  <c r="M282" i="13"/>
  <c r="L283" i="13"/>
  <c r="M283" i="13"/>
  <c r="L284" i="13"/>
  <c r="M284" i="13"/>
  <c r="L285" i="13"/>
  <c r="M285" i="13"/>
  <c r="L286" i="13"/>
  <c r="M286" i="13"/>
  <c r="L287" i="13"/>
  <c r="M287" i="13"/>
  <c r="L288" i="13"/>
  <c r="M288" i="13"/>
  <c r="L289" i="13"/>
  <c r="M289" i="13"/>
  <c r="L290" i="13"/>
  <c r="M290" i="13"/>
  <c r="L291" i="13"/>
  <c r="M291" i="13"/>
  <c r="L292" i="13"/>
  <c r="M292" i="13"/>
  <c r="L293" i="13"/>
  <c r="M293" i="13"/>
  <c r="L294" i="13"/>
  <c r="M294" i="13"/>
  <c r="L295" i="13"/>
  <c r="M295" i="13"/>
  <c r="L322" i="13"/>
  <c r="M322" i="13"/>
  <c r="L323" i="13"/>
  <c r="M323" i="13"/>
  <c r="L324" i="13"/>
  <c r="M324" i="13"/>
  <c r="L325" i="13"/>
  <c r="M325" i="13"/>
  <c r="L326" i="13"/>
  <c r="M326" i="13"/>
  <c r="L327" i="13"/>
  <c r="M327" i="13"/>
  <c r="L296" i="13"/>
  <c r="M296" i="13"/>
  <c r="L297" i="13"/>
  <c r="M297" i="13"/>
  <c r="L298" i="13"/>
  <c r="M298" i="13"/>
  <c r="L328" i="13"/>
  <c r="M328" i="13"/>
  <c r="L329" i="13"/>
  <c r="M329" i="13"/>
  <c r="L330" i="13"/>
  <c r="M330" i="13"/>
  <c r="L331" i="13"/>
  <c r="M331" i="13"/>
  <c r="L332" i="13"/>
  <c r="M332" i="13"/>
  <c r="L299" i="13"/>
  <c r="M299" i="13"/>
  <c r="L300" i="13"/>
  <c r="M300" i="13"/>
  <c r="L333" i="13"/>
  <c r="M333" i="13"/>
  <c r="L334" i="13"/>
  <c r="M334" i="13"/>
  <c r="L335" i="13"/>
  <c r="M335" i="13"/>
  <c r="L336" i="13"/>
  <c r="M336" i="13"/>
  <c r="L337" i="13"/>
  <c r="M337" i="13"/>
  <c r="L338" i="13"/>
  <c r="M338" i="13"/>
  <c r="L339" i="13"/>
  <c r="M339" i="13"/>
  <c r="L340" i="13"/>
  <c r="M340" i="13"/>
  <c r="L301" i="13"/>
  <c r="M301" i="13"/>
  <c r="L302" i="13"/>
  <c r="M302" i="13"/>
  <c r="L303" i="13"/>
  <c r="M303" i="13"/>
  <c r="L304" i="13"/>
  <c r="M304" i="13"/>
  <c r="L305" i="13"/>
  <c r="M305" i="13"/>
  <c r="L306" i="13"/>
  <c r="M306" i="13"/>
  <c r="L341" i="13"/>
  <c r="M341" i="13"/>
  <c r="L307" i="13"/>
  <c r="M307" i="13"/>
  <c r="L308" i="13"/>
  <c r="M308" i="13"/>
  <c r="L309" i="13"/>
  <c r="M309" i="13"/>
  <c r="L342" i="13"/>
  <c r="M342" i="13"/>
  <c r="L310" i="13"/>
  <c r="M310" i="13"/>
  <c r="L311" i="13"/>
  <c r="M311" i="13"/>
  <c r="L312" i="13"/>
  <c r="M312" i="13"/>
  <c r="L313" i="13"/>
  <c r="M313" i="13"/>
  <c r="L314" i="13"/>
  <c r="M314" i="13"/>
  <c r="L315" i="13"/>
  <c r="M315" i="13"/>
  <c r="L316" i="13"/>
  <c r="M316" i="13"/>
  <c r="L317" i="13"/>
  <c r="M317" i="13"/>
  <c r="L318" i="13"/>
  <c r="M318" i="13"/>
  <c r="L319" i="13"/>
  <c r="M319" i="13"/>
  <c r="L320" i="13"/>
  <c r="M320" i="13"/>
  <c r="L343" i="13"/>
  <c r="M343" i="13"/>
  <c r="L344" i="13"/>
  <c r="M344" i="13"/>
  <c r="L345" i="13"/>
  <c r="M345" i="13"/>
  <c r="L346" i="13"/>
  <c r="M346" i="13"/>
  <c r="L347" i="13"/>
  <c r="M347" i="13"/>
  <c r="L348" i="13"/>
  <c r="M348" i="13"/>
  <c r="L349" i="13"/>
  <c r="M349" i="13"/>
  <c r="L350" i="13"/>
  <c r="M350" i="13"/>
  <c r="L351" i="13"/>
  <c r="M351" i="13"/>
  <c r="L352" i="13"/>
  <c r="M352" i="13"/>
  <c r="L353" i="13"/>
  <c r="M353" i="13"/>
  <c r="L354" i="13"/>
  <c r="M354" i="13"/>
  <c r="L355" i="13"/>
  <c r="M355" i="13"/>
  <c r="L356" i="13"/>
  <c r="M356" i="13"/>
  <c r="L357" i="13"/>
  <c r="M357" i="13"/>
  <c r="L358" i="13"/>
  <c r="M358" i="13"/>
  <c r="L359" i="13"/>
  <c r="M359" i="13"/>
  <c r="L360" i="13"/>
  <c r="M360" i="13"/>
  <c r="L361" i="13"/>
  <c r="M361" i="13"/>
  <c r="L362" i="13"/>
  <c r="M362" i="13"/>
  <c r="L363" i="13"/>
  <c r="M363" i="13"/>
  <c r="L364" i="13"/>
  <c r="M364" i="13"/>
  <c r="L321" i="13"/>
  <c r="M321" i="13"/>
  <c r="L365" i="13"/>
  <c r="M365" i="13"/>
  <c r="L366" i="13"/>
  <c r="M366" i="13"/>
  <c r="L367" i="13"/>
  <c r="M367" i="13"/>
  <c r="L368" i="13"/>
  <c r="M368" i="13"/>
  <c r="L369" i="13"/>
  <c r="M369" i="13"/>
  <c r="L380" i="13"/>
  <c r="M380" i="13"/>
  <c r="L381" i="13"/>
  <c r="M381" i="13"/>
  <c r="L370" i="13"/>
  <c r="M370" i="13"/>
  <c r="L382" i="13"/>
  <c r="M382" i="13"/>
  <c r="L383" i="13"/>
  <c r="M383" i="13"/>
  <c r="L384" i="13"/>
  <c r="M384" i="13"/>
  <c r="L371" i="13"/>
  <c r="M371" i="13"/>
  <c r="L385" i="13"/>
  <c r="M385" i="13"/>
  <c r="L372" i="13"/>
  <c r="M372" i="13"/>
  <c r="L373" i="13"/>
  <c r="M373" i="13"/>
  <c r="L374" i="13"/>
  <c r="M374" i="13"/>
  <c r="L375" i="13"/>
  <c r="M375" i="13"/>
  <c r="L376" i="13"/>
  <c r="M376" i="13"/>
  <c r="L377" i="13"/>
  <c r="M377" i="13"/>
  <c r="L378" i="13"/>
  <c r="M378" i="13"/>
  <c r="L386" i="13"/>
  <c r="M386" i="13"/>
  <c r="L379" i="13"/>
  <c r="M379" i="13"/>
  <c r="L387" i="13"/>
  <c r="M387" i="13"/>
  <c r="L388" i="13"/>
  <c r="M388" i="13"/>
  <c r="L389" i="13"/>
  <c r="M389" i="13"/>
  <c r="L390" i="13"/>
  <c r="M390" i="13"/>
  <c r="L391" i="13"/>
  <c r="M391" i="13"/>
  <c r="L392" i="13"/>
  <c r="M392" i="13"/>
  <c r="L393" i="13"/>
  <c r="M393" i="13"/>
  <c r="L394" i="13"/>
  <c r="M394" i="13"/>
  <c r="L395" i="13"/>
  <c r="M395" i="13"/>
  <c r="L396" i="13"/>
  <c r="M396" i="13"/>
  <c r="L397" i="13"/>
  <c r="M397" i="13"/>
  <c r="L398" i="13"/>
  <c r="M398" i="13"/>
  <c r="L399" i="13"/>
  <c r="M399" i="13"/>
  <c r="L400" i="13"/>
  <c r="M400" i="13"/>
  <c r="L401" i="13"/>
  <c r="M401" i="13"/>
  <c r="L402" i="13"/>
  <c r="M402" i="13"/>
  <c r="L403" i="13"/>
  <c r="M403" i="13"/>
  <c r="L404" i="13"/>
  <c r="M404" i="13"/>
  <c r="L405" i="13"/>
  <c r="M405" i="13"/>
  <c r="L406" i="13"/>
  <c r="M406" i="13"/>
  <c r="L407" i="13"/>
  <c r="M407" i="13"/>
  <c r="L408" i="13"/>
  <c r="M408" i="13"/>
  <c r="L409" i="13"/>
  <c r="M409" i="13"/>
  <c r="L410" i="13"/>
  <c r="M410" i="13"/>
  <c r="L411" i="13"/>
  <c r="M411" i="13"/>
  <c r="L412" i="13"/>
  <c r="M412" i="13"/>
  <c r="L413" i="13"/>
  <c r="M413" i="13"/>
  <c r="L441" i="13"/>
  <c r="M441" i="13"/>
  <c r="L442" i="13"/>
  <c r="M442" i="13"/>
  <c r="L443" i="13"/>
  <c r="M443" i="13"/>
  <c r="L444" i="13"/>
  <c r="M444" i="13"/>
  <c r="L445" i="13"/>
  <c r="M445" i="13"/>
  <c r="L446" i="13"/>
  <c r="M446" i="13"/>
  <c r="L447" i="13"/>
  <c r="M447" i="13"/>
  <c r="L448" i="13"/>
  <c r="M448" i="13"/>
  <c r="L449" i="13"/>
  <c r="M449" i="13"/>
  <c r="L450" i="13"/>
  <c r="M450" i="13"/>
  <c r="L451" i="13"/>
  <c r="M451" i="13"/>
  <c r="L452" i="13"/>
  <c r="M452" i="13"/>
  <c r="L453" i="13"/>
  <c r="M453" i="13"/>
  <c r="L454" i="13"/>
  <c r="M454" i="13"/>
  <c r="L455" i="13"/>
  <c r="M455" i="13"/>
  <c r="L456" i="13"/>
  <c r="M456" i="13"/>
  <c r="L457" i="13"/>
  <c r="M457" i="13"/>
  <c r="L458" i="13"/>
  <c r="M458" i="13"/>
  <c r="L459" i="13"/>
  <c r="M459" i="13"/>
  <c r="L486" i="13"/>
  <c r="M486" i="13"/>
  <c r="L487" i="13"/>
  <c r="M487" i="13"/>
  <c r="L488" i="13"/>
  <c r="M488" i="13"/>
  <c r="L489" i="13"/>
  <c r="M489" i="13"/>
  <c r="L490" i="13"/>
  <c r="M490" i="13"/>
  <c r="L491" i="13"/>
  <c r="M491" i="13"/>
  <c r="L460" i="13"/>
  <c r="M460" i="13"/>
  <c r="L461" i="13"/>
  <c r="M461" i="13"/>
  <c r="L462" i="13"/>
  <c r="M462" i="13"/>
  <c r="L492" i="13"/>
  <c r="M492" i="13"/>
  <c r="L493" i="13"/>
  <c r="M493" i="13"/>
  <c r="L494" i="13"/>
  <c r="M494" i="13"/>
  <c r="L495" i="13"/>
  <c r="M495" i="13"/>
  <c r="L496" i="13"/>
  <c r="M496" i="13"/>
  <c r="L463" i="13"/>
  <c r="M463" i="13"/>
  <c r="L464" i="13"/>
  <c r="M464" i="13"/>
  <c r="L497" i="13"/>
  <c r="M497" i="13"/>
  <c r="L498" i="13"/>
  <c r="M498" i="13"/>
  <c r="L499" i="13"/>
  <c r="M499" i="13"/>
  <c r="L500" i="13"/>
  <c r="M500" i="13"/>
  <c r="L501" i="13"/>
  <c r="M501" i="13"/>
  <c r="L502" i="13"/>
  <c r="M502" i="13"/>
  <c r="L503" i="13"/>
  <c r="M503" i="13"/>
  <c r="L504" i="13"/>
  <c r="M504" i="13"/>
  <c r="L465" i="13"/>
  <c r="M465" i="13"/>
  <c r="L466" i="13"/>
  <c r="M466" i="13"/>
  <c r="L467" i="13"/>
  <c r="M467" i="13"/>
  <c r="L468" i="13"/>
  <c r="M468" i="13"/>
  <c r="L469" i="13"/>
  <c r="M469" i="13"/>
  <c r="L470" i="13"/>
  <c r="M470" i="13"/>
  <c r="L505" i="13"/>
  <c r="M505" i="13"/>
  <c r="L471" i="13"/>
  <c r="M471" i="13"/>
  <c r="L472" i="13"/>
  <c r="M472" i="13"/>
  <c r="L473" i="13"/>
  <c r="M473" i="13"/>
  <c r="L506" i="13"/>
  <c r="M506" i="13"/>
  <c r="L474" i="13"/>
  <c r="M474" i="13"/>
  <c r="L475" i="13"/>
  <c r="M475" i="13"/>
  <c r="L476" i="13"/>
  <c r="M476" i="13"/>
  <c r="L477" i="13"/>
  <c r="M477" i="13"/>
  <c r="L478" i="13"/>
  <c r="M478" i="13"/>
  <c r="L479" i="13"/>
  <c r="M479" i="13"/>
  <c r="L480" i="13"/>
  <c r="M480" i="13"/>
  <c r="L481" i="13"/>
  <c r="M481" i="13"/>
  <c r="L482" i="13"/>
  <c r="M482" i="13"/>
  <c r="L483" i="13"/>
  <c r="M483" i="13"/>
  <c r="L484" i="13"/>
  <c r="M484" i="13"/>
  <c r="L507" i="13"/>
  <c r="M507" i="13"/>
  <c r="L508" i="13"/>
  <c r="M508" i="13"/>
  <c r="L509" i="13"/>
  <c r="L510" i="13"/>
  <c r="M510" i="13"/>
  <c r="L511" i="13"/>
  <c r="M511" i="13"/>
  <c r="L512" i="13"/>
  <c r="M512" i="13"/>
  <c r="L513" i="13"/>
  <c r="M513" i="13"/>
  <c r="L514" i="13"/>
  <c r="M514" i="13"/>
  <c r="L515" i="13"/>
  <c r="M515" i="13"/>
  <c r="L516" i="13"/>
  <c r="M516" i="13"/>
  <c r="L517" i="13"/>
  <c r="M517" i="13"/>
  <c r="L518" i="13"/>
  <c r="M518" i="13"/>
  <c r="L519" i="13"/>
  <c r="M519" i="13"/>
  <c r="L520" i="13"/>
  <c r="M520" i="13"/>
  <c r="L521" i="13"/>
  <c r="M521" i="13"/>
  <c r="L522" i="13"/>
  <c r="M522" i="13"/>
  <c r="L523" i="13"/>
  <c r="M523" i="13"/>
  <c r="L524" i="13"/>
  <c r="M524" i="13"/>
  <c r="L525" i="13"/>
  <c r="M525" i="13"/>
  <c r="L526" i="13"/>
  <c r="M526" i="13"/>
  <c r="L485" i="13"/>
  <c r="M485" i="13"/>
  <c r="L527" i="13"/>
  <c r="M527" i="13"/>
  <c r="L528" i="13"/>
  <c r="M528" i="13"/>
  <c r="L529" i="13"/>
  <c r="M529" i="13"/>
  <c r="L530" i="13"/>
  <c r="M530" i="13"/>
  <c r="L531" i="13"/>
  <c r="M531" i="13"/>
  <c r="L532" i="13"/>
  <c r="M532" i="13"/>
  <c r="L533" i="13"/>
  <c r="M533" i="13"/>
  <c r="L534" i="13"/>
  <c r="M534" i="13"/>
  <c r="L535" i="13"/>
  <c r="M535" i="13"/>
  <c r="L536" i="13"/>
  <c r="M536" i="13"/>
  <c r="L537" i="13"/>
  <c r="M537" i="13"/>
  <c r="L538" i="13"/>
  <c r="M538" i="13"/>
  <c r="L539" i="13"/>
  <c r="M539" i="13"/>
  <c r="L540" i="13"/>
  <c r="M540" i="13"/>
  <c r="L541" i="13"/>
  <c r="M541" i="13"/>
  <c r="L542" i="13"/>
  <c r="M542" i="13"/>
  <c r="L543" i="13"/>
  <c r="M543" i="13"/>
  <c r="L544" i="13"/>
  <c r="M544" i="13"/>
  <c r="L545" i="13"/>
  <c r="M545" i="13"/>
  <c r="L546" i="13"/>
  <c r="M546" i="13"/>
  <c r="L547" i="13"/>
  <c r="M547" i="13"/>
  <c r="L548" i="13"/>
  <c r="M548" i="13"/>
  <c r="L549" i="13"/>
  <c r="M549" i="13"/>
  <c r="L550" i="13"/>
  <c r="M550" i="13"/>
  <c r="L551" i="13"/>
  <c r="M551" i="13"/>
  <c r="L552" i="13"/>
  <c r="M552" i="13"/>
  <c r="L553" i="13"/>
  <c r="M553" i="13"/>
  <c r="L554" i="13"/>
  <c r="M554" i="13"/>
  <c r="L555" i="13"/>
  <c r="M555" i="13"/>
  <c r="L556" i="13"/>
  <c r="M556" i="13"/>
  <c r="L557" i="13"/>
  <c r="M557" i="13"/>
  <c r="L558" i="13"/>
  <c r="M558" i="13"/>
  <c r="L559" i="13"/>
  <c r="M559" i="13"/>
  <c r="L560" i="13"/>
  <c r="M560" i="13"/>
  <c r="L561" i="13"/>
  <c r="M561" i="13"/>
  <c r="L562" i="13"/>
  <c r="M562" i="13"/>
  <c r="L563" i="13"/>
  <c r="M563" i="13"/>
  <c r="L564" i="13"/>
  <c r="M564" i="13"/>
  <c r="L565" i="13"/>
  <c r="M565" i="13"/>
  <c r="L566" i="13"/>
  <c r="M566" i="13"/>
  <c r="L567" i="13"/>
  <c r="M567" i="13"/>
  <c r="L568" i="13"/>
  <c r="M568" i="13"/>
  <c r="L569" i="13"/>
  <c r="M569" i="13"/>
  <c r="L570" i="13"/>
  <c r="M570" i="13"/>
  <c r="L571" i="13"/>
  <c r="M571" i="13"/>
  <c r="L572" i="13"/>
  <c r="M572" i="13"/>
  <c r="L573" i="13"/>
  <c r="M573" i="13"/>
  <c r="L574" i="13"/>
  <c r="M574" i="13"/>
  <c r="L575" i="13"/>
  <c r="M575" i="13"/>
  <c r="L576" i="13"/>
  <c r="M576" i="13"/>
  <c r="L577" i="13"/>
  <c r="M577" i="13"/>
  <c r="L578" i="13"/>
  <c r="M578" i="13"/>
  <c r="L579" i="13"/>
  <c r="M579" i="13"/>
  <c r="L580" i="13"/>
  <c r="M580" i="13"/>
  <c r="L581" i="13"/>
  <c r="M581" i="13"/>
  <c r="L582" i="13"/>
  <c r="M582" i="13"/>
  <c r="L583" i="13"/>
  <c r="M583" i="13"/>
  <c r="L584" i="13"/>
  <c r="M584" i="13"/>
  <c r="L585" i="13"/>
  <c r="M585" i="13"/>
  <c r="L586" i="13"/>
  <c r="M586" i="13"/>
  <c r="L587" i="13"/>
  <c r="M587" i="13"/>
  <c r="L588" i="13"/>
  <c r="M588" i="13"/>
  <c r="L589" i="13"/>
  <c r="M589" i="13"/>
  <c r="L590" i="13"/>
  <c r="M590" i="13"/>
  <c r="L591" i="13"/>
  <c r="M591" i="13"/>
  <c r="L592" i="13"/>
  <c r="M592" i="13"/>
  <c r="L593" i="13"/>
  <c r="M593" i="13"/>
  <c r="L594" i="13"/>
  <c r="M594" i="13"/>
  <c r="L595" i="13"/>
  <c r="M595" i="13"/>
  <c r="L596" i="13"/>
  <c r="M596" i="13"/>
  <c r="L597" i="13"/>
  <c r="M597" i="13"/>
  <c r="L598" i="13"/>
  <c r="M598" i="13"/>
  <c r="L599" i="13"/>
  <c r="M599" i="13"/>
  <c r="L626" i="13"/>
  <c r="M626" i="13"/>
  <c r="L627" i="13"/>
  <c r="M627" i="13"/>
  <c r="L628" i="13"/>
  <c r="M628" i="13"/>
  <c r="L629" i="13"/>
  <c r="M629" i="13"/>
  <c r="L630" i="13"/>
  <c r="M630" i="13"/>
  <c r="L631" i="13"/>
  <c r="M631" i="13"/>
  <c r="L600" i="13"/>
  <c r="M600" i="13"/>
  <c r="L601" i="13"/>
  <c r="M601" i="13"/>
  <c r="L602" i="13"/>
  <c r="M602" i="13"/>
  <c r="L632" i="13"/>
  <c r="M632" i="13"/>
  <c r="L633" i="13"/>
  <c r="M633" i="13"/>
  <c r="L634" i="13"/>
  <c r="M634" i="13"/>
  <c r="L635" i="13"/>
  <c r="M635" i="13"/>
  <c r="L636" i="13"/>
  <c r="M636" i="13"/>
  <c r="L603" i="13"/>
  <c r="M603" i="13"/>
  <c r="L604" i="13"/>
  <c r="M604" i="13"/>
  <c r="L637" i="13"/>
  <c r="M637" i="13"/>
  <c r="L638" i="13"/>
  <c r="M638" i="13"/>
  <c r="L639" i="13"/>
  <c r="M639" i="13"/>
  <c r="L640" i="13"/>
  <c r="M640" i="13"/>
  <c r="L641" i="13"/>
  <c r="M641" i="13"/>
  <c r="L642" i="13"/>
  <c r="M642" i="13"/>
  <c r="L643" i="13"/>
  <c r="M643" i="13"/>
  <c r="L644" i="13"/>
  <c r="M644" i="13"/>
  <c r="L605" i="13"/>
  <c r="M605" i="13"/>
  <c r="L606" i="13"/>
  <c r="M606" i="13"/>
  <c r="L607" i="13"/>
  <c r="M607" i="13"/>
  <c r="L608" i="13"/>
  <c r="M608" i="13"/>
  <c r="L609" i="13"/>
  <c r="M609" i="13"/>
  <c r="L610" i="13"/>
  <c r="M610" i="13"/>
  <c r="L645" i="13"/>
  <c r="M645" i="13"/>
  <c r="L611" i="13"/>
  <c r="M611" i="13"/>
  <c r="L612" i="13"/>
  <c r="M612" i="13"/>
  <c r="L613" i="13"/>
  <c r="M613" i="13"/>
  <c r="L646" i="13"/>
  <c r="M646" i="13"/>
  <c r="L614" i="13"/>
  <c r="M614" i="13"/>
  <c r="L615" i="13"/>
  <c r="M615" i="13"/>
  <c r="L616" i="13"/>
  <c r="M616" i="13"/>
  <c r="L617" i="13"/>
  <c r="M617" i="13"/>
  <c r="L618" i="13"/>
  <c r="M618" i="13"/>
  <c r="L619" i="13"/>
  <c r="M619" i="13"/>
  <c r="L620" i="13"/>
  <c r="M620" i="13"/>
  <c r="L621" i="13"/>
  <c r="M621" i="13"/>
  <c r="L622" i="13"/>
  <c r="M622" i="13"/>
  <c r="L623" i="13"/>
  <c r="M623" i="13"/>
  <c r="L624" i="13"/>
  <c r="M624" i="13"/>
  <c r="L647" i="13"/>
  <c r="M647" i="13"/>
  <c r="L648" i="13"/>
  <c r="M648" i="13"/>
  <c r="L649" i="13"/>
  <c r="L650" i="13"/>
  <c r="M650" i="13"/>
  <c r="L651" i="13"/>
  <c r="M651" i="13"/>
  <c r="L652" i="13"/>
  <c r="M652" i="13"/>
  <c r="L653" i="13"/>
  <c r="M653" i="13"/>
  <c r="L654" i="13"/>
  <c r="M654" i="13"/>
  <c r="L655" i="13"/>
  <c r="M655" i="13"/>
  <c r="L656" i="13"/>
  <c r="M656" i="13"/>
  <c r="L657" i="13"/>
  <c r="M657" i="13"/>
  <c r="L658" i="13"/>
  <c r="M658" i="13"/>
  <c r="L659" i="13"/>
  <c r="M659" i="13"/>
  <c r="L660" i="13"/>
  <c r="M660" i="13"/>
  <c r="L661" i="13"/>
  <c r="M661" i="13"/>
  <c r="L662" i="13"/>
  <c r="M662" i="13"/>
  <c r="L663" i="13"/>
  <c r="M663" i="13"/>
  <c r="L664" i="13"/>
  <c r="M664" i="13"/>
  <c r="L665" i="13"/>
  <c r="M665" i="13"/>
  <c r="L666" i="13"/>
  <c r="M666" i="13"/>
  <c r="L625" i="13"/>
  <c r="M625" i="13"/>
  <c r="L667" i="13"/>
  <c r="M667" i="13"/>
  <c r="L668" i="13"/>
  <c r="M668" i="13"/>
  <c r="L669" i="13"/>
  <c r="M669" i="13"/>
  <c r="L672" i="13"/>
  <c r="M672" i="13"/>
  <c r="L673" i="13"/>
  <c r="M673" i="13"/>
  <c r="L684" i="13"/>
  <c r="M684" i="13"/>
  <c r="L685" i="13"/>
  <c r="M685" i="13"/>
  <c r="L674" i="13"/>
  <c r="M674" i="13"/>
  <c r="L686" i="13"/>
  <c r="M686" i="13"/>
  <c r="L687" i="13"/>
  <c r="M687" i="13"/>
  <c r="L688" i="13"/>
  <c r="M688" i="13"/>
  <c r="L675" i="13"/>
  <c r="M675" i="13"/>
  <c r="L689" i="13"/>
  <c r="M689" i="13"/>
  <c r="L676" i="13"/>
  <c r="M676" i="13"/>
  <c r="L677" i="13"/>
  <c r="M677" i="13"/>
  <c r="L678" i="13"/>
  <c r="M678" i="13"/>
  <c r="L679" i="13"/>
  <c r="M679" i="13"/>
  <c r="L680" i="13"/>
  <c r="M680" i="13"/>
  <c r="L681" i="13"/>
  <c r="M681" i="13"/>
  <c r="L682" i="13"/>
  <c r="M682" i="13"/>
  <c r="L670" i="13"/>
  <c r="M670" i="13"/>
  <c r="L690" i="13"/>
  <c r="M690" i="13"/>
  <c r="L671" i="13"/>
  <c r="M671" i="13"/>
  <c r="L683" i="13"/>
  <c r="M683" i="13"/>
  <c r="L691" i="13"/>
  <c r="M691" i="13"/>
  <c r="L692" i="13"/>
  <c r="M692" i="13"/>
  <c r="L693" i="13"/>
  <c r="M693" i="13"/>
  <c r="L694" i="13"/>
  <c r="M694" i="13"/>
  <c r="L695" i="13"/>
  <c r="M695" i="13"/>
  <c r="L696" i="13"/>
  <c r="M696" i="13"/>
  <c r="L697" i="13"/>
  <c r="M697" i="13"/>
  <c r="L698" i="13"/>
  <c r="M698" i="13"/>
  <c r="L699" i="13"/>
  <c r="M699" i="13"/>
  <c r="L700" i="13"/>
  <c r="M700" i="13"/>
  <c r="L701" i="13"/>
  <c r="M701" i="13"/>
  <c r="L702" i="13"/>
  <c r="M702" i="13"/>
  <c r="L703" i="13"/>
  <c r="M703" i="13"/>
  <c r="L704" i="13"/>
  <c r="M704" i="13"/>
  <c r="L705" i="13"/>
  <c r="M705" i="13"/>
  <c r="L706" i="13"/>
  <c r="M706" i="13"/>
  <c r="L707" i="13"/>
  <c r="M707" i="13"/>
  <c r="L708" i="13"/>
  <c r="M708" i="13"/>
  <c r="L709" i="13"/>
  <c r="M709" i="13"/>
  <c r="L710" i="13"/>
  <c r="M710" i="13"/>
  <c r="L711" i="13"/>
  <c r="M711" i="13"/>
  <c r="L712" i="13"/>
  <c r="M712" i="13"/>
  <c r="L713" i="13"/>
  <c r="M713" i="13"/>
  <c r="L714" i="13"/>
  <c r="M714" i="13"/>
  <c r="L715" i="13"/>
  <c r="M715" i="13"/>
  <c r="L716" i="13"/>
  <c r="M716" i="13"/>
  <c r="L717" i="13"/>
  <c r="M717" i="13"/>
  <c r="L718" i="13"/>
  <c r="M718" i="13"/>
  <c r="L719" i="13"/>
  <c r="M719" i="13"/>
  <c r="L720" i="13"/>
  <c r="M720" i="13"/>
  <c r="L721" i="13"/>
  <c r="M721" i="13"/>
  <c r="L722" i="13"/>
  <c r="M722" i="13"/>
  <c r="L723" i="13"/>
  <c r="M723" i="13"/>
  <c r="L724" i="13"/>
  <c r="M724" i="13"/>
  <c r="L725" i="13"/>
  <c r="M725" i="13"/>
  <c r="L726" i="13"/>
  <c r="M726" i="13"/>
  <c r="L727" i="13"/>
  <c r="M727" i="13"/>
  <c r="L728" i="13"/>
  <c r="M728" i="13"/>
  <c r="L729" i="13"/>
  <c r="M729" i="13"/>
  <c r="L730" i="13"/>
  <c r="M730" i="13"/>
  <c r="L731" i="13"/>
  <c r="M731" i="13"/>
  <c r="L732" i="13"/>
  <c r="M732" i="13"/>
  <c r="L733" i="13"/>
  <c r="M733" i="13"/>
  <c r="L734" i="13"/>
  <c r="M734" i="13"/>
  <c r="L735" i="13"/>
  <c r="M735" i="13"/>
  <c r="L736" i="13"/>
  <c r="M736" i="13"/>
  <c r="L737" i="13"/>
  <c r="M737" i="13"/>
  <c r="L738" i="13"/>
  <c r="M738" i="13"/>
  <c r="L739" i="13"/>
  <c r="M739" i="13"/>
  <c r="L740" i="13"/>
  <c r="M740" i="13"/>
  <c r="L741" i="13"/>
  <c r="M741" i="13"/>
  <c r="L742" i="13"/>
  <c r="M742" i="13"/>
  <c r="L743" i="13"/>
  <c r="M743" i="13"/>
  <c r="L744" i="13"/>
  <c r="M744" i="13"/>
  <c r="L745" i="13"/>
  <c r="M745" i="13"/>
  <c r="L772" i="13"/>
  <c r="L773" i="13"/>
  <c r="L774" i="13"/>
  <c r="L775" i="13"/>
  <c r="L776" i="13"/>
  <c r="L777" i="13"/>
  <c r="L746" i="13"/>
  <c r="M746" i="13"/>
  <c r="L747" i="13"/>
  <c r="M747" i="13"/>
  <c r="L748" i="13"/>
  <c r="M748" i="13"/>
  <c r="L778" i="13"/>
  <c r="L779" i="13"/>
  <c r="L780" i="13"/>
  <c r="L781" i="13"/>
  <c r="L782" i="13"/>
  <c r="L749" i="13"/>
  <c r="M749" i="13"/>
  <c r="L750" i="13"/>
  <c r="M750" i="13"/>
  <c r="L783" i="13"/>
  <c r="L784" i="13"/>
  <c r="L785" i="13"/>
  <c r="L786" i="13"/>
  <c r="L787" i="13"/>
  <c r="L788" i="13"/>
  <c r="L789" i="13"/>
  <c r="L790" i="13"/>
  <c r="L751" i="13"/>
  <c r="M751" i="13"/>
  <c r="L752" i="13"/>
  <c r="M752" i="13"/>
  <c r="L753" i="13"/>
  <c r="M753" i="13"/>
  <c r="L754" i="13"/>
  <c r="M754" i="13"/>
  <c r="L755" i="13"/>
  <c r="M755" i="13"/>
  <c r="L756" i="13"/>
  <c r="M756" i="13"/>
  <c r="L791" i="13"/>
  <c r="L757" i="13"/>
  <c r="M757" i="13"/>
  <c r="L758" i="13"/>
  <c r="M758" i="13"/>
  <c r="L759" i="13"/>
  <c r="M759" i="13"/>
  <c r="L792" i="13"/>
  <c r="L760" i="13"/>
  <c r="M760" i="13"/>
  <c r="L761" i="13"/>
  <c r="M761" i="13"/>
  <c r="L762" i="13"/>
  <c r="M762" i="13"/>
  <c r="L763" i="13"/>
  <c r="M763" i="13"/>
  <c r="L764" i="13"/>
  <c r="M764" i="13"/>
  <c r="L765" i="13"/>
  <c r="M765" i="13"/>
  <c r="L766" i="13"/>
  <c r="M766" i="13"/>
  <c r="L767" i="13"/>
  <c r="M767" i="13"/>
  <c r="L768" i="13"/>
  <c r="M768" i="13"/>
  <c r="L769" i="13"/>
  <c r="M769" i="13"/>
  <c r="L770" i="13"/>
  <c r="M770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771" i="13"/>
  <c r="M771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M828" i="13"/>
  <c r="L829" i="13"/>
  <c r="M829" i="13"/>
  <c r="L830" i="13"/>
  <c r="M830" i="13"/>
  <c r="L831" i="13"/>
  <c r="M831" i="13"/>
  <c r="L832" i="13"/>
  <c r="M832" i="13"/>
  <c r="L833" i="13"/>
  <c r="M833" i="13"/>
  <c r="L834" i="13"/>
  <c r="M834" i="13"/>
  <c r="L835" i="13"/>
  <c r="M835" i="13"/>
  <c r="L836" i="13"/>
  <c r="M836" i="13"/>
  <c r="L837" i="13"/>
  <c r="M837" i="13"/>
  <c r="L838" i="13"/>
  <c r="M838" i="13"/>
  <c r="L839" i="13"/>
  <c r="M839" i="13"/>
  <c r="L840" i="13"/>
  <c r="M840" i="13"/>
  <c r="L841" i="13"/>
  <c r="M841" i="13"/>
  <c r="L842" i="13"/>
  <c r="M842" i="13"/>
  <c r="L843" i="13"/>
  <c r="M843" i="13"/>
  <c r="L844" i="13"/>
  <c r="M844" i="13"/>
  <c r="L845" i="13"/>
  <c r="M845" i="13"/>
  <c r="L846" i="13"/>
  <c r="M846" i="13"/>
  <c r="L847" i="13"/>
  <c r="M847" i="13"/>
  <c r="L848" i="13"/>
  <c r="M848" i="13"/>
  <c r="L849" i="13"/>
  <c r="M849" i="13"/>
  <c r="L850" i="13"/>
  <c r="M850" i="13"/>
  <c r="L851" i="13"/>
  <c r="M851" i="13"/>
  <c r="L852" i="13"/>
  <c r="M852" i="13"/>
  <c r="L853" i="13"/>
  <c r="M853" i="13"/>
  <c r="L854" i="13"/>
  <c r="M854" i="13"/>
  <c r="L855" i="13"/>
  <c r="M855" i="13"/>
  <c r="L856" i="13"/>
  <c r="M856" i="13"/>
  <c r="L857" i="13"/>
  <c r="M857" i="13"/>
  <c r="L858" i="13"/>
  <c r="M858" i="13"/>
  <c r="L859" i="13"/>
  <c r="M859" i="13"/>
  <c r="L860" i="13"/>
  <c r="M860" i="13"/>
  <c r="L861" i="13"/>
  <c r="M861" i="13"/>
  <c r="L862" i="13"/>
  <c r="M862" i="13"/>
  <c r="L863" i="13"/>
  <c r="M863" i="13"/>
  <c r="L864" i="13"/>
  <c r="M864" i="13"/>
  <c r="L865" i="13"/>
  <c r="M865" i="13"/>
  <c r="L866" i="13"/>
  <c r="M866" i="13"/>
  <c r="L867" i="13"/>
  <c r="M867" i="13"/>
  <c r="L868" i="13"/>
  <c r="M868" i="13"/>
  <c r="L869" i="13"/>
  <c r="M869" i="13"/>
  <c r="L870" i="13"/>
  <c r="M870" i="13"/>
  <c r="L871" i="13"/>
  <c r="M871" i="13"/>
  <c r="L872" i="13"/>
  <c r="M872" i="13"/>
  <c r="L873" i="13"/>
  <c r="M873" i="13"/>
  <c r="L874" i="13"/>
  <c r="M874" i="13"/>
  <c r="L875" i="13"/>
  <c r="M875" i="13"/>
  <c r="L876" i="13"/>
  <c r="M876" i="13"/>
  <c r="L877" i="13"/>
  <c r="M877" i="13"/>
  <c r="L878" i="13"/>
  <c r="M878" i="13"/>
  <c r="L879" i="13"/>
  <c r="M879" i="13"/>
  <c r="L880" i="13"/>
  <c r="M880" i="13"/>
  <c r="L881" i="13"/>
  <c r="M881" i="13"/>
  <c r="L882" i="13"/>
  <c r="M882" i="13"/>
  <c r="L909" i="13"/>
  <c r="L910" i="13"/>
  <c r="L911" i="13"/>
  <c r="L912" i="13"/>
  <c r="L913" i="13"/>
  <c r="L914" i="13"/>
  <c r="L883" i="13"/>
  <c r="M883" i="13"/>
  <c r="L884" i="13"/>
  <c r="M884" i="13"/>
  <c r="L885" i="13"/>
  <c r="M885" i="13"/>
  <c r="L915" i="13"/>
  <c r="L916" i="13"/>
  <c r="L917" i="13"/>
  <c r="L918" i="13"/>
  <c r="L919" i="13"/>
  <c r="L886" i="13"/>
  <c r="M886" i="13"/>
  <c r="L887" i="13"/>
  <c r="M887" i="13"/>
  <c r="L920" i="13"/>
  <c r="L921" i="13"/>
  <c r="L922" i="13"/>
  <c r="L923" i="13"/>
  <c r="L924" i="13"/>
  <c r="L925" i="13"/>
  <c r="L926" i="13"/>
  <c r="L927" i="13"/>
  <c r="L888" i="13"/>
  <c r="M888" i="13"/>
  <c r="L889" i="13"/>
  <c r="M889" i="13"/>
  <c r="L890" i="13"/>
  <c r="M890" i="13"/>
  <c r="L891" i="13"/>
  <c r="M891" i="13"/>
  <c r="L892" i="13"/>
  <c r="M892" i="13"/>
  <c r="L893" i="13"/>
  <c r="M893" i="13"/>
  <c r="L928" i="13"/>
  <c r="L894" i="13"/>
  <c r="M894" i="13"/>
  <c r="L895" i="13"/>
  <c r="M895" i="13"/>
  <c r="L896" i="13"/>
  <c r="M896" i="13"/>
  <c r="L929" i="13"/>
  <c r="L897" i="13"/>
  <c r="M897" i="13"/>
  <c r="L898" i="13"/>
  <c r="M898" i="13"/>
  <c r="L899" i="13"/>
  <c r="M899" i="13"/>
  <c r="L900" i="13"/>
  <c r="M900" i="13"/>
  <c r="L901" i="13"/>
  <c r="M901" i="13"/>
  <c r="L902" i="13"/>
  <c r="M902" i="13"/>
  <c r="L903" i="13"/>
  <c r="M903" i="13"/>
  <c r="L904" i="13"/>
  <c r="M904" i="13"/>
  <c r="L905" i="13"/>
  <c r="M905" i="13"/>
  <c r="L906" i="13"/>
  <c r="M906" i="13"/>
  <c r="L907" i="13"/>
  <c r="M907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08" i="13"/>
  <c r="M908" i="13"/>
  <c r="L950" i="13"/>
  <c r="L951" i="13"/>
  <c r="L952" i="13"/>
  <c r="M953" i="13"/>
  <c r="M954" i="13"/>
  <c r="L965" i="13"/>
  <c r="M965" i="13"/>
  <c r="L966" i="13"/>
  <c r="M966" i="13"/>
  <c r="M955" i="13"/>
  <c r="M967" i="13"/>
  <c r="M968" i="13"/>
  <c r="M969" i="13"/>
  <c r="M956" i="13"/>
  <c r="M970" i="13"/>
  <c r="M957" i="13"/>
  <c r="M958" i="13"/>
  <c r="M959" i="13"/>
  <c r="M960" i="13"/>
  <c r="M961" i="13"/>
  <c r="M962" i="13"/>
  <c r="M963" i="13"/>
  <c r="M971" i="13"/>
  <c r="M964" i="13"/>
  <c r="L972" i="13"/>
  <c r="M972" i="13"/>
  <c r="L973" i="13"/>
  <c r="M973" i="13"/>
  <c r="L974" i="13"/>
  <c r="M974" i="13"/>
  <c r="L975" i="13"/>
  <c r="M975" i="13"/>
  <c r="L976" i="13"/>
  <c r="M976" i="13"/>
  <c r="L977" i="13"/>
  <c r="M977" i="13"/>
  <c r="L978" i="13"/>
  <c r="M978" i="13"/>
  <c r="L979" i="13"/>
  <c r="M979" i="13"/>
  <c r="L980" i="13"/>
  <c r="M980" i="13"/>
  <c r="L981" i="13"/>
  <c r="M981" i="13"/>
  <c r="L982" i="13"/>
  <c r="M982" i="13"/>
  <c r="L983" i="13"/>
  <c r="M983" i="13"/>
  <c r="L984" i="13"/>
  <c r="M984" i="13"/>
  <c r="L985" i="13"/>
  <c r="M985" i="13"/>
  <c r="L986" i="13"/>
  <c r="M986" i="13"/>
  <c r="L987" i="13"/>
  <c r="M987" i="13"/>
  <c r="L988" i="13"/>
  <c r="M988" i="13"/>
  <c r="L989" i="13"/>
  <c r="M989" i="13"/>
  <c r="L990" i="13"/>
  <c r="M990" i="13"/>
  <c r="L991" i="13"/>
  <c r="M991" i="13"/>
  <c r="L992" i="13"/>
  <c r="M992" i="13"/>
  <c r="L993" i="13"/>
  <c r="M993" i="13"/>
  <c r="L994" i="13"/>
  <c r="M994" i="13"/>
  <c r="L995" i="13"/>
  <c r="M995" i="13"/>
  <c r="L996" i="13"/>
  <c r="M996" i="13"/>
  <c r="L997" i="13"/>
  <c r="M997" i="13"/>
  <c r="L998" i="13"/>
  <c r="M998" i="13"/>
  <c r="L999" i="13"/>
  <c r="M999" i="13"/>
  <c r="L1000" i="13"/>
  <c r="M1000" i="13"/>
  <c r="L1001" i="13"/>
  <c r="M1001" i="13"/>
  <c r="L1002" i="13"/>
  <c r="M1002" i="13"/>
  <c r="L1003" i="13"/>
  <c r="M1003" i="13"/>
  <c r="L1004" i="13"/>
  <c r="M1004" i="13"/>
  <c r="L1005" i="13"/>
  <c r="M1005" i="13"/>
  <c r="L1006" i="13"/>
  <c r="M1006" i="13"/>
  <c r="L1007" i="13"/>
  <c r="M1007" i="13"/>
  <c r="L1008" i="13"/>
  <c r="M1008" i="13"/>
  <c r="L1009" i="13"/>
  <c r="M1009" i="13"/>
  <c r="L1010" i="13"/>
  <c r="M1010" i="13"/>
  <c r="L1011" i="13"/>
  <c r="M1011" i="13"/>
  <c r="L1012" i="13"/>
  <c r="M1012" i="13"/>
  <c r="L1013" i="13"/>
  <c r="M1013" i="13"/>
  <c r="L1014" i="13"/>
  <c r="M1014" i="13"/>
  <c r="L1015" i="13"/>
  <c r="M1015" i="13"/>
  <c r="L1016" i="13"/>
  <c r="M1016" i="13"/>
  <c r="L1017" i="13"/>
  <c r="M1017" i="13"/>
  <c r="L1018" i="13"/>
  <c r="M1018" i="13"/>
  <c r="L1019" i="13"/>
  <c r="M1019" i="13"/>
  <c r="L1020" i="13"/>
  <c r="M1020" i="13"/>
  <c r="L1021" i="13"/>
  <c r="M1021" i="13"/>
  <c r="L1022" i="13"/>
  <c r="M1022" i="13"/>
  <c r="L1023" i="13"/>
  <c r="M1023" i="13"/>
  <c r="L1024" i="13"/>
  <c r="M1024" i="13"/>
  <c r="L1025" i="13"/>
  <c r="M1025" i="13"/>
  <c r="L1026" i="13"/>
  <c r="M1026" i="13"/>
  <c r="L1027" i="13"/>
  <c r="M1027" i="13"/>
  <c r="L1028" i="13"/>
  <c r="M1028" i="13"/>
  <c r="L1029" i="13"/>
  <c r="M1029" i="13"/>
  <c r="L1030" i="13"/>
  <c r="M1030" i="13"/>
  <c r="L1031" i="13"/>
  <c r="M1031" i="13"/>
  <c r="L1032" i="13"/>
  <c r="M1032" i="13"/>
  <c r="L1033" i="13"/>
  <c r="M1033" i="13"/>
  <c r="L1034" i="13"/>
  <c r="M1034" i="13"/>
  <c r="L1035" i="13"/>
  <c r="M1035" i="13"/>
  <c r="L1036" i="13"/>
  <c r="M1036" i="13"/>
  <c r="L1037" i="13"/>
  <c r="M1037" i="13"/>
  <c r="L1038" i="13"/>
  <c r="M1038" i="13"/>
  <c r="L1039" i="13"/>
  <c r="M1039" i="13"/>
  <c r="L1040" i="13"/>
  <c r="M1040" i="13"/>
  <c r="L1041" i="13"/>
  <c r="M1041" i="13"/>
  <c r="L1042" i="13"/>
  <c r="M1042" i="13"/>
  <c r="L1069" i="13"/>
  <c r="M1069" i="13"/>
  <c r="L1070" i="13"/>
  <c r="M1070" i="13"/>
  <c r="L1071" i="13"/>
  <c r="M1071" i="13"/>
  <c r="L1072" i="13"/>
  <c r="M1072" i="13"/>
  <c r="L1073" i="13"/>
  <c r="M1073" i="13"/>
  <c r="L1074" i="13"/>
  <c r="M1074" i="13"/>
  <c r="L1043" i="13"/>
  <c r="M1043" i="13"/>
  <c r="L1044" i="13"/>
  <c r="M1044" i="13"/>
  <c r="L1045" i="13"/>
  <c r="M1045" i="13"/>
  <c r="L1075" i="13"/>
  <c r="M1075" i="13"/>
  <c r="L1076" i="13"/>
  <c r="M1076" i="13"/>
  <c r="L1077" i="13"/>
  <c r="M1077" i="13"/>
  <c r="L1078" i="13"/>
  <c r="M1078" i="13"/>
  <c r="L1079" i="13"/>
  <c r="M1079" i="13"/>
  <c r="L1046" i="13"/>
  <c r="M1046" i="13"/>
  <c r="L1047" i="13"/>
  <c r="M1047" i="13"/>
  <c r="L1080" i="13"/>
  <c r="M1080" i="13"/>
  <c r="L1081" i="13"/>
  <c r="M1081" i="13"/>
  <c r="L1082" i="13"/>
  <c r="M1082" i="13"/>
  <c r="L1083" i="13"/>
  <c r="M1083" i="13"/>
  <c r="L1084" i="13"/>
  <c r="M1084" i="13"/>
  <c r="L1085" i="13"/>
  <c r="M1085" i="13"/>
  <c r="L1086" i="13"/>
  <c r="M1086" i="13"/>
  <c r="L1087" i="13"/>
  <c r="M1087" i="13"/>
  <c r="L1048" i="13"/>
  <c r="M1048" i="13"/>
  <c r="L1049" i="13"/>
  <c r="M1049" i="13"/>
  <c r="L1050" i="13"/>
  <c r="M1050" i="13"/>
  <c r="L1051" i="13"/>
  <c r="M1051" i="13"/>
  <c r="L1052" i="13"/>
  <c r="M1052" i="13"/>
  <c r="L1053" i="13"/>
  <c r="M1053" i="13"/>
  <c r="L1088" i="13"/>
  <c r="M1088" i="13"/>
  <c r="L1054" i="13"/>
  <c r="M1054" i="13"/>
  <c r="L1055" i="13"/>
  <c r="M1055" i="13"/>
  <c r="L1056" i="13"/>
  <c r="M1056" i="13"/>
  <c r="L1089" i="13"/>
  <c r="M1089" i="13"/>
  <c r="L1057" i="13"/>
  <c r="M1057" i="13"/>
  <c r="L1058" i="13"/>
  <c r="M1058" i="13"/>
  <c r="L1059" i="13"/>
  <c r="M1059" i="13"/>
  <c r="L1060" i="13"/>
  <c r="M1060" i="13"/>
  <c r="L1061" i="13"/>
  <c r="M1061" i="13"/>
  <c r="L1062" i="13"/>
  <c r="M1062" i="13"/>
  <c r="L1063" i="13"/>
  <c r="M1063" i="13"/>
  <c r="L1064" i="13"/>
  <c r="M1064" i="13"/>
  <c r="L1065" i="13"/>
  <c r="M1065" i="13"/>
  <c r="L1066" i="13"/>
  <c r="M1066" i="13"/>
  <c r="L1067" i="13"/>
  <c r="M1067" i="13"/>
  <c r="L1090" i="13"/>
  <c r="M1090" i="13"/>
  <c r="L1091" i="13"/>
  <c r="M1091" i="13"/>
  <c r="L1092" i="13"/>
  <c r="M1092" i="13"/>
  <c r="L1093" i="13"/>
  <c r="M1093" i="13"/>
  <c r="L1094" i="13"/>
  <c r="M1094" i="13"/>
  <c r="L1095" i="13"/>
  <c r="M1095" i="13"/>
  <c r="L1096" i="13"/>
  <c r="M1096" i="13"/>
  <c r="L1097" i="13"/>
  <c r="M1097" i="13"/>
  <c r="L1098" i="13"/>
  <c r="M1098" i="13"/>
  <c r="L1099" i="13"/>
  <c r="M1099" i="13"/>
  <c r="L1100" i="13"/>
  <c r="M1100" i="13"/>
  <c r="L1101" i="13"/>
  <c r="M1101" i="13"/>
  <c r="L1102" i="13"/>
  <c r="M1102" i="13"/>
  <c r="L1103" i="13"/>
  <c r="M1103" i="13"/>
  <c r="L1104" i="13"/>
  <c r="M1104" i="13"/>
  <c r="L1105" i="13"/>
  <c r="M1105" i="13"/>
  <c r="L1106" i="13"/>
  <c r="M1106" i="13"/>
  <c r="L1107" i="13"/>
  <c r="M1107" i="13"/>
  <c r="L1108" i="13"/>
  <c r="M1108" i="13"/>
  <c r="L1109" i="13"/>
  <c r="M1109" i="13"/>
  <c r="L1068" i="13"/>
  <c r="M1068" i="13"/>
  <c r="L1110" i="13"/>
  <c r="M1110" i="13"/>
  <c r="L1111" i="13"/>
  <c r="M1111" i="13"/>
  <c r="L1112" i="13"/>
  <c r="M1112" i="13"/>
  <c r="L1115" i="13"/>
  <c r="M1115" i="13"/>
  <c r="L1116" i="13"/>
  <c r="M1116" i="13"/>
  <c r="L1117" i="13"/>
  <c r="M1117" i="13"/>
  <c r="L1118" i="13"/>
  <c r="M1118" i="13"/>
  <c r="L1119" i="13"/>
  <c r="M1119" i="13"/>
  <c r="L1120" i="13"/>
  <c r="M1120" i="13"/>
  <c r="L1121" i="13"/>
  <c r="L1122" i="13"/>
  <c r="M1122" i="13"/>
  <c r="L1123" i="13"/>
  <c r="M1123" i="13"/>
  <c r="L1124" i="13"/>
  <c r="M1124" i="13"/>
  <c r="L1125" i="13"/>
  <c r="M1125" i="13"/>
  <c r="L1126" i="13"/>
  <c r="M1126" i="13"/>
  <c r="L1113" i="13"/>
  <c r="M1113" i="13"/>
  <c r="L1114" i="13"/>
  <c r="M1114" i="13"/>
  <c r="L1127" i="13"/>
  <c r="M1127" i="13"/>
  <c r="L1128" i="13"/>
  <c r="M1128" i="13"/>
  <c r="L1129" i="13"/>
  <c r="M1129" i="13"/>
  <c r="L1130" i="13"/>
  <c r="M1130" i="13"/>
  <c r="L1131" i="13"/>
  <c r="M1131" i="13"/>
  <c r="L1132" i="13"/>
  <c r="M1132" i="13"/>
  <c r="L1133" i="13"/>
  <c r="M1133" i="13"/>
  <c r="L1134" i="13"/>
  <c r="M1134" i="13"/>
  <c r="L1135" i="13"/>
  <c r="M1135" i="13"/>
  <c r="L1136" i="13"/>
  <c r="M1136" i="13"/>
  <c r="L1137" i="13"/>
  <c r="M1137" i="13"/>
  <c r="L1138" i="13"/>
  <c r="M1138" i="13"/>
  <c r="L1139" i="13"/>
  <c r="M1139" i="13"/>
  <c r="L1140" i="13"/>
  <c r="M1140" i="13"/>
  <c r="L1141" i="13"/>
  <c r="M1141" i="13"/>
  <c r="L1142" i="13"/>
  <c r="M1142" i="13"/>
  <c r="L1143" i="13"/>
  <c r="M1143" i="13"/>
  <c r="L1144" i="13"/>
  <c r="M1144" i="13"/>
  <c r="L1145" i="13"/>
  <c r="M1145" i="13"/>
  <c r="L1146" i="13"/>
  <c r="M1146" i="13"/>
  <c r="L1147" i="13"/>
  <c r="M1147" i="13"/>
  <c r="L1148" i="13"/>
  <c r="M1148" i="13"/>
  <c r="L1149" i="13"/>
  <c r="M1149" i="13"/>
  <c r="L1150" i="13"/>
  <c r="M1150" i="13"/>
  <c r="L1151" i="13"/>
  <c r="M1151" i="13"/>
  <c r="L1152" i="13"/>
  <c r="M1152" i="13"/>
  <c r="L1153" i="13"/>
  <c r="M1153" i="13"/>
  <c r="L1154" i="13"/>
  <c r="M1154" i="13"/>
  <c r="L1155" i="13"/>
  <c r="M1155" i="13"/>
  <c r="L1156" i="13"/>
  <c r="M1156" i="13"/>
  <c r="L1157" i="13"/>
  <c r="M1157" i="13"/>
  <c r="L1158" i="13"/>
  <c r="M1158" i="13"/>
  <c r="L1159" i="13"/>
  <c r="M1159" i="13"/>
  <c r="L1160" i="13"/>
  <c r="M1160" i="13"/>
  <c r="L1161" i="13"/>
  <c r="M1161" i="13"/>
  <c r="L1162" i="13"/>
  <c r="M1162" i="13"/>
  <c r="L1163" i="13"/>
  <c r="M1163" i="13"/>
  <c r="L1164" i="13"/>
  <c r="M1164" i="13"/>
  <c r="L1165" i="13"/>
  <c r="M1165" i="13"/>
  <c r="L1166" i="13"/>
  <c r="M1166" i="13"/>
  <c r="L1167" i="13"/>
  <c r="M1167" i="13"/>
  <c r="L1168" i="13"/>
  <c r="M1168" i="13"/>
  <c r="L1169" i="13"/>
  <c r="M1169" i="13"/>
  <c r="L1170" i="13"/>
  <c r="M1170" i="13"/>
  <c r="L1171" i="13"/>
  <c r="M1171" i="13"/>
  <c r="L1172" i="13"/>
  <c r="M1172" i="13"/>
  <c r="L1173" i="13"/>
  <c r="M1173" i="13"/>
  <c r="L1174" i="13"/>
  <c r="M1174" i="13"/>
  <c r="L1175" i="13"/>
  <c r="M1175" i="13"/>
  <c r="L1176" i="13"/>
  <c r="M1176" i="13"/>
  <c r="L1177" i="13"/>
  <c r="M1177" i="13"/>
  <c r="L1178" i="13"/>
  <c r="M1178" i="13"/>
  <c r="L1179" i="13"/>
  <c r="M1179" i="13"/>
  <c r="L1180" i="13"/>
  <c r="M1180" i="13"/>
  <c r="L1181" i="13"/>
  <c r="M1181" i="13"/>
  <c r="L1208" i="13"/>
  <c r="M1208" i="13"/>
  <c r="L1209" i="13"/>
  <c r="M1209" i="13"/>
  <c r="L1210" i="13"/>
  <c r="M1210" i="13"/>
  <c r="L1211" i="13"/>
  <c r="M1211" i="13"/>
  <c r="L1212" i="13"/>
  <c r="M1212" i="13"/>
  <c r="L1213" i="13"/>
  <c r="M1213" i="13"/>
  <c r="L1182" i="13"/>
  <c r="M1182" i="13"/>
  <c r="L1183" i="13"/>
  <c r="M1183" i="13"/>
  <c r="L1184" i="13"/>
  <c r="M1184" i="13"/>
  <c r="L1214" i="13"/>
  <c r="M1214" i="13"/>
  <c r="L1215" i="13"/>
  <c r="M1215" i="13"/>
  <c r="L1216" i="13"/>
  <c r="M1216" i="13"/>
  <c r="L1217" i="13"/>
  <c r="M1217" i="13"/>
  <c r="L1218" i="13"/>
  <c r="M1218" i="13"/>
  <c r="L1185" i="13"/>
  <c r="M1185" i="13"/>
  <c r="L1186" i="13"/>
  <c r="M1186" i="13"/>
  <c r="L1219" i="13"/>
  <c r="M1219" i="13"/>
  <c r="L1220" i="13"/>
  <c r="M1220" i="13"/>
  <c r="L1221" i="13"/>
  <c r="M1221" i="13"/>
  <c r="L1222" i="13"/>
  <c r="M1222" i="13"/>
  <c r="L1223" i="13"/>
  <c r="M1223" i="13"/>
  <c r="L1224" i="13"/>
  <c r="M1224" i="13"/>
  <c r="L1225" i="13"/>
  <c r="M1225" i="13"/>
  <c r="L1226" i="13"/>
  <c r="M1226" i="13"/>
  <c r="L1187" i="13"/>
  <c r="M1187" i="13"/>
  <c r="L1188" i="13"/>
  <c r="M1188" i="13"/>
  <c r="L1189" i="13"/>
  <c r="M1189" i="13"/>
  <c r="L1190" i="13"/>
  <c r="M1190" i="13"/>
  <c r="L1191" i="13"/>
  <c r="M1191" i="13"/>
  <c r="L1192" i="13"/>
  <c r="M1192" i="13"/>
  <c r="L1227" i="13"/>
  <c r="M1227" i="13"/>
  <c r="L1193" i="13"/>
  <c r="M1193" i="13"/>
  <c r="L1194" i="13"/>
  <c r="M1194" i="13"/>
  <c r="L1195" i="13"/>
  <c r="M1195" i="13"/>
  <c r="L1228" i="13"/>
  <c r="M1228" i="13"/>
  <c r="L1196" i="13"/>
  <c r="M1196" i="13"/>
  <c r="L1197" i="13"/>
  <c r="M1197" i="13"/>
  <c r="L1198" i="13"/>
  <c r="M1198" i="13"/>
  <c r="L1199" i="13"/>
  <c r="M1199" i="13"/>
  <c r="L1200" i="13"/>
  <c r="M1200" i="13"/>
  <c r="L1201" i="13"/>
  <c r="M1201" i="13"/>
  <c r="L1202" i="13"/>
  <c r="M1202" i="13"/>
  <c r="L1203" i="13"/>
  <c r="M1203" i="13"/>
  <c r="L1204" i="13"/>
  <c r="M1204" i="13"/>
  <c r="L1205" i="13"/>
  <c r="M1205" i="13"/>
  <c r="L1206" i="13"/>
  <c r="M1206" i="13"/>
  <c r="L1229" i="13"/>
  <c r="M1229" i="13"/>
  <c r="L1230" i="13"/>
  <c r="M1230" i="13"/>
  <c r="L1231" i="13"/>
  <c r="M1231" i="13"/>
  <c r="L1232" i="13"/>
  <c r="M1232" i="13"/>
  <c r="L1233" i="13"/>
  <c r="M1233" i="13"/>
  <c r="L1234" i="13"/>
  <c r="M1234" i="13"/>
  <c r="L1235" i="13"/>
  <c r="M1235" i="13"/>
  <c r="L1236" i="13"/>
  <c r="M1236" i="13"/>
  <c r="L1237" i="13"/>
  <c r="M1237" i="13"/>
  <c r="L1238" i="13"/>
  <c r="M1238" i="13"/>
  <c r="L1239" i="13"/>
  <c r="M1239" i="13"/>
  <c r="L1240" i="13"/>
  <c r="M1240" i="13"/>
  <c r="L1241" i="13"/>
  <c r="M1241" i="13"/>
  <c r="L1242" i="13"/>
  <c r="M1242" i="13"/>
  <c r="L1243" i="13"/>
  <c r="M1243" i="13"/>
  <c r="L1244" i="13"/>
  <c r="M1244" i="13"/>
  <c r="L1245" i="13"/>
  <c r="M1245" i="13"/>
  <c r="L1246" i="13"/>
  <c r="M1246" i="13"/>
  <c r="L1247" i="13"/>
  <c r="M1247" i="13"/>
  <c r="L1248" i="13"/>
  <c r="M1248" i="13"/>
  <c r="L1207" i="13"/>
  <c r="M1207" i="13"/>
  <c r="L1249" i="13"/>
  <c r="M1249" i="13"/>
  <c r="L1250" i="13"/>
  <c r="M1250" i="13"/>
  <c r="L1251" i="13"/>
  <c r="M1251" i="13"/>
  <c r="L1254" i="13"/>
  <c r="M1254" i="13"/>
  <c r="L1255" i="13"/>
  <c r="M1255" i="13"/>
  <c r="L1266" i="13"/>
  <c r="M1266" i="13"/>
  <c r="L1267" i="13"/>
  <c r="M1267" i="13"/>
  <c r="L1256" i="13"/>
  <c r="M1256" i="13"/>
  <c r="L1268" i="13"/>
  <c r="M1268" i="13"/>
  <c r="L1269" i="13"/>
  <c r="M1269" i="13"/>
  <c r="L1270" i="13"/>
  <c r="M1270" i="13"/>
  <c r="L1257" i="13"/>
  <c r="M1257" i="13"/>
  <c r="L1271" i="13"/>
  <c r="M1271" i="13"/>
  <c r="L1258" i="13"/>
  <c r="M1258" i="13"/>
  <c r="L1259" i="13"/>
  <c r="M1259" i="13"/>
  <c r="L1260" i="13"/>
  <c r="M1260" i="13"/>
  <c r="L1261" i="13"/>
  <c r="M1261" i="13"/>
  <c r="L1262" i="13"/>
  <c r="M1262" i="13"/>
  <c r="L1263" i="13"/>
  <c r="M1263" i="13"/>
  <c r="L1264" i="13"/>
  <c r="M1264" i="13"/>
  <c r="L1252" i="13"/>
  <c r="M1252" i="13"/>
  <c r="L1272" i="13"/>
  <c r="M1272" i="13"/>
  <c r="L1253" i="13"/>
  <c r="M1253" i="13"/>
  <c r="L1265" i="13"/>
  <c r="M1265" i="13"/>
  <c r="L1273" i="13"/>
  <c r="M1273" i="13"/>
  <c r="L1274" i="13"/>
  <c r="M1274" i="13"/>
  <c r="L1275" i="13"/>
  <c r="M1275" i="13"/>
  <c r="L1276" i="13"/>
  <c r="M1276" i="13"/>
  <c r="L1277" i="13"/>
  <c r="M1277" i="13"/>
  <c r="L1278" i="13"/>
  <c r="M1278" i="13"/>
  <c r="L1279" i="13"/>
  <c r="M1279" i="13"/>
  <c r="L1280" i="13"/>
  <c r="M1280" i="13"/>
  <c r="L1281" i="13"/>
  <c r="M1281" i="13"/>
  <c r="L1282" i="13"/>
  <c r="M1282" i="13"/>
  <c r="L1283" i="13"/>
  <c r="M1283" i="13"/>
  <c r="L1284" i="13"/>
  <c r="M1284" i="13"/>
  <c r="L1285" i="13"/>
  <c r="M1285" i="13"/>
  <c r="L1286" i="13"/>
  <c r="M1286" i="13"/>
  <c r="L1287" i="13"/>
  <c r="M1287" i="13"/>
  <c r="L1288" i="13"/>
  <c r="M1288" i="13"/>
  <c r="L1289" i="13"/>
  <c r="M1289" i="13"/>
  <c r="L1290" i="13"/>
  <c r="M1290" i="13"/>
  <c r="L1291" i="13"/>
  <c r="M1291" i="13"/>
  <c r="L1292" i="13"/>
  <c r="M1292" i="13"/>
  <c r="L1293" i="13"/>
  <c r="M1293" i="13"/>
  <c r="L1294" i="13"/>
  <c r="M1294" i="13"/>
  <c r="L1295" i="13"/>
  <c r="M1295" i="13"/>
  <c r="L1296" i="13"/>
  <c r="M1296" i="13"/>
  <c r="L1297" i="13"/>
  <c r="M1297" i="13"/>
  <c r="L1298" i="13"/>
  <c r="M1298" i="13"/>
  <c r="L1299" i="13"/>
  <c r="M1299" i="13"/>
  <c r="L1300" i="13"/>
  <c r="M1300" i="13"/>
  <c r="L1301" i="13"/>
  <c r="M1301" i="13"/>
  <c r="L1302" i="13"/>
  <c r="M1302" i="13"/>
  <c r="L1303" i="13"/>
  <c r="M1303" i="13"/>
  <c r="L1304" i="13"/>
  <c r="M1304" i="13"/>
  <c r="L1305" i="13"/>
  <c r="M1305" i="13"/>
  <c r="L1306" i="13"/>
  <c r="M1306" i="13"/>
  <c r="L1307" i="13"/>
  <c r="M1307" i="13"/>
  <c r="L1308" i="13"/>
  <c r="M1308" i="13"/>
  <c r="L1309" i="13"/>
  <c r="M1309" i="13"/>
  <c r="L1310" i="13"/>
  <c r="M1310" i="13"/>
  <c r="L1311" i="13"/>
  <c r="M1311" i="13"/>
  <c r="L1312" i="13"/>
  <c r="M1312" i="13"/>
  <c r="L1313" i="13"/>
  <c r="M1313" i="13"/>
  <c r="L1314" i="13"/>
  <c r="M1314" i="13"/>
  <c r="L1315" i="13"/>
  <c r="M1315" i="13"/>
  <c r="L1316" i="13"/>
  <c r="M1316" i="13"/>
  <c r="L1317" i="13"/>
  <c r="M1317" i="13"/>
  <c r="L1318" i="13"/>
  <c r="M1318" i="13"/>
  <c r="L1319" i="13"/>
  <c r="M1319" i="13"/>
  <c r="L1320" i="13"/>
  <c r="M1320" i="13"/>
  <c r="L1321" i="13"/>
  <c r="M1321" i="13"/>
  <c r="L1322" i="13"/>
  <c r="M1322" i="13"/>
  <c r="L1323" i="13"/>
  <c r="M1323" i="13"/>
  <c r="L1324" i="13"/>
  <c r="M1324" i="13"/>
  <c r="L1325" i="13"/>
  <c r="M1325" i="13"/>
  <c r="L1326" i="13"/>
  <c r="M1326" i="13"/>
  <c r="L1327" i="13"/>
  <c r="M1327" i="13"/>
  <c r="L1354" i="13"/>
  <c r="M1354" i="13"/>
  <c r="L1355" i="13"/>
  <c r="M1355" i="13"/>
  <c r="L1356" i="13"/>
  <c r="M1356" i="13"/>
  <c r="L1357" i="13"/>
  <c r="M1357" i="13"/>
  <c r="L1358" i="13"/>
  <c r="M1358" i="13"/>
  <c r="L1359" i="13"/>
  <c r="M1359" i="13"/>
  <c r="L1328" i="13"/>
  <c r="M1328" i="13"/>
  <c r="L1329" i="13"/>
  <c r="M1329" i="13"/>
  <c r="L1330" i="13"/>
  <c r="M1330" i="13"/>
  <c r="L1360" i="13"/>
  <c r="M1360" i="13"/>
  <c r="L1361" i="13"/>
  <c r="M1361" i="13"/>
  <c r="L1362" i="13"/>
  <c r="M1362" i="13"/>
  <c r="L1363" i="13"/>
  <c r="M1363" i="13"/>
  <c r="L1364" i="13"/>
  <c r="M1364" i="13"/>
  <c r="L1331" i="13"/>
  <c r="M1331" i="13"/>
  <c r="L1332" i="13"/>
  <c r="M1332" i="13"/>
  <c r="L1365" i="13"/>
  <c r="M1365" i="13"/>
  <c r="L1366" i="13"/>
  <c r="M1366" i="13"/>
  <c r="L1367" i="13"/>
  <c r="M1367" i="13"/>
  <c r="L1368" i="13"/>
  <c r="M1368" i="13"/>
  <c r="L1369" i="13"/>
  <c r="M1369" i="13"/>
  <c r="L1370" i="13"/>
  <c r="M1370" i="13"/>
  <c r="L1371" i="13"/>
  <c r="M1371" i="13"/>
  <c r="L1372" i="13"/>
  <c r="M1372" i="13"/>
  <c r="L1333" i="13"/>
  <c r="M1333" i="13"/>
  <c r="L1334" i="13"/>
  <c r="M1334" i="13"/>
  <c r="L1335" i="13"/>
  <c r="M1335" i="13"/>
  <c r="L1336" i="13"/>
  <c r="M1336" i="13"/>
  <c r="L1337" i="13"/>
  <c r="M1337" i="13"/>
  <c r="L1338" i="13"/>
  <c r="M1338" i="13"/>
  <c r="L1373" i="13"/>
  <c r="M1373" i="13"/>
  <c r="L1339" i="13"/>
  <c r="M1339" i="13"/>
  <c r="L1340" i="13"/>
  <c r="M1340" i="13"/>
  <c r="L1341" i="13"/>
  <c r="M1341" i="13"/>
  <c r="L1374" i="13"/>
  <c r="M1374" i="13"/>
  <c r="L1342" i="13"/>
  <c r="M1342" i="13"/>
  <c r="L1343" i="13"/>
  <c r="M1343" i="13"/>
  <c r="L1344" i="13"/>
  <c r="M1344" i="13"/>
  <c r="L1345" i="13"/>
  <c r="M1345" i="13"/>
  <c r="L1346" i="13"/>
  <c r="M1346" i="13"/>
  <c r="L1347" i="13"/>
  <c r="M1347" i="13"/>
  <c r="L1348" i="13"/>
  <c r="M1348" i="13"/>
  <c r="L1349" i="13"/>
  <c r="M1349" i="13"/>
  <c r="L1350" i="13"/>
  <c r="M1350" i="13"/>
  <c r="L1351" i="13"/>
  <c r="M1351" i="13"/>
  <c r="L1352" i="13"/>
  <c r="M1352" i="13"/>
  <c r="L1375" i="13"/>
  <c r="M1375" i="13"/>
  <c r="L1376" i="13"/>
  <c r="M1376" i="13"/>
  <c r="L1377" i="13"/>
  <c r="M1377" i="13"/>
  <c r="L1378" i="13"/>
  <c r="M1378" i="13"/>
  <c r="L1379" i="13"/>
  <c r="M1379" i="13"/>
  <c r="L1380" i="13"/>
  <c r="M1380" i="13"/>
  <c r="L1381" i="13"/>
  <c r="M1381" i="13"/>
  <c r="L1382" i="13"/>
  <c r="M1382" i="13"/>
  <c r="L1383" i="13"/>
  <c r="M1383" i="13"/>
  <c r="L1384" i="13"/>
  <c r="M1384" i="13"/>
  <c r="L1385" i="13"/>
  <c r="M1385" i="13"/>
  <c r="L1386" i="13"/>
  <c r="M1386" i="13"/>
  <c r="L1387" i="13"/>
  <c r="M1387" i="13"/>
  <c r="L1388" i="13"/>
  <c r="M1388" i="13"/>
  <c r="L1389" i="13"/>
  <c r="M1389" i="13"/>
  <c r="L1390" i="13"/>
  <c r="M1390" i="13"/>
  <c r="L1391" i="13"/>
  <c r="M1391" i="13"/>
  <c r="L1392" i="13"/>
  <c r="M1392" i="13"/>
  <c r="L1393" i="13"/>
  <c r="M1393" i="13"/>
  <c r="L1394" i="13"/>
  <c r="M1394" i="13"/>
  <c r="L1353" i="13"/>
  <c r="M1353" i="13"/>
  <c r="L1395" i="13"/>
  <c r="M1395" i="13"/>
  <c r="L1396" i="13"/>
  <c r="M1396" i="13"/>
  <c r="L1397" i="13"/>
  <c r="M1397" i="13"/>
  <c r="L1398" i="13"/>
  <c r="M1398" i="13"/>
  <c r="L1399" i="13"/>
  <c r="M1399" i="13"/>
  <c r="L1400" i="13"/>
  <c r="M1400" i="13"/>
  <c r="L1401" i="13"/>
  <c r="M1401" i="13"/>
  <c r="L1402" i="13"/>
  <c r="M1402" i="13"/>
  <c r="L1403" i="13"/>
  <c r="M1403" i="13"/>
  <c r="L1404" i="13"/>
  <c r="M1404" i="13"/>
  <c r="L1405" i="13"/>
  <c r="M1405" i="13"/>
  <c r="L1406" i="13"/>
  <c r="M1406" i="13"/>
  <c r="L1407" i="13"/>
  <c r="M1407" i="13"/>
  <c r="L1408" i="13"/>
  <c r="M1408" i="13"/>
  <c r="L1409" i="13"/>
  <c r="M1409" i="13"/>
  <c r="L1410" i="13"/>
  <c r="M1410" i="13"/>
  <c r="L1411" i="13"/>
  <c r="M1411" i="13"/>
  <c r="L1412" i="13"/>
  <c r="M1412" i="13"/>
  <c r="L1413" i="13"/>
  <c r="M1413" i="13"/>
  <c r="L1414" i="13"/>
  <c r="M1414" i="13"/>
  <c r="L1415" i="13"/>
  <c r="M1415" i="13"/>
  <c r="L1416" i="13"/>
  <c r="M1416" i="13"/>
  <c r="L1417" i="13"/>
  <c r="M1417" i="13"/>
  <c r="L1418" i="13"/>
  <c r="M1418" i="13"/>
  <c r="L1419" i="13"/>
  <c r="M1419" i="13"/>
  <c r="L1420" i="13"/>
  <c r="M1420" i="13"/>
  <c r="L1421" i="13"/>
  <c r="M1421" i="13"/>
  <c r="L1422" i="13"/>
  <c r="M1422" i="13"/>
  <c r="L1423" i="13"/>
  <c r="M1423" i="13"/>
  <c r="L1424" i="13"/>
  <c r="M1424" i="13"/>
  <c r="L1425" i="13"/>
  <c r="M1425" i="13"/>
  <c r="L1426" i="13"/>
  <c r="M1426" i="13"/>
  <c r="L1427" i="13"/>
  <c r="M1427" i="13"/>
  <c r="L1428" i="13"/>
  <c r="M1428" i="13"/>
  <c r="L1429" i="13"/>
  <c r="M1429" i="13"/>
  <c r="L1430" i="13"/>
  <c r="M1430" i="13"/>
  <c r="L1431" i="13"/>
  <c r="M1431" i="13"/>
  <c r="L1432" i="13"/>
  <c r="M1432" i="13"/>
  <c r="L1433" i="13"/>
  <c r="M1433" i="13"/>
  <c r="L1434" i="13"/>
  <c r="M1434" i="13"/>
  <c r="L1435" i="13"/>
  <c r="M1435" i="13"/>
  <c r="L1436" i="13"/>
  <c r="M1436" i="13"/>
  <c r="L1437" i="13"/>
  <c r="M1437" i="13"/>
  <c r="L1438" i="13"/>
  <c r="M1438" i="13"/>
  <c r="L1439" i="13"/>
  <c r="M1439" i="13"/>
  <c r="L1440" i="13"/>
  <c r="M1440" i="13"/>
  <c r="L1441" i="13"/>
  <c r="M1441" i="13"/>
  <c r="L1442" i="13"/>
  <c r="M1442" i="13"/>
  <c r="L1443" i="13"/>
  <c r="M1443" i="13"/>
  <c r="L1444" i="13"/>
  <c r="M1444" i="13"/>
  <c r="L1445" i="13"/>
  <c r="M1445" i="13"/>
  <c r="L1446" i="13"/>
  <c r="M1446" i="13"/>
  <c r="L1447" i="13"/>
  <c r="M1447" i="13"/>
  <c r="L1448" i="13"/>
  <c r="M1448" i="13"/>
  <c r="L1449" i="13"/>
  <c r="M1449" i="13"/>
  <c r="L1450" i="13"/>
  <c r="M1450" i="13"/>
  <c r="L1451" i="13"/>
  <c r="M1451" i="13"/>
  <c r="L1452" i="13"/>
  <c r="M1452" i="13"/>
  <c r="L1453" i="13"/>
  <c r="M1453" i="13"/>
  <c r="L1454" i="13"/>
  <c r="M1454" i="13"/>
  <c r="L1455" i="13"/>
  <c r="M1455" i="13"/>
  <c r="L1456" i="13"/>
  <c r="M1456" i="13"/>
  <c r="L1457" i="13"/>
  <c r="M1457" i="13"/>
  <c r="L1458" i="13"/>
  <c r="M1458" i="13"/>
  <c r="L1459" i="13"/>
  <c r="M1459" i="13"/>
  <c r="L1460" i="13"/>
  <c r="M1460" i="13"/>
  <c r="L1461" i="13"/>
  <c r="M1461" i="13"/>
  <c r="L1491" i="13"/>
  <c r="M1491" i="13"/>
  <c r="L1492" i="13"/>
  <c r="M1492" i="13"/>
  <c r="L1493" i="13"/>
  <c r="M1493" i="13"/>
  <c r="L1494" i="13"/>
  <c r="M1494" i="13"/>
  <c r="L1495" i="13"/>
  <c r="M1495" i="13"/>
  <c r="L1496" i="13"/>
  <c r="M1496" i="13"/>
  <c r="L1465" i="13"/>
  <c r="M1465" i="13"/>
  <c r="L1466" i="13"/>
  <c r="M1466" i="13"/>
  <c r="L1467" i="13"/>
  <c r="M1467" i="13"/>
  <c r="L1497" i="13"/>
  <c r="M1497" i="13"/>
  <c r="L1498" i="13"/>
  <c r="M1498" i="13"/>
  <c r="L1499" i="13"/>
  <c r="M1499" i="13"/>
  <c r="L1500" i="13"/>
  <c r="M1500" i="13"/>
  <c r="L1501" i="13"/>
  <c r="M1501" i="13"/>
  <c r="L1468" i="13"/>
  <c r="M1468" i="13"/>
  <c r="L1469" i="13"/>
  <c r="M1469" i="13"/>
  <c r="L1502" i="13"/>
  <c r="M1502" i="13"/>
  <c r="L1503" i="13"/>
  <c r="M1503" i="13"/>
  <c r="L1504" i="13"/>
  <c r="M1504" i="13"/>
  <c r="L1505" i="13"/>
  <c r="M1505" i="13"/>
  <c r="L1506" i="13"/>
  <c r="M1506" i="13"/>
  <c r="L1507" i="13"/>
  <c r="M1507" i="13"/>
  <c r="L1508" i="13"/>
  <c r="M1508" i="13"/>
  <c r="L1509" i="13"/>
  <c r="M1509" i="13"/>
  <c r="L1470" i="13"/>
  <c r="M1470" i="13"/>
  <c r="L1471" i="13"/>
  <c r="M1471" i="13"/>
  <c r="L1472" i="13"/>
  <c r="M1472" i="13"/>
  <c r="L1473" i="13"/>
  <c r="M1473" i="13"/>
  <c r="L1474" i="13"/>
  <c r="M1474" i="13"/>
  <c r="L1475" i="13"/>
  <c r="M1475" i="13"/>
  <c r="L1510" i="13"/>
  <c r="M1510" i="13"/>
  <c r="L1476" i="13"/>
  <c r="M1476" i="13"/>
  <c r="L1477" i="13"/>
  <c r="M1477" i="13"/>
  <c r="L1478" i="13"/>
  <c r="M1478" i="13"/>
  <c r="L1511" i="13"/>
  <c r="M1511" i="13"/>
  <c r="L1479" i="13"/>
  <c r="M1479" i="13"/>
  <c r="L1480" i="13"/>
  <c r="M1480" i="13"/>
  <c r="L1481" i="13"/>
  <c r="M1481" i="13"/>
  <c r="L1482" i="13"/>
  <c r="M1482" i="13"/>
  <c r="L1483" i="13"/>
  <c r="M1483" i="13"/>
  <c r="L1484" i="13"/>
  <c r="M1484" i="13"/>
  <c r="L1485" i="13"/>
  <c r="M1485" i="13"/>
  <c r="L1486" i="13"/>
  <c r="M1486" i="13"/>
  <c r="L1487" i="13"/>
  <c r="M1487" i="13"/>
  <c r="L1488" i="13"/>
  <c r="M1488" i="13"/>
  <c r="L1489" i="13"/>
  <c r="M1489" i="13"/>
  <c r="L1512" i="13"/>
  <c r="M1512" i="13"/>
  <c r="L1513" i="13"/>
  <c r="M1513" i="13"/>
  <c r="L1514" i="13"/>
  <c r="M1514" i="13"/>
  <c r="L1515" i="13"/>
  <c r="M1515" i="13"/>
  <c r="L1516" i="13"/>
  <c r="M1516" i="13"/>
  <c r="L1517" i="13"/>
  <c r="M1517" i="13"/>
  <c r="L1518" i="13"/>
  <c r="M1518" i="13"/>
  <c r="L1519" i="13"/>
  <c r="M1519" i="13"/>
  <c r="L1520" i="13"/>
  <c r="M1520" i="13"/>
  <c r="L1521" i="13"/>
  <c r="M1521" i="13"/>
  <c r="L1522" i="13"/>
  <c r="M1522" i="13"/>
  <c r="L1523" i="13"/>
  <c r="M1523" i="13"/>
  <c r="L1524" i="13"/>
  <c r="M1524" i="13"/>
  <c r="L1525" i="13"/>
  <c r="M1525" i="13"/>
  <c r="L1526" i="13"/>
  <c r="M1526" i="13"/>
  <c r="L1527" i="13"/>
  <c r="M1527" i="13"/>
  <c r="L1528" i="13"/>
  <c r="M1528" i="13"/>
  <c r="L1529" i="13"/>
  <c r="M1529" i="13"/>
  <c r="L1530" i="13"/>
  <c r="M1530" i="13"/>
  <c r="L1531" i="13"/>
  <c r="M1531" i="13"/>
  <c r="L1490" i="13"/>
  <c r="M1490" i="13"/>
  <c r="L1532" i="13"/>
  <c r="M1532" i="13"/>
  <c r="L1533" i="13"/>
  <c r="M1533" i="13"/>
  <c r="L1534" i="13"/>
  <c r="M1534" i="13"/>
  <c r="L1535" i="13"/>
  <c r="M1535" i="13"/>
  <c r="L1536" i="13"/>
  <c r="M1536" i="13"/>
  <c r="L1547" i="13"/>
  <c r="M1547" i="13"/>
  <c r="L1548" i="13"/>
  <c r="M1548" i="13"/>
  <c r="L1537" i="13"/>
  <c r="M1537" i="13"/>
  <c r="L1549" i="13"/>
  <c r="M1549" i="13"/>
  <c r="L1550" i="13"/>
  <c r="M1550" i="13"/>
  <c r="L1551" i="13"/>
  <c r="M1551" i="13"/>
  <c r="L1538" i="13"/>
  <c r="M1538" i="13"/>
  <c r="L1552" i="13"/>
  <c r="M1552" i="13"/>
  <c r="L1539" i="13"/>
  <c r="M1539" i="13"/>
  <c r="L1540" i="13"/>
  <c r="M1540" i="13"/>
  <c r="L1541" i="13"/>
  <c r="M1541" i="13"/>
  <c r="L1542" i="13"/>
  <c r="M1542" i="13"/>
  <c r="L1543" i="13"/>
  <c r="M1543" i="13"/>
  <c r="L1544" i="13"/>
  <c r="M1544" i="13"/>
  <c r="L1545" i="13"/>
  <c r="M1545" i="13"/>
  <c r="L1553" i="13"/>
  <c r="M1553" i="13"/>
  <c r="L1546" i="13"/>
  <c r="M1546" i="13"/>
  <c r="L1554" i="13"/>
  <c r="M1554" i="13"/>
  <c r="L1555" i="13"/>
  <c r="M1555" i="13"/>
  <c r="L1556" i="13"/>
  <c r="M1556" i="13"/>
  <c r="L1557" i="13"/>
  <c r="M1557" i="13"/>
  <c r="L1558" i="13"/>
  <c r="M1558" i="13"/>
  <c r="L1559" i="13"/>
  <c r="M1559" i="13"/>
  <c r="L1560" i="13"/>
  <c r="M1560" i="13"/>
  <c r="L1561" i="13"/>
  <c r="M1561" i="13"/>
  <c r="L1562" i="13"/>
  <c r="M1562" i="13"/>
  <c r="L1563" i="13"/>
  <c r="M1563" i="13"/>
  <c r="L1564" i="13"/>
  <c r="M1564" i="13"/>
  <c r="L1565" i="13"/>
  <c r="M1565" i="13"/>
  <c r="L1566" i="13"/>
  <c r="M1566" i="13"/>
  <c r="L1567" i="13"/>
  <c r="M1567" i="13"/>
  <c r="L1568" i="13"/>
  <c r="M1568" i="13"/>
  <c r="L1569" i="13"/>
  <c r="M1569" i="13"/>
  <c r="L1570" i="13"/>
  <c r="M1570" i="13"/>
  <c r="L1571" i="13"/>
  <c r="M1571" i="13"/>
  <c r="L1572" i="13"/>
  <c r="M1572" i="13"/>
  <c r="L1573" i="13"/>
  <c r="M1573" i="13"/>
  <c r="L1574" i="13"/>
  <c r="M1574" i="13"/>
  <c r="L1575" i="13"/>
  <c r="M1575" i="13"/>
  <c r="L1576" i="13"/>
  <c r="M1576" i="13"/>
  <c r="L1577" i="13"/>
  <c r="M1577" i="13"/>
  <c r="L1578" i="13"/>
  <c r="M1578" i="13"/>
  <c r="L1579" i="13"/>
  <c r="M1579" i="13"/>
  <c r="L1580" i="13"/>
  <c r="M1580" i="13"/>
  <c r="L1581" i="13"/>
  <c r="M1581" i="13"/>
  <c r="L1582" i="13"/>
  <c r="M1582" i="13"/>
  <c r="L1583" i="13"/>
  <c r="M1583" i="13"/>
  <c r="L1584" i="13"/>
  <c r="M1584" i="13"/>
  <c r="L1585" i="13"/>
  <c r="M1585" i="13"/>
  <c r="L1586" i="13"/>
  <c r="M1586" i="13"/>
  <c r="L1587" i="13"/>
  <c r="M1587" i="13"/>
  <c r="L1588" i="13"/>
  <c r="M1588" i="13"/>
  <c r="L1589" i="13"/>
  <c r="M1589" i="13"/>
  <c r="L1590" i="13"/>
  <c r="M1590" i="13"/>
  <c r="L1591" i="13"/>
  <c r="M1591" i="13"/>
  <c r="L1592" i="13"/>
  <c r="M1592" i="13"/>
  <c r="L1593" i="13"/>
  <c r="M1593" i="13"/>
  <c r="L1594" i="13"/>
  <c r="M1594" i="13"/>
  <c r="L1595" i="13"/>
  <c r="M1595" i="13"/>
  <c r="L1596" i="13"/>
  <c r="M1596" i="13"/>
  <c r="L1597" i="13"/>
  <c r="M1597" i="13"/>
  <c r="L1598" i="13"/>
  <c r="M1598" i="13"/>
  <c r="L1599" i="13"/>
  <c r="M1599" i="13"/>
  <c r="L1600" i="13"/>
  <c r="M1600" i="13"/>
  <c r="L1601" i="13"/>
  <c r="M1601" i="13"/>
  <c r="L1602" i="13"/>
  <c r="M1602" i="13"/>
  <c r="L1603" i="13"/>
  <c r="M1603" i="13"/>
  <c r="L1604" i="13"/>
  <c r="M1604" i="13"/>
  <c r="L1605" i="13"/>
  <c r="M1605" i="13"/>
  <c r="L1606" i="13"/>
  <c r="M1606" i="13"/>
  <c r="L1607" i="13"/>
  <c r="M1607" i="13"/>
  <c r="L1608" i="13"/>
  <c r="M1608" i="13"/>
  <c r="L1609" i="13"/>
  <c r="M1609" i="13"/>
  <c r="L1610" i="13"/>
  <c r="M1610" i="13"/>
  <c r="L1611" i="13"/>
  <c r="M1611" i="13"/>
  <c r="L1612" i="13"/>
  <c r="M1612" i="13"/>
  <c r="L1613" i="13"/>
  <c r="M1613" i="13"/>
  <c r="L1614" i="13"/>
  <c r="M1614" i="13"/>
  <c r="L1615" i="13"/>
  <c r="M1615" i="13"/>
  <c r="L1616" i="13"/>
  <c r="M1616" i="13"/>
  <c r="L1617" i="13"/>
  <c r="M1617" i="13"/>
  <c r="L1618" i="13"/>
  <c r="M1618" i="13"/>
  <c r="L1619" i="13"/>
  <c r="M1619" i="13"/>
  <c r="L1620" i="13"/>
  <c r="M1620" i="13"/>
  <c r="L1621" i="13"/>
  <c r="M1621" i="13"/>
  <c r="L1622" i="13"/>
  <c r="M1622" i="13"/>
  <c r="L1623" i="13"/>
  <c r="M1623" i="13"/>
  <c r="L1624" i="13"/>
  <c r="M1624" i="13"/>
  <c r="L1651" i="13"/>
  <c r="M1651" i="13"/>
  <c r="L1652" i="13"/>
  <c r="M1652" i="13"/>
  <c r="L1653" i="13"/>
  <c r="M1653" i="13"/>
  <c r="L1654" i="13"/>
  <c r="M1654" i="13"/>
  <c r="L1655" i="13"/>
  <c r="M1655" i="13"/>
  <c r="L1656" i="13"/>
  <c r="M1656" i="13"/>
  <c r="L1625" i="13"/>
  <c r="M1625" i="13"/>
  <c r="L1626" i="13"/>
  <c r="M1626" i="13"/>
  <c r="L1627" i="13"/>
  <c r="M1627" i="13"/>
  <c r="L1657" i="13"/>
  <c r="M1657" i="13"/>
  <c r="L1658" i="13"/>
  <c r="M1658" i="13"/>
  <c r="L1659" i="13"/>
  <c r="M1659" i="13"/>
  <c r="L1660" i="13"/>
  <c r="M1660" i="13"/>
  <c r="L1661" i="13"/>
  <c r="M1661" i="13"/>
  <c r="L1628" i="13"/>
  <c r="M1628" i="13"/>
  <c r="L1629" i="13"/>
  <c r="M1629" i="13"/>
  <c r="L1662" i="13"/>
  <c r="M1662" i="13"/>
  <c r="L1663" i="13"/>
  <c r="M1663" i="13"/>
  <c r="L1664" i="13"/>
  <c r="M1664" i="13"/>
  <c r="L1665" i="13"/>
  <c r="M1665" i="13"/>
  <c r="L1666" i="13"/>
  <c r="M1666" i="13"/>
  <c r="L1667" i="13"/>
  <c r="M1667" i="13"/>
  <c r="L1668" i="13"/>
  <c r="M1668" i="13"/>
  <c r="L1669" i="13"/>
  <c r="M1669" i="13"/>
  <c r="L1630" i="13"/>
  <c r="M1630" i="13"/>
  <c r="L1631" i="13"/>
  <c r="M1631" i="13"/>
  <c r="L1632" i="13"/>
  <c r="M1632" i="13"/>
  <c r="L1633" i="13"/>
  <c r="M1633" i="13"/>
  <c r="L1634" i="13"/>
  <c r="M1634" i="13"/>
  <c r="L1635" i="13"/>
  <c r="M1635" i="13"/>
  <c r="L1670" i="13"/>
  <c r="M1670" i="13"/>
  <c r="L1636" i="13"/>
  <c r="M1636" i="13"/>
  <c r="L1637" i="13"/>
  <c r="M1637" i="13"/>
  <c r="L1638" i="13"/>
  <c r="M1638" i="13"/>
  <c r="L1671" i="13"/>
  <c r="M1671" i="13"/>
  <c r="L1639" i="13"/>
  <c r="M1639" i="13"/>
  <c r="L1640" i="13"/>
  <c r="M1640" i="13"/>
  <c r="L1641" i="13"/>
  <c r="M1641" i="13"/>
  <c r="L1642" i="13"/>
  <c r="M1642" i="13"/>
  <c r="L1643" i="13"/>
  <c r="M1643" i="13"/>
  <c r="L1644" i="13"/>
  <c r="M1644" i="13"/>
  <c r="L1645" i="13"/>
  <c r="M1645" i="13"/>
  <c r="L1646" i="13"/>
  <c r="M1646" i="13"/>
  <c r="L1647" i="13"/>
  <c r="M1647" i="13"/>
  <c r="L1648" i="13"/>
  <c r="M1648" i="13"/>
  <c r="L1649" i="13"/>
  <c r="M1649" i="13"/>
  <c r="L1672" i="13"/>
  <c r="M1672" i="13"/>
  <c r="L1673" i="13"/>
  <c r="M1673" i="13"/>
  <c r="L1674" i="13"/>
  <c r="M1674" i="13"/>
  <c r="L1675" i="13"/>
  <c r="M1675" i="13"/>
  <c r="L1676" i="13"/>
  <c r="M1676" i="13"/>
  <c r="L1677" i="13"/>
  <c r="M1677" i="13"/>
  <c r="L1678" i="13"/>
  <c r="M1678" i="13"/>
  <c r="L1679" i="13"/>
  <c r="M1679" i="13"/>
  <c r="L1680" i="13"/>
  <c r="M1680" i="13"/>
  <c r="L1681" i="13"/>
  <c r="M1681" i="13"/>
  <c r="L1682" i="13"/>
  <c r="M1682" i="13"/>
  <c r="L1683" i="13"/>
  <c r="M1683" i="13"/>
  <c r="L1684" i="13"/>
  <c r="M1684" i="13"/>
  <c r="L1685" i="13"/>
  <c r="M1685" i="13"/>
  <c r="L1686" i="13"/>
  <c r="M1686" i="13"/>
  <c r="L1687" i="13"/>
  <c r="M1687" i="13"/>
  <c r="L1688" i="13"/>
  <c r="M1688" i="13"/>
  <c r="L1689" i="13"/>
  <c r="M1689" i="13"/>
  <c r="L1690" i="13"/>
  <c r="M1690" i="13"/>
  <c r="L1691" i="13"/>
  <c r="M1691" i="13"/>
  <c r="L1650" i="13"/>
  <c r="M1650" i="13"/>
  <c r="L1692" i="13"/>
  <c r="M1692" i="13"/>
  <c r="L1693" i="13"/>
  <c r="M1693" i="13"/>
  <c r="L1694" i="13"/>
  <c r="M1694" i="13"/>
  <c r="L1695" i="13"/>
  <c r="M1695" i="13"/>
  <c r="L1696" i="13"/>
  <c r="M1696" i="13"/>
  <c r="L1697" i="13"/>
  <c r="M1697" i="13"/>
  <c r="L1698" i="13"/>
  <c r="M1698" i="13"/>
  <c r="L1699" i="13"/>
  <c r="M1699" i="13"/>
  <c r="L1700" i="13"/>
  <c r="M1700" i="13"/>
  <c r="L1701" i="13"/>
  <c r="M1701" i="13"/>
  <c r="L1702" i="13"/>
  <c r="M1702" i="13"/>
  <c r="L1703" i="13"/>
  <c r="M1703" i="13"/>
  <c r="L1704" i="13"/>
  <c r="M1704" i="13"/>
  <c r="L1705" i="13"/>
  <c r="M1705" i="13"/>
  <c r="L1706" i="13"/>
  <c r="M1706" i="13"/>
  <c r="L1707" i="13"/>
  <c r="M1707" i="13"/>
  <c r="L1708" i="13"/>
  <c r="M1708" i="13"/>
  <c r="L1709" i="13"/>
  <c r="M1709" i="13"/>
  <c r="L1710" i="13"/>
  <c r="M1710" i="13"/>
  <c r="L1711" i="13"/>
  <c r="M1711" i="13"/>
  <c r="L1712" i="13"/>
  <c r="M1712" i="13"/>
  <c r="L1713" i="13"/>
  <c r="M1713" i="13"/>
  <c r="L1714" i="13"/>
  <c r="M1714" i="13"/>
  <c r="L1715" i="13"/>
  <c r="M1715" i="13"/>
  <c r="L1716" i="13"/>
  <c r="M1716" i="13"/>
  <c r="L1717" i="13"/>
  <c r="M1717" i="13"/>
  <c r="L1718" i="13"/>
  <c r="M1718" i="13"/>
  <c r="L1719" i="13"/>
  <c r="M1719" i="13"/>
  <c r="L1720" i="13"/>
  <c r="M1720" i="13"/>
  <c r="L1721" i="13"/>
  <c r="M1721" i="13"/>
  <c r="L1722" i="13"/>
  <c r="M1722" i="13"/>
  <c r="L1723" i="13"/>
  <c r="M1723" i="13"/>
  <c r="L1724" i="13"/>
  <c r="M1724" i="13"/>
  <c r="L1725" i="13"/>
  <c r="M1725" i="13"/>
  <c r="L1726" i="13"/>
  <c r="M1726" i="13"/>
  <c r="L1727" i="13"/>
  <c r="M1727" i="13"/>
  <c r="L1728" i="13"/>
  <c r="M1728" i="13"/>
  <c r="L1729" i="13"/>
  <c r="M1729" i="13"/>
  <c r="L1730" i="13"/>
  <c r="M1730" i="13"/>
  <c r="L1731" i="13"/>
  <c r="M1731" i="13"/>
  <c r="L1732" i="13"/>
  <c r="M1732" i="13"/>
  <c r="L1733" i="13"/>
  <c r="M1733" i="13"/>
  <c r="L1734" i="13"/>
  <c r="M1734" i="13"/>
  <c r="L1735" i="13"/>
  <c r="M1735" i="13"/>
  <c r="L1736" i="13"/>
  <c r="M1736" i="13"/>
  <c r="L1737" i="13"/>
  <c r="M1737" i="13"/>
  <c r="L1738" i="13"/>
  <c r="M1738" i="13"/>
  <c r="L1739" i="13"/>
  <c r="M1739" i="13"/>
  <c r="L1740" i="13"/>
  <c r="M1740" i="13"/>
  <c r="L1741" i="13"/>
  <c r="M1741" i="13"/>
  <c r="L1742" i="13"/>
  <c r="M1742" i="13"/>
  <c r="L1743" i="13"/>
  <c r="M1743" i="13"/>
  <c r="L1744" i="13"/>
  <c r="M1744" i="13"/>
  <c r="L1745" i="13"/>
  <c r="M1745" i="13"/>
  <c r="L1746" i="13"/>
  <c r="M1746" i="13"/>
  <c r="L1747" i="13"/>
  <c r="M1747" i="13"/>
  <c r="L1748" i="13"/>
  <c r="M1748" i="13"/>
  <c r="L1749" i="13"/>
  <c r="M1749" i="13"/>
  <c r="L1750" i="13"/>
  <c r="M1750" i="13"/>
  <c r="L1751" i="13"/>
  <c r="M1751" i="13"/>
  <c r="L1752" i="13"/>
  <c r="M1752" i="13"/>
  <c r="L1753" i="13"/>
  <c r="M1753" i="13"/>
  <c r="L1754" i="13"/>
  <c r="M1754" i="13"/>
  <c r="L1755" i="13"/>
  <c r="M1755" i="13"/>
  <c r="L1756" i="13"/>
  <c r="M1756" i="13"/>
  <c r="L1757" i="13"/>
  <c r="M1757" i="13"/>
  <c r="L1758" i="13"/>
  <c r="M1758" i="13"/>
  <c r="L1759" i="13"/>
  <c r="M1759" i="13"/>
  <c r="L1760" i="13"/>
  <c r="M1760" i="13"/>
  <c r="L1761" i="13"/>
  <c r="M1761" i="13"/>
  <c r="L1762" i="13"/>
  <c r="M1762" i="13"/>
  <c r="L1763" i="13"/>
  <c r="M1763" i="13"/>
  <c r="L1790" i="13"/>
  <c r="M1790" i="13"/>
  <c r="L1791" i="13"/>
  <c r="M1791" i="13"/>
  <c r="L1792" i="13"/>
  <c r="M1792" i="13"/>
  <c r="L1793" i="13"/>
  <c r="M1793" i="13"/>
  <c r="L1794" i="13"/>
  <c r="M1794" i="13"/>
  <c r="L1795" i="13"/>
  <c r="M1795" i="13"/>
  <c r="L1764" i="13"/>
  <c r="M1764" i="13"/>
  <c r="L1765" i="13"/>
  <c r="M1765" i="13"/>
  <c r="L1766" i="13"/>
  <c r="M1766" i="13"/>
  <c r="L1796" i="13"/>
  <c r="M1796" i="13"/>
  <c r="L1797" i="13"/>
  <c r="M1797" i="13"/>
  <c r="L1798" i="13"/>
  <c r="M1798" i="13"/>
  <c r="L1799" i="13"/>
  <c r="M1799" i="13"/>
  <c r="L1800" i="13"/>
  <c r="M1800" i="13"/>
  <c r="L1767" i="13"/>
  <c r="M1767" i="13"/>
  <c r="L1768" i="13"/>
  <c r="M1768" i="13"/>
  <c r="L1801" i="13"/>
  <c r="M1801" i="13"/>
  <c r="L1802" i="13"/>
  <c r="M1802" i="13"/>
  <c r="L1803" i="13"/>
  <c r="M1803" i="13"/>
  <c r="L1804" i="13"/>
  <c r="M1804" i="13"/>
  <c r="L1805" i="13"/>
  <c r="M1805" i="13"/>
  <c r="L1806" i="13"/>
  <c r="M1806" i="13"/>
  <c r="L1807" i="13"/>
  <c r="M1807" i="13"/>
  <c r="L1808" i="13"/>
  <c r="M1808" i="13"/>
  <c r="L1769" i="13"/>
  <c r="M1769" i="13"/>
  <c r="L1770" i="13"/>
  <c r="M1770" i="13"/>
  <c r="L1771" i="13"/>
  <c r="M1771" i="13"/>
  <c r="L1772" i="13"/>
  <c r="M1772" i="13"/>
  <c r="L1773" i="13"/>
  <c r="M1773" i="13"/>
  <c r="L1774" i="13"/>
  <c r="M1774" i="13"/>
  <c r="L1809" i="13"/>
  <c r="M1809" i="13"/>
  <c r="L1775" i="13"/>
  <c r="M1775" i="13"/>
  <c r="L1776" i="13"/>
  <c r="M1776" i="13"/>
  <c r="L1777" i="13"/>
  <c r="M1777" i="13"/>
  <c r="L1810" i="13"/>
  <c r="M1810" i="13"/>
  <c r="L1778" i="13"/>
  <c r="M1778" i="13"/>
  <c r="L1779" i="13"/>
  <c r="M1779" i="13"/>
  <c r="L1780" i="13"/>
  <c r="M1780" i="13"/>
  <c r="L1781" i="13"/>
  <c r="M1781" i="13"/>
  <c r="L1782" i="13"/>
  <c r="M1782" i="13"/>
  <c r="L1783" i="13"/>
  <c r="M1783" i="13"/>
  <c r="L1784" i="13"/>
  <c r="M1784" i="13"/>
  <c r="L1785" i="13"/>
  <c r="M1785" i="13"/>
  <c r="L1786" i="13"/>
  <c r="M1786" i="13"/>
  <c r="L1787" i="13"/>
  <c r="M1787" i="13"/>
  <c r="L1788" i="13"/>
  <c r="M1788" i="13"/>
  <c r="L1811" i="13"/>
  <c r="M1811" i="13"/>
  <c r="L1812" i="13"/>
  <c r="M1812" i="13"/>
  <c r="L1813" i="13"/>
  <c r="M1813" i="13"/>
  <c r="L1814" i="13"/>
  <c r="M1814" i="13"/>
  <c r="L1815" i="13"/>
  <c r="M1815" i="13"/>
  <c r="L1816" i="13"/>
  <c r="M1816" i="13"/>
  <c r="L1817" i="13"/>
  <c r="M1817" i="13"/>
  <c r="L1818" i="13"/>
  <c r="M1818" i="13"/>
  <c r="L1819" i="13"/>
  <c r="M1819" i="13"/>
  <c r="L1820" i="13"/>
  <c r="M1820" i="13"/>
  <c r="L1821" i="13"/>
  <c r="M1821" i="13"/>
  <c r="L1822" i="13"/>
  <c r="M1822" i="13"/>
  <c r="L1823" i="13"/>
  <c r="M1823" i="13"/>
  <c r="L1824" i="13"/>
  <c r="M1824" i="13"/>
  <c r="L1825" i="13"/>
  <c r="M1825" i="13"/>
  <c r="L1826" i="13"/>
  <c r="M1826" i="13"/>
  <c r="L1827" i="13"/>
  <c r="M1827" i="13"/>
  <c r="L1828" i="13"/>
  <c r="M1828" i="13"/>
  <c r="L1829" i="13"/>
  <c r="M1829" i="13"/>
  <c r="L1830" i="13"/>
  <c r="M1830" i="13"/>
  <c r="L1789" i="13"/>
  <c r="M1789" i="13"/>
  <c r="L1831" i="13"/>
  <c r="M1831" i="13"/>
  <c r="L1832" i="13"/>
  <c r="M1832" i="13"/>
  <c r="L1833" i="13"/>
  <c r="M1833" i="13"/>
  <c r="L1836" i="13"/>
  <c r="M1836" i="13"/>
  <c r="L1837" i="13"/>
  <c r="M1837" i="13"/>
  <c r="L1848" i="13"/>
  <c r="M1848" i="13"/>
  <c r="L1849" i="13"/>
  <c r="M1849" i="13"/>
  <c r="L1838" i="13"/>
  <c r="M1838" i="13"/>
  <c r="L1850" i="13"/>
  <c r="M1850" i="13"/>
  <c r="L1851" i="13"/>
  <c r="M1851" i="13"/>
  <c r="L1852" i="13"/>
  <c r="M1852" i="13"/>
  <c r="L1839" i="13"/>
  <c r="M1839" i="13"/>
  <c r="L1853" i="13"/>
  <c r="M1853" i="13"/>
  <c r="L1840" i="13"/>
  <c r="M1840" i="13"/>
  <c r="L1841" i="13"/>
  <c r="M1841" i="13"/>
  <c r="L1842" i="13"/>
  <c r="M1842" i="13"/>
  <c r="L1843" i="13"/>
  <c r="M1843" i="13"/>
  <c r="L1844" i="13"/>
  <c r="M1844" i="13"/>
  <c r="L1845" i="13"/>
  <c r="M1845" i="13"/>
  <c r="L1846" i="13"/>
  <c r="M1846" i="13"/>
  <c r="L1834" i="13"/>
  <c r="M1834" i="13"/>
  <c r="L1854" i="13"/>
  <c r="M1854" i="13"/>
  <c r="L1835" i="13"/>
  <c r="M1835" i="13"/>
  <c r="L1847" i="13"/>
  <c r="M1847" i="13"/>
  <c r="L1855" i="13"/>
  <c r="M1855" i="13"/>
  <c r="L1856" i="13"/>
  <c r="M1856" i="13"/>
  <c r="L1857" i="13"/>
  <c r="M1857" i="13"/>
  <c r="L1858" i="13"/>
  <c r="M1858" i="13"/>
  <c r="L1859" i="13"/>
  <c r="M1859" i="13"/>
  <c r="L1860" i="13"/>
  <c r="M1860" i="13"/>
  <c r="L1861" i="13"/>
  <c r="M1861" i="13"/>
  <c r="L1862" i="13"/>
  <c r="M1862" i="13"/>
  <c r="L1863" i="13"/>
  <c r="M1863" i="13"/>
  <c r="L1864" i="13"/>
  <c r="M1864" i="13"/>
  <c r="L1865" i="13"/>
  <c r="M1865" i="13"/>
  <c r="L1866" i="13"/>
  <c r="M1866" i="13"/>
  <c r="L1867" i="13"/>
  <c r="M1867" i="13"/>
  <c r="L1868" i="13"/>
  <c r="M1868" i="13"/>
  <c r="L1869" i="13"/>
  <c r="M1869" i="13"/>
  <c r="L1870" i="13"/>
  <c r="M1870" i="13"/>
  <c r="L1871" i="13"/>
  <c r="M1871" i="13"/>
  <c r="L1872" i="13"/>
  <c r="M1872" i="13"/>
  <c r="L1873" i="13"/>
  <c r="M1873" i="13"/>
  <c r="L1874" i="13"/>
  <c r="M1874" i="13"/>
  <c r="L1875" i="13"/>
  <c r="M1875" i="13"/>
  <c r="L1876" i="13"/>
  <c r="M1876" i="13"/>
  <c r="L1877" i="13"/>
  <c r="M1877" i="13"/>
  <c r="L1878" i="13"/>
  <c r="M1878" i="13"/>
  <c r="L1879" i="13"/>
  <c r="M1879" i="13"/>
  <c r="L1880" i="13"/>
  <c r="M1880" i="13"/>
  <c r="L1881" i="13"/>
  <c r="M1881" i="13"/>
  <c r="L1882" i="13"/>
  <c r="M1882" i="13"/>
  <c r="L1883" i="13"/>
  <c r="M1883" i="13"/>
  <c r="L1884" i="13"/>
  <c r="M1884" i="13"/>
  <c r="L1885" i="13"/>
  <c r="M1885" i="13"/>
  <c r="L1886" i="13"/>
  <c r="M1886" i="13"/>
  <c r="L1887" i="13"/>
  <c r="M1887" i="13"/>
  <c r="L1888" i="13"/>
  <c r="M1888" i="13"/>
  <c r="L1889" i="13"/>
  <c r="M1889" i="13"/>
  <c r="L1890" i="13"/>
  <c r="M1890" i="13"/>
  <c r="L1891" i="13"/>
  <c r="M1891" i="13"/>
  <c r="L1892" i="13"/>
  <c r="M1892" i="13"/>
  <c r="L1893" i="13"/>
  <c r="M1893" i="13"/>
  <c r="L1894" i="13"/>
  <c r="M1894" i="13"/>
  <c r="L1895" i="13"/>
  <c r="M1895" i="13"/>
  <c r="L1896" i="13"/>
  <c r="M1896" i="13"/>
  <c r="L1897" i="13"/>
  <c r="M1897" i="13"/>
  <c r="L1898" i="13"/>
  <c r="M1898" i="13"/>
  <c r="L1899" i="13"/>
  <c r="M1899" i="13"/>
  <c r="L1900" i="13"/>
  <c r="M1900" i="13"/>
  <c r="L1901" i="13"/>
  <c r="M1901" i="13"/>
  <c r="L1902" i="13"/>
  <c r="M1902" i="13"/>
  <c r="L1903" i="13"/>
  <c r="M1903" i="13"/>
  <c r="L1904" i="13"/>
  <c r="M1904" i="13"/>
  <c r="L1905" i="13"/>
  <c r="M1905" i="13"/>
  <c r="L1906" i="13"/>
  <c r="M1906" i="13"/>
  <c r="L1907" i="13"/>
  <c r="M1907" i="13"/>
  <c r="L1908" i="13"/>
  <c r="M1908" i="13"/>
  <c r="L1909" i="13"/>
  <c r="M1909" i="13"/>
  <c r="L1936" i="13"/>
  <c r="M1936" i="13"/>
  <c r="L1937" i="13"/>
  <c r="M1937" i="13"/>
  <c r="L1938" i="13"/>
  <c r="M1938" i="13"/>
  <c r="L1939" i="13"/>
  <c r="M1939" i="13"/>
  <c r="L1940" i="13"/>
  <c r="M1940" i="13"/>
  <c r="L1941" i="13"/>
  <c r="M1941" i="13"/>
  <c r="L1910" i="13"/>
  <c r="M1910" i="13"/>
  <c r="L1911" i="13"/>
  <c r="M1911" i="13"/>
  <c r="L1912" i="13"/>
  <c r="M1912" i="13"/>
  <c r="L1942" i="13"/>
  <c r="M1942" i="13"/>
  <c r="L1943" i="13"/>
  <c r="M1943" i="13"/>
  <c r="L1944" i="13"/>
  <c r="M1944" i="13"/>
  <c r="L1945" i="13"/>
  <c r="M1945" i="13"/>
  <c r="L1946" i="13"/>
  <c r="M1946" i="13"/>
  <c r="L1913" i="13"/>
  <c r="M1913" i="13"/>
  <c r="L1914" i="13"/>
  <c r="M1914" i="13"/>
  <c r="L1947" i="13"/>
  <c r="M1947" i="13"/>
  <c r="L1948" i="13"/>
  <c r="M1948" i="13"/>
  <c r="L1949" i="13"/>
  <c r="M1949" i="13"/>
  <c r="L1950" i="13"/>
  <c r="M1950" i="13"/>
  <c r="L1951" i="13"/>
  <c r="M1951" i="13"/>
  <c r="L1952" i="13"/>
  <c r="M1952" i="13"/>
  <c r="L1953" i="13"/>
  <c r="M1953" i="13"/>
  <c r="L1954" i="13"/>
  <c r="M1954" i="13"/>
  <c r="L1915" i="13"/>
  <c r="M1915" i="13"/>
  <c r="L1916" i="13"/>
  <c r="M1916" i="13"/>
  <c r="L1917" i="13"/>
  <c r="M1917" i="13"/>
  <c r="L1918" i="13"/>
  <c r="M1918" i="13"/>
  <c r="L1919" i="13"/>
  <c r="M1919" i="13"/>
  <c r="L1920" i="13"/>
  <c r="M1920" i="13"/>
  <c r="L1955" i="13"/>
  <c r="M1955" i="13"/>
  <c r="L1921" i="13"/>
  <c r="M1921" i="13"/>
  <c r="L1922" i="13"/>
  <c r="M1922" i="13"/>
  <c r="L1923" i="13"/>
  <c r="M1923" i="13"/>
  <c r="L1956" i="13"/>
  <c r="M1956" i="13"/>
  <c r="L1924" i="13"/>
  <c r="M1924" i="13"/>
  <c r="L1925" i="13"/>
  <c r="M1925" i="13"/>
  <c r="L1926" i="13"/>
  <c r="M1926" i="13"/>
  <c r="L1927" i="13"/>
  <c r="M1927" i="13"/>
  <c r="L1928" i="13"/>
  <c r="M1928" i="13"/>
  <c r="L1929" i="13"/>
  <c r="M1929" i="13"/>
  <c r="L1930" i="13"/>
  <c r="M1930" i="13"/>
  <c r="L1931" i="13"/>
  <c r="M1931" i="13"/>
  <c r="L1932" i="13"/>
  <c r="M1932" i="13"/>
  <c r="L1933" i="13"/>
  <c r="M1933" i="13"/>
  <c r="L1934" i="13"/>
  <c r="M1934" i="13"/>
  <c r="L1957" i="13"/>
  <c r="M1957" i="13"/>
  <c r="L1958" i="13"/>
  <c r="M1958" i="13"/>
  <c r="L1959" i="13"/>
  <c r="M1959" i="13"/>
  <c r="L1960" i="13"/>
  <c r="M1960" i="13"/>
  <c r="L1961" i="13"/>
  <c r="M1961" i="13"/>
  <c r="L1962" i="13"/>
  <c r="M1962" i="13"/>
  <c r="L1963" i="13"/>
  <c r="M1963" i="13"/>
  <c r="L1964" i="13"/>
  <c r="M1964" i="13"/>
  <c r="L1965" i="13"/>
  <c r="M1965" i="13"/>
  <c r="L1966" i="13"/>
  <c r="M1966" i="13"/>
  <c r="L1967" i="13"/>
  <c r="M1967" i="13"/>
  <c r="L1968" i="13"/>
  <c r="M1968" i="13"/>
  <c r="L1969" i="13"/>
  <c r="M1969" i="13"/>
  <c r="L1970" i="13"/>
  <c r="M1970" i="13"/>
  <c r="L1971" i="13"/>
  <c r="M1971" i="13"/>
  <c r="L1972" i="13"/>
  <c r="M1972" i="13"/>
  <c r="L1973" i="13"/>
  <c r="M1973" i="13"/>
  <c r="L1974" i="13"/>
  <c r="M1974" i="13"/>
  <c r="L1975" i="13"/>
  <c r="M1975" i="13"/>
  <c r="L1976" i="13"/>
  <c r="M1976" i="13"/>
  <c r="L1935" i="13"/>
  <c r="M1935" i="13"/>
  <c r="L1977" i="13"/>
  <c r="M1977" i="13"/>
  <c r="L1978" i="13"/>
  <c r="M1978" i="13"/>
  <c r="L1979" i="13"/>
  <c r="M1979" i="13"/>
  <c r="L1980" i="13"/>
  <c r="M1980" i="13"/>
  <c r="L1981" i="13"/>
  <c r="M1981" i="13"/>
  <c r="L1982" i="13"/>
  <c r="M1982" i="13"/>
  <c r="L1983" i="13"/>
  <c r="M1983" i="13"/>
  <c r="L1984" i="13"/>
  <c r="M1984" i="13"/>
  <c r="L1985" i="13"/>
  <c r="M1985" i="13"/>
  <c r="L1986" i="13"/>
  <c r="M1986" i="13"/>
  <c r="L1987" i="13"/>
  <c r="M1987" i="13"/>
  <c r="L1988" i="13"/>
  <c r="M1988" i="13"/>
  <c r="L1989" i="13"/>
  <c r="M1989" i="13"/>
  <c r="L1990" i="13"/>
  <c r="M1990" i="13"/>
  <c r="L1991" i="13"/>
  <c r="M1991" i="13"/>
  <c r="L1992" i="13"/>
  <c r="M1992" i="13"/>
  <c r="L1993" i="13"/>
  <c r="M1993" i="13"/>
  <c r="L1994" i="13"/>
  <c r="M1994" i="13"/>
  <c r="L1995" i="13"/>
  <c r="M1995" i="13"/>
  <c r="L1996" i="13"/>
  <c r="M1996" i="13"/>
  <c r="L1997" i="13"/>
  <c r="M1997" i="13"/>
  <c r="L1998" i="13"/>
  <c r="M1998" i="13"/>
  <c r="L1999" i="13"/>
  <c r="M1999" i="13"/>
  <c r="L2000" i="13"/>
  <c r="M2000" i="13"/>
  <c r="L2001" i="13"/>
  <c r="M2001" i="13"/>
  <c r="L2002" i="13"/>
  <c r="M2002" i="13"/>
  <c r="L2003" i="13"/>
  <c r="M2003" i="13"/>
  <c r="L2004" i="13"/>
  <c r="M2004" i="13"/>
  <c r="L2005" i="13"/>
  <c r="M2005" i="13"/>
  <c r="L2006" i="13"/>
  <c r="M2006" i="13"/>
  <c r="L2007" i="13"/>
  <c r="M2007" i="13"/>
  <c r="L2008" i="13"/>
  <c r="M2008" i="13"/>
  <c r="L2009" i="13"/>
  <c r="M2009" i="13"/>
  <c r="L2010" i="13"/>
  <c r="M2010" i="13"/>
  <c r="L2011" i="13"/>
  <c r="M2011" i="13"/>
  <c r="L2012" i="13"/>
  <c r="M2012" i="13"/>
  <c r="L2013" i="13"/>
  <c r="M2013" i="13"/>
  <c r="L2014" i="13"/>
  <c r="M2014" i="13"/>
  <c r="L2015" i="13"/>
  <c r="M2015" i="13"/>
  <c r="L2016" i="13"/>
  <c r="M2016" i="13"/>
  <c r="L2017" i="13"/>
  <c r="M2017" i="13"/>
  <c r="L2018" i="13"/>
  <c r="M2018" i="13"/>
  <c r="L2019" i="13"/>
  <c r="M2019" i="13"/>
  <c r="L2020" i="13"/>
  <c r="M2020" i="13"/>
  <c r="L2021" i="13"/>
  <c r="M2021" i="13"/>
  <c r="L2022" i="13"/>
  <c r="M2022" i="13"/>
  <c r="L2023" i="13"/>
  <c r="M2023" i="13"/>
  <c r="L2024" i="13"/>
  <c r="M2024" i="13"/>
  <c r="L2025" i="13"/>
  <c r="M2025" i="13"/>
  <c r="L2026" i="13"/>
  <c r="M2026" i="13"/>
  <c r="L2027" i="13"/>
  <c r="M2027" i="13"/>
  <c r="L2028" i="13"/>
  <c r="M2028" i="13"/>
  <c r="L2029" i="13"/>
  <c r="M2029" i="13"/>
  <c r="L2030" i="13"/>
  <c r="M2030" i="13"/>
  <c r="L2031" i="13"/>
  <c r="M2031" i="13"/>
  <c r="L2032" i="13"/>
  <c r="M2032" i="13"/>
  <c r="L2033" i="13"/>
  <c r="M2033" i="13"/>
  <c r="L2034" i="13"/>
  <c r="M2034" i="13"/>
  <c r="L2035" i="13"/>
  <c r="M2035" i="13"/>
  <c r="L2036" i="13"/>
  <c r="M2036" i="13"/>
  <c r="L2037" i="13"/>
  <c r="M2037" i="13"/>
  <c r="L2038" i="13"/>
  <c r="M2038" i="13"/>
  <c r="L2039" i="13"/>
  <c r="M2039" i="13"/>
  <c r="L2040" i="13"/>
  <c r="M2040" i="13"/>
  <c r="L2041" i="13"/>
  <c r="M2041" i="13"/>
  <c r="L2042" i="13"/>
  <c r="M2042" i="13"/>
  <c r="L2043" i="13"/>
  <c r="M2043" i="13"/>
  <c r="L2044" i="13"/>
  <c r="M2044" i="13"/>
  <c r="L2046" i="13"/>
  <c r="M2046" i="13"/>
  <c r="L2073" i="13"/>
  <c r="M2073" i="13"/>
  <c r="L2075" i="13"/>
  <c r="M2075" i="13"/>
  <c r="L2076" i="13"/>
  <c r="M2076" i="13"/>
  <c r="L2047" i="13"/>
  <c r="M2047" i="13"/>
  <c r="L2048" i="13"/>
  <c r="M2048" i="13"/>
  <c r="L2049" i="13"/>
  <c r="M2049" i="13"/>
  <c r="L2079" i="13"/>
  <c r="M2079" i="13"/>
  <c r="L2080" i="13"/>
  <c r="M2080" i="13"/>
  <c r="L2083" i="13"/>
  <c r="M2083" i="13"/>
  <c r="L2050" i="13"/>
  <c r="M2050" i="13"/>
  <c r="L2051" i="13"/>
  <c r="M2051" i="13"/>
  <c r="L2084" i="13"/>
  <c r="M2084" i="13"/>
  <c r="L2085" i="13"/>
  <c r="M2085" i="13"/>
  <c r="L2087" i="13"/>
  <c r="M2087" i="13"/>
  <c r="L2088" i="13"/>
  <c r="M2088" i="13"/>
  <c r="L2090" i="13"/>
  <c r="M2090" i="13"/>
  <c r="L2091" i="13"/>
  <c r="M2091" i="13"/>
  <c r="L2052" i="13"/>
  <c r="M2052" i="13"/>
  <c r="L2053" i="13"/>
  <c r="M2053" i="13"/>
  <c r="L2054" i="13"/>
  <c r="M2054" i="13"/>
  <c r="L2055" i="13"/>
  <c r="M2055" i="13"/>
  <c r="L2056" i="13"/>
  <c r="M2056" i="13"/>
  <c r="L2057" i="13"/>
  <c r="M2057" i="13"/>
  <c r="L2092" i="13"/>
  <c r="M2092" i="13"/>
  <c r="L2058" i="13"/>
  <c r="M2058" i="13"/>
  <c r="L2059" i="13"/>
  <c r="M2059" i="13"/>
  <c r="L2060" i="13"/>
  <c r="M2060" i="13"/>
  <c r="L2093" i="13"/>
  <c r="M2093" i="13"/>
  <c r="L2061" i="13"/>
  <c r="M2061" i="13"/>
  <c r="L2062" i="13"/>
  <c r="M2062" i="13"/>
  <c r="L2063" i="13"/>
  <c r="M2063" i="13"/>
  <c r="L2064" i="13"/>
  <c r="M2064" i="13"/>
  <c r="L2065" i="13"/>
  <c r="M2065" i="13"/>
  <c r="L2066" i="13"/>
  <c r="M2066" i="13"/>
  <c r="L2067" i="13"/>
  <c r="M2067" i="13"/>
  <c r="L2068" i="13"/>
  <c r="M2068" i="13"/>
  <c r="L2069" i="13"/>
  <c r="M2069" i="13"/>
  <c r="L2070" i="13"/>
  <c r="M2070" i="13"/>
  <c r="L2071" i="13"/>
  <c r="M2071" i="13"/>
  <c r="L2095" i="13"/>
  <c r="M2095" i="13"/>
  <c r="L2096" i="13"/>
  <c r="M2096" i="13"/>
  <c r="L2097" i="13"/>
  <c r="M2097" i="13"/>
  <c r="L2099" i="13"/>
  <c r="M2099" i="13"/>
  <c r="L2100" i="13"/>
  <c r="M2100" i="13"/>
  <c r="L2103" i="13"/>
  <c r="M2103" i="13"/>
  <c r="L2104" i="13"/>
  <c r="M2104" i="13"/>
  <c r="L2107" i="13"/>
  <c r="M2107" i="13"/>
  <c r="L2108" i="13"/>
  <c r="M2108" i="13"/>
  <c r="L2110" i="13"/>
  <c r="M2110" i="13"/>
  <c r="L2111" i="13"/>
  <c r="M2111" i="13"/>
  <c r="L2112" i="13"/>
  <c r="M2112" i="13"/>
  <c r="L2072" i="13"/>
  <c r="M2072" i="13"/>
  <c r="L2114" i="13"/>
  <c r="M2114" i="13"/>
  <c r="L2115" i="13"/>
  <c r="M2115" i="13"/>
  <c r="L2116" i="13"/>
  <c r="M2116" i="13"/>
  <c r="H97" i="11"/>
  <c r="H98" i="11"/>
  <c r="H99" i="11"/>
  <c r="H100" i="11"/>
  <c r="H101" i="11"/>
  <c r="H102" i="11"/>
  <c r="H103" i="11"/>
  <c r="I97" i="11"/>
  <c r="I98" i="11"/>
  <c r="I99" i="11"/>
  <c r="I100" i="11"/>
  <c r="I101" i="11"/>
  <c r="I102" i="11"/>
  <c r="I103" i="11"/>
  <c r="J98" i="11"/>
  <c r="K98" i="11"/>
  <c r="J99" i="11"/>
  <c r="K99" i="11"/>
  <c r="L99" i="11"/>
  <c r="J100" i="11"/>
  <c r="K100" i="11"/>
  <c r="J101" i="11"/>
  <c r="K101" i="11"/>
  <c r="L101" i="11"/>
  <c r="J102" i="11"/>
  <c r="K102" i="11"/>
  <c r="J103" i="11"/>
  <c r="K103" i="11"/>
  <c r="J97" i="11"/>
  <c r="K97" i="11"/>
  <c r="L97" i="11"/>
  <c r="L349" i="8"/>
  <c r="M349" i="8"/>
  <c r="L350" i="8"/>
  <c r="M350" i="8"/>
  <c r="L351" i="8"/>
  <c r="M351" i="8"/>
  <c r="L353" i="8"/>
  <c r="M353" i="8"/>
  <c r="L354" i="8"/>
  <c r="M354" i="8"/>
  <c r="L355" i="8"/>
  <c r="M355" i="8"/>
  <c r="L356" i="8"/>
  <c r="M356" i="8"/>
  <c r="L357" i="8"/>
  <c r="M357" i="8"/>
  <c r="L358" i="8"/>
  <c r="M358" i="8"/>
  <c r="L361" i="8"/>
  <c r="M361" i="8"/>
  <c r="L352" i="8"/>
  <c r="M352" i="8"/>
  <c r="L348" i="8"/>
  <c r="M348" i="8"/>
  <c r="K95" i="11"/>
  <c r="L95" i="11"/>
  <c r="L338" i="8"/>
  <c r="M338" i="8"/>
  <c r="L340" i="8"/>
  <c r="M340" i="8"/>
  <c r="L342" i="8"/>
  <c r="M342" i="8"/>
  <c r="L335" i="8"/>
  <c r="M335" i="8"/>
  <c r="L328" i="8"/>
  <c r="M328" i="8"/>
  <c r="L318" i="8"/>
  <c r="M318" i="8"/>
  <c r="L317" i="8"/>
  <c r="M317" i="8"/>
  <c r="L363" i="8"/>
  <c r="M363" i="8"/>
  <c r="L374" i="8"/>
  <c r="M374" i="8"/>
  <c r="L383" i="8"/>
  <c r="M383" i="8"/>
  <c r="L360" i="8"/>
  <c r="M360" i="8"/>
  <c r="L381" i="8"/>
  <c r="M381" i="8"/>
  <c r="L359" i="8"/>
  <c r="M359" i="8"/>
  <c r="L331" i="8"/>
  <c r="M331" i="8"/>
  <c r="L380" i="8"/>
  <c r="M380" i="8"/>
  <c r="L379" i="8"/>
  <c r="M379" i="8"/>
  <c r="L377" i="8"/>
  <c r="M377" i="8"/>
  <c r="L376" i="8"/>
  <c r="M376" i="8"/>
  <c r="L375" i="8"/>
  <c r="M375" i="8"/>
  <c r="L362" i="8"/>
  <c r="M362" i="8"/>
  <c r="L373" i="8"/>
  <c r="M373" i="8"/>
  <c r="L372" i="8"/>
  <c r="M372" i="8"/>
  <c r="L371" i="8"/>
  <c r="M371" i="8"/>
  <c r="L370" i="8"/>
  <c r="M370" i="8"/>
  <c r="L369" i="8"/>
  <c r="M369" i="8"/>
  <c r="L347" i="8"/>
  <c r="M347" i="8"/>
  <c r="L368" i="8"/>
  <c r="M368" i="8"/>
  <c r="L346" i="8"/>
  <c r="M346" i="8"/>
  <c r="L367" i="8"/>
  <c r="M367" i="8"/>
  <c r="L345" i="8"/>
  <c r="M345" i="8"/>
  <c r="L341" i="8"/>
  <c r="M341" i="8"/>
  <c r="L365" i="8"/>
  <c r="M365" i="8"/>
  <c r="L364" i="8"/>
  <c r="M364" i="8"/>
  <c r="L339" i="8"/>
  <c r="M339" i="8"/>
  <c r="L337" i="8"/>
  <c r="M337" i="8"/>
  <c r="L336" i="8"/>
  <c r="M336" i="8"/>
  <c r="L343" i="8"/>
  <c r="M343" i="8"/>
  <c r="K96" i="11"/>
  <c r="L96" i="11"/>
  <c r="K94" i="11"/>
  <c r="L94" i="11"/>
  <c r="K93" i="11"/>
  <c r="L93" i="11"/>
  <c r="K92" i="11"/>
  <c r="L92" i="11"/>
  <c r="K91" i="11"/>
  <c r="L91" i="11"/>
  <c r="K90" i="11"/>
  <c r="L90" i="11"/>
  <c r="K85" i="11"/>
  <c r="L85" i="11"/>
  <c r="K88" i="11"/>
  <c r="L88" i="11"/>
  <c r="K89" i="11"/>
  <c r="L89" i="11"/>
  <c r="K83" i="11"/>
  <c r="L83" i="11"/>
  <c r="L314" i="8"/>
  <c r="M314" i="8"/>
  <c r="L312" i="8"/>
  <c r="M312" i="8"/>
  <c r="L304" i="8"/>
  <c r="M304" i="8"/>
  <c r="L305" i="8"/>
  <c r="M305" i="8"/>
  <c r="L309" i="8"/>
  <c r="M309" i="8"/>
  <c r="L297" i="8"/>
  <c r="M297" i="8"/>
  <c r="L295" i="8"/>
  <c r="M295" i="8"/>
  <c r="L296" i="8"/>
  <c r="M296" i="8"/>
  <c r="L294" i="8"/>
  <c r="M294" i="8"/>
  <c r="L291" i="8"/>
  <c r="M291" i="8"/>
  <c r="L290" i="8"/>
  <c r="M290" i="8"/>
  <c r="L288" i="8"/>
  <c r="M288" i="8"/>
  <c r="L287" i="8"/>
  <c r="M287" i="8"/>
  <c r="L292" i="8"/>
  <c r="M292" i="8"/>
  <c r="L284" i="8"/>
  <c r="M284" i="8"/>
  <c r="L283" i="8"/>
  <c r="M283" i="8"/>
  <c r="L282" i="8"/>
  <c r="M282" i="8"/>
  <c r="L281" i="8"/>
  <c r="M281" i="8"/>
  <c r="L280" i="8"/>
  <c r="M280" i="8"/>
  <c r="K77" i="11"/>
  <c r="L77" i="11"/>
  <c r="K78" i="11"/>
  <c r="L78" i="11"/>
  <c r="K80" i="11"/>
  <c r="L80" i="11"/>
  <c r="K81" i="11"/>
  <c r="L81" i="11"/>
  <c r="K82" i="11"/>
  <c r="L82" i="11"/>
  <c r="L289" i="8"/>
  <c r="M289" i="8"/>
  <c r="L286" i="8"/>
  <c r="M286" i="8"/>
  <c r="L285" i="8"/>
  <c r="M285" i="8"/>
  <c r="L279" i="8"/>
  <c r="M279" i="8"/>
  <c r="L272" i="8"/>
  <c r="M272" i="8"/>
  <c r="L275" i="8"/>
  <c r="M275" i="8"/>
  <c r="L276" i="8"/>
  <c r="M276" i="8"/>
  <c r="L277" i="8"/>
  <c r="M277" i="8"/>
  <c r="L278" i="8"/>
  <c r="M278" i="8"/>
  <c r="L271" i="8"/>
  <c r="M271" i="8"/>
  <c r="L315" i="8"/>
  <c r="M315" i="8"/>
  <c r="L324" i="8"/>
  <c r="M324" i="8"/>
  <c r="L301" i="8"/>
  <c r="M301" i="8"/>
  <c r="L333" i="8"/>
  <c r="M333" i="8"/>
  <c r="L310" i="8"/>
  <c r="M310" i="8"/>
  <c r="L308" i="8"/>
  <c r="M308" i="8"/>
  <c r="L330" i="8"/>
  <c r="M330" i="8"/>
  <c r="L307" i="8"/>
  <c r="M307" i="8"/>
  <c r="L329" i="8"/>
  <c r="M329" i="8"/>
  <c r="L306" i="8"/>
  <c r="M306" i="8"/>
  <c r="L327" i="8"/>
  <c r="M327" i="8"/>
  <c r="L326" i="8"/>
  <c r="M326" i="8"/>
  <c r="L325" i="8"/>
  <c r="M325" i="8"/>
  <c r="L303" i="8"/>
  <c r="M303" i="8"/>
  <c r="L302" i="8"/>
  <c r="M302" i="8"/>
  <c r="L334" i="8"/>
  <c r="M334" i="8"/>
  <c r="L311" i="8"/>
  <c r="M311" i="8"/>
  <c r="L323" i="8"/>
  <c r="M323" i="8"/>
  <c r="L300" i="8"/>
  <c r="M300" i="8"/>
  <c r="L322" i="8"/>
  <c r="M322" i="8"/>
  <c r="L299" i="8"/>
  <c r="M299" i="8"/>
  <c r="L321" i="8"/>
  <c r="M321" i="8"/>
  <c r="L298" i="8"/>
  <c r="M298" i="8"/>
  <c r="L320" i="8"/>
  <c r="M320" i="8"/>
  <c r="L319" i="8"/>
  <c r="M319" i="8"/>
  <c r="L255" i="8"/>
  <c r="L254" i="8"/>
  <c r="L332" i="8"/>
  <c r="M332" i="8"/>
  <c r="L313" i="8"/>
  <c r="M313" i="8"/>
  <c r="L274" i="8"/>
  <c r="M274" i="8"/>
  <c r="L273" i="8"/>
  <c r="M273" i="8"/>
  <c r="K87" i="11"/>
  <c r="L87" i="11"/>
  <c r="K86" i="11"/>
  <c r="L86" i="11"/>
  <c r="K84" i="11"/>
  <c r="L84" i="11"/>
  <c r="K79" i="11"/>
  <c r="L79" i="11"/>
  <c r="K76" i="11"/>
  <c r="L76" i="11"/>
  <c r="L263" i="8"/>
  <c r="M263" i="8"/>
  <c r="L264" i="8"/>
  <c r="M264" i="8"/>
  <c r="L256" i="8"/>
  <c r="M256" i="8"/>
  <c r="L242" i="8"/>
  <c r="M242" i="8"/>
  <c r="L244" i="8"/>
  <c r="M244" i="8"/>
  <c r="L234" i="8"/>
  <c r="M234" i="8"/>
  <c r="L232" i="8"/>
  <c r="M232" i="8"/>
  <c r="K64" i="11"/>
  <c r="L64" i="11"/>
  <c r="L220" i="8"/>
  <c r="L221" i="8"/>
  <c r="L223" i="8"/>
  <c r="L224" i="8"/>
  <c r="L225" i="8"/>
  <c r="L227" i="8"/>
  <c r="L229" i="8"/>
  <c r="L231" i="8"/>
  <c r="M231" i="8"/>
  <c r="L222" i="8"/>
  <c r="L226" i="8"/>
  <c r="L228" i="8"/>
  <c r="L230" i="8"/>
  <c r="L260" i="8"/>
  <c r="M260" i="8"/>
  <c r="L239" i="8"/>
  <c r="M239" i="8"/>
  <c r="L209" i="8"/>
  <c r="M209" i="8"/>
  <c r="L268" i="8"/>
  <c r="M268" i="8"/>
  <c r="L247" i="8"/>
  <c r="M247" i="8"/>
  <c r="L269" i="8"/>
  <c r="M269" i="8"/>
  <c r="L248" i="8"/>
  <c r="M248" i="8"/>
  <c r="L267" i="8"/>
  <c r="M267" i="8"/>
  <c r="L246" i="8"/>
  <c r="M246" i="8"/>
  <c r="L266" i="8"/>
  <c r="M266" i="8"/>
  <c r="L245" i="8"/>
  <c r="M245" i="8"/>
  <c r="L265" i="8"/>
  <c r="M265" i="8"/>
  <c r="L243" i="8"/>
  <c r="M243" i="8"/>
  <c r="L262" i="8"/>
  <c r="M262" i="8"/>
  <c r="L261" i="8"/>
  <c r="M261" i="8"/>
  <c r="L241" i="8"/>
  <c r="M241" i="8"/>
  <c r="L240" i="8"/>
  <c r="M240" i="8"/>
  <c r="L270" i="8"/>
  <c r="M270" i="8"/>
  <c r="L249" i="8"/>
  <c r="M249" i="8"/>
  <c r="L259" i="8"/>
  <c r="M259" i="8"/>
  <c r="L238" i="8"/>
  <c r="M238" i="8"/>
  <c r="L258" i="8"/>
  <c r="M258" i="8"/>
  <c r="L237" i="8"/>
  <c r="M237" i="8"/>
  <c r="L257" i="8"/>
  <c r="M257" i="8"/>
  <c r="L236" i="8"/>
  <c r="M236" i="8"/>
  <c r="L235" i="8"/>
  <c r="M235" i="8"/>
  <c r="L233" i="8"/>
  <c r="M233" i="8"/>
  <c r="L252" i="8"/>
  <c r="M252" i="8"/>
  <c r="L251" i="8"/>
  <c r="M251" i="8"/>
  <c r="L250" i="8"/>
  <c r="M250" i="8"/>
  <c r="L219" i="8"/>
  <c r="M219" i="8"/>
  <c r="L218" i="8"/>
  <c r="M218" i="8"/>
  <c r="L205" i="8"/>
  <c r="M205" i="8"/>
  <c r="L202" i="8"/>
  <c r="M202" i="8"/>
  <c r="K75" i="11"/>
  <c r="L75" i="11"/>
  <c r="K74" i="11"/>
  <c r="L74" i="11"/>
  <c r="K68" i="11"/>
  <c r="L68" i="11"/>
  <c r="K67" i="11"/>
  <c r="L67" i="11"/>
  <c r="K73" i="11"/>
  <c r="L73" i="11"/>
  <c r="K72" i="11"/>
  <c r="L72" i="11"/>
  <c r="K71" i="11"/>
  <c r="L71" i="11"/>
  <c r="K70" i="11"/>
  <c r="L70" i="11"/>
  <c r="K69" i="11"/>
  <c r="L69" i="11"/>
  <c r="K66" i="11"/>
  <c r="L66" i="11"/>
  <c r="K65" i="11"/>
  <c r="L65" i="11"/>
  <c r="K63" i="11"/>
  <c r="L63" i="11"/>
  <c r="K62" i="11"/>
  <c r="L62" i="11"/>
  <c r="I209" i="8"/>
  <c r="L214" i="8"/>
  <c r="M214" i="8"/>
  <c r="L215" i="8"/>
  <c r="M215" i="8"/>
  <c r="I211" i="8"/>
  <c r="I212" i="8"/>
  <c r="I213" i="8"/>
  <c r="I214" i="8"/>
  <c r="I215" i="8"/>
  <c r="I216" i="8"/>
  <c r="I217" i="8"/>
  <c r="I206" i="8"/>
  <c r="I207" i="8"/>
  <c r="I208" i="8"/>
  <c r="I210" i="8"/>
  <c r="L191" i="8"/>
  <c r="M191" i="8"/>
  <c r="L195" i="8"/>
  <c r="M195" i="8"/>
  <c r="L196" i="8"/>
  <c r="M196" i="8"/>
  <c r="L183" i="8"/>
  <c r="M183" i="8"/>
  <c r="L169" i="8"/>
  <c r="M169" i="8"/>
  <c r="L167" i="8"/>
  <c r="M167" i="8"/>
  <c r="L166" i="8"/>
  <c r="M166" i="8"/>
  <c r="L170" i="8"/>
  <c r="M170" i="8"/>
  <c r="L172" i="8"/>
  <c r="M172" i="8"/>
  <c r="L174" i="8"/>
  <c r="M174" i="8"/>
  <c r="L175" i="8"/>
  <c r="M175" i="8"/>
  <c r="L177" i="8"/>
  <c r="M177" i="8"/>
  <c r="K60" i="11"/>
  <c r="L60" i="11"/>
  <c r="K61" i="11"/>
  <c r="L61" i="11"/>
  <c r="K59" i="11"/>
  <c r="K58" i="11"/>
  <c r="K56" i="11"/>
  <c r="K55" i="11"/>
  <c r="K57" i="11"/>
  <c r="L57" i="11"/>
  <c r="K53" i="11"/>
  <c r="L53" i="11"/>
  <c r="K54" i="11"/>
  <c r="L54" i="11"/>
  <c r="K52" i="11"/>
  <c r="K51" i="11"/>
  <c r="K49" i="11"/>
  <c r="K48" i="11"/>
  <c r="K50" i="11"/>
  <c r="L50" i="11"/>
  <c r="L176" i="8"/>
  <c r="M176" i="8"/>
  <c r="L173" i="8"/>
  <c r="M173" i="8"/>
  <c r="K12" i="11"/>
  <c r="L12" i="11"/>
  <c r="K11" i="11"/>
  <c r="L11" i="11"/>
  <c r="K6" i="11"/>
  <c r="L6" i="11"/>
  <c r="K8" i="11"/>
  <c r="L8" i="11"/>
  <c r="K9" i="11"/>
  <c r="L9" i="11"/>
  <c r="K10" i="11"/>
  <c r="L10" i="11"/>
  <c r="K19" i="11"/>
  <c r="L19" i="11"/>
  <c r="K18" i="11"/>
  <c r="L18" i="11"/>
  <c r="K13" i="11"/>
  <c r="L13" i="11"/>
  <c r="K15" i="11"/>
  <c r="L15" i="11"/>
  <c r="K14" i="11"/>
  <c r="L14" i="11"/>
  <c r="K16" i="11"/>
  <c r="L16" i="11"/>
  <c r="K17" i="11"/>
  <c r="L17" i="11"/>
  <c r="I26" i="11"/>
  <c r="J26" i="11"/>
  <c r="K26" i="11"/>
  <c r="I25" i="11"/>
  <c r="J25" i="11"/>
  <c r="K25" i="11"/>
  <c r="L25" i="11"/>
  <c r="I20" i="11"/>
  <c r="L20" i="11"/>
  <c r="J20" i="11"/>
  <c r="K20" i="11"/>
  <c r="I22" i="11"/>
  <c r="J22" i="11"/>
  <c r="K22" i="11"/>
  <c r="I21" i="11"/>
  <c r="L21" i="11"/>
  <c r="J21" i="11"/>
  <c r="K21" i="11"/>
  <c r="I23" i="11"/>
  <c r="J23" i="11"/>
  <c r="K23" i="11"/>
  <c r="I24" i="11"/>
  <c r="J24" i="11"/>
  <c r="K24" i="11"/>
  <c r="K33" i="11"/>
  <c r="L33" i="11"/>
  <c r="K32" i="11"/>
  <c r="L32" i="11"/>
  <c r="K27" i="11"/>
  <c r="L27" i="11"/>
  <c r="K29" i="11"/>
  <c r="L29" i="11"/>
  <c r="K28" i="11"/>
  <c r="L28" i="11"/>
  <c r="K30" i="11"/>
  <c r="L30" i="11"/>
  <c r="K31" i="11"/>
  <c r="L31" i="11"/>
  <c r="K36" i="11"/>
  <c r="L36" i="11"/>
  <c r="K40" i="11"/>
  <c r="L40" i="11"/>
  <c r="K39" i="11"/>
  <c r="L39" i="11"/>
  <c r="K34" i="11"/>
  <c r="K35" i="11"/>
  <c r="K37" i="11"/>
  <c r="K38" i="11"/>
  <c r="K43" i="11"/>
  <c r="L43" i="11"/>
  <c r="K47" i="11"/>
  <c r="L47" i="11"/>
  <c r="K46" i="11"/>
  <c r="L46" i="11"/>
  <c r="K41" i="11"/>
  <c r="K42" i="11"/>
  <c r="K44" i="11"/>
  <c r="K45" i="11"/>
  <c r="L6" i="8"/>
  <c r="M6" i="8"/>
  <c r="L7" i="8"/>
  <c r="M7" i="8"/>
  <c r="L8" i="8"/>
  <c r="M8" i="8"/>
  <c r="L9" i="8"/>
  <c r="M9" i="8"/>
  <c r="L10" i="8"/>
  <c r="M10" i="8"/>
  <c r="L11" i="8"/>
  <c r="M11" i="8"/>
  <c r="L12" i="8"/>
  <c r="M12" i="8"/>
  <c r="L13" i="8"/>
  <c r="M13" i="8"/>
  <c r="L14" i="8"/>
  <c r="M14" i="8"/>
  <c r="L15" i="8"/>
  <c r="M15" i="8"/>
  <c r="L21" i="8"/>
  <c r="M21" i="8"/>
  <c r="L17" i="8"/>
  <c r="M17" i="8"/>
  <c r="L16" i="8"/>
  <c r="M16" i="8"/>
  <c r="L18" i="8"/>
  <c r="M18" i="8"/>
  <c r="L19" i="8"/>
  <c r="M19" i="8"/>
  <c r="L20" i="8"/>
  <c r="M20" i="8"/>
  <c r="L22" i="8"/>
  <c r="M22" i="8"/>
  <c r="L23" i="8"/>
  <c r="M23" i="8"/>
  <c r="L24" i="8"/>
  <c r="M24" i="8"/>
  <c r="L25" i="8"/>
  <c r="M25" i="8"/>
  <c r="L26" i="8"/>
  <c r="M26" i="8"/>
  <c r="L27" i="8"/>
  <c r="M27" i="8"/>
  <c r="L28" i="8"/>
  <c r="M28" i="8"/>
  <c r="L38" i="8"/>
  <c r="M38" i="8"/>
  <c r="L29" i="8"/>
  <c r="M29" i="8"/>
  <c r="L30" i="8"/>
  <c r="M30" i="8"/>
  <c r="L32" i="8"/>
  <c r="M32" i="8"/>
  <c r="L33" i="8"/>
  <c r="M33" i="8"/>
  <c r="L34" i="8"/>
  <c r="M34" i="8"/>
  <c r="L35" i="8"/>
  <c r="M35" i="8"/>
  <c r="L36" i="8"/>
  <c r="M36" i="8"/>
  <c r="L37" i="8"/>
  <c r="M37" i="8"/>
  <c r="L31" i="8"/>
  <c r="M31" i="8"/>
  <c r="L39" i="8"/>
  <c r="M39" i="8"/>
  <c r="L40" i="8"/>
  <c r="M40" i="8"/>
  <c r="L41" i="8"/>
  <c r="M41" i="8"/>
  <c r="L42" i="8"/>
  <c r="M42" i="8"/>
  <c r="L43" i="8"/>
  <c r="M43" i="8"/>
  <c r="L44" i="8"/>
  <c r="M44" i="8"/>
  <c r="L45" i="8"/>
  <c r="M45" i="8"/>
  <c r="L46" i="8"/>
  <c r="M46" i="8"/>
  <c r="L56" i="8"/>
  <c r="M56" i="8"/>
  <c r="L47" i="8"/>
  <c r="M47" i="8"/>
  <c r="L48" i="8"/>
  <c r="M48" i="8"/>
  <c r="L50" i="8"/>
  <c r="M50" i="8"/>
  <c r="L51" i="8"/>
  <c r="M51" i="8"/>
  <c r="L52" i="8"/>
  <c r="M52" i="8"/>
  <c r="L53" i="8"/>
  <c r="M53" i="8"/>
  <c r="L54" i="8"/>
  <c r="M54" i="8"/>
  <c r="L55" i="8"/>
  <c r="M55" i="8"/>
  <c r="L49" i="8"/>
  <c r="M49" i="8"/>
  <c r="L57" i="8"/>
  <c r="M57" i="8"/>
  <c r="L58" i="8"/>
  <c r="M58" i="8"/>
  <c r="L61" i="8"/>
  <c r="M61" i="8"/>
  <c r="L59" i="8"/>
  <c r="M59" i="8"/>
  <c r="L60" i="8"/>
  <c r="M60" i="8"/>
  <c r="L63" i="8"/>
  <c r="M63" i="8"/>
  <c r="L62" i="8"/>
  <c r="M62" i="8"/>
  <c r="L64" i="8"/>
  <c r="M64" i="8"/>
  <c r="L68" i="8"/>
  <c r="M68" i="8"/>
  <c r="L69" i="8"/>
  <c r="M69" i="8"/>
  <c r="L72" i="8"/>
  <c r="M72" i="8"/>
  <c r="L65" i="8"/>
  <c r="M65" i="8"/>
  <c r="L67" i="8"/>
  <c r="M67" i="8"/>
  <c r="L75" i="8"/>
  <c r="M75" i="8"/>
  <c r="L74" i="8"/>
  <c r="M74" i="8"/>
  <c r="L71" i="8"/>
  <c r="M71" i="8"/>
  <c r="L70" i="8"/>
  <c r="M70" i="8"/>
  <c r="L66" i="8"/>
  <c r="M66" i="8"/>
  <c r="L73" i="8"/>
  <c r="M73" i="8"/>
  <c r="L76" i="8"/>
  <c r="M76" i="8"/>
  <c r="L77" i="8"/>
  <c r="M77" i="8"/>
  <c r="L78" i="8"/>
  <c r="M78" i="8"/>
  <c r="L79" i="8"/>
  <c r="M79" i="8"/>
  <c r="L80" i="8"/>
  <c r="M80" i="8"/>
  <c r="L90" i="8"/>
  <c r="M90" i="8"/>
  <c r="L81" i="8"/>
  <c r="M81" i="8"/>
  <c r="L82" i="8"/>
  <c r="M82" i="8"/>
  <c r="L84" i="8"/>
  <c r="M84" i="8"/>
  <c r="L85" i="8"/>
  <c r="M85" i="8"/>
  <c r="L86" i="8"/>
  <c r="M86" i="8"/>
  <c r="L87" i="8"/>
  <c r="M87" i="8"/>
  <c r="L88" i="8"/>
  <c r="M88" i="8"/>
  <c r="L89" i="8"/>
  <c r="M89" i="8"/>
  <c r="L83" i="8"/>
  <c r="M83" i="8"/>
  <c r="L91" i="8"/>
  <c r="M91" i="8"/>
  <c r="L92" i="8"/>
  <c r="M92" i="8"/>
  <c r="L93" i="8"/>
  <c r="M93" i="8"/>
  <c r="L94" i="8"/>
  <c r="M94" i="8"/>
  <c r="L95" i="8"/>
  <c r="M95" i="8"/>
  <c r="L96" i="8"/>
  <c r="M96" i="8"/>
  <c r="L97" i="8"/>
  <c r="M97" i="8"/>
  <c r="L98" i="8"/>
  <c r="M98" i="8"/>
  <c r="L99" i="8"/>
  <c r="M99" i="8"/>
  <c r="L109" i="8"/>
  <c r="M109" i="8"/>
  <c r="L100" i="8"/>
  <c r="M100" i="8"/>
  <c r="L101" i="8"/>
  <c r="M101" i="8"/>
  <c r="L103" i="8"/>
  <c r="M103" i="8"/>
  <c r="L104" i="8"/>
  <c r="M104" i="8"/>
  <c r="L105" i="8"/>
  <c r="M105" i="8"/>
  <c r="L106" i="8"/>
  <c r="M106" i="8"/>
  <c r="L107" i="8"/>
  <c r="M107" i="8"/>
  <c r="L108" i="8"/>
  <c r="M108" i="8"/>
  <c r="L102" i="8"/>
  <c r="M102" i="8"/>
  <c r="L110" i="8"/>
  <c r="M110" i="8"/>
  <c r="L111" i="8"/>
  <c r="M111" i="8"/>
  <c r="L112" i="8"/>
  <c r="M112" i="8"/>
  <c r="L113" i="8"/>
  <c r="M113" i="8"/>
  <c r="L116" i="8"/>
  <c r="M116" i="8"/>
  <c r="L114" i="8"/>
  <c r="M114" i="8"/>
  <c r="L115" i="8"/>
  <c r="M115" i="8"/>
  <c r="L118" i="8"/>
  <c r="M118" i="8"/>
  <c r="L117" i="8"/>
  <c r="M117" i="8"/>
  <c r="L119" i="8"/>
  <c r="M119" i="8"/>
  <c r="L121" i="8"/>
  <c r="M121" i="8"/>
  <c r="L120" i="8"/>
  <c r="M120" i="8"/>
  <c r="L122" i="8"/>
  <c r="M122" i="8"/>
  <c r="L123" i="8"/>
  <c r="M123" i="8"/>
  <c r="L124" i="8"/>
  <c r="M124" i="8"/>
  <c r="L125" i="8"/>
  <c r="M125" i="8"/>
  <c r="L135" i="8"/>
  <c r="M135" i="8"/>
  <c r="L126" i="8"/>
  <c r="M126" i="8"/>
  <c r="L127" i="8"/>
  <c r="M127" i="8"/>
  <c r="L129" i="8"/>
  <c r="M129" i="8"/>
  <c r="L130" i="8"/>
  <c r="M130" i="8"/>
  <c r="L131" i="8"/>
  <c r="M131" i="8"/>
  <c r="L132" i="8"/>
  <c r="M132" i="8"/>
  <c r="L133" i="8"/>
  <c r="M133" i="8"/>
  <c r="L134" i="8"/>
  <c r="M134" i="8"/>
  <c r="L136" i="8"/>
  <c r="M136" i="8"/>
  <c r="L128" i="8"/>
  <c r="M128" i="8"/>
  <c r="L137" i="8"/>
  <c r="L138" i="8"/>
  <c r="L139" i="8"/>
  <c r="L140" i="8"/>
  <c r="M140" i="8"/>
  <c r="L142" i="8"/>
  <c r="M142" i="8"/>
  <c r="L141" i="8"/>
  <c r="M141" i="8"/>
  <c r="L143" i="8"/>
  <c r="M143" i="8"/>
  <c r="L144" i="8"/>
  <c r="M144" i="8"/>
  <c r="L145" i="8"/>
  <c r="M145" i="8"/>
  <c r="L146" i="8"/>
  <c r="M146" i="8"/>
  <c r="L156" i="8"/>
  <c r="M156" i="8"/>
  <c r="L147" i="8"/>
  <c r="M147" i="8"/>
  <c r="L148" i="8"/>
  <c r="M148" i="8"/>
  <c r="L150" i="8"/>
  <c r="M150" i="8"/>
  <c r="L151" i="8"/>
  <c r="M151" i="8"/>
  <c r="L152" i="8"/>
  <c r="M152" i="8"/>
  <c r="L153" i="8"/>
  <c r="M153" i="8"/>
  <c r="L154" i="8"/>
  <c r="M154" i="8"/>
  <c r="L155" i="8"/>
  <c r="M155" i="8"/>
  <c r="L157" i="8"/>
  <c r="M157" i="8"/>
  <c r="L149" i="8"/>
  <c r="M149" i="8"/>
  <c r="L165" i="8"/>
  <c r="L158" i="8"/>
  <c r="L160" i="8"/>
  <c r="L161" i="8"/>
  <c r="L159" i="8"/>
  <c r="L164" i="8"/>
  <c r="L162" i="8"/>
  <c r="L163" i="8"/>
  <c r="L180" i="8"/>
  <c r="M180" i="8"/>
  <c r="L182" i="8"/>
  <c r="M182" i="8"/>
  <c r="L181" i="8"/>
  <c r="M181" i="8"/>
  <c r="L187" i="8"/>
  <c r="M187" i="8"/>
  <c r="L184" i="8"/>
  <c r="M184" i="8"/>
  <c r="L185" i="8"/>
  <c r="M185" i="8"/>
  <c r="L186" i="8"/>
  <c r="M186" i="8"/>
  <c r="L197" i="8"/>
  <c r="M197" i="8"/>
  <c r="L188" i="8"/>
  <c r="M188" i="8"/>
  <c r="L189" i="8"/>
  <c r="M189" i="8"/>
  <c r="L192" i="8"/>
  <c r="M192" i="8"/>
  <c r="L193" i="8"/>
  <c r="M193" i="8"/>
  <c r="L194" i="8"/>
  <c r="M194" i="8"/>
  <c r="L190" i="8"/>
  <c r="M190" i="8"/>
  <c r="L198" i="8"/>
  <c r="L199" i="8"/>
  <c r="L200" i="8"/>
  <c r="L204" i="8"/>
  <c r="M204" i="8"/>
  <c r="L203" i="8"/>
  <c r="M203" i="8"/>
  <c r="L206" i="8"/>
  <c r="M206" i="8"/>
  <c r="L207" i="8"/>
  <c r="M207" i="8"/>
  <c r="L208" i="8"/>
  <c r="M208" i="8"/>
  <c r="L210" i="8"/>
  <c r="M210" i="8"/>
  <c r="L211" i="8"/>
  <c r="M211" i="8"/>
  <c r="L213" i="8"/>
  <c r="M213" i="8"/>
  <c r="L216" i="8"/>
  <c r="M216" i="8"/>
  <c r="L217" i="8"/>
  <c r="M217" i="8"/>
  <c r="L212" i="8"/>
  <c r="M212" i="8"/>
  <c r="L171" i="8"/>
  <c r="M171" i="8"/>
  <c r="L179" i="8"/>
  <c r="M179" i="8"/>
  <c r="L178" i="8"/>
  <c r="M178" i="8"/>
  <c r="L168" i="8"/>
  <c r="M168" i="8"/>
  <c r="L201" i="8"/>
  <c r="M201" i="8"/>
  <c r="L115" i="11"/>
  <c r="L2462" i="13"/>
  <c r="M2462" i="13"/>
  <c r="L2488" i="13"/>
  <c r="M2488" i="13"/>
  <c r="L2472" i="13"/>
  <c r="M2472" i="13"/>
  <c r="L2446" i="13"/>
  <c r="M2446" i="13"/>
  <c r="L2453" i="13"/>
  <c r="M2453" i="13"/>
  <c r="L2479" i="13"/>
  <c r="M2479" i="13"/>
  <c r="L2458" i="13"/>
  <c r="M2458" i="13"/>
  <c r="L2484" i="13"/>
  <c r="M2484" i="13"/>
  <c r="L2473" i="13"/>
  <c r="M2473" i="13"/>
  <c r="L2447" i="13"/>
  <c r="M2447" i="13"/>
  <c r="L2464" i="13"/>
  <c r="M2464" i="13"/>
  <c r="L2466" i="13"/>
  <c r="M2466" i="13"/>
  <c r="L2495" i="13"/>
  <c r="M2495" i="13"/>
  <c r="L2489" i="13"/>
  <c r="M2489" i="13"/>
  <c r="L2463" i="13"/>
  <c r="M2463" i="13"/>
  <c r="L2451" i="13"/>
  <c r="M2451" i="13"/>
  <c r="L2477" i="13"/>
  <c r="M2477" i="13"/>
  <c r="L2461" i="13"/>
  <c r="M2461" i="13"/>
  <c r="L2487" i="13"/>
  <c r="M2487" i="13"/>
  <c r="L2486" i="13"/>
  <c r="M2486" i="13"/>
  <c r="L2460" i="13"/>
  <c r="M2460" i="13"/>
  <c r="L2449" i="13"/>
  <c r="M2449" i="13"/>
  <c r="L2475" i="13"/>
  <c r="M2475" i="13"/>
  <c r="L2442" i="13"/>
  <c r="M2442" i="13"/>
  <c r="L2468" i="13"/>
  <c r="M2468" i="13"/>
  <c r="L2448" i="13"/>
  <c r="M2448" i="13"/>
  <c r="L2470" i="13"/>
  <c r="M2470" i="13"/>
  <c r="L2444" i="13"/>
  <c r="M2444" i="13"/>
  <c r="L2459" i="13"/>
  <c r="M2459" i="13"/>
  <c r="L2485" i="13"/>
  <c r="M2485" i="13"/>
  <c r="L2465" i="13"/>
  <c r="M2465" i="13"/>
  <c r="L2491" i="13"/>
  <c r="M2491" i="13"/>
  <c r="L2480" i="13"/>
  <c r="M2480" i="13"/>
  <c r="L2454" i="13"/>
  <c r="M2454" i="13"/>
  <c r="L2450" i="13"/>
  <c r="M2450" i="13"/>
  <c r="L2476" i="13"/>
  <c r="M2476" i="13"/>
  <c r="L2445" i="13"/>
  <c r="M2445" i="13"/>
  <c r="L2471" i="13"/>
  <c r="M2471" i="13"/>
  <c r="L2478" i="13"/>
  <c r="M2478" i="13"/>
  <c r="L2452" i="13"/>
  <c r="M2452" i="13"/>
  <c r="L2441" i="13"/>
  <c r="M2441" i="13"/>
  <c r="L2467" i="13"/>
  <c r="M2467" i="13"/>
  <c r="L2482" i="13"/>
  <c r="M2482" i="13"/>
  <c r="L2456" i="13"/>
  <c r="M2456" i="13"/>
  <c r="L2443" i="13"/>
  <c r="M2443" i="13"/>
  <c r="L2469" i="13"/>
  <c r="M2469" i="13"/>
  <c r="L2481" i="13"/>
  <c r="M2481" i="13"/>
  <c r="L2455" i="13"/>
  <c r="M2455" i="13"/>
  <c r="L2457" i="13"/>
  <c r="M2457" i="13"/>
  <c r="L2483" i="13"/>
  <c r="M2483" i="13"/>
  <c r="L2440" i="13"/>
  <c r="M2440" i="13"/>
  <c r="L152" i="11"/>
  <c r="L102" i="11"/>
  <c r="L98" i="11"/>
  <c r="L24" i="11"/>
  <c r="L22" i="11"/>
  <c r="L103" i="11"/>
  <c r="L100" i="11"/>
  <c r="L166" i="11"/>
  <c r="L162" i="11"/>
  <c r="L170" i="11"/>
  <c r="L26" i="11"/>
  <c r="L23" i="11"/>
  <c r="M392" i="8"/>
  <c r="M389" i="8"/>
  <c r="M391" i="8"/>
  <c r="M386" i="8"/>
  <c r="M387" i="8"/>
  <c r="M3055" i="13"/>
  <c r="M3053" i="13"/>
  <c r="M305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F5" authorId="0" shapeId="0" xr:uid="{8ACCA9A2-A7E9-4356-9A3F-1A9BB9CB5A07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F5" authorId="0" shapeId="0" xr:uid="{9C87BA43-7ADD-49E4-AFC8-35913A0EA729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G5" authorId="0" shapeId="0" xr:uid="{7E6FC805-15A4-43F0-922A-AB0D93D37737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G5" authorId="0" shapeId="0" xr:uid="{96507FAA-D5A1-42EB-BFB5-181DFBCCE565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E5" authorId="0" shapeId="0" xr:uid="{E2F63AD2-532A-4735-9D72-394468DCF59E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E5" authorId="0" shapeId="0" xr:uid="{7151652D-0FF3-4BA0-B4EC-6BD6831795B4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fbrrsbr</author>
  </authors>
  <commentList>
    <comment ref="E5" authorId="0" shapeId="0" xr:uid="{3A870C24-95D5-4130-BC5A-762327659A22}">
      <text>
        <r>
          <rPr>
            <b/>
            <sz val="9"/>
            <color indexed="81"/>
            <rFont val="Tahoma"/>
            <family val="2"/>
          </rPr>
          <t>fbrrsbr:</t>
        </r>
        <r>
          <rPr>
            <sz val="9"/>
            <color indexed="81"/>
            <rFont val="Tahoma"/>
            <family val="2"/>
          </rPr>
          <t xml:space="preserve">
colonna da prendere in considerazione per aggiornamento white list</t>
        </r>
      </text>
    </comment>
  </commentList>
</comments>
</file>

<file path=xl/sharedStrings.xml><?xml version="1.0" encoding="utf-8"?>
<sst xmlns="http://schemas.openxmlformats.org/spreadsheetml/2006/main" count="23690" uniqueCount="1043">
  <si>
    <t>ISIN</t>
  </si>
  <si>
    <t>COMPARTO</t>
  </si>
  <si>
    <t>Periodicità cedola</t>
  </si>
  <si>
    <t>Regola calcolo cedola</t>
  </si>
  <si>
    <t>Annuale</t>
  </si>
  <si>
    <t>aliquota * Nav di partenza</t>
  </si>
  <si>
    <t>Risultato della formula</t>
  </si>
  <si>
    <t>Trimestrale</t>
  </si>
  <si>
    <t>Target Annuo diviso 4 moltiplicato per NAV della Record Date</t>
  </si>
  <si>
    <t>LU0744823922</t>
  </si>
  <si>
    <t>LU0744835850</t>
  </si>
  <si>
    <t>LU0744824730</t>
  </si>
  <si>
    <t>LU0744824490</t>
  </si>
  <si>
    <t>LU0812852092</t>
  </si>
  <si>
    <t>LU0812852415</t>
  </si>
  <si>
    <t>LU0812852258</t>
  </si>
  <si>
    <t>LU1104222887</t>
  </si>
  <si>
    <t>LU1199022077</t>
  </si>
  <si>
    <t>Distributing Quarterly</t>
  </si>
  <si>
    <t>LU1128907349</t>
  </si>
  <si>
    <t>LU1128907422</t>
  </si>
  <si>
    <t>LU1200750633</t>
  </si>
  <si>
    <t>LU1200750716</t>
  </si>
  <si>
    <t>LU1238909144</t>
  </si>
  <si>
    <t>LU1238910076</t>
  </si>
  <si>
    <t>LU1278827628</t>
  </si>
  <si>
    <t>LU1278827974</t>
  </si>
  <si>
    <t>LU1533943699</t>
  </si>
  <si>
    <t>LU1317245519</t>
  </si>
  <si>
    <t>LU1317248299</t>
  </si>
  <si>
    <t>LU1365518411</t>
  </si>
  <si>
    <t>LU1365518502</t>
  </si>
  <si>
    <t>LU1410363607</t>
  </si>
  <si>
    <t>LU1410363862</t>
  </si>
  <si>
    <t>LU1477593559</t>
  </si>
  <si>
    <t>LU1477595091</t>
  </si>
  <si>
    <t>LU1410362625</t>
  </si>
  <si>
    <t>LU1706857098</t>
  </si>
  <si>
    <t>LU1706857171</t>
  </si>
  <si>
    <t>LU1706857254</t>
  </si>
  <si>
    <t>LU1720524526</t>
  </si>
  <si>
    <t>LU1515095682</t>
  </si>
  <si>
    <t>LU1515095849</t>
  </si>
  <si>
    <t>LU1571349064</t>
  </si>
  <si>
    <t>LU1560664515</t>
  </si>
  <si>
    <t>LU1560664861</t>
  </si>
  <si>
    <t>LU1617820334</t>
  </si>
  <si>
    <t>LU1617821498</t>
  </si>
  <si>
    <t>LU1655258413</t>
  </si>
  <si>
    <t>LU1655260401</t>
  </si>
  <si>
    <t>LU1467375017</t>
  </si>
  <si>
    <t>ASI - Progetto Cedola 12/2019</t>
  </si>
  <si>
    <t>ASI - Progetto Cedola 09/2020</t>
  </si>
  <si>
    <t>ASI - Progetto Cedola 03/2020</t>
  </si>
  <si>
    <t>ASI - Progetto Cedola 05/2020</t>
  </si>
  <si>
    <t>ASI - Progetto Cedola 06/2020</t>
  </si>
  <si>
    <t>ASI - Progetto Cedola 08/2020</t>
  </si>
  <si>
    <t>ASI - Progetto Cedola 11/2020</t>
  </si>
  <si>
    <t>LU1807523581</t>
  </si>
  <si>
    <t>LU1720525416</t>
  </si>
  <si>
    <t>LU1720525507</t>
  </si>
  <si>
    <t>LU1720525689</t>
  </si>
  <si>
    <t>LU1774629775</t>
  </si>
  <si>
    <t>LU1774629932</t>
  </si>
  <si>
    <t>LU1826338870</t>
  </si>
  <si>
    <t>LU1826339258</t>
  </si>
  <si>
    <t>LU1859552223</t>
  </si>
  <si>
    <t>LU1859552652</t>
  </si>
  <si>
    <t>LU1859552900</t>
  </si>
  <si>
    <t>LU1894108320</t>
  </si>
  <si>
    <t>ASI - Progetto Cedola 12/2020</t>
  </si>
  <si>
    <t>LU1774629858</t>
  </si>
  <si>
    <t>LU1072978809</t>
  </si>
  <si>
    <t>LU0701926916</t>
  </si>
  <si>
    <t>LU1235137624</t>
  </si>
  <si>
    <t>LU1089413675</t>
  </si>
  <si>
    <t>LU1235137384</t>
  </si>
  <si>
    <t>LU1128907695</t>
  </si>
  <si>
    <t>LU1515096656</t>
  </si>
  <si>
    <t>LU1128907935</t>
  </si>
  <si>
    <t>LU1317252721</t>
  </si>
  <si>
    <t>LU1200750807</t>
  </si>
  <si>
    <t>LU1238909573</t>
  </si>
  <si>
    <t>LU1069671995</t>
  </si>
  <si>
    <t>LU1069672373</t>
  </si>
  <si>
    <t>LU1104222374</t>
  </si>
  <si>
    <t>LU1104222531</t>
  </si>
  <si>
    <t>LU0812852332</t>
  </si>
  <si>
    <t>LU0812851953</t>
  </si>
  <si>
    <t>LU0812852175</t>
  </si>
  <si>
    <t>LU1199021939</t>
  </si>
  <si>
    <t>LU1344157547</t>
  </si>
  <si>
    <t>LU0702500801</t>
  </si>
  <si>
    <t>LU0857391311</t>
  </si>
  <si>
    <t>LU0702501015</t>
  </si>
  <si>
    <t>LU0702501288</t>
  </si>
  <si>
    <t>LU0702501106</t>
  </si>
  <si>
    <t>LU0702500983</t>
  </si>
  <si>
    <t>LU0702501445</t>
  </si>
  <si>
    <t>LU1290971594</t>
  </si>
  <si>
    <t>LU1533943343</t>
  </si>
  <si>
    <t>LU0702501361</t>
  </si>
  <si>
    <t>LU1599403570</t>
  </si>
  <si>
    <t>LU0857391741</t>
  </si>
  <si>
    <t>LU0859096066</t>
  </si>
  <si>
    <t>Amundi S.F. - Euro Curve 5-7year</t>
  </si>
  <si>
    <t>LU0857391824</t>
  </si>
  <si>
    <t>LU1718309237</t>
  </si>
  <si>
    <t>LU1313459338</t>
  </si>
  <si>
    <t>LU0916711822</t>
  </si>
  <si>
    <t>LU1852559480</t>
  </si>
  <si>
    <t>LU1852559563</t>
  </si>
  <si>
    <t>LU1891103910</t>
  </si>
  <si>
    <t>LU1852559993</t>
  </si>
  <si>
    <t>LU1891104058</t>
  </si>
  <si>
    <t>LU1951319455</t>
  </si>
  <si>
    <t>LU1915992926</t>
  </si>
  <si>
    <t>LU1915992843</t>
  </si>
  <si>
    <t>ASI - Progetto Cedola 02/2020</t>
  </si>
  <si>
    <t xml:space="preserve">ASI - Obbligazionario Euro 02/2024 </t>
  </si>
  <si>
    <t>LU1852559720</t>
  </si>
  <si>
    <t>LU1718309310</t>
  </si>
  <si>
    <t>LU1863453632</t>
  </si>
  <si>
    <t>LU1863454440</t>
  </si>
  <si>
    <t>LU1863454010</t>
  </si>
  <si>
    <t>LU1965337709</t>
  </si>
  <si>
    <t>LU1965337618</t>
  </si>
  <si>
    <t>LU1965337378</t>
  </si>
  <si>
    <t>LU1965337881</t>
  </si>
  <si>
    <t>% fissa se risultato formula positivo (perf indice dal lancio)</t>
  </si>
  <si>
    <t>LU1965338343</t>
  </si>
  <si>
    <t>LU1965338269</t>
  </si>
  <si>
    <t>LU1882475558</t>
  </si>
  <si>
    <t>LU1883321967</t>
  </si>
  <si>
    <t>LU1883332063</t>
  </si>
  <si>
    <t>LU1883839802</t>
  </si>
  <si>
    <t>LU1883839711</t>
  </si>
  <si>
    <t>LU1894681300</t>
  </si>
  <si>
    <t>LU1882452698</t>
  </si>
  <si>
    <t>LU1882460790</t>
  </si>
  <si>
    <t>LU1882463547</t>
  </si>
  <si>
    <t>LU1882463463</t>
  </si>
  <si>
    <t>LU1882458208</t>
  </si>
  <si>
    <t>LU1882468264</t>
  </si>
  <si>
    <t>LU1882474312</t>
  </si>
  <si>
    <t>LU1882522060</t>
  </si>
  <si>
    <t>LU1883337450</t>
  </si>
  <si>
    <t>LU1882476440</t>
  </si>
  <si>
    <t>LU1883317346</t>
  </si>
  <si>
    <t>LU1883836709</t>
  </si>
  <si>
    <t>LU1883334432</t>
  </si>
  <si>
    <t>LU1883339407</t>
  </si>
  <si>
    <t>LU1883843747</t>
  </si>
  <si>
    <t>LU1883843663</t>
  </si>
  <si>
    <t>LU1883866870</t>
  </si>
  <si>
    <t>LU1883322007</t>
  </si>
  <si>
    <t>LU1883312388</t>
  </si>
  <si>
    <t>LU1883332147</t>
  </si>
  <si>
    <t>LU1883331925</t>
  </si>
  <si>
    <t>LU1882458380</t>
  </si>
  <si>
    <t>LU1882453076</t>
  </si>
  <si>
    <t>LU1882461178</t>
  </si>
  <si>
    <t>LU1882463893</t>
  </si>
  <si>
    <t>LU1883337617</t>
  </si>
  <si>
    <t>LU1882476879</t>
  </si>
  <si>
    <t>LU1883836964</t>
  </si>
  <si>
    <t>LU1883339662</t>
  </si>
  <si>
    <t>LU1883844471</t>
  </si>
  <si>
    <t>LU1883332576</t>
  </si>
  <si>
    <t>LU1883867258</t>
  </si>
  <si>
    <t>LU1883840131</t>
  </si>
  <si>
    <t>LU1894681482</t>
  </si>
  <si>
    <t>LU1883840214</t>
  </si>
  <si>
    <t>LU1883329945</t>
  </si>
  <si>
    <t>LU1894680088</t>
  </si>
  <si>
    <t>LU1894679155</t>
  </si>
  <si>
    <t>LU1894682530</t>
  </si>
  <si>
    <t>LU1883322775</t>
  </si>
  <si>
    <t>LU1883312461</t>
  </si>
  <si>
    <t>LU1706854236</t>
  </si>
  <si>
    <t>AMUNDI S.F. - DIVERSIFIED SHORT-TERM BOND - E - QTD (D)</t>
  </si>
  <si>
    <t>LU1600318759</t>
  </si>
  <si>
    <t>LU1327398381</t>
  </si>
  <si>
    <t>LU1880402174</t>
  </si>
  <si>
    <t>LU0906522494</t>
  </si>
  <si>
    <t>LU0613078343</t>
  </si>
  <si>
    <t>LU0613077709</t>
  </si>
  <si>
    <t>LU1103153091</t>
  </si>
  <si>
    <t>LU0945158151</t>
  </si>
  <si>
    <t>LU0945157427</t>
  </si>
  <si>
    <t>LU1250883417</t>
  </si>
  <si>
    <t>LU1880386112</t>
  </si>
  <si>
    <t>LU0906522734</t>
  </si>
  <si>
    <t>LU0613078186</t>
  </si>
  <si>
    <t>LU0613077295</t>
  </si>
  <si>
    <t>LU1103152879</t>
  </si>
  <si>
    <t>LU0945158078</t>
  </si>
  <si>
    <t>LU0945157344</t>
  </si>
  <si>
    <t>LU1250883334</t>
  </si>
  <si>
    <t>LU1880386468</t>
  </si>
  <si>
    <t>LU1706545289</t>
  </si>
  <si>
    <t>LU1600318833</t>
  </si>
  <si>
    <t>LU1327398209</t>
  </si>
  <si>
    <t>LU1882469239</t>
  </si>
  <si>
    <t>LU1882472969</t>
  </si>
  <si>
    <t>LU1883318070</t>
  </si>
  <si>
    <t>LU1883318153</t>
  </si>
  <si>
    <t>LU1882474742</t>
  </si>
  <si>
    <t>LU1883338185</t>
  </si>
  <si>
    <t>LU1883303122</t>
  </si>
  <si>
    <t>LU1883837855</t>
  </si>
  <si>
    <t>LU1883845445</t>
  </si>
  <si>
    <t>LU1883334945</t>
  </si>
  <si>
    <t>LU1883340082</t>
  </si>
  <si>
    <t>LU1883840487</t>
  </si>
  <si>
    <t>LU1882454801</t>
  </si>
  <si>
    <t>LU1882464867</t>
  </si>
  <si>
    <t>LU1915992769</t>
  </si>
  <si>
    <t>LU1883332907</t>
  </si>
  <si>
    <t>LU1883323310</t>
  </si>
  <si>
    <t>LU0830747878</t>
  </si>
  <si>
    <t>LU1883323401</t>
  </si>
  <si>
    <t>LU0851804954</t>
  </si>
  <si>
    <t>LU1883313436</t>
  </si>
  <si>
    <t>LU0701927054</t>
  </si>
  <si>
    <t>LU1882475715</t>
  </si>
  <si>
    <t>LU1718309401</t>
  </si>
  <si>
    <t>LU1882475632</t>
  </si>
  <si>
    <t>ISIN PRE CONVERGENZA</t>
  </si>
  <si>
    <t>LU0613075919</t>
  </si>
  <si>
    <t>LU0752742543</t>
  </si>
  <si>
    <t>LU0613075752</t>
  </si>
  <si>
    <t>LU0916713018</t>
  </si>
  <si>
    <t>LU0899960404</t>
  </si>
  <si>
    <t>LU0899960073</t>
  </si>
  <si>
    <t>LU0899960156</t>
  </si>
  <si>
    <t>LU1355499671</t>
  </si>
  <si>
    <t>LU0899960230</t>
  </si>
  <si>
    <t>LU0899959901</t>
  </si>
  <si>
    <t>LU1107321637</t>
  </si>
  <si>
    <t>LU1003352801</t>
  </si>
  <si>
    <t>LU1355499754</t>
  </si>
  <si>
    <t>LU1003352983</t>
  </si>
  <si>
    <t>LU1273586138</t>
  </si>
  <si>
    <t>LU1533943855</t>
  </si>
  <si>
    <t>LU1815412702</t>
  </si>
  <si>
    <t>LU1199022234</t>
  </si>
  <si>
    <t>QD</t>
  </si>
  <si>
    <t>QTD</t>
  </si>
  <si>
    <t>QTI</t>
  </si>
  <si>
    <t>SATI</t>
  </si>
  <si>
    <t>MD</t>
  </si>
  <si>
    <t>Frequenza di Distribuzione</t>
  </si>
  <si>
    <t>Maccanismo di Distribuzione</t>
  </si>
  <si>
    <t>Mensile</t>
  </si>
  <si>
    <t>Target annuo diviso 12 moltiplicato per il NAV di fine anno precedente</t>
  </si>
  <si>
    <t>Target annuo diviso 4 moltiplicato per il NAV di fine anno precedente</t>
  </si>
  <si>
    <t>Target annuo diviso 2 moltiplicato per il NAV di fine anno precedente</t>
  </si>
  <si>
    <t>LU1095739733</t>
  </si>
  <si>
    <t>FEA Income Builder Fund AE-QD</t>
  </si>
  <si>
    <t>LU1095740319</t>
  </si>
  <si>
    <t>LU1095740665</t>
  </si>
  <si>
    <t>FEA Income Builder Fund FE-QD</t>
  </si>
  <si>
    <t>LU1095740749</t>
  </si>
  <si>
    <t>FEA Income Builder Fund FHE-QD</t>
  </si>
  <si>
    <t>LU0565134938</t>
  </si>
  <si>
    <t>LU0565419693</t>
  </si>
  <si>
    <t>FEA International Fund AHE-QD</t>
  </si>
  <si>
    <t>FEA International Fund AE-QD</t>
  </si>
  <si>
    <t>Target annuo diviso 4 moltiplicato per il NAV dell'ex date</t>
  </si>
  <si>
    <t>Calendario Stacchi e Meccanismo di Distribuzione Amundi Funds</t>
  </si>
  <si>
    <t>Calendario Stacchi e Meccanismo di Distribuzione First Eagle</t>
  </si>
  <si>
    <t>LU1894676722</t>
  </si>
  <si>
    <t>LU1882460527</t>
  </si>
  <si>
    <t>LU1882460956</t>
  </si>
  <si>
    <t>LU1882468181</t>
  </si>
  <si>
    <t>LU1882468421</t>
  </si>
  <si>
    <t>LU1882476366</t>
  </si>
  <si>
    <t>LU1882476796</t>
  </si>
  <si>
    <t>LU1894679072</t>
  </si>
  <si>
    <t>LU1894680245</t>
  </si>
  <si>
    <t>LU1894680674</t>
  </si>
  <si>
    <t>LU1883843317</t>
  </si>
  <si>
    <t>LU1883843580</t>
  </si>
  <si>
    <t>LU1883844042</t>
  </si>
  <si>
    <t>LU1883844398</t>
  </si>
  <si>
    <t>LU1894682456</t>
  </si>
  <si>
    <t>Semestrale</t>
  </si>
  <si>
    <t>AD</t>
  </si>
  <si>
    <t>Su approvazione del Consiglio di Amministrazione della Società</t>
  </si>
  <si>
    <t>LU1882469155</t>
  </si>
  <si>
    <t>LU1882472886</t>
  </si>
  <si>
    <t>LU1971432825</t>
  </si>
  <si>
    <t>LU1882445056</t>
  </si>
  <si>
    <t>LU1883303049</t>
  </si>
  <si>
    <t>LU1882454637</t>
  </si>
  <si>
    <t>LU1883837699</t>
  </si>
  <si>
    <t>LU1882461764</t>
  </si>
  <si>
    <t>LU2018719562</t>
  </si>
  <si>
    <t>LU2018721030</t>
  </si>
  <si>
    <t>LU2036673296</t>
  </si>
  <si>
    <t>LU2036673452</t>
  </si>
  <si>
    <t>LU2036672991</t>
  </si>
  <si>
    <t>LU2036672728</t>
  </si>
  <si>
    <t>LU2018722947</t>
  </si>
  <si>
    <t>LU1880402505</t>
  </si>
  <si>
    <t>LU2018719992</t>
  </si>
  <si>
    <t>LU2018722194</t>
  </si>
  <si>
    <t>LU2018719646</t>
  </si>
  <si>
    <t>LU2018722780</t>
  </si>
  <si>
    <t>LU2018722608</t>
  </si>
  <si>
    <t>LU2018720222</t>
  </si>
  <si>
    <t>LU2018722863</t>
  </si>
  <si>
    <t>LU1880402414</t>
  </si>
  <si>
    <t>LU1883925718</t>
  </si>
  <si>
    <t>CPR Invest Reactive A-QD</t>
  </si>
  <si>
    <t>LU1965338004</t>
  </si>
  <si>
    <t>LU2007204238</t>
  </si>
  <si>
    <t>LU1920531701</t>
  </si>
  <si>
    <t>LU2007204741</t>
  </si>
  <si>
    <t>LU2007204667</t>
  </si>
  <si>
    <t>LU2035036362</t>
  </si>
  <si>
    <t>LU2035036107</t>
  </si>
  <si>
    <t>LU2035036016</t>
  </si>
  <si>
    <t>LU2028898240</t>
  </si>
  <si>
    <t>LU2028898323</t>
  </si>
  <si>
    <t xml:space="preserve">LU2028898166 </t>
  </si>
  <si>
    <t>cedola fissa definita al lancio * Nav di partenza</t>
  </si>
  <si>
    <t>aliquota fissa * Nav di partenza per i primi 4 anni - ultima cedola variabile</t>
  </si>
  <si>
    <t>aliquota fissa * Nav di partenza per i primi 4 anni - cedole succ. variabili</t>
  </si>
  <si>
    <t>LU2028899305</t>
  </si>
  <si>
    <t>LU2028899487</t>
  </si>
  <si>
    <t>LU2028899214</t>
  </si>
  <si>
    <t>LU1386074881</t>
  </si>
  <si>
    <t>LU1386074964</t>
  </si>
  <si>
    <t>AF EMERGING MARKETS BLENDED BOND - F2 EUR QTD (D)</t>
  </si>
  <si>
    <t>AF EMERGING MARKETS BLENDED BOND - G EUR QTD (D)</t>
  </si>
  <si>
    <t>AF EMERGING MARKETS BOND - E2 EUR QTD (D)</t>
  </si>
  <si>
    <t>AF EMERGING MARKETS BOND - F EUR QTD (D)</t>
  </si>
  <si>
    <t>AF EMERGING MARKETS CORPORATE BOND - F2 EUR Hgd MD (D)</t>
  </si>
  <si>
    <t>AF EMERGING MARKETS CORPORATE BOND - G EUR Hgd MD (D)</t>
  </si>
  <si>
    <t>AF EMERGING MARKETS CORPORATE HIGH YIELD BOND - E2 EUR QTD (D)</t>
  </si>
  <si>
    <t>AF EMERGING MARKETS CORPORATE HIGH YIELD BOND - F EUR QTD (D)</t>
  </si>
  <si>
    <t xml:space="preserve">AF EMERGING MARKETS LOCAL CURRENCY BOND  E2 EUR AD (D) </t>
  </si>
  <si>
    <t>AF EMERGING MARKETS LOCAL CURRENCY BOND - E2 EUR QTD (D)</t>
  </si>
  <si>
    <t>AF EMERGING MARKETS LOCAL CURRENCY BOND - F EUR QTD (D)</t>
  </si>
  <si>
    <t>AF EMERGING MARKETS LOCAL CURRENCY BOND - F2 EUR Hgd MD (D)</t>
  </si>
  <si>
    <t>AF EMERGING MARKETS LOCAL CURRENCY BOND - G EUR Hgd MD (D)</t>
  </si>
  <si>
    <t>AF EMERGING MARKETS SHORT TERM BOND - E2 EUR Hgd QTD (D)</t>
  </si>
  <si>
    <t>AF EMERGING MARKETS SHORT TERM BOND - E2 EUR QTD (D)</t>
  </si>
  <si>
    <t>AF EMERGING MARKETS SHORT TERM BOND - F2 EUR QTD (D)</t>
  </si>
  <si>
    <t>AF EURO AGGREGATE BOND - E2 EUR QTD (D)</t>
  </si>
  <si>
    <t>AF EURO CORPORATE BOND - E2 EUR QTD (D)</t>
  </si>
  <si>
    <t>AF EURO GOVERNMENT BOND - E2 EUR QTD (D)</t>
  </si>
  <si>
    <t>AF EURO HIGH YIELD BOND - F2 EUR MD (D)</t>
  </si>
  <si>
    <t>AF EURO HIGH YIELD BOND - G EUR MD (D)</t>
  </si>
  <si>
    <t>AF EURO HIGH YIELD SHORT TERM BOND - F2 EUR MD (D)</t>
  </si>
  <si>
    <t>AF EURO HIGH YIELD SHORT TERM BOND - G EUR MD (D)</t>
  </si>
  <si>
    <t>AF EURO MULTI-ASSET TARGET INCOME - E2 EUR QTI (D)</t>
  </si>
  <si>
    <t>AF EURO MULTI-ASSET TARGET INCOME - G2 EUR QTI (D)</t>
  </si>
  <si>
    <t>AF EURO STRATEGIC BOND - E2 EUR QTD (D)</t>
  </si>
  <si>
    <t>AF EURO STRATEGIC BOND - F EUR QTD (D)</t>
  </si>
  <si>
    <t>AF GLOBAL AGGREGATE BOND - E2 EUR QTD (D)</t>
  </si>
  <si>
    <t>AF GLOBAL AGGREGATE BOND - F2 EUR Hgd MD (D)</t>
  </si>
  <si>
    <t>AF GLOBAL AGGREGATE BOND - G EUR Hgd MD (D)</t>
  </si>
  <si>
    <t>AF GLOBAL AGGREGATE BOND - G EUR Hgd QTD (D)</t>
  </si>
  <si>
    <t>AF GLOBAL BOND - F2 EUR Hgd MD (D)</t>
  </si>
  <si>
    <t>AF GLOBAL BOND - G EUR Hgd MD (D)</t>
  </si>
  <si>
    <t>AF GLOBAL CORPORATE BOND - F2 EUR Hgd MD (D)</t>
  </si>
  <si>
    <t>AF GLOBAL CORPORATE BOND - G EUR Hgd MD (D)</t>
  </si>
  <si>
    <t>AF GLOBAL HIGH YIELD BOND - F2 EUR Hgd MD (D)</t>
  </si>
  <si>
    <t>AF GLOBAL HIGH YIELD BOND - G EUR Hgd MD (D)</t>
  </si>
  <si>
    <t>AF GLOBAL MULTI-ASSET CONSERVATIVE - G EUR QTD (D)</t>
  </si>
  <si>
    <t>AF GLOBAL MULTI-ASSET TARGET INCOME - E2 EUR Hgd SATI (D)</t>
  </si>
  <si>
    <t>AF GLOBAL MULTI-ASSET TARGET INCOME - E2 EUR QTI (D)</t>
  </si>
  <si>
    <t>AF GLOBAL MULTI-ASSET TARGET INCOME - E2 EUR SATI (D)</t>
  </si>
  <si>
    <t>AF GLOBAL MULTI-ASSET TARGET INCOME - G2 EUR Hgd QTI (D)</t>
  </si>
  <si>
    <t>AF GLOBAL SUBORDINATED BOND - E2 EUR QTD (D)</t>
  </si>
  <si>
    <t>AF MULTI-ASSET CONSERVATIVE - F2 EUR QTD (D)</t>
  </si>
  <si>
    <t>AF MULTI-ASSET CONSERVATIVE - G EUR QTD (D)</t>
  </si>
  <si>
    <t>AF OPTIMAL YIELD - E2 EUR QTD (D)</t>
  </si>
  <si>
    <t>AF OPTIMAL YIELD - F EUR QTD (D)</t>
  </si>
  <si>
    <t>AF OPTIMAL YIELD - G EUR QD (D)</t>
  </si>
  <si>
    <t>AF OPTIMAL YIELD SHORT TERM - E2 EUR QTD (D)</t>
  </si>
  <si>
    <t>AF OPTIMAL YIELD SHORT TERM - F EUR QTD (D)</t>
  </si>
  <si>
    <t xml:space="preserve">AF OPTIMAL YIELD SHORT TERM  G EUR AD (D) </t>
  </si>
  <si>
    <t>AF PIONEER GLOBAL HIGH YIELD BOND - E2 EUR QTD (D)</t>
  </si>
  <si>
    <t>AF PIONEER GLOBAL HIGH YIELD BOND - F EUR QTD (D)</t>
  </si>
  <si>
    <t>AF PIONEER INCOME OPPORTUNITIES - E2 EUR Hgd QTI (D)</t>
  </si>
  <si>
    <t>AF PIONEER INCOME OPPORTUNITIES - E2 EUR PHgd QTI (D)</t>
  </si>
  <si>
    <t>AF PIONEER INCOME OPPORTUNITIES - E2 EUR QTI (D)</t>
  </si>
  <si>
    <t>AF PIONEER INCOME OPPORTUNITIES - G EUR Hgd QTI (D)</t>
  </si>
  <si>
    <t>AF PIONEER INCOME OPPORTUNITIES - G EUR PHgd QTI (D)</t>
  </si>
  <si>
    <t>AF PIONEER INCOME OPPORTUNITIES - G EUR QTI (D)</t>
  </si>
  <si>
    <t>AF PIONEER STRATEGIC INCOME - E2 EUR Hgd QTD (D)</t>
  </si>
  <si>
    <t>AF PIONEER STRATEGIC INCOME - E2 EUR QTD (D)</t>
  </si>
  <si>
    <t>AF PIONEER STRATEGIC INCOME - F EUR QTD (D)</t>
  </si>
  <si>
    <t>AF PIONEER STRATEGIC INCOME - G EUR Hgd QD (D)</t>
  </si>
  <si>
    <t>AF PIONEER US BOND - F2 EUR Hgd QTD (D)</t>
  </si>
  <si>
    <t>AF REAL ASSETS TARGET INCOME - E2 EUR Hgd SATI (D)</t>
  </si>
  <si>
    <t>AF REAL ASSETS TARGET INCOME - G2 EUR Hgd QTI (D)</t>
  </si>
  <si>
    <t>AF TARGET COUPON - F2 EUR AD (D)           </t>
  </si>
  <si>
    <t>AF TARGET COUPON - G2 EUR AD (D)</t>
  </si>
  <si>
    <t>AF EMERGING MARKETS BLENDED BOND - F EUR QTD (D)</t>
  </si>
  <si>
    <t>AF EMERGING MARKETS BOND - G EUR QTD (D)</t>
  </si>
  <si>
    <t>AF EMERGING MARKETS SHORT TERM BOND - G2 EUR Hgd QTD (D)</t>
  </si>
  <si>
    <t>AF EMERGING MARKETS SHORT TERM BOND - G2 EUR QTD (D)</t>
  </si>
  <si>
    <t>AF PIONEER STRATEGIC INCOME - G EUR QTD (D)</t>
  </si>
  <si>
    <t>AF PIONEER US BOND - F EUR Hgd QTD (D)</t>
  </si>
  <si>
    <t>AF PIONEER US BOND - G EUR Hgd QTD (D)</t>
  </si>
  <si>
    <t>Quarterly</t>
  </si>
  <si>
    <t>Monthly</t>
  </si>
  <si>
    <t>Annually</t>
  </si>
  <si>
    <t>Semi-annual Target</t>
  </si>
  <si>
    <t>Annual</t>
  </si>
  <si>
    <t>FEA Income Builder Fund AHE-QVD</t>
  </si>
  <si>
    <t>QVD</t>
  </si>
  <si>
    <t>AF MULTI-ASSET CONSERVATIVE - F EUR QTD (D)</t>
  </si>
  <si>
    <t xml:space="preserve">AF EURO AGGREGATE BOND - E2 EUR AD (D) </t>
  </si>
  <si>
    <t xml:space="preserve">AF EURO AGGREGATE BOND - F EUR AD (D) </t>
  </si>
  <si>
    <t>AF GLOBAL BOND - F EUR Hgd MD (D)</t>
  </si>
  <si>
    <t xml:space="preserve">NAV di partenza </t>
  </si>
  <si>
    <t>Annual (USD)</t>
  </si>
  <si>
    <t>FEA Income Builder Fund AHE-QD</t>
  </si>
  <si>
    <t>AF EMERGING MARKETS CORPORATE BOND - F EUR Hgd MD (D)</t>
  </si>
  <si>
    <t>AF EURO HIGH YIELD SHORT TERM BOND - F EUR MD (D)</t>
  </si>
  <si>
    <t>AF GLOBAL AGGREGATE BOND - F EUR Hgd MD (D)</t>
  </si>
  <si>
    <t>AF GLOBAL CORPORATE BOND - F EUR Hgd MD (D)</t>
  </si>
  <si>
    <t>AF GLOBAL HIGH YIELD BOND - F EUR Hgd MD (D)</t>
  </si>
  <si>
    <t>AF PIONEER US BOND - G EUR Hgd MD (D)</t>
  </si>
  <si>
    <t>AF EURO HIGH YIELD BOND - F EUR MD (D)</t>
  </si>
  <si>
    <t xml:space="preserve">AF EMERGING MARKETS BOND - G EUR Hgd AD (D) </t>
  </si>
  <si>
    <t xml:space="preserve">AF EMERGING MARKETS LOCAL CURRENCY BOND - F EUR AD (D) </t>
  </si>
  <si>
    <t xml:space="preserve">AF PIONEER GLOBAL HIGH YIELD BOND - G EUR Hgd AD (D) </t>
  </si>
  <si>
    <t xml:space="preserve">AF PIONEER STRATEGIC INCOME - E2 EUR AD (D) </t>
  </si>
  <si>
    <t xml:space="preserve">AF PIONEER STRATEGIC INCOME - E2 EUR Hgd AD (D) </t>
  </si>
  <si>
    <t xml:space="preserve">AF PIONEER STRATEGIC INCOME - F EUR AD (D) </t>
  </si>
  <si>
    <t xml:space="preserve">AF PIONEER STRATEGIC INCOME - F EUR Hgd AD (D) </t>
  </si>
  <si>
    <t xml:space="preserve">AF PIONEER STRATEGIC INCOME - G EUR Hgd AD (D) </t>
  </si>
  <si>
    <t>LU1583992539</t>
  </si>
  <si>
    <t>LU1583994071</t>
  </si>
  <si>
    <t>LU2018722350</t>
  </si>
  <si>
    <t>AF GLOBAL TOTAL RETURN BOND - F2 EUR QTD (D)</t>
  </si>
  <si>
    <t>AF GLOBAL TOTAL RETURN BOND - G EUR QTD (D)</t>
  </si>
  <si>
    <t>AF GLOBAL TOTAL RETURN BOND - F EUR QTD (D)</t>
  </si>
  <si>
    <t>AF EURO AGGREGATE BOND - M2 EUR QTD (D)</t>
  </si>
  <si>
    <t>AF EURO CORPORATE BOND - M2 EUR QTD (D)</t>
  </si>
  <si>
    <t>AF EURO GOVERNMENT BOND - M2 EUR QTD (D)</t>
  </si>
  <si>
    <t>AF GLOBAL AGGREGATE BOND - M2 EUR Hgd QTD (D)</t>
  </si>
  <si>
    <t>AF GLOBAL AGGREGATE BOND - M2 EUR QTD (D)</t>
  </si>
  <si>
    <t>AF GLOBAL SUBORDINATED BOND - M2 EUR QTD (D)</t>
  </si>
  <si>
    <t>AF OPTIMAL YIELD - M2 EUR QTD (D)</t>
  </si>
  <si>
    <t>AF OPTIMAL YIELD SHORT TERM - M2 EUR QTD (D)</t>
  </si>
  <si>
    <t>AF PIONEER INCOME OPPORTUNITIES - M2 EUR Hgd QTD (D)</t>
  </si>
  <si>
    <t>AF EURO MULTI-ASSET TARGET INCOME - M2 EUR QTI (D)</t>
  </si>
  <si>
    <t>AF GLOBAL MULTI-ASSET TARGET INCOME - M2 EUR SATI (D)</t>
  </si>
  <si>
    <t>AF EMERGING MARKETS SHORT TERM BOND - M2 EUR QD (D)</t>
  </si>
  <si>
    <t>AF EMERGING MARKETS BOND - M2 EUR QTD (D)</t>
  </si>
  <si>
    <t>AF PIONEER GLOBAL HIGH YIELD BOND - M2 EUR Hgd QTD (D)</t>
  </si>
  <si>
    <t>AF PIONEER STRATEGIC INCOME - M2 EUR Hgd QTD (D)</t>
  </si>
  <si>
    <t>AF EURO AGGREGATE BOND - M2 EUR AD (D)</t>
  </si>
  <si>
    <t>AF EMERGING MARKETS BOND - M2 EUR AD (D)</t>
  </si>
  <si>
    <t>AF EURO CORPORATE BOND - M2 EUR AD (D)</t>
  </si>
  <si>
    <t>AF EMERGING MARKETS LOCAL CURRENCY BOND - M2 EUR AD (D)</t>
  </si>
  <si>
    <t>AF PIONEER GLOBAL HIGH YIELD BOND - M2 EUR AD (D)</t>
  </si>
  <si>
    <t>AF STRATEGIC BOND - G EUR QD (D)</t>
  </si>
  <si>
    <t>AF STRATEGIC BOND - E2 EUR QTD (D)</t>
  </si>
  <si>
    <t>AF STRATEGIC BOND - F EUR QTD (D)</t>
  </si>
  <si>
    <t xml:space="preserve">AF STRATEGIC BOND - E2 EUR AD (D) </t>
  </si>
  <si>
    <t xml:space="preserve">AF STRATEGIC BOND - F EUR AD (D) </t>
  </si>
  <si>
    <t xml:space="preserve">AF STRATEGIC BOND - G EUR AD (D) </t>
  </si>
  <si>
    <t>AF EUROPEAN EQUITY  SUSTAINABLE INCOME - E2 EUR SATI (D)</t>
  </si>
  <si>
    <t>AF EUROPEAN EQUITY SUSTAINABLE INCOME - G2 EUR SATI (D)</t>
  </si>
  <si>
    <t>AF EUROPEAN EQUITY SUSTAINABLE INCOME - E2 EUR SATI (D)</t>
  </si>
  <si>
    <t>AF GLOBAL EQUITY SUSTAINABLE INCOME - E2 EUR QTI (D)</t>
  </si>
  <si>
    <t>AF GLOBAL EQUITY SUSTAINABLE INCOME - E2 EUR SATI (D)</t>
  </si>
  <si>
    <t>AF GLOBAL EQUITY SUSTAINABLE INCOME - G2 EUR SATI (D)</t>
  </si>
  <si>
    <t>AF MULTI-ASSET REAL RETURN - F2 EUR QTD (D)</t>
  </si>
  <si>
    <t>AF MULTI-ASSET REAL RETURN - G EUR QTD (D)</t>
  </si>
  <si>
    <t>LU1883866797</t>
  </si>
  <si>
    <t>LU1883867092</t>
  </si>
  <si>
    <t>AF REAL ASSETS TARGET INCOME - E2 EUR ATI (D)</t>
  </si>
  <si>
    <t>AF REAL ASSETS TARGET INCOME - F2 EUR ATI (D)</t>
  </si>
  <si>
    <t>AF GLOBAL EQUITY  SUSTAINABLE INCOME - M2 EUR Hgd QTI (D)</t>
  </si>
  <si>
    <t>AF GLOBAL EQUITY SUSTAINABLE INCOME - M2 EUR QTI (D)</t>
  </si>
  <si>
    <t>AF GLOBAL EQUITY SUSTAINABLE INCOME - M2 EUR Hgd QTI (D)</t>
  </si>
  <si>
    <t>LU2002722424</t>
  </si>
  <si>
    <t>AF GLOBAL EQUITY SUSTAINABLE INCOME - M2 EUR SATI (D)</t>
  </si>
  <si>
    <t>AF EUROPEAN EQUITY SUSTAINABLE INCOME - M2 EUR SATI (D)</t>
  </si>
  <si>
    <t>LU2002722697</t>
  </si>
  <si>
    <t>AF GLOBAL MULTI-ASSET TARGET INCOME - M2 EUR Hdg SATI (D)</t>
  </si>
  <si>
    <t>LU2002723828</t>
  </si>
  <si>
    <t>LU2002724040</t>
  </si>
  <si>
    <t>AF REAL ASSETS TARGET INCOME - M2 EUR Hdg SATI (D)</t>
  </si>
  <si>
    <t>AF REAL ASSETS TARGET INCOME - M2 USD ATI (D)</t>
  </si>
  <si>
    <t>ATI</t>
  </si>
  <si>
    <t>Semi-Annually</t>
  </si>
  <si>
    <t>AF GLOBAL BOND - ME AD (D)</t>
  </si>
  <si>
    <t>Target Annuo diviso 4 moltiplicato per NAV fine anno precedente</t>
  </si>
  <si>
    <t>LU1915993577</t>
  </si>
  <si>
    <t>LU2104304311</t>
  </si>
  <si>
    <t>non distrib</t>
  </si>
  <si>
    <t>3,4% USD</t>
  </si>
  <si>
    <t>Annual (EUR equiv USD)</t>
  </si>
  <si>
    <t>LU1915993650</t>
  </si>
  <si>
    <t>LU2110861221</t>
  </si>
  <si>
    <t>AF GLOBAL CORPORATE BOND - M2 EUR Hgd QTD (D)</t>
  </si>
  <si>
    <t>LU2085676679</t>
  </si>
  <si>
    <t>AF EMERGING MARKETS CORPORATE HIGH YIELD BOND - G EUR QTD (D)</t>
  </si>
  <si>
    <t>AF GLOBAL SUBORDINATED BOND - G EUR QTD (D)</t>
  </si>
  <si>
    <t>LU2085676836</t>
  </si>
  <si>
    <t>LU0945150844</t>
  </si>
  <si>
    <t>AF BOND ASIAN LOCAL DEBT - FHE MD (D)</t>
  </si>
  <si>
    <t>LU1103150238</t>
  </si>
  <si>
    <t>LU1103150071</t>
  </si>
  <si>
    <t>AF GLOBAL MACRO BONDS &amp; CURRENCIES - F2 EUR MD (D)</t>
  </si>
  <si>
    <t>AF GLOBAL MACRO BONDS &amp; CURRENCIES - G EUR MD (D)</t>
  </si>
  <si>
    <t>AF MULTI-ASSET REAL RETURN - F EUR QTD (D)</t>
  </si>
  <si>
    <t>LU1984707163</t>
  </si>
  <si>
    <t>3% in USD</t>
  </si>
  <si>
    <t>LU2028898919</t>
  </si>
  <si>
    <t>AF GLOBAL MULTI-ASSET TARGET INCOME - M2 EUR Hgd SATI (D)</t>
  </si>
  <si>
    <t>3,5% in USD</t>
  </si>
  <si>
    <t>LU2082311627</t>
  </si>
  <si>
    <t>LU2082310819</t>
  </si>
  <si>
    <t>LU2082310736</t>
  </si>
  <si>
    <t>LU2082310579</t>
  </si>
  <si>
    <t>3,25% (USD)</t>
  </si>
  <si>
    <t>3,45% (USD)</t>
  </si>
  <si>
    <t>LU2082311387</t>
  </si>
  <si>
    <t>ASI - Formula Selezione Euro 05/2026 - W EUR</t>
  </si>
  <si>
    <t>LU2082312195</t>
  </si>
  <si>
    <t>LU2082311890</t>
  </si>
  <si>
    <t>3,55% (USD)</t>
  </si>
  <si>
    <t>3,75% (USD)</t>
  </si>
  <si>
    <t>LU2082312351</t>
  </si>
  <si>
    <t>LU2082312864</t>
  </si>
  <si>
    <t>LU2082312781</t>
  </si>
  <si>
    <t>5% (USD)</t>
  </si>
  <si>
    <t>5,2% (USD)</t>
  </si>
  <si>
    <t>LU2122994994</t>
  </si>
  <si>
    <t>LU2122994721</t>
  </si>
  <si>
    <t>LU2122997237</t>
  </si>
  <si>
    <t>LU2122997153</t>
  </si>
  <si>
    <t>LU2180175254</t>
  </si>
  <si>
    <t xml:space="preserve">LU2180174281 </t>
  </si>
  <si>
    <t>LU2180174109</t>
  </si>
  <si>
    <t>LU2180174877</t>
  </si>
  <si>
    <t>LU2180174950</t>
  </si>
  <si>
    <t>1,4% (USD)</t>
  </si>
  <si>
    <t>ASI - Formula ESG Giugno 2025 - E EUR</t>
  </si>
  <si>
    <t>LU2002724396</t>
  </si>
  <si>
    <t xml:space="preserve">AF TARGET COUPON - M2 EUR AD (D) </t>
  </si>
  <si>
    <t>AF ASIA EQUITY CONCENTRATED - M2 EUR AD (D)</t>
  </si>
  <si>
    <t>LU2002721616</t>
  </si>
  <si>
    <t>LU2002721376</t>
  </si>
  <si>
    <t>LU2002720725</t>
  </si>
  <si>
    <t>LU1883336304</t>
  </si>
  <si>
    <t>AF GLOBAL AGGREGATE BOND - M2 EUR Hgd AD (D)</t>
  </si>
  <si>
    <t>AF EURO HIGH YIELD SHORT TERM BOND - M2 EUR AD (D)</t>
  </si>
  <si>
    <t>AF EMERGING MARKETS HARD CURRENCY BOND - M2 EUR AD (D)</t>
  </si>
  <si>
    <t>AF MULTI-STRATEGY GROWTH - M2 EUR AD (D)</t>
  </si>
  <si>
    <t>3,60% in USD</t>
  </si>
  <si>
    <t>3,8% in USD</t>
  </si>
  <si>
    <t>LU2215999694</t>
  </si>
  <si>
    <t>1,40% (USD)</t>
  </si>
  <si>
    <t>ASI - Europa 6 Novembre 2020 - E EUR</t>
  </si>
  <si>
    <t xml:space="preserve">ASI -  Europa 30 Novembre 2020 - E EUR  </t>
  </si>
  <si>
    <t>ASI - Globale Dividendo 11 Dicembre 2020 - E EUR</t>
  </si>
  <si>
    <t>ASI - Globale Dividendo 18 Dicembre 2020 - E EUR</t>
  </si>
  <si>
    <t>LU2215999009</t>
  </si>
  <si>
    <t>LU2215998886</t>
  </si>
  <si>
    <t xml:space="preserve">1,10% (USD) </t>
  </si>
  <si>
    <t>Amundi S.F. - Euro Curve 10 + Year - E EUR QTD</t>
  </si>
  <si>
    <t>Amundi S.F. - Euro Curve 7-10 Year  - E EUR QTD</t>
  </si>
  <si>
    <t>Amundi S.F. - Emerging Markets Bond 2024 - E EUR AD</t>
  </si>
  <si>
    <t>Amundi S.F. - High Yield &amp; Emerging Markets Bond Opportunities 2021 - E AD</t>
  </si>
  <si>
    <t>Amundi S.F. - Global High Yield Opportunities 2025 - B EUR Hdg AD</t>
  </si>
  <si>
    <t>Amundi S.F. - Global High Yield Opportunities 2025 - B EUR AD</t>
  </si>
  <si>
    <t>Amundi S.F. - Global High Yield Opportunities 2025 - E EUR Hdg AD</t>
  </si>
  <si>
    <t>Amundi S.F. - Diversified Target Income 11/2022 - W AD</t>
  </si>
  <si>
    <t>AMUNDI FUND SOLUTIONS - BUY AND WATCH OPTIMAL YIELD BOND 04/2026 - W EUR AD</t>
  </si>
  <si>
    <t>LU2092768444</t>
  </si>
  <si>
    <t>AMUNDI FUND SOLUTIONS - BUY AND WATCH OPTIMAL YIELD BOND 04/2026 - E EUR AD</t>
  </si>
  <si>
    <t>LU2092768014</t>
  </si>
  <si>
    <t>aliquota fissa * Nav di partenza</t>
  </si>
  <si>
    <t>ASI - Progetto Cedola 12/2020 - E EUR AD</t>
  </si>
  <si>
    <t>ASI - Progetto Cedola 12/2023 - E EUR AD</t>
  </si>
  <si>
    <t>ASI - Obbligazionario Euro 5 anni 11/2024 - W EUR AD</t>
  </si>
  <si>
    <t>ASI - Selezione Dividendo 15 Maggio 2023 - E EUR</t>
  </si>
  <si>
    <t>ASI - Formula ESG Luglio 2025 - E EUR</t>
  </si>
  <si>
    <t>ASI - Globale Giugno 2022 - E EUR</t>
  </si>
  <si>
    <t>ASI - Formula ESG Agosto 2025 - E EUR</t>
  </si>
  <si>
    <t>ASI - Globale Maggio 2021 - E EUR</t>
  </si>
  <si>
    <t>ASI - Formula ESG Settembre 2025 - E EUR</t>
  </si>
  <si>
    <t>ASI - Globale Giugno 2021 - E EUR</t>
  </si>
  <si>
    <t>ASI - Globale Luglio 2021 - E EUR</t>
  </si>
  <si>
    <t>ASI - Globale Ottobre 2021 - E EUR</t>
  </si>
  <si>
    <t>LU1664216329</t>
  </si>
  <si>
    <t>Amundi S.F. - Amundi Target Trend 2024 - W AD</t>
  </si>
  <si>
    <t>ASI - Progetto Cedola 01/2023 - E EUR AD</t>
  </si>
  <si>
    <t>ASI - Progetto Cedola 01/2024 - E EUR AD</t>
  </si>
  <si>
    <t>ASI - Obbligazionario Alto Rendimento Diversificato 01/2026 - B EUR Hgd AD</t>
  </si>
  <si>
    <t>ASI - Obbligazionario Alto Rendimento Diversificato 01/2026 - B EUR AD</t>
  </si>
  <si>
    <t>ASI - Obbligazionario Alto Rendimento Diversificato 01/2026 - E EUR AD</t>
  </si>
  <si>
    <t>ASI - Progetto Cedola 02/2021 - E EUR AD</t>
  </si>
  <si>
    <t>ASI - Obbligazionario Euro 04/2025 - W EUR AD</t>
  </si>
  <si>
    <t>ASI - Progetto Cedola 02/2022 - E EUR AD</t>
  </si>
  <si>
    <t>ASI - Progetto Cedola 02/2023 - E EUR AD</t>
  </si>
  <si>
    <t>ASI - Obbligazionario Alto Rendimento Diversificato 02/2026 - B EUR AD</t>
  </si>
  <si>
    <t>ASI - Obbligazionario Alto Rendimento Diversificato 02/2026 - E EUR AD</t>
  </si>
  <si>
    <t>ASI - Progetto Cedola 03/2021 - E EUR AD</t>
  </si>
  <si>
    <t>ASI - Obbligazionario Euro 04/2024 - E EUR AD</t>
  </si>
  <si>
    <t>ASI - Progetto Cedola 03/2023 - E EUR AD</t>
  </si>
  <si>
    <t>ASI - Progetto Cedola 03/2022 - E EUR AD</t>
  </si>
  <si>
    <t>ASI - Obbligazionario Euro 04/2024 - B EUR AD</t>
  </si>
  <si>
    <t>ASI - Obbligazionario Alto Rendimento Diversificato 03/2026 - E EUR AD</t>
  </si>
  <si>
    <t>ASI - Obbligazionario Alto Rendimento Diversificato 03/2026 - B EUR AD</t>
  </si>
  <si>
    <t>ASI - Obbligazionario Euro 05/2025 - W EUR AD</t>
  </si>
  <si>
    <t>ASI - Progetto Cedola 04/2024 - E EUR AD</t>
  </si>
  <si>
    <t>ASI - Progetto Cedola 04/2023 - E EUR AD</t>
  </si>
  <si>
    <t>ASI - Progetto Cedola 04/2022 - E EUR AD</t>
  </si>
  <si>
    <t>ASI - Progetto Cedola 05/2021 - E EUR AD</t>
  </si>
  <si>
    <t>ASI - Obbligazionario Euro 05/2024 - E EUR AD</t>
  </si>
  <si>
    <t>ASI - Obbligazionario Euro 05/2024 - W EUR AD</t>
  </si>
  <si>
    <t>ASI - Progetto Cedola 05/2022 - E EUR AD</t>
  </si>
  <si>
    <t>ASI - Progetto Cedola 05/2023 - E EUR AD</t>
  </si>
  <si>
    <t>ASI - Obbligazionario Euro 06/2025 - W EUR AD</t>
  </si>
  <si>
    <t>ASI - Obbligazionario Euro 06/2025 - E EUR AD</t>
  </si>
  <si>
    <t>ASI - Progetto Cedola 06/2021 - E EUR AD</t>
  </si>
  <si>
    <t>ASI - Progetto Cedola 06/2022 - E EUR AD</t>
  </si>
  <si>
    <t>ASI - Progetto Cedola 06/2023 - E EUR AD</t>
  </si>
  <si>
    <t>ASI - Obbligazionario Euro 07/2024 - W EUR AD</t>
  </si>
  <si>
    <t>ASI - Obbligazionario Euro 07/2024 - E EUR AD</t>
  </si>
  <si>
    <t>ASI - Obbligazionario Euro 08/2025 - W EUR AD</t>
  </si>
  <si>
    <t>ASI - Obbligazionario Euro 08/2025 - E EUR AD</t>
  </si>
  <si>
    <t>ASI - Progetto Cedola 07/2022 - E EUR AD</t>
  </si>
  <si>
    <t>ASI - Progetto Cedola 07/2023 - E EUR AD</t>
  </si>
  <si>
    <t>ASI - Obbligazionario Ripresa Globale 11/2023 - U EUR AD</t>
  </si>
  <si>
    <t>EUR equivalent of USD 0,0828</t>
  </si>
  <si>
    <t>ASI - Obbligazionario Ripresa Globale 11/2023 - U EUR Hgd AD</t>
  </si>
  <si>
    <t>ASI - Obbligazionario Ripresa Globale 12/2023 - U EUR AD</t>
  </si>
  <si>
    <t>ASI - Obbligazionario Euro 11/2025 - E EUR AD</t>
  </si>
  <si>
    <t>ASI - Obbligazionario Euro 11/2025 - W EUR AD</t>
  </si>
  <si>
    <t>ASI - Obbligazionario Ripresa Globale 02/2024 - U EUR AD</t>
  </si>
  <si>
    <t>ASI - Obbligazionario Euro 12/2025 - W EUR AD</t>
  </si>
  <si>
    <t>ASI - Obbligazionario Euro 02/2026 - W EUR AD</t>
  </si>
  <si>
    <t>ASI - Progetto Cedola 08/2021 - E EUR AD</t>
  </si>
  <si>
    <t>ASI - Obbligazionario Euro 07/2024 (II) - E EUR AD</t>
  </si>
  <si>
    <t>ASI - Obbligazionario Euro 07/2024 (II) - W EUR AD</t>
  </si>
  <si>
    <t>ASI - Progetto Cedola 09/2022 - E EUR AD</t>
  </si>
  <si>
    <t>ASI - Progetto Cedola 09/2021 - E EUR AD</t>
  </si>
  <si>
    <t>ASI - Obbligazionario Euro 2023 - E EUR AD</t>
  </si>
  <si>
    <t>ASI - Progetto Cedola 09/2023 - E EUR AD</t>
  </si>
  <si>
    <t>ASI - Progetto Cedola 10/2022 - E EUR AD</t>
  </si>
  <si>
    <t>ASI - Progetto Cedola 10/2023 - E EUR AD</t>
  </si>
  <si>
    <t>ASI - Obbligazionario Alto Rendimento 10/2025 - B EUR AD</t>
  </si>
  <si>
    <t>ASI - Obbligazionario Alto Rendimento 10/2025 - E EUR AD</t>
  </si>
  <si>
    <t>ASI - Obbligazionario Alto Rendimento 10/2025 - B EUR Hdg AD</t>
  </si>
  <si>
    <t>ASI - Progetto Cedola 11/2021 - E EUR AD</t>
  </si>
  <si>
    <t>ASI - Obbligazionario Alto Rendimento 11/2025 cl B EUR AD</t>
  </si>
  <si>
    <t>3,70% in USD</t>
  </si>
  <si>
    <t>3,55% in USD</t>
  </si>
  <si>
    <t>3,75% in USD</t>
  </si>
  <si>
    <t>ASI - Obbligazionario Alto Rendimento 11/2025 - E EUR AD</t>
  </si>
  <si>
    <t>ASI - Obbligazionario Alto Rendimento 11/2025 - B EUR Hdg AD</t>
  </si>
  <si>
    <t>ASI - Obbligazionario Euro 12/2023 - E EUR AD</t>
  </si>
  <si>
    <t>ASI - Progetto Cedola 12/2022 - E EUR AD</t>
  </si>
  <si>
    <t>ASI - Progetto Cedola 12/2021 - E EUR AD</t>
  </si>
  <si>
    <t>LU2033259750</t>
  </si>
  <si>
    <t>AMUNDI FUND SOLUTIONS - BUY AND WATCH HIGH INCOME BOND 01/2025 - E EUR AD</t>
  </si>
  <si>
    <t>AF REAL ASSETS TARGET INCOME - M2 EUR Hgd SATI</t>
  </si>
  <si>
    <t>AF REAL ASSETS TARGET INCOME - M2 EUR Hgd SATI (D)</t>
  </si>
  <si>
    <t>AMUNDI FUND SOLUTIONS - BUY AND WATCH US HIGH YIELD OPPORTUNITIES 03/2025 - B EUR AD</t>
  </si>
  <si>
    <t>LU2265236187</t>
  </si>
  <si>
    <t>aliquota fissa * Nav di partenza - primi 3 anni (successivamente variabile)</t>
  </si>
  <si>
    <t>LU2305762622</t>
  </si>
  <si>
    <t>LU2279408673</t>
  </si>
  <si>
    <t>LU2279408327</t>
  </si>
  <si>
    <t>LU2082312518</t>
  </si>
  <si>
    <r>
      <rPr>
        <b/>
        <sz val="14"/>
        <color indexed="9"/>
        <rFont val="Arial"/>
        <family val="2"/>
      </rPr>
      <t>RECORD DATE</t>
    </r>
    <r>
      <rPr>
        <b/>
        <sz val="12"/>
        <color indexed="9"/>
        <rFont val="Arial"/>
        <family val="2"/>
      </rPr>
      <t xml:space="preserve">
</t>
    </r>
    <r>
      <rPr>
        <b/>
        <sz val="10"/>
        <color indexed="9"/>
        <rFont val="Arial"/>
        <family val="2"/>
      </rPr>
      <t>(data di determinazione dei titolari di quote che hanno diritto a ricevere la cedola)</t>
    </r>
  </si>
  <si>
    <r>
      <rPr>
        <b/>
        <sz val="14"/>
        <color indexed="9"/>
        <rFont val="Arial"/>
        <family val="2"/>
      </rPr>
      <t>EX-DATE</t>
    </r>
    <r>
      <rPr>
        <b/>
        <sz val="12"/>
        <color indexed="9"/>
        <rFont val="Arial"/>
        <family val="2"/>
      </rPr>
      <t xml:space="preserve">  
</t>
    </r>
    <r>
      <rPr>
        <b/>
        <sz val="11"/>
        <color indexed="9"/>
        <rFont val="Arial"/>
        <family val="2"/>
      </rPr>
      <t>(data primo Nav al netto della cedola distribuita)</t>
    </r>
  </si>
  <si>
    <r>
      <rPr>
        <b/>
        <sz val="14"/>
        <color indexed="9"/>
        <rFont val="Arial"/>
        <family val="2"/>
      </rPr>
      <t>DATA VALUTA</t>
    </r>
    <r>
      <rPr>
        <b/>
        <sz val="12"/>
        <color indexed="9"/>
        <rFont val="Arial"/>
        <family val="2"/>
      </rPr>
      <t xml:space="preserve"> di
pagamento
</t>
    </r>
    <r>
      <rPr>
        <b/>
        <sz val="11"/>
        <color indexed="9"/>
        <rFont val="Arial"/>
        <family val="2"/>
      </rPr>
      <t>(Ex-date +3)</t>
    </r>
  </si>
  <si>
    <r>
      <t xml:space="preserve">Provento distribuito per azione 
</t>
    </r>
    <r>
      <rPr>
        <b/>
        <sz val="10"/>
        <color indexed="9"/>
        <rFont val="Arial"/>
        <family val="2"/>
      </rPr>
      <t>(quota capitale + quota provento lorda)</t>
    </r>
  </si>
  <si>
    <t>ALIQUOTA</t>
  </si>
  <si>
    <t>QUOTA CAPITALE</t>
  </si>
  <si>
    <t>QUOTA PROVENTO LORDA</t>
  </si>
  <si>
    <t>QUOTA PROVENTO NETTA</t>
  </si>
  <si>
    <r>
      <t xml:space="preserve">Provento NETTO per azione 
</t>
    </r>
    <r>
      <rPr>
        <b/>
        <sz val="10"/>
        <color indexed="9"/>
        <rFont val="Arial"/>
        <family val="2"/>
      </rPr>
      <t>(quota capitale + quota provento netta)</t>
    </r>
  </si>
  <si>
    <r>
      <t xml:space="preserve">Provento distribuito 
per azione 
</t>
    </r>
    <r>
      <rPr>
        <b/>
        <sz val="10"/>
        <color indexed="9"/>
        <rFont val="Arial"/>
        <family val="2"/>
      </rPr>
      <t>(quota capitale + quota provento lorda)</t>
    </r>
  </si>
  <si>
    <t>Data Lancio / Inizio commercializz. in Italia</t>
  </si>
  <si>
    <r>
      <rPr>
        <b/>
        <sz val="14"/>
        <color indexed="9"/>
        <rFont val="Arial"/>
        <family val="2"/>
      </rPr>
      <t>DATA VALUTA</t>
    </r>
    <r>
      <rPr>
        <b/>
        <sz val="12"/>
        <color indexed="9"/>
        <rFont val="Arial"/>
        <family val="2"/>
      </rPr>
      <t xml:space="preserve"> 
di
pagamento
</t>
    </r>
    <r>
      <rPr>
        <b/>
        <sz val="11"/>
        <color indexed="9"/>
        <rFont val="Arial"/>
        <family val="2"/>
      </rPr>
      <t>(Ex-date +3)</t>
    </r>
  </si>
  <si>
    <t>AF PIONEER US CORPORATE BOND - M2 EUR Hgd QD</t>
  </si>
  <si>
    <t>AF GLOBAL ECOLOGY ESG - M2 EUR QD</t>
  </si>
  <si>
    <t>AF TOTAL HYBRID BOND - M2 EUR QTD</t>
  </si>
  <si>
    <t xml:space="preserve">AF GLOBAL MULTI-ASSET CONSERVATIVE - E2 EUR AD (D) </t>
  </si>
  <si>
    <t>LU2330498085</t>
  </si>
  <si>
    <t>LU2002721459</t>
  </si>
  <si>
    <t>LU2002721962</t>
  </si>
  <si>
    <t>AF EUROPEAN CONVERTIBLE BOND - M2 EUR AD</t>
  </si>
  <si>
    <t>AF GLOBAL CONVERTIBLE BOND - M2 EUR (AD)</t>
  </si>
  <si>
    <t>0.0585</t>
  </si>
  <si>
    <t>0.1739</t>
  </si>
  <si>
    <t>0.1837</t>
  </si>
  <si>
    <t>0.055</t>
  </si>
  <si>
    <t>0.085</t>
  </si>
  <si>
    <t>AF STRATEGIC BOND - M2 EUR QTD (D)</t>
  </si>
  <si>
    <t>AF EUROPEAN SUBORDINATED BOND ESG - M2 EUR QTD</t>
  </si>
  <si>
    <t>LU2180174281</t>
  </si>
  <si>
    <t>LU2028898166</t>
  </si>
  <si>
    <t xml:space="preserve">3,4% USD </t>
  </si>
  <si>
    <t>LU2321584760</t>
  </si>
  <si>
    <t>LU2321588597</t>
  </si>
  <si>
    <t>LU2321590148</t>
  </si>
  <si>
    <t>AMUNDI S.F. - HIGH POTENTIAL BOND - E EUR Hgd AD</t>
  </si>
  <si>
    <t>AMUNDI S.F. - HIGH POTENTIAL BOND - G EUR AD</t>
  </si>
  <si>
    <t>AMUNDI S.F. - HIGH POTENTIAL BOND - G EUR Hgd AD</t>
  </si>
  <si>
    <t>AF MONTPENSIER GLOBAL CONVERTIBLE BOND - M2 EUR AD (D)</t>
  </si>
  <si>
    <t>MTD</t>
  </si>
  <si>
    <t>AF EMERGING MARKETS CORPORATE BOND - F EUR Hgd MTD (D)</t>
  </si>
  <si>
    <t>AF EMERGING MARKETS CORPORATE BOND - F2 EUR Hgd MTD (D)</t>
  </si>
  <si>
    <t>AF EMERGING MARKETS CORPORATE BOND - G EUR Hgd MTD (D)</t>
  </si>
  <si>
    <t>AF EMERGING MARKETS LOCAL CURRENCY BOND - F2 EUR Hgd MTD (D)</t>
  </si>
  <si>
    <t>AF EMERGING MARKETS LOCAL CURRENCY BOND - G EUR Hgd MTD (D)</t>
  </si>
  <si>
    <t>AF EURO HIGH YIELD BOND - F EUR MTD (D)</t>
  </si>
  <si>
    <t>AF EURO HIGH YIELD BOND - F2 EUR MTD (D)</t>
  </si>
  <si>
    <t>AF EURO HIGH YIELD BOND - G EUR MTD (D)</t>
  </si>
  <si>
    <t>AF EURO HIGH YIELD SHORT TERM BOND - F EUR MTD (D)</t>
  </si>
  <si>
    <t>AF EURO HIGH YIELD SHORT TERM BOND - F2 EUR MTD (D)</t>
  </si>
  <si>
    <t>AF EURO HIGH YIELD SHORT TERM BOND - G EUR MTD (D)</t>
  </si>
  <si>
    <t>AF GLOBAL AGGREGATE BOND - F EUR Hgd MTD (D)</t>
  </si>
  <si>
    <t>AF GLOBAL AGGREGATE BOND - F2 EUR Hgd MTD (D)</t>
  </si>
  <si>
    <t>AF GLOBAL AGGREGATE BOND - G EUR Hgd MTD (D)</t>
  </si>
  <si>
    <t>AF GLOBAL BOND - F EUR Hgd MTD (D)</t>
  </si>
  <si>
    <t>AF GLOBAL BOND - F2 EUR Hgd MTD (D)</t>
  </si>
  <si>
    <t>AF GLOBAL BOND - G EUR Hgd MTD (D)</t>
  </si>
  <si>
    <t>AF GLOBAL CORPORATE BOND - F EUR Hgd MTD (D)</t>
  </si>
  <si>
    <t>AF GLOBAL CORPORATE BOND - F2 EUR Hgd MTD (D)</t>
  </si>
  <si>
    <t>AF GLOBAL CORPORATE BOND - G EUR Hgd MTD (D)</t>
  </si>
  <si>
    <t>AF GLOBAL HIGH YIELD BOND - F EUR Hgd MTD (D)</t>
  </si>
  <si>
    <t>AF GLOBAL HIGH YIELD BOND - F2 EUR Hgd MTD (D)</t>
  </si>
  <si>
    <t>AF GLOBAL HIGH YIELD BOND - G EUR Hgd MTD (D)</t>
  </si>
  <si>
    <t>AF GLOBAL MACRO BONDS &amp; CURRENCIES - F2 EUR MTD (D)</t>
  </si>
  <si>
    <t>AF GLOBAL MACRO BONDS &amp; CURRENCIES - G EUR MTD (D)</t>
  </si>
  <si>
    <t>AF PIONEER US BOND - G EUR Hgd MTD (D)</t>
  </si>
  <si>
    <t>LU2534777763</t>
  </si>
  <si>
    <t>AF CHINA RMB AGGREGATE BOND - E2 EUR AD</t>
  </si>
  <si>
    <t>LU2534777250</t>
  </si>
  <si>
    <t>AF CHINA RMB AGGREGATE BOND - F EUR AD</t>
  </si>
  <si>
    <t>LU2534777334</t>
  </si>
  <si>
    <t>AF CHINA RMB AGGREGATE BOND - G EUR AD</t>
  </si>
  <si>
    <t>LU2340088629</t>
  </si>
  <si>
    <t>LU2340083158</t>
  </si>
  <si>
    <t>LU2340072110</t>
  </si>
  <si>
    <t>LU2474780355</t>
  </si>
  <si>
    <t>LU2474780199</t>
  </si>
  <si>
    <t>LU2474779852</t>
  </si>
  <si>
    <t>LU2474779779</t>
  </si>
  <si>
    <t>LU2523292691</t>
  </si>
  <si>
    <t>LU2523292428</t>
  </si>
  <si>
    <t>LU2523293822</t>
  </si>
  <si>
    <t>LU2523293749</t>
  </si>
  <si>
    <t>LU2474779696</t>
  </si>
  <si>
    <t>LU2474779423</t>
  </si>
  <si>
    <t>ASI - Obbligazionario Ripresa Globale 07/2026 - W EUR AD</t>
  </si>
  <si>
    <t>2,50% in USD</t>
  </si>
  <si>
    <t>ASI - Obbligazionario Ripresa Globale 09/2026 - W EUR AD</t>
  </si>
  <si>
    <t>ASI - Obbligazionario Ripresa Globale 09/2026 - W EUR Hgd AD</t>
  </si>
  <si>
    <t>Amundi S.F. - Emerging Markets Bond 2025 classe E EUR AD</t>
  </si>
  <si>
    <t>3,00% in USD</t>
  </si>
  <si>
    <t>ASI - Obbligazionario Euro 07/2027 - E EUR AD</t>
  </si>
  <si>
    <t>ASI - Obbligazionario Euro 07/2027 - W EUR AD</t>
  </si>
  <si>
    <t>LU2474778532</t>
  </si>
  <si>
    <t>LU2523292188</t>
  </si>
  <si>
    <t>LU2523293582</t>
  </si>
  <si>
    <t>ASI - Formula Selezione Euro 12/2028 - Y EUR AD</t>
  </si>
  <si>
    <t>ASI - Formula Selezione Euro 02/2029 - Y EUR AD</t>
  </si>
  <si>
    <t>ASI - Formula Selezione Euro 04/2029 - Y EUR AD</t>
  </si>
  <si>
    <t>ASI - Obbligazionario Globale 09/2027 - E EUR AD</t>
  </si>
  <si>
    <t>ASI - Obbligazionario Globale 09/2027 - W EUR AD</t>
  </si>
  <si>
    <t>4,7% in USD</t>
  </si>
  <si>
    <t>4,5% in USD</t>
  </si>
  <si>
    <t>ASI - Obbligazionario Euro 09/2027 - E EUR AD</t>
  </si>
  <si>
    <t>ASI - Obbligazionario Euro 09/2027 - W EUR AD</t>
  </si>
  <si>
    <t>ASI - Obbligazionario Euro 10/2027 - E EUR AD</t>
  </si>
  <si>
    <t>ASI - Obbligazionario Euro 10/2027 - W EUR AD</t>
  </si>
  <si>
    <t>ASI - Obbligazionario Euro 12/2027 - E EUR AD</t>
  </si>
  <si>
    <t>ASI - Obbligazionario Euro 12/2027 - W EUR AD</t>
  </si>
  <si>
    <t>LU2570612569</t>
  </si>
  <si>
    <t>CPR Invest B&amp;W European Strategic Autonomy 2028 A EUR  - Dist</t>
  </si>
  <si>
    <t>CPR Invest B&amp;W European Strategic Autonomy 2028 W EUR  - Dist</t>
  </si>
  <si>
    <t>LU2570612130</t>
  </si>
  <si>
    <t>Distributing Annually</t>
  </si>
  <si>
    <t>LU2562658778</t>
  </si>
  <si>
    <t>LU2562658851</t>
  </si>
  <si>
    <t>AMUNDI FUND SOLUTIONS - BUY AND WATCH HIGH INCOME BOND OPPORTUNITIES 03/2028 - W EUR AD</t>
  </si>
  <si>
    <t>AMUNDI FUND SOLUTIONS - BUY AND WATCH HIGH INCOME BOND OPPORTUNITIES 03/2028 - E EUR AD</t>
  </si>
  <si>
    <t>LU2572295728</t>
  </si>
  <si>
    <t>AMUNDI FUND SOLUTIONS - BUY AND WATCH INCOME 06/2028 - E EUR AD</t>
  </si>
  <si>
    <t>CPR Invest - B&amp;W Climate Target 2028 - W2 EUR - Dist</t>
  </si>
  <si>
    <t>LU2615664948</t>
  </si>
  <si>
    <t>LU2386146869</t>
  </si>
  <si>
    <t>AF EMERGING MARKETS EQUITY ESG IMPROVERS - M2 USD QD (D)</t>
  </si>
  <si>
    <t>LU2550903640</t>
  </si>
  <si>
    <t>LU2550903566</t>
  </si>
  <si>
    <t>ASI - Obbligazionario Euro 01/2028 - B EUR AD</t>
  </si>
  <si>
    <t>ASI - Obbligazionario Euro 01/2028 - E EUR AD</t>
  </si>
  <si>
    <t>ASI - Obbligazionario Euro 02/2028 - B EUR AD</t>
  </si>
  <si>
    <t>ASI - Obbligazionario Euro 02/2028 - E EUR AD</t>
  </si>
  <si>
    <t>LU2550902089</t>
  </si>
  <si>
    <t>LU2550902162</t>
  </si>
  <si>
    <t>LU2652790747</t>
  </si>
  <si>
    <t>AMUNDI FUND SOLUTIONS - BUY AND WATCH INCOME 11/2028 - E EUR AD</t>
  </si>
  <si>
    <t>2,85% in USD</t>
  </si>
  <si>
    <t>3,05% in USD</t>
  </si>
  <si>
    <t>3,80% in USD</t>
  </si>
  <si>
    <t>LU2550902329</t>
  </si>
  <si>
    <t>LU2550902592</t>
  </si>
  <si>
    <t>ASI - Obbligazionario Euro 03/2028 - B EUR AD</t>
  </si>
  <si>
    <t>ASI - Obbligazionario Euro 03/2028 - E EUR AD</t>
  </si>
  <si>
    <t>LU2582975129</t>
  </si>
  <si>
    <t>LU2582975475</t>
  </si>
  <si>
    <t>LU2582974668</t>
  </si>
  <si>
    <t>LU2582975988</t>
  </si>
  <si>
    <t>LU2582974239</t>
  </si>
  <si>
    <t>LU2582974403</t>
  </si>
  <si>
    <t>LU2619276590</t>
  </si>
  <si>
    <t>LU2619276673</t>
  </si>
  <si>
    <t>4,70% in USD</t>
  </si>
  <si>
    <t>4,00% in USD</t>
  </si>
  <si>
    <t>LU2619275949</t>
  </si>
  <si>
    <t>LU2619276160</t>
  </si>
  <si>
    <t>LU2647987440</t>
  </si>
  <si>
    <t>LU2647987366</t>
  </si>
  <si>
    <t>ASI - Obbligazionario Euro 04/2028 - B EUR AD</t>
  </si>
  <si>
    <t>ASI - Obbligazionario Euro 04/2028 - E EUR AD</t>
  </si>
  <si>
    <t>ASI - Obbligazionario Euro 05/2028 - B EUR AD</t>
  </si>
  <si>
    <t>ASI - Obbligazionario Euro 05/2028 - E EUR AD</t>
  </si>
  <si>
    <t>ASI - Obbligazionario Euro 06/2028 - B EUR AD</t>
  </si>
  <si>
    <t>ASI - Obbligazionario Euro 06/2028 - E EUR AD</t>
  </si>
  <si>
    <t>ASI - Obbligazionario Euro 07/2028 - B EUR AD</t>
  </si>
  <si>
    <t>ASI - Obbligazionario Euro 07/2028 - E EUR AD</t>
  </si>
  <si>
    <t>ASI - Obbligazionario Euro 09/2028 - B EUR AD</t>
  </si>
  <si>
    <t>ASI - Obbligazionario Euro 09/2028 - E EUR AD</t>
  </si>
  <si>
    <t>ASI - Obbligazionario Euro 10/2028 - B EUR AD</t>
  </si>
  <si>
    <t>ASI - Obbligazionario Euro 10/2028 - E EUR AD</t>
  </si>
  <si>
    <t>4,15% in USD</t>
  </si>
  <si>
    <t>3,95% in USD</t>
  </si>
  <si>
    <t>LU2647988174</t>
  </si>
  <si>
    <t>LU2647987879</t>
  </si>
  <si>
    <t>LU2647988687</t>
  </si>
  <si>
    <t>LU2647988414</t>
  </si>
  <si>
    <t>ASI - Obbligazionario Euro 11/2028 - B EUR AD</t>
  </si>
  <si>
    <t>ASI - Obbligazionario Euro 11/2028 - E EUR AD</t>
  </si>
  <si>
    <t>ASI - Obbligazionario Euro 12/2028 - B EUR AD</t>
  </si>
  <si>
    <t>ASI - Obbligazionario Euro 12/2028 - E EUR AD</t>
  </si>
  <si>
    <t>no patrimonio</t>
  </si>
  <si>
    <t>AF GLOBAL EQUITY INCOME ESG - E2 EUR QTI (D)</t>
  </si>
  <si>
    <t>AF GLOBAL EQUITY INCOME ESG - E2 EUR SATI (D)</t>
  </si>
  <si>
    <t>AF GLOBAL EQUITY INCOME ESG - G2 EUR SATI (D)</t>
  </si>
  <si>
    <t>AF GLOBAL EQUITY INCOME ESG - M2 EUR QTI (D)</t>
  </si>
  <si>
    <t>AF GLOBAL EQUITY INCOME ESG - M2 EUR Hgd QTI (D)</t>
  </si>
  <si>
    <t>AF GLOBAL EQUITY INCOME ESG - M2 EUR SATI (D)</t>
  </si>
  <si>
    <t>AF EUROPEAN EQUITY INCOME ESG - E2 EUR SATI (D)</t>
  </si>
  <si>
    <t>AF EUROPEAN EQUITY INCOME ESG - G2 EUR SATI (D)</t>
  </si>
  <si>
    <t>AF EUROPEAN EQUITY INCOME ESG - M2 EUR SATI (D)</t>
  </si>
  <si>
    <t>AF INCOME OPPORTUNITIES - M2 EUR Hgd QTD (D)</t>
  </si>
  <si>
    <t>AF INCOME OPPORTUNITIES - E2 EUR Hgd QTI (D)</t>
  </si>
  <si>
    <t>AF INCOME OPPORTUNITIES - E2 EUR PHgd QTI (D)</t>
  </si>
  <si>
    <t>AF INCOME OPPORTUNITIES - E2 EUR QTI (D)</t>
  </si>
  <si>
    <t>AF INCOME OPPORTUNITIES - G EUR Hgd QTI (D)</t>
  </si>
  <si>
    <t>AF INCOME OPPORTUNITIES - G EUR PHgd QTI (D)</t>
  </si>
  <si>
    <t>AF INCOME OPPORTUNITIES - G EUR QTI (D)</t>
  </si>
  <si>
    <t>AF STRATEGIC INCOME - E2 EUR Hgd QTD (D)</t>
  </si>
  <si>
    <t>AF STRATEGIC INCOME - E2 EUR QTD (D)</t>
  </si>
  <si>
    <t>AF STRATEGIC INCOME - F EUR QTD (D)</t>
  </si>
  <si>
    <t>AF STRATEGIC INCOME - G EUR QTD (D)</t>
  </si>
  <si>
    <t>AF STRATEGIC INCOME - G EUR Hgd QD (D)</t>
  </si>
  <si>
    <t xml:space="preserve">AF STRATEGIC INCOME - E2 EUR AD (D) </t>
  </si>
  <si>
    <t xml:space="preserve">AF STRATEGIC INCOME - E2 EUR Hgd AD (D) </t>
  </si>
  <si>
    <t xml:space="preserve">AF STRATEGIC INCOME - F EUR AD (D) </t>
  </si>
  <si>
    <t xml:space="preserve">AF STRATEGIC INCOME - F EUR Hgd AD (D) </t>
  </si>
  <si>
    <t xml:space="preserve">AF STRATEGIC INCOME - G EUR Hgd AD (D) </t>
  </si>
  <si>
    <t>AF STRATEGIC INCOME - M2 EUR Hgd QTD (D)</t>
  </si>
  <si>
    <t>AF US BOND - G EUR Hgd MTD (D)</t>
  </si>
  <si>
    <t>AF US BOND - F EUR Hgd QTD (D)</t>
  </si>
  <si>
    <t>AF US BOND - F2 EUR Hgd QTD (D)</t>
  </si>
  <si>
    <t>AF US BOND - G EUR Hgd QTD (D)</t>
  </si>
  <si>
    <t>AF US CORPORATE BOND - M2 EUR Hgd QD</t>
  </si>
  <si>
    <t>AF EURO CORPORATE ESG BOND - E2 EUR QTD (D)</t>
  </si>
  <si>
    <t>AF EURO CORPORATE ESG BOND - M2 EUR QTD (D)</t>
  </si>
  <si>
    <t>AF EURO CORPORATE ESG BOND - M2 EUR AD (D)</t>
  </si>
  <si>
    <t>FORMULA</t>
  </si>
  <si>
    <t>ASI - Formula Globale Dividendo Ottobre 2025 - E EUR</t>
  </si>
  <si>
    <t>LU2830982737</t>
  </si>
  <si>
    <t>AMUNDI FUND SOLUTIONS - BUY AND WATCH HIGH INCOME BOND OPPORTUNITIES 11/2029 - W EUR AD</t>
  </si>
  <si>
    <t>ASI - Formula Leader
Globali Settembre 2025 - E EUR</t>
  </si>
  <si>
    <t>ASI - Formula ESG Giugno 2025 - E EUR
new name dal 6 maggio 2024: ASI – Formula Leader
Globali Giugno 2025 - E EUR</t>
  </si>
  <si>
    <t>ASI - Formula Leader
Globali Agosto 2025 - E EUR</t>
  </si>
  <si>
    <t>PROVENTO PER QUOTA</t>
  </si>
  <si>
    <t>LU2684864452</t>
  </si>
  <si>
    <t>CPR Invest - B&amp;W Climate Target 2028 II - W2 EUR - Dist</t>
  </si>
  <si>
    <t>LU2651931458</t>
  </si>
  <si>
    <t>LU2711329644</t>
  </si>
  <si>
    <t>LU2830986308</t>
  </si>
  <si>
    <t>LU2859744299</t>
  </si>
  <si>
    <t>LU2859741279</t>
  </si>
  <si>
    <t>FCH Kairos Buy &amp; Watch Income 12/2029 - CA SELECTION W3 EUR AD</t>
  </si>
  <si>
    <t>FCH Eurizon Buy &amp; Watch Income 11/2028 - CA SELECTION W EUR AD</t>
  </si>
  <si>
    <t>FCH Eurizon Buy &amp; Watch Income 01/2029 - CA SELECTION W EUR AD</t>
  </si>
  <si>
    <t>FCH Eurizon Buy &amp; Watch Income 07/2029 - CA SELECTION W3 EUR AD</t>
  </si>
  <si>
    <t>FCH Kairos Buy &amp; Watch Income 10/2029 - CA SELECTION W3 EUR AD</t>
  </si>
  <si>
    <t>FCH Kairos Buy &amp; Watch Income HY 10/2029 - CA SELECTION F EUR AD</t>
  </si>
  <si>
    <t>LU2859741600</t>
  </si>
  <si>
    <t>ASI - Formula ESG Luglio 2025 - E EUR
new name dal 6 maggio 2024: ASI – Formula Leader
Globali LUGLIO 2025 - E EUR</t>
  </si>
  <si>
    <t>LU2707194143</t>
  </si>
  <si>
    <t>LU2707196601</t>
  </si>
  <si>
    <t>LU2707195462</t>
  </si>
  <si>
    <t>LU2707195116</t>
  </si>
  <si>
    <t>ASI - Obbligazionario Euro 02/2029 - B EUR AD</t>
  </si>
  <si>
    <t>ASI - Obbligazionario Euro 01/2029 - B EUR AD</t>
  </si>
  <si>
    <t>ASI - Obbligazionario Euro 01/2029 - E EUR AD</t>
  </si>
  <si>
    <t>ASI - Obbligazionario Euro 02/2029 - E EUR AD</t>
  </si>
  <si>
    <t>LU2707194812</t>
  </si>
  <si>
    <t>LU2707194739</t>
  </si>
  <si>
    <t>ASI - Obbligazionario Euro 03/2029 - E EUR AD</t>
  </si>
  <si>
    <t>ASI - Obbligazionario Euro 03/2029 - B EUR AD</t>
  </si>
  <si>
    <t>LU2740284752</t>
  </si>
  <si>
    <t>LU2740284919</t>
  </si>
  <si>
    <t>ASI - Obbligazionario Euro 04/2029 - E EUR AD</t>
  </si>
  <si>
    <t>ASI - Obbligazionario Euro 04/2029 - B EUR AD</t>
  </si>
  <si>
    <t>LU2740285213</t>
  </si>
  <si>
    <t>LU2740285486</t>
  </si>
  <si>
    <t>ASI - Obbligazionario Euro 05/2029 - E EUR AD</t>
  </si>
  <si>
    <t>ASI - Obbligazionario Euro 05/2029 - B EUR AD</t>
  </si>
  <si>
    <t>ASI - Obbligazionario Euro 06/2029 - E EUR AD</t>
  </si>
  <si>
    <t>ASI - Obbligazionario Euro 06/2029 - B EUR AD</t>
  </si>
  <si>
    <t>LU2740285726</t>
  </si>
  <si>
    <t>LU2740286021</t>
  </si>
  <si>
    <t>LU2798192410</t>
  </si>
  <si>
    <t>LU2798192683</t>
  </si>
  <si>
    <t>LU2798192923</t>
  </si>
  <si>
    <t>LU2798193145</t>
  </si>
  <si>
    <t>LU2798193491</t>
  </si>
  <si>
    <t>LU2798193731</t>
  </si>
  <si>
    <t>LU2859985652</t>
  </si>
  <si>
    <t>LU2859985819</t>
  </si>
  <si>
    <t>LU2859986031</t>
  </si>
  <si>
    <t>LU2859986205</t>
  </si>
  <si>
    <t>LU2859986460</t>
  </si>
  <si>
    <t>LU2859986627</t>
  </si>
  <si>
    <t>ASI - Obbligazionario Euro 07/2029 - B EUR AD</t>
  </si>
  <si>
    <t>ASI - Obbligazionario Euro 07/2029 - E EUR AD</t>
  </si>
  <si>
    <t>ASI - Obbligazionario Euro 08/2029 - E EUR AD</t>
  </si>
  <si>
    <t>ASI - Obbligazionario Euro 08/2029 - B EUR AD</t>
  </si>
  <si>
    <t>ASI - Obbligazionario Euro 09/2029 - E EUR AD</t>
  </si>
  <si>
    <t>ASI - Obbligazionario Euro 09/2029 - B EUR AD</t>
  </si>
  <si>
    <t>ASI - Obbligazionario Euro 10/2029 - E EUR AD</t>
  </si>
  <si>
    <t>ASI - Obbligazionario Euro 10/2029 - B EUR AD</t>
  </si>
  <si>
    <t>ASI - Obbligazionario Euro 11/2029 - E EUR AD</t>
  </si>
  <si>
    <t>ASI - Obbligazionario Euro 11/2029 - B EUR AD</t>
  </si>
  <si>
    <t>ASI - Obbligazionario Euro 12/2029 - E EUR AD</t>
  </si>
  <si>
    <t>ASI - Obbligazionario Euro 12/2029 - B EUR AD</t>
  </si>
  <si>
    <t>LU2841252823</t>
  </si>
  <si>
    <t>AMUNDI FUND SOLUTIONS - BUY AND WATCH HIGH INCOME BOND OPPORTUNITIES 05/2030 - W EUR AD</t>
  </si>
  <si>
    <t>xx/02/2026</t>
  </si>
  <si>
    <t>LU2942507943</t>
  </si>
  <si>
    <t>CPR Invest - B&amp;W Climate HY Target 2030 - W2 EUR - Dist</t>
  </si>
  <si>
    <t>LU2711938402</t>
  </si>
  <si>
    <t>AMUNDI FUND SOLUTIONS - BUY AND WATCH HIGH INCOME BOND OPPORTUNITIES 03/2029 - W EUR AD</t>
  </si>
  <si>
    <t>AMUNDI S.F. - DIVERSIFIED SHORT-TERM BOND SELECT - E - QTD (D)</t>
  </si>
  <si>
    <t>AMUNDI S.F. - DIVERSIFIED SHORT-TERM BOND ESG - E - QTD (D)</t>
  </si>
  <si>
    <t>LU3015123501</t>
  </si>
  <si>
    <t>AF EURO GOVERNMENT BOND RESPONSIBLE  - E2 EUR QTD (D)</t>
  </si>
  <si>
    <t>AF EURO CORPORATE BOND SELECT - E2 EUR QTD (D)</t>
  </si>
  <si>
    <t>AF EUROPEAN EQUITY INCOME SELECT - G2 EUR SATI (D)</t>
  </si>
  <si>
    <t>AF EUROPEAN EQUITY INCOME SELECT - E2 EUR SATI (D)</t>
  </si>
  <si>
    <t>AF GLOBAL BOND FLEXIBLE - G EUR QTD (D)</t>
  </si>
  <si>
    <t>AF GLOBAL BOND FLEXIBLE - F EUR QTD (D)</t>
  </si>
  <si>
    <t>AF GLOBAL EQUITY INCOME SELECT - E2 EUR QTI (D)</t>
  </si>
  <si>
    <t>AF GLOBAL EQUITY INCOME SELECT - E2 EUR SATI (D)</t>
  </si>
  <si>
    <t>AF GLOBAL EQUITY INCOME SELECT - F EUR SATI (D)</t>
  </si>
  <si>
    <t>AF GLOBAL EQUITY INCOME SELECT - G2 EUR SATI (D)</t>
  </si>
  <si>
    <t>AF GLOBAL GOVERNMENT BOND - F EUR Hgd MTD (D)</t>
  </si>
  <si>
    <t>AF GLOBAL GOVERNMENT BOND - G EUR Hgd MTD (D)</t>
  </si>
  <si>
    <t>AF GLOBAL GOVERNMENT BOND - F2 EUR Hgd MTD (D)</t>
  </si>
  <si>
    <t>AF EURO GOVERNMENT RESPONSIBLE BOND - E2 EUR QTD (D)</t>
  </si>
  <si>
    <t>AF URO CORPORATE BOND SELECT - M2 EUR AD (D)</t>
  </si>
  <si>
    <t>AF EURO CORPORATE BOND SELECT - M2 EUR QTD (D)</t>
  </si>
  <si>
    <t>AF EURO GOVERNMENT BOND RESPONSIBLE - M2 EUR QTD (D)</t>
  </si>
  <si>
    <t>AF EURO GOVERNMENT RESPONSIBLE BOND - M2 EUR QTD (D)</t>
  </si>
  <si>
    <t>AF EUROPE EQUITY INCOME SELECT - M2 EUR SATI (D)</t>
  </si>
  <si>
    <t>AF GLOBAL EQUITY RESPONSIBLE - M2 EUR QD</t>
  </si>
  <si>
    <t>AF GLOBAL EQUITY INCOME SELECT - M2 EUR Hgd QTI (D)</t>
  </si>
  <si>
    <t>AF GLOBAL EQUITY INCOME SELECT - M2 EUR SATI (D)</t>
  </si>
  <si>
    <t>AF US CORPORATE BOND SELECT - M2 EUR Hgd QD</t>
  </si>
  <si>
    <t>CPR Invest - ThemActive Accumulation 2030 - A EUR - Dist</t>
  </si>
  <si>
    <t>LU3018111362</t>
  </si>
  <si>
    <t>xx/08/2026</t>
  </si>
  <si>
    <t>ASI – Formula Leader Globali Giugno 2025 - E EUR</t>
  </si>
  <si>
    <t>AF EURO BOND INCOME - F2 EUR AD (D)           </t>
  </si>
  <si>
    <t>AF EURO BOND INCOME - G2 EUR AD (D)</t>
  </si>
  <si>
    <t xml:space="preserve">AF EURO BOND INCOME - M2 EUR AD (D) </t>
  </si>
  <si>
    <t>xx/04/2026</t>
  </si>
  <si>
    <t>xx/10/2026</t>
  </si>
  <si>
    <t>xx/12/2026</t>
  </si>
  <si>
    <t>LU3208825912</t>
  </si>
  <si>
    <t>LU3208828932</t>
  </si>
  <si>
    <t>LU3208838220</t>
  </si>
  <si>
    <t>LU3023900536</t>
  </si>
  <si>
    <t>LU3023900619</t>
  </si>
  <si>
    <t>LU3023901005</t>
  </si>
  <si>
    <t>TBC 08/09/2026</t>
  </si>
  <si>
    <t>TBC 11/09/2026</t>
  </si>
  <si>
    <t>AF US EQUITY HIGH INCOME - E2 EUR QTD</t>
  </si>
  <si>
    <t>AF US EQUITY HIGH INCOME - G2 EUR QTD</t>
  </si>
  <si>
    <t>AF US EQUITY HIGH INCOME - F2 EUR QTD</t>
  </si>
  <si>
    <t>AF GLOBAL BOND INCOME - E2 EUR QTD</t>
  </si>
  <si>
    <t>AF GLOBAL BOND INCOME - F2 EUR Hgd QTD</t>
  </si>
  <si>
    <t>AF GLOBAL BOND INCOME - G2 EUR Hgd QTD</t>
  </si>
  <si>
    <t>AMUNDI FUND SOLUTIONS - BUY AND WATCH HIGH INCOME BOND OPPORTUNITIES 11/2030 - W EUR AD</t>
  </si>
  <si>
    <t>LU2841251189</t>
  </si>
  <si>
    <t>LU2843835328</t>
  </si>
  <si>
    <t>FCH Eurizon Buy &amp; Watch Income 01/2030 - CA SELECTION W EUR AD</t>
  </si>
  <si>
    <t>LU2973481752</t>
  </si>
  <si>
    <t>FCH EDR Buy &amp; Watch Income HY 12/2030 - CA SELECTION W4 EUR AD</t>
  </si>
  <si>
    <t>LU2929906936</t>
  </si>
  <si>
    <t>LU3183166860</t>
  </si>
  <si>
    <t>FCH Kairos Buy &amp; Watch Income HY 11/2030 - CA SELECTION W5 AD</t>
  </si>
  <si>
    <t>FCH UBP From High Yield to 30 Global Leaders Equity - CA SELECTION W3 EUR AD</t>
  </si>
  <si>
    <t>n/a</t>
  </si>
  <si>
    <t>LU2925010998</t>
  </si>
  <si>
    <t>LU2925012002</t>
  </si>
  <si>
    <t>LU2925011889</t>
  </si>
  <si>
    <t>EUR equivalent of USD 0.1319</t>
  </si>
  <si>
    <t>EUR equivalent of USD 0,1568</t>
  </si>
  <si>
    <t>EUR equivalent of USD 0,2302</t>
  </si>
  <si>
    <t>EUR equivalent of USD 0,2204</t>
  </si>
  <si>
    <t>ASI - OBBLIGAZIONARIO EURO 01/2030 - B EUR AD</t>
  </si>
  <si>
    <t>ASI - OBBLIGAZIONARIO EURO 01/2030 - E EUR AD</t>
  </si>
  <si>
    <t>ASI - OBBLIGAZIONARIO EURO 03/2030 - B EUR AD</t>
  </si>
  <si>
    <t>ASI - OBBLIGAZIONARIO EURO 03/2030 - E EUR AD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</si>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</sst>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_€_-;\-* #,##0.00\ _€_-;_-* &quot;-&quot;??\ _€_-;_-@_-"/>
    <numFmt numFmtId="166" formatCode="_-&quot;€&quot;\ * #,##0.00_-;\-&quot;€&quot;\ * #,##0.00_-;_-&quot;€&quot;\ * &quot;-&quot;??_-;_-@_-"/>
    <numFmt numFmtId="167" formatCode="0.0000"/>
    <numFmt numFmtId="168" formatCode="0.000"/>
    <numFmt numFmtId="169" formatCode="_(* #,##0.00_);_(* \(#,##0.00\);_(* &quot;-&quot;??_);_(@_)"/>
    <numFmt numFmtId="170" formatCode="dd/mm/yyyy;@"/>
    <numFmt numFmtId="173" formatCode="0.00000000000000000000E+00"/>
    <numFmt numFmtId="182" formatCode="0.000%"/>
  </numFmts>
  <fonts count="6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PIFranklinGothicBookCond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 Light"/>
      <family val="2"/>
    </font>
    <font>
      <b/>
      <sz val="14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14"/>
      <color theme="3" tint="0.3999755851924192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theme="4"/>
      </top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theme="3" tint="0.59999389629810485"/>
      </left>
      <right/>
      <top style="thick">
        <color theme="4" tint="0.499984740745262"/>
      </top>
      <bottom style="thick">
        <color theme="4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</borders>
  <cellStyleXfs count="1059">
    <xf numFmtId="0" fontId="0" fillId="0" borderId="0"/>
    <xf numFmtId="0" fontId="2" fillId="0" borderId="0" applyBorder="0"/>
    <xf numFmtId="0" fontId="2" fillId="0" borderId="0" applyBorder="0"/>
    <xf numFmtId="0" fontId="3" fillId="0" borderId="0">
      <alignment vertical="top"/>
    </xf>
    <xf numFmtId="0" fontId="3" fillId="0" borderId="0">
      <alignment vertical="top"/>
    </xf>
    <xf numFmtId="0" fontId="4" fillId="0" borderId="0">
      <alignment vertical="top"/>
    </xf>
    <xf numFmtId="0" fontId="4" fillId="0" borderId="0" applyBorder="0"/>
    <xf numFmtId="0" fontId="3" fillId="0" borderId="0">
      <alignment vertical="top"/>
    </xf>
    <xf numFmtId="0" fontId="4" fillId="0" borderId="0" applyBorder="0"/>
    <xf numFmtId="0" fontId="2" fillId="0" borderId="0" applyBorder="0"/>
    <xf numFmtId="0" fontId="2" fillId="0" borderId="0">
      <alignment vertical="top"/>
    </xf>
    <xf numFmtId="0" fontId="2" fillId="0" borderId="0"/>
    <xf numFmtId="0" fontId="2" fillId="0" borderId="0" applyBorder="0"/>
    <xf numFmtId="0" fontId="2" fillId="0" borderId="0" applyBorder="0"/>
    <xf numFmtId="0" fontId="2" fillId="0" borderId="0" applyBorder="0"/>
    <xf numFmtId="0" fontId="3" fillId="0" borderId="0">
      <alignment vertical="top"/>
    </xf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2" fillId="49" borderId="0" applyNumberFormat="0" applyBorder="0" applyAlignment="0" applyProtection="0"/>
    <xf numFmtId="0" fontId="7" fillId="20" borderId="1" applyNumberFormat="0" applyAlignment="0" applyProtection="0"/>
    <xf numFmtId="0" fontId="33" fillId="50" borderId="14" applyNumberFormat="0" applyAlignment="0" applyProtection="0"/>
    <xf numFmtId="0" fontId="8" fillId="0" borderId="2" applyNumberFormat="0" applyFill="0" applyAlignment="0" applyProtection="0"/>
    <xf numFmtId="0" fontId="9" fillId="21" borderId="3" applyNumberFormat="0" applyAlignment="0" applyProtection="0"/>
    <xf numFmtId="0" fontId="34" fillId="51" borderId="15" applyNumberForma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53" borderId="0" applyNumberFormat="0" applyBorder="0" applyAlignment="0" applyProtection="0"/>
    <xf numFmtId="0" fontId="2" fillId="23" borderId="5" applyNumberFormat="0" applyFont="0" applyFill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9" fillId="0" borderId="19" applyNumberFormat="0" applyFill="0" applyAlignment="0" applyProtection="0"/>
    <xf numFmtId="0" fontId="39" fillId="0" borderId="19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</xf>
    <xf numFmtId="0" fontId="41" fillId="54" borderId="14" applyNumberFormat="0" applyAlignment="0" applyProtection="0"/>
    <xf numFmtId="0" fontId="42" fillId="0" borderId="20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3" fillId="55" borderId="0" applyNumberFormat="0" applyBorder="0" applyAlignment="0" applyProtection="0"/>
    <xf numFmtId="0" fontId="10" fillId="24" borderId="0" applyNumberFormat="0" applyBorder="0" applyAlignment="0" applyProtection="0"/>
    <xf numFmtId="0" fontId="44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4" fillId="0" borderId="0" applyBorder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4" fillId="0" borderId="0" applyBorder="0"/>
    <xf numFmtId="0" fontId="30" fillId="0" borderId="0"/>
    <xf numFmtId="0" fontId="30" fillId="0" borderId="0"/>
    <xf numFmtId="0" fontId="4" fillId="0" borderId="0" applyBorder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>
      <alignment vertical="top"/>
    </xf>
    <xf numFmtId="0" fontId="30" fillId="0" borderId="0"/>
    <xf numFmtId="0" fontId="30" fillId="0" borderId="0"/>
    <xf numFmtId="0" fontId="4" fillId="0" borderId="0" applyBorder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0" fillId="0" borderId="0"/>
    <xf numFmtId="0" fontId="30" fillId="0" borderId="0"/>
    <xf numFmtId="0" fontId="2" fillId="0" borderId="0">
      <alignment vertical="top"/>
    </xf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4" fillId="0" borderId="0">
      <alignment vertical="top"/>
    </xf>
    <xf numFmtId="0" fontId="2" fillId="0" borderId="0"/>
    <xf numFmtId="0" fontId="30" fillId="0" borderId="0"/>
    <xf numFmtId="0" fontId="30" fillId="0" borderId="0"/>
    <xf numFmtId="0" fontId="30" fillId="0" borderId="0"/>
    <xf numFmtId="0" fontId="4" fillId="0" borderId="0" applyBorder="0"/>
    <xf numFmtId="0" fontId="2" fillId="0" borderId="0">
      <alignment vertical="top"/>
    </xf>
    <xf numFmtId="0" fontId="2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" fillId="0" borderId="0" applyBorder="0"/>
    <xf numFmtId="0" fontId="30" fillId="0" borderId="0"/>
    <xf numFmtId="0" fontId="2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>
      <alignment vertical="top"/>
    </xf>
    <xf numFmtId="0" fontId="30" fillId="0" borderId="0"/>
    <xf numFmtId="0" fontId="30" fillId="0" borderId="0"/>
    <xf numFmtId="0" fontId="2" fillId="0" borderId="0">
      <alignment vertical="top"/>
    </xf>
    <xf numFmtId="0" fontId="30" fillId="0" borderId="0"/>
    <xf numFmtId="0" fontId="30" fillId="0" borderId="0"/>
    <xf numFmtId="0" fontId="30" fillId="0" borderId="0"/>
    <xf numFmtId="0" fontId="20" fillId="0" borderId="0" applyBorder="0"/>
    <xf numFmtId="0" fontId="4" fillId="0" borderId="0" applyBorder="0"/>
    <xf numFmtId="0" fontId="30" fillId="0" borderId="0"/>
    <xf numFmtId="0" fontId="30" fillId="0" borderId="0"/>
    <xf numFmtId="0" fontId="21" fillId="0" borderId="0" applyBorder="0"/>
    <xf numFmtId="0" fontId="4" fillId="0" borderId="0" applyBorder="0"/>
    <xf numFmtId="0" fontId="30" fillId="0" borderId="0"/>
    <xf numFmtId="0" fontId="22" fillId="0" borderId="0" applyBorder="0"/>
    <xf numFmtId="0" fontId="4" fillId="0" borderId="0" applyBorder="0"/>
    <xf numFmtId="0" fontId="30" fillId="0" borderId="0"/>
    <xf numFmtId="0" fontId="30" fillId="0" borderId="0"/>
    <xf numFmtId="0" fontId="3" fillId="0" borderId="0"/>
    <xf numFmtId="0" fontId="2" fillId="22" borderId="4" applyNumberFormat="0" applyFont="0" applyAlignment="0" applyProtection="0"/>
    <xf numFmtId="0" fontId="30" fillId="52" borderId="16" applyNumberFormat="0" applyFont="0" applyAlignment="0" applyProtection="0"/>
    <xf numFmtId="0" fontId="30" fillId="52" borderId="16" applyNumberFormat="0" applyFont="0" applyAlignment="0" applyProtection="0"/>
    <xf numFmtId="0" fontId="45" fillId="50" borderId="21" applyNumberFormat="0" applyAlignment="0" applyProtection="0"/>
    <xf numFmtId="0" fontId="45" fillId="50" borderId="21" applyNumberFormat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2" fillId="0" borderId="0" applyBorder="0"/>
    <xf numFmtId="0" fontId="3" fillId="0" borderId="0">
      <alignment vertical="top"/>
    </xf>
    <xf numFmtId="0" fontId="2" fillId="0" borderId="0" applyBorder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22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49" fillId="0" borderId="0" applyNumberFormat="0" applyFill="0" applyBorder="0" applyAlignment="0" applyProtection="0"/>
  </cellStyleXfs>
  <cellXfs count="208">
    <xf numFmtId="0" fontId="0" fillId="0" borderId="0" xfId="0"/>
    <xf numFmtId="0" fontId="2" fillId="0" borderId="10" xfId="1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0" fontId="44" fillId="0" borderId="0" xfId="0" applyFont="1" applyFill="1"/>
    <xf numFmtId="0" fontId="50" fillId="0" borderId="0" xfId="0" applyFont="1" applyAlignment="1">
      <alignment horizontal="left" vertical="center"/>
    </xf>
    <xf numFmtId="10" fontId="50" fillId="0" borderId="0" xfId="0" applyNumberFormat="1" applyFont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0" fontId="2" fillId="56" borderId="10" xfId="1" applyFont="1" applyFill="1" applyBorder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51" fillId="0" borderId="0" xfId="0" applyFont="1" applyFill="1" applyAlignment="1">
      <alignment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0" xfId="0" applyBorder="1"/>
    <xf numFmtId="0" fontId="44" fillId="0" borderId="0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Fill="1"/>
    <xf numFmtId="0" fontId="48" fillId="0" borderId="22" xfId="1054"/>
    <xf numFmtId="0" fontId="52" fillId="0" borderId="19" xfId="868" applyFont="1" applyAlignment="1">
      <alignment horizontal="center" vertical="center"/>
    </xf>
    <xf numFmtId="0" fontId="53" fillId="0" borderId="22" xfId="1054" applyFont="1" applyAlignment="1">
      <alignment vertical="center"/>
    </xf>
    <xf numFmtId="0" fontId="44" fillId="56" borderId="0" xfId="0" applyFont="1" applyFill="1"/>
    <xf numFmtId="0" fontId="50" fillId="56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56" borderId="0" xfId="0" applyFill="1"/>
    <xf numFmtId="167" fontId="50" fillId="0" borderId="0" xfId="0" applyNumberFormat="1" applyFont="1" applyAlignment="1">
      <alignment vertical="center"/>
    </xf>
    <xf numFmtId="167" fontId="0" fillId="0" borderId="0" xfId="0" applyNumberFormat="1"/>
    <xf numFmtId="0" fontId="44" fillId="56" borderId="10" xfId="0" applyFont="1" applyFill="1" applyBorder="1" applyAlignment="1">
      <alignment horizontal="center" vertical="center"/>
    </xf>
    <xf numFmtId="14" fontId="44" fillId="56" borderId="10" xfId="0" applyNumberFormat="1" applyFont="1" applyFill="1" applyBorder="1" applyAlignment="1">
      <alignment horizontal="center" vertical="center"/>
    </xf>
    <xf numFmtId="10" fontId="44" fillId="56" borderId="10" xfId="0" applyNumberFormat="1" applyFont="1" applyFill="1" applyBorder="1" applyAlignment="1">
      <alignment horizontal="center" vertical="center"/>
    </xf>
    <xf numFmtId="167" fontId="2" fillId="56" borderId="10" xfId="858" applyNumberFormat="1" applyFont="1" applyFill="1" applyBorder="1" applyAlignment="1">
      <alignment horizontal="center" vertical="center"/>
    </xf>
    <xf numFmtId="167" fontId="44" fillId="56" borderId="10" xfId="0" applyNumberFormat="1" applyFont="1" applyFill="1" applyBorder="1" applyAlignment="1">
      <alignment horizontal="center" vertical="center"/>
    </xf>
    <xf numFmtId="0" fontId="44" fillId="56" borderId="0" xfId="0" applyFont="1" applyFill="1" applyAlignment="1">
      <alignment vertical="center"/>
    </xf>
    <xf numFmtId="0" fontId="2" fillId="56" borderId="10" xfId="1" applyFont="1" applyFill="1" applyBorder="1" applyAlignment="1">
      <alignment horizontal="left" vertical="center"/>
    </xf>
    <xf numFmtId="14" fontId="2" fillId="56" borderId="10" xfId="2" applyNumberFormat="1" applyFont="1" applyFill="1" applyBorder="1" applyAlignment="1">
      <alignment horizontal="center" vertical="center"/>
    </xf>
    <xf numFmtId="14" fontId="2" fillId="56" borderId="10" xfId="1" applyNumberFormat="1" applyFont="1" applyFill="1" applyBorder="1" applyAlignment="1">
      <alignment horizontal="center" vertical="center"/>
    </xf>
    <xf numFmtId="10" fontId="2" fillId="56" borderId="10" xfId="1" applyNumberFormat="1" applyFont="1" applyFill="1" applyBorder="1" applyAlignment="1">
      <alignment horizontal="center" vertical="center" wrapText="1"/>
    </xf>
    <xf numFmtId="0" fontId="2" fillId="56" borderId="10" xfId="1" applyFont="1" applyFill="1" applyBorder="1" applyAlignment="1">
      <alignment horizontal="center" vertical="center" wrapText="1"/>
    </xf>
    <xf numFmtId="2" fontId="2" fillId="56" borderId="10" xfId="1" applyNumberFormat="1" applyFont="1" applyFill="1" applyBorder="1" applyAlignment="1">
      <alignment horizontal="center" vertical="center"/>
    </xf>
    <xf numFmtId="168" fontId="2" fillId="56" borderId="10" xfId="858" applyNumberFormat="1" applyFont="1" applyFill="1" applyBorder="1" applyAlignment="1">
      <alignment horizontal="center" vertical="center"/>
    </xf>
    <xf numFmtId="10" fontId="2" fillId="56" borderId="10" xfId="2" applyNumberFormat="1" applyFont="1" applyFill="1" applyBorder="1" applyAlignment="1">
      <alignment horizontal="center" vertical="center"/>
    </xf>
    <xf numFmtId="167" fontId="2" fillId="0" borderId="10" xfId="858" applyNumberFormat="1" applyFont="1" applyFill="1" applyBorder="1" applyAlignment="1">
      <alignment horizontal="center" vertical="center"/>
    </xf>
    <xf numFmtId="10" fontId="2" fillId="0" borderId="10" xfId="1" applyNumberFormat="1" applyFont="1" applyFill="1" applyBorder="1" applyAlignment="1">
      <alignment horizontal="center" vertical="center" wrapText="1"/>
    </xf>
    <xf numFmtId="14" fontId="2" fillId="56" borderId="10" xfId="0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14" fontId="2" fillId="0" borderId="10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 wrapText="1"/>
    </xf>
    <xf numFmtId="14" fontId="2" fillId="0" borderId="10" xfId="2" applyNumberFormat="1" applyFont="1" applyFill="1" applyBorder="1" applyAlignment="1">
      <alignment horizontal="center" vertical="center"/>
    </xf>
    <xf numFmtId="10" fontId="2" fillId="0" borderId="12" xfId="2" applyNumberFormat="1" applyFont="1" applyFill="1" applyBorder="1" applyAlignment="1">
      <alignment horizontal="center" vertical="center" wrapText="1"/>
    </xf>
    <xf numFmtId="168" fontId="2" fillId="0" borderId="10" xfId="2" applyNumberFormat="1" applyFont="1" applyFill="1" applyBorder="1" applyAlignment="1">
      <alignment horizontal="center" vertical="center" wrapText="1"/>
    </xf>
    <xf numFmtId="167" fontId="2" fillId="0" borderId="10" xfId="2" applyNumberFormat="1" applyFont="1" applyFill="1" applyBorder="1" applyAlignment="1">
      <alignment horizontal="center" vertical="center" wrapText="1"/>
    </xf>
    <xf numFmtId="167" fontId="2" fillId="0" borderId="10" xfId="1" applyNumberFormat="1" applyFont="1" applyFill="1" applyBorder="1" applyAlignment="1">
      <alignment horizontal="center" vertical="center" wrapText="1"/>
    </xf>
    <xf numFmtId="10" fontId="54" fillId="0" borderId="12" xfId="2" applyNumberFormat="1" applyFont="1" applyFill="1" applyBorder="1" applyAlignment="1">
      <alignment horizontal="center" vertical="center" wrapText="1"/>
    </xf>
    <xf numFmtId="0" fontId="50" fillId="56" borderId="0" xfId="0" applyFont="1" applyFill="1" applyBorder="1" applyAlignment="1">
      <alignment vertical="center"/>
    </xf>
    <xf numFmtId="10" fontId="2" fillId="56" borderId="12" xfId="2" applyNumberFormat="1" applyFont="1" applyFill="1" applyBorder="1" applyAlignment="1">
      <alignment horizontal="center" vertical="center" wrapText="1"/>
    </xf>
    <xf numFmtId="10" fontId="2" fillId="56" borderId="12" xfId="1" applyNumberFormat="1" applyFont="1" applyFill="1" applyBorder="1" applyAlignment="1">
      <alignment horizontal="center" vertical="center" wrapText="1"/>
    </xf>
    <xf numFmtId="0" fontId="2" fillId="56" borderId="10" xfId="0" applyFont="1" applyFill="1" applyBorder="1" applyAlignment="1">
      <alignment horizontal="center" vertical="center"/>
    </xf>
    <xf numFmtId="10" fontId="2" fillId="56" borderId="10" xfId="0" applyNumberFormat="1" applyFont="1" applyFill="1" applyBorder="1" applyAlignment="1">
      <alignment horizontal="center" vertical="center"/>
    </xf>
    <xf numFmtId="167" fontId="2" fillId="56" borderId="10" xfId="0" applyNumberFormat="1" applyFont="1" applyFill="1" applyBorder="1" applyAlignment="1">
      <alignment horizontal="center" vertical="center"/>
    </xf>
    <xf numFmtId="168" fontId="2" fillId="56" borderId="10" xfId="0" applyNumberFormat="1" applyFont="1" applyFill="1" applyBorder="1" applyAlignment="1">
      <alignment horizontal="center" vertical="center"/>
    </xf>
    <xf numFmtId="0" fontId="2" fillId="56" borderId="0" xfId="0" applyFont="1" applyFill="1" applyAlignment="1">
      <alignment vertical="center"/>
    </xf>
    <xf numFmtId="168" fontId="44" fillId="56" borderId="10" xfId="0" applyNumberFormat="1" applyFont="1" applyFill="1" applyBorder="1" applyAlignment="1">
      <alignment horizontal="center" vertical="center"/>
    </xf>
    <xf numFmtId="170" fontId="2" fillId="56" borderId="10" xfId="1" quotePrefix="1" applyNumberFormat="1" applyFont="1" applyFill="1" applyBorder="1" applyAlignment="1">
      <alignment horizontal="center" vertical="center" wrapText="1"/>
    </xf>
    <xf numFmtId="14" fontId="2" fillId="0" borderId="12" xfId="2" applyNumberFormat="1" applyFont="1" applyFill="1" applyBorder="1" applyAlignment="1">
      <alignment horizontal="center" vertical="center" wrapText="1"/>
    </xf>
    <xf numFmtId="167" fontId="2" fillId="56" borderId="10" xfId="2" applyNumberFormat="1" applyFont="1" applyFill="1" applyBorder="1" applyAlignment="1">
      <alignment horizontal="center" vertical="center" wrapText="1"/>
    </xf>
    <xf numFmtId="167" fontId="2" fillId="56" borderId="10" xfId="1" applyNumberFormat="1" applyFont="1" applyFill="1" applyBorder="1" applyAlignment="1">
      <alignment horizontal="center" vertical="center" wrapText="1"/>
    </xf>
    <xf numFmtId="0" fontId="55" fillId="56" borderId="0" xfId="0" applyFont="1" applyFill="1"/>
    <xf numFmtId="0" fontId="44" fillId="57" borderId="0" xfId="0" applyFont="1" applyFill="1" applyBorder="1" applyAlignment="1">
      <alignment horizontal="center" vertical="center"/>
    </xf>
    <xf numFmtId="0" fontId="0" fillId="0" borderId="10" xfId="0" applyBorder="1"/>
    <xf numFmtId="10" fontId="44" fillId="56" borderId="10" xfId="1016" applyNumberFormat="1" applyFont="1" applyFill="1" applyBorder="1" applyAlignment="1">
      <alignment horizontal="center" vertical="center"/>
    </xf>
    <xf numFmtId="0" fontId="0" fillId="56" borderId="0" xfId="0" applyFill="1" applyAlignment="1">
      <alignment vertical="center"/>
    </xf>
    <xf numFmtId="0" fontId="0" fillId="0" borderId="0" xfId="0" applyFill="1" applyAlignment="1">
      <alignment vertical="center"/>
    </xf>
    <xf numFmtId="49" fontId="25" fillId="56" borderId="10" xfId="934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4" fillId="58" borderId="0" xfId="0" applyFont="1" applyFill="1" applyBorder="1" applyAlignment="1">
      <alignment horizontal="center" vertical="center"/>
    </xf>
    <xf numFmtId="0" fontId="2" fillId="56" borderId="0" xfId="1" applyFont="1" applyFill="1" applyBorder="1" applyAlignment="1">
      <alignment horizontal="left" vertical="center"/>
    </xf>
    <xf numFmtId="0" fontId="44" fillId="56" borderId="0" xfId="0" applyFont="1" applyFill="1" applyBorder="1" applyAlignment="1">
      <alignment vertical="center"/>
    </xf>
    <xf numFmtId="168" fontId="56" fillId="0" borderId="25" xfId="866" applyNumberFormat="1" applyFont="1" applyFill="1" applyBorder="1" applyAlignment="1">
      <alignment horizontal="center" vertical="center" wrapText="1"/>
    </xf>
    <xf numFmtId="0" fontId="57" fillId="0" borderId="0" xfId="0" applyFont="1" applyFill="1" applyAlignment="1">
      <alignment vertical="center"/>
    </xf>
    <xf numFmtId="168" fontId="58" fillId="59" borderId="26" xfId="866" applyNumberFormat="1" applyFont="1" applyFill="1" applyBorder="1" applyAlignment="1">
      <alignment horizontal="center" vertical="center" wrapText="1"/>
    </xf>
    <xf numFmtId="168" fontId="58" fillId="59" borderId="27" xfId="866" applyNumberFormat="1" applyFont="1" applyFill="1" applyBorder="1" applyAlignment="1">
      <alignment horizontal="center" vertical="center" wrapText="1"/>
    </xf>
    <xf numFmtId="168" fontId="59" fillId="59" borderId="27" xfId="866" applyNumberFormat="1" applyFont="1" applyFill="1" applyBorder="1" applyAlignment="1">
      <alignment horizontal="center" vertical="center" wrapText="1"/>
    </xf>
    <xf numFmtId="168" fontId="59" fillId="59" borderId="28" xfId="866" applyNumberFormat="1" applyFont="1" applyFill="1" applyBorder="1" applyAlignment="1">
      <alignment horizontal="center" vertical="center" wrapText="1"/>
    </xf>
    <xf numFmtId="168" fontId="59" fillId="60" borderId="26" xfId="866" applyNumberFormat="1" applyFont="1" applyFill="1" applyBorder="1" applyAlignment="1">
      <alignment horizontal="center" vertical="center" wrapText="1"/>
    </xf>
    <xf numFmtId="167" fontId="59" fillId="60" borderId="27" xfId="866" applyNumberFormat="1" applyFont="1" applyFill="1" applyBorder="1" applyAlignment="1">
      <alignment horizontal="center" vertical="center" wrapText="1"/>
    </xf>
    <xf numFmtId="168" fontId="59" fillId="60" borderId="27" xfId="866" applyNumberFormat="1" applyFont="1" applyFill="1" applyBorder="1" applyAlignment="1">
      <alignment horizontal="center" vertical="center" wrapText="1"/>
    </xf>
    <xf numFmtId="0" fontId="44" fillId="56" borderId="10" xfId="0" applyFont="1" applyFill="1" applyBorder="1" applyAlignment="1">
      <alignment horizontal="left" vertical="center"/>
    </xf>
    <xf numFmtId="0" fontId="2" fillId="56" borderId="1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68" fontId="59" fillId="59" borderId="26" xfId="866" applyNumberFormat="1" applyFont="1" applyFill="1" applyBorder="1" applyAlignment="1">
      <alignment horizontal="center" vertical="center" wrapText="1"/>
    </xf>
    <xf numFmtId="0" fontId="2" fillId="56" borderId="0" xfId="1" applyFont="1" applyFill="1" applyBorder="1" applyAlignment="1">
      <alignment horizontal="center" vertical="center"/>
    </xf>
    <xf numFmtId="0" fontId="2" fillId="56" borderId="0" xfId="1" applyFont="1" applyFill="1" applyBorder="1" applyAlignment="1">
      <alignment horizontal="left" vertical="center" wrapText="1"/>
    </xf>
    <xf numFmtId="0" fontId="0" fillId="56" borderId="10" xfId="0" applyFill="1" applyBorder="1"/>
    <xf numFmtId="0" fontId="0" fillId="56" borderId="0" xfId="0" applyFill="1" applyBorder="1"/>
    <xf numFmtId="173" fontId="0" fillId="56" borderId="0" xfId="0" applyNumberFormat="1" applyFill="1"/>
    <xf numFmtId="0" fontId="44" fillId="56" borderId="10" xfId="0" applyFont="1" applyFill="1" applyBorder="1" applyAlignment="1">
      <alignment horizontal="left" vertical="center" wrapText="1"/>
    </xf>
    <xf numFmtId="0" fontId="44" fillId="56" borderId="0" xfId="0" applyFont="1" applyFill="1" applyBorder="1" applyAlignment="1">
      <alignment horizontal="center" vertical="center"/>
    </xf>
    <xf numFmtId="0" fontId="2" fillId="61" borderId="10" xfId="1" applyFont="1" applyFill="1" applyBorder="1" applyAlignment="1">
      <alignment horizontal="center" vertical="center"/>
    </xf>
    <xf numFmtId="14" fontId="2" fillId="61" borderId="10" xfId="2" applyNumberFormat="1" applyFont="1" applyFill="1" applyBorder="1" applyAlignment="1">
      <alignment horizontal="center" vertical="center"/>
    </xf>
    <xf numFmtId="14" fontId="2" fillId="61" borderId="10" xfId="1" applyNumberFormat="1" applyFont="1" applyFill="1" applyBorder="1" applyAlignment="1">
      <alignment horizontal="center" vertical="center"/>
    </xf>
    <xf numFmtId="167" fontId="2" fillId="61" borderId="10" xfId="2" applyNumberFormat="1" applyFont="1" applyFill="1" applyBorder="1" applyAlignment="1">
      <alignment horizontal="center" vertical="center" wrapText="1"/>
    </xf>
    <xf numFmtId="167" fontId="2" fillId="61" borderId="10" xfId="858" applyNumberFormat="1" applyFont="1" applyFill="1" applyBorder="1" applyAlignment="1">
      <alignment horizontal="center" vertical="center"/>
    </xf>
    <xf numFmtId="10" fontId="2" fillId="61" borderId="10" xfId="1" applyNumberFormat="1" applyFont="1" applyFill="1" applyBorder="1" applyAlignment="1">
      <alignment horizontal="center" vertical="center" wrapText="1"/>
    </xf>
    <xf numFmtId="0" fontId="44" fillId="61" borderId="10" xfId="0" applyFont="1" applyFill="1" applyBorder="1" applyAlignment="1">
      <alignment horizontal="center" vertical="center"/>
    </xf>
    <xf numFmtId="0" fontId="44" fillId="61" borderId="10" xfId="0" applyFont="1" applyFill="1" applyBorder="1" applyAlignment="1">
      <alignment horizontal="left" vertical="center"/>
    </xf>
    <xf numFmtId="14" fontId="2" fillId="61" borderId="10" xfId="0" applyNumberFormat="1" applyFont="1" applyFill="1" applyBorder="1" applyAlignment="1">
      <alignment horizontal="center" vertical="center"/>
    </xf>
    <xf numFmtId="10" fontId="44" fillId="61" borderId="10" xfId="0" applyNumberFormat="1" applyFont="1" applyFill="1" applyBorder="1" applyAlignment="1">
      <alignment horizontal="center" vertical="center"/>
    </xf>
    <xf numFmtId="168" fontId="44" fillId="61" borderId="10" xfId="0" applyNumberFormat="1" applyFont="1" applyFill="1" applyBorder="1" applyAlignment="1">
      <alignment horizontal="center" vertical="center"/>
    </xf>
    <xf numFmtId="167" fontId="2" fillId="61" borderId="10" xfId="0" applyNumberFormat="1" applyFont="1" applyFill="1" applyBorder="1" applyAlignment="1">
      <alignment horizontal="center" vertical="center"/>
    </xf>
    <xf numFmtId="0" fontId="2" fillId="61" borderId="0" xfId="1" applyFont="1" applyFill="1" applyBorder="1" applyAlignment="1">
      <alignment horizontal="left" vertical="center"/>
    </xf>
    <xf numFmtId="14" fontId="44" fillId="61" borderId="10" xfId="0" applyNumberFormat="1" applyFont="1" applyFill="1" applyBorder="1" applyAlignment="1">
      <alignment horizontal="center" vertical="center"/>
    </xf>
    <xf numFmtId="0" fontId="2" fillId="61" borderId="0" xfId="1" applyFont="1" applyFill="1" applyBorder="1" applyAlignment="1">
      <alignment horizontal="center" vertical="center" wrapText="1"/>
    </xf>
    <xf numFmtId="2" fontId="2" fillId="61" borderId="10" xfId="1" applyNumberFormat="1" applyFont="1" applyFill="1" applyBorder="1" applyAlignment="1">
      <alignment horizontal="center" vertical="center" wrapText="1"/>
    </xf>
    <xf numFmtId="2" fontId="2" fillId="61" borderId="10" xfId="1" applyNumberFormat="1" applyFont="1" applyFill="1" applyBorder="1" applyAlignment="1">
      <alignment horizontal="left" vertical="center" wrapText="1"/>
    </xf>
    <xf numFmtId="10" fontId="2" fillId="61" borderId="10" xfId="2" applyNumberFormat="1" applyFont="1" applyFill="1" applyBorder="1" applyAlignment="1">
      <alignment horizontal="center" vertical="center" wrapText="1"/>
    </xf>
    <xf numFmtId="0" fontId="2" fillId="61" borderId="10" xfId="1" applyFont="1" applyFill="1" applyBorder="1" applyAlignment="1">
      <alignment horizontal="left" vertical="center"/>
    </xf>
    <xf numFmtId="0" fontId="2" fillId="61" borderId="10" xfId="1" applyFont="1" applyFill="1" applyBorder="1" applyAlignment="1">
      <alignment horizontal="left" vertical="center" wrapText="1"/>
    </xf>
    <xf numFmtId="2" fontId="2" fillId="0" borderId="10" xfId="1" applyNumberFormat="1" applyFont="1" applyFill="1" applyBorder="1" applyAlignment="1">
      <alignment horizontal="center" vertical="center"/>
    </xf>
    <xf numFmtId="49" fontId="25" fillId="0" borderId="10" xfId="934" applyNumberFormat="1" applyFont="1" applyFill="1" applyBorder="1" applyAlignment="1">
      <alignment horizontal="center" vertical="center"/>
    </xf>
    <xf numFmtId="10" fontId="2" fillId="0" borderId="10" xfId="2" applyNumberFormat="1" applyFont="1" applyFill="1" applyBorder="1" applyAlignment="1">
      <alignment horizontal="center" vertical="center"/>
    </xf>
    <xf numFmtId="168" fontId="2" fillId="0" borderId="10" xfId="858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left" vertical="center"/>
    </xf>
    <xf numFmtId="0" fontId="44" fillId="0" borderId="10" xfId="0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10" fontId="44" fillId="0" borderId="10" xfId="0" applyNumberFormat="1" applyFont="1" applyFill="1" applyBorder="1" applyAlignment="1">
      <alignment horizontal="center" vertical="center"/>
    </xf>
    <xf numFmtId="168" fontId="44" fillId="0" borderId="10" xfId="0" applyNumberFormat="1" applyFont="1" applyFill="1" applyBorder="1" applyAlignment="1">
      <alignment horizontal="center" vertical="center"/>
    </xf>
    <xf numFmtId="167" fontId="2" fillId="0" borderId="10" xfId="0" applyNumberFormat="1" applyFont="1" applyFill="1" applyBorder="1" applyAlignment="1">
      <alignment horizontal="center" vertical="center"/>
    </xf>
    <xf numFmtId="167" fontId="0" fillId="0" borderId="0" xfId="0" applyNumberFormat="1" applyFill="1"/>
    <xf numFmtId="0" fontId="2" fillId="0" borderId="10" xfId="0" applyFont="1" applyFill="1" applyBorder="1" applyAlignment="1">
      <alignment horizontal="center" vertical="center"/>
    </xf>
    <xf numFmtId="0" fontId="2" fillId="61" borderId="10" xfId="1" applyFont="1" applyFill="1" applyBorder="1" applyAlignment="1">
      <alignment horizontal="center" vertical="center" wrapText="1"/>
    </xf>
    <xf numFmtId="2" fontId="2" fillId="61" borderId="10" xfId="1" applyNumberFormat="1" applyFont="1" applyFill="1" applyBorder="1" applyAlignment="1">
      <alignment horizontal="center" vertical="center"/>
    </xf>
    <xf numFmtId="10" fontId="2" fillId="61" borderId="10" xfId="2" applyNumberFormat="1" applyFont="1" applyFill="1" applyBorder="1" applyAlignment="1">
      <alignment horizontal="center" vertical="center"/>
    </xf>
    <xf numFmtId="168" fontId="2" fillId="61" borderId="10" xfId="858" applyNumberFormat="1" applyFont="1" applyFill="1" applyBorder="1" applyAlignment="1">
      <alignment horizontal="center" vertical="center"/>
    </xf>
    <xf numFmtId="10" fontId="2" fillId="61" borderId="12" xfId="1" applyNumberFormat="1" applyFont="1" applyFill="1" applyBorder="1" applyAlignment="1">
      <alignment horizontal="center" vertical="center" wrapText="1"/>
    </xf>
    <xf numFmtId="10" fontId="2" fillId="61" borderId="12" xfId="2" applyNumberFormat="1" applyFont="1" applyFill="1" applyBorder="1" applyAlignment="1">
      <alignment horizontal="center" vertical="center" wrapText="1"/>
    </xf>
    <xf numFmtId="0" fontId="49" fillId="56" borderId="0" xfId="0" applyFont="1" applyFill="1"/>
    <xf numFmtId="10" fontId="44" fillId="0" borderId="12" xfId="2" applyNumberFormat="1" applyFont="1" applyFill="1" applyBorder="1" applyAlignment="1">
      <alignment horizontal="center" vertical="center" wrapText="1"/>
    </xf>
    <xf numFmtId="10" fontId="54" fillId="0" borderId="10" xfId="2" applyNumberFormat="1" applyFont="1" applyFill="1" applyBorder="1" applyAlignment="1">
      <alignment horizontal="center" vertical="center"/>
    </xf>
    <xf numFmtId="0" fontId="2" fillId="56" borderId="0" xfId="1" applyFont="1" applyFill="1" applyBorder="1" applyAlignment="1">
      <alignment horizontal="center" vertical="center" wrapText="1"/>
    </xf>
    <xf numFmtId="2" fontId="2" fillId="56" borderId="0" xfId="1" applyNumberFormat="1" applyFont="1" applyFill="1" applyBorder="1" applyAlignment="1">
      <alignment horizontal="center" vertical="center" wrapText="1"/>
    </xf>
    <xf numFmtId="14" fontId="2" fillId="56" borderId="0" xfId="1" applyNumberFormat="1" applyFont="1" applyFill="1" applyBorder="1" applyAlignment="1">
      <alignment horizontal="center" vertical="center" wrapText="1"/>
    </xf>
    <xf numFmtId="10" fontId="44" fillId="56" borderId="12" xfId="2" applyNumberFormat="1" applyFont="1" applyFill="1" applyBorder="1" applyAlignment="1">
      <alignment horizontal="center" vertical="center" wrapText="1"/>
    </xf>
    <xf numFmtId="10" fontId="54" fillId="56" borderId="12" xfId="2" applyNumberFormat="1" applyFont="1" applyFill="1" applyBorder="1" applyAlignment="1">
      <alignment horizontal="center" vertical="center" wrapText="1"/>
    </xf>
    <xf numFmtId="0" fontId="55" fillId="0" borderId="0" xfId="0" applyFont="1" applyFill="1"/>
    <xf numFmtId="0" fontId="0" fillId="0" borderId="0" xfId="0" applyFill="1" applyBorder="1"/>
    <xf numFmtId="167" fontId="60" fillId="62" borderId="0" xfId="0" applyNumberFormat="1" applyFont="1" applyFill="1" applyAlignment="1">
      <alignment horizontal="center" vertical="center"/>
    </xf>
    <xf numFmtId="10" fontId="2" fillId="0" borderId="12" xfId="1" applyNumberFormat="1" applyFont="1" applyFill="1" applyBorder="1" applyAlignment="1">
      <alignment horizontal="center" vertical="center" wrapText="1"/>
    </xf>
    <xf numFmtId="0" fontId="49" fillId="0" borderId="0" xfId="0" applyFont="1" applyFill="1"/>
    <xf numFmtId="49" fontId="25" fillId="0" borderId="10" xfId="934" applyNumberFormat="1" applyFont="1" applyFill="1" applyBorder="1" applyAlignment="1">
      <alignment horizontal="center" vertical="center" wrapText="1"/>
    </xf>
    <xf numFmtId="168" fontId="2" fillId="56" borderId="10" xfId="2" applyNumberFormat="1" applyFont="1" applyFill="1" applyBorder="1" applyAlignment="1">
      <alignment horizontal="center" vertical="center" wrapText="1"/>
    </xf>
    <xf numFmtId="168" fontId="2" fillId="61" borderId="10" xfId="2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2" fillId="56" borderId="10" xfId="1" applyFill="1" applyBorder="1" applyAlignment="1">
      <alignment horizontal="center" vertical="center" wrapText="1"/>
    </xf>
    <xf numFmtId="0" fontId="2" fillId="56" borderId="10" xfId="1" applyFill="1" applyBorder="1" applyAlignment="1">
      <alignment horizontal="left" vertical="center" wrapText="1"/>
    </xf>
    <xf numFmtId="0" fontId="2" fillId="56" borderId="10" xfId="1" applyFill="1" applyBorder="1" applyAlignment="1">
      <alignment horizontal="center" vertical="center"/>
    </xf>
    <xf numFmtId="14" fontId="2" fillId="56" borderId="10" xfId="2" applyNumberFormat="1" applyFill="1" applyBorder="1" applyAlignment="1">
      <alignment horizontal="center" vertical="center"/>
    </xf>
    <xf numFmtId="10" fontId="2" fillId="56" borderId="12" xfId="2" applyNumberFormat="1" applyFill="1" applyBorder="1" applyAlignment="1">
      <alignment horizontal="center" vertical="center" wrapText="1"/>
    </xf>
    <xf numFmtId="10" fontId="2" fillId="56" borderId="10" xfId="1" applyNumberFormat="1" applyFill="1" applyBorder="1" applyAlignment="1">
      <alignment horizontal="center" vertical="center" wrapText="1"/>
    </xf>
    <xf numFmtId="0" fontId="44" fillId="63" borderId="10" xfId="0" applyFont="1" applyFill="1" applyBorder="1" applyAlignment="1">
      <alignment horizontal="center" vertical="center"/>
    </xf>
    <xf numFmtId="0" fontId="44" fillId="63" borderId="10" xfId="0" applyFont="1" applyFill="1" applyBorder="1" applyAlignment="1">
      <alignment horizontal="left" vertical="center"/>
    </xf>
    <xf numFmtId="14" fontId="44" fillId="63" borderId="10" xfId="0" applyNumberFormat="1" applyFont="1" applyFill="1" applyBorder="1" applyAlignment="1">
      <alignment horizontal="center" vertical="center"/>
    </xf>
    <xf numFmtId="10" fontId="44" fillId="63" borderId="10" xfId="1016" applyNumberFormat="1" applyFont="1" applyFill="1" applyBorder="1" applyAlignment="1">
      <alignment horizontal="center" vertical="center"/>
    </xf>
    <xf numFmtId="168" fontId="44" fillId="63" borderId="10" xfId="0" applyNumberFormat="1" applyFont="1" applyFill="1" applyBorder="1" applyAlignment="1">
      <alignment horizontal="center" vertical="center"/>
    </xf>
    <xf numFmtId="167" fontId="2" fillId="63" borderId="10" xfId="0" applyNumberFormat="1" applyFont="1" applyFill="1" applyBorder="1" applyAlignment="1">
      <alignment horizontal="center" vertical="center"/>
    </xf>
    <xf numFmtId="10" fontId="2" fillId="61" borderId="13" xfId="2" applyNumberFormat="1" applyFont="1" applyFill="1" applyBorder="1" applyAlignment="1">
      <alignment horizontal="center" vertical="center" wrapText="1"/>
    </xf>
    <xf numFmtId="167" fontId="60" fillId="0" borderId="0" xfId="0" applyNumberFormat="1" applyFont="1" applyAlignment="1">
      <alignment vertical="center"/>
    </xf>
    <xf numFmtId="0" fontId="49" fillId="61" borderId="0" xfId="0" applyFont="1" applyFill="1"/>
    <xf numFmtId="49" fontId="25" fillId="61" borderId="10" xfId="934" applyNumberFormat="1" applyFont="1" applyFill="1" applyBorder="1" applyAlignment="1">
      <alignment horizontal="center" vertical="center"/>
    </xf>
    <xf numFmtId="182" fontId="2" fillId="61" borderId="10" xfId="2" applyNumberFormat="1" applyFont="1" applyFill="1" applyBorder="1" applyAlignment="1">
      <alignment horizontal="center" vertical="center" wrapText="1"/>
    </xf>
    <xf numFmtId="168" fontId="2" fillId="56" borderId="10" xfId="2" applyNumberFormat="1" applyFill="1" applyBorder="1" applyAlignment="1">
      <alignment horizontal="center" vertical="center" wrapText="1"/>
    </xf>
    <xf numFmtId="167" fontId="2" fillId="56" borderId="10" xfId="2" applyNumberFormat="1" applyFill="1" applyBorder="1" applyAlignment="1">
      <alignment horizontal="center" vertical="center" wrapText="1"/>
    </xf>
    <xf numFmtId="167" fontId="2" fillId="61" borderId="10" xfId="1" applyNumberFormat="1" applyFont="1" applyFill="1" applyBorder="1" applyAlignment="1">
      <alignment horizontal="center" vertical="center" wrapText="1"/>
    </xf>
    <xf numFmtId="10" fontId="54" fillId="61" borderId="12" xfId="2" applyNumberFormat="1" applyFont="1" applyFill="1" applyBorder="1" applyAlignment="1">
      <alignment horizontal="center" vertical="center" wrapText="1"/>
    </xf>
    <xf numFmtId="14" fontId="54" fillId="61" borderId="10" xfId="0" applyNumberFormat="1" applyFont="1" applyFill="1" applyBorder="1" applyAlignment="1">
      <alignment horizontal="center" vertical="center"/>
    </xf>
    <xf numFmtId="0" fontId="2" fillId="56" borderId="10" xfId="1" applyFont="1" applyFill="1" applyBorder="1" applyAlignment="1">
      <alignment horizontal="left" vertical="center" wrapText="1"/>
    </xf>
    <xf numFmtId="10" fontId="2" fillId="56" borderId="10" xfId="2" applyNumberFormat="1" applyFont="1" applyFill="1" applyBorder="1" applyAlignment="1">
      <alignment horizontal="center" vertical="center" wrapText="1"/>
    </xf>
    <xf numFmtId="10" fontId="44" fillId="61" borderId="13" xfId="0" applyNumberFormat="1" applyFont="1" applyFill="1" applyBorder="1" applyAlignment="1">
      <alignment horizontal="center" vertical="center"/>
    </xf>
    <xf numFmtId="182" fontId="2" fillId="61" borderId="13" xfId="2" applyNumberFormat="1" applyFont="1" applyFill="1" applyBorder="1" applyAlignment="1">
      <alignment horizontal="center" vertical="center" wrapText="1"/>
    </xf>
    <xf numFmtId="167" fontId="54" fillId="61" borderId="10" xfId="858" applyNumberFormat="1" applyFont="1" applyFill="1" applyBorder="1" applyAlignment="1">
      <alignment horizontal="center" vertical="center"/>
    </xf>
    <xf numFmtId="167" fontId="44" fillId="61" borderId="10" xfId="858" applyNumberFormat="1" applyFont="1" applyFill="1" applyBorder="1" applyAlignment="1">
      <alignment horizontal="center" vertical="center"/>
    </xf>
    <xf numFmtId="10" fontId="54" fillId="61" borderId="10" xfId="2" applyNumberFormat="1" applyFont="1" applyFill="1" applyBorder="1" applyAlignment="1">
      <alignment horizontal="center" vertical="center"/>
    </xf>
    <xf numFmtId="0" fontId="2" fillId="61" borderId="10" xfId="1" applyFill="1" applyBorder="1" applyAlignment="1">
      <alignment horizontal="center" vertical="center" wrapText="1"/>
    </xf>
    <xf numFmtId="0" fontId="2" fillId="61" borderId="10" xfId="1" applyFill="1" applyBorder="1" applyAlignment="1">
      <alignment horizontal="left" vertical="center" wrapText="1"/>
    </xf>
    <xf numFmtId="0" fontId="2" fillId="61" borderId="10" xfId="1" applyFill="1" applyBorder="1" applyAlignment="1">
      <alignment horizontal="center" vertical="center"/>
    </xf>
    <xf numFmtId="14" fontId="2" fillId="61" borderId="10" xfId="2" applyNumberFormat="1" applyFill="1" applyBorder="1" applyAlignment="1">
      <alignment horizontal="center" vertical="center"/>
    </xf>
    <xf numFmtId="10" fontId="2" fillId="61" borderId="10" xfId="1" applyNumberFormat="1" applyFill="1" applyBorder="1" applyAlignment="1">
      <alignment horizontal="center" vertical="center" wrapText="1"/>
    </xf>
    <xf numFmtId="167" fontId="2" fillId="61" borderId="10" xfId="2" applyNumberFormat="1" applyFill="1" applyBorder="1" applyAlignment="1">
      <alignment horizontal="center" vertical="center"/>
    </xf>
    <xf numFmtId="10" fontId="2" fillId="61" borderId="10" xfId="2" applyNumberFormat="1" applyFill="1" applyBorder="1" applyAlignment="1">
      <alignment horizontal="center" vertical="center"/>
    </xf>
    <xf numFmtId="167" fontId="2" fillId="61" borderId="10" xfId="2" applyNumberFormat="1" applyFont="1" applyFill="1" applyBorder="1" applyAlignment="1">
      <alignment horizontal="center" vertical="center"/>
    </xf>
    <xf numFmtId="0" fontId="61" fillId="64" borderId="29" xfId="0" applyFont="1" applyFill="1" applyBorder="1" applyAlignment="1">
      <alignment horizontal="left" vertical="center"/>
    </xf>
    <xf numFmtId="0" fontId="61" fillId="64" borderId="30" xfId="0" applyFont="1" applyFill="1" applyBorder="1" applyAlignment="1">
      <alignment horizontal="left" vertical="center"/>
    </xf>
    <xf numFmtId="0" fontId="2" fillId="62" borderId="10" xfId="1" applyFont="1" applyFill="1" applyBorder="1" applyAlignment="1">
      <alignment horizontal="left" vertical="center"/>
    </xf>
    <xf numFmtId="14" fontId="2" fillId="62" borderId="10" xfId="1" applyNumberFormat="1" applyFont="1" applyFill="1" applyBorder="1" applyAlignment="1">
      <alignment horizontal="center" vertical="center"/>
    </xf>
    <xf numFmtId="2" fontId="2" fillId="62" borderId="10" xfId="1" applyNumberFormat="1" applyFont="1" applyFill="1" applyBorder="1" applyAlignment="1">
      <alignment horizontal="center" vertical="center"/>
    </xf>
    <xf numFmtId="49" fontId="25" fillId="62" borderId="10" xfId="934" applyNumberFormat="1" applyFont="1" applyFill="1" applyBorder="1" applyAlignment="1">
      <alignment horizontal="center" vertical="center"/>
    </xf>
    <xf numFmtId="0" fontId="2" fillId="62" borderId="10" xfId="1" applyFont="1" applyFill="1" applyBorder="1" applyAlignment="1">
      <alignment horizontal="center" vertical="center"/>
    </xf>
    <xf numFmtId="14" fontId="2" fillId="62" borderId="10" xfId="2" applyNumberFormat="1" applyFont="1" applyFill="1" applyBorder="1" applyAlignment="1">
      <alignment horizontal="center" vertical="center"/>
    </xf>
    <xf numFmtId="10" fontId="2" fillId="62" borderId="10" xfId="2" applyNumberFormat="1" applyFont="1" applyFill="1" applyBorder="1" applyAlignment="1">
      <alignment horizontal="center" vertical="center"/>
    </xf>
    <xf numFmtId="10" fontId="2" fillId="62" borderId="10" xfId="1" applyNumberFormat="1" applyFont="1" applyFill="1" applyBorder="1" applyAlignment="1">
      <alignment horizontal="center" vertical="center" wrapText="1"/>
    </xf>
    <xf numFmtId="0" fontId="2" fillId="61" borderId="10" xfId="1" applyNumberFormat="1" applyFont="1" applyFill="1" applyBorder="1" applyAlignment="1">
      <alignment horizontal="center" vertical="center"/>
    </xf>
    <xf numFmtId="10" fontId="2" fillId="61" borderId="10" xfId="1" applyNumberFormat="1" applyFont="1" applyFill="1" applyBorder="1" applyAlignment="1">
      <alignment horizontal="center" vertical="center"/>
    </xf>
    <xf numFmtId="167" fontId="2" fillId="62" borderId="10" xfId="858" applyNumberFormat="1" applyFont="1" applyFill="1" applyBorder="1" applyAlignment="1">
      <alignment horizontal="center" vertical="center"/>
    </xf>
  </cellXfs>
  <cellStyles count="1059">
    <cellStyle name="_x000a_386grabber=m" xfId="1" xr:uid="{4707EDF9-BEEE-439A-9B38-4CDAFA4F30A9}"/>
    <cellStyle name="_x000a_386grabber=m 2" xfId="2" xr:uid="{10B3EB68-7C86-4B66-80B9-F89B57C9DD18}"/>
    <cellStyle name="_x000a_386grabber=m 2 2" xfId="3" xr:uid="{66572CD1-76D9-4023-90C5-66783DE8A6DA}"/>
    <cellStyle name="_x000a_386grabber=m 2 3" xfId="4" xr:uid="{AE8422C5-A73B-4E70-8F87-46C927281EB1}"/>
    <cellStyle name="_x000a_386grabber=m 2 4" xfId="5" xr:uid="{87432511-F343-4893-8305-50766FE4CF70}"/>
    <cellStyle name="_x000a_386grabber=m 3" xfId="6" xr:uid="{0580D6AA-9367-4FCB-9F63-B89B03CD71B9}"/>
    <cellStyle name="_x000a_386grabber=m 3 2" xfId="7" xr:uid="{2949D93A-501E-4558-9675-B0257A26CAA8}"/>
    <cellStyle name="_x000a_386grabber=m 3 3" xfId="8" xr:uid="{EA529405-C4C4-419E-A6CD-3FF8978051EB}"/>
    <cellStyle name="_x000a_386grabber=m 4" xfId="9" xr:uid="{F483154D-B9B8-4C95-8B45-93CBB09BAE9F}"/>
    <cellStyle name="_x000a_386grabber=m 5" xfId="10" xr:uid="{ECCC47BE-D6F1-4A57-8C90-19A63F51F5D5}"/>
    <cellStyle name="_2011 11 up to FOR ANNUAL RETURN EQUITY" xfId="11" xr:uid="{B6ADF7FF-AF80-479D-AB26-F86A29370FD1}"/>
    <cellStyle name="_201202 YTD OC" xfId="12" xr:uid="{04342E8D-6FDB-432F-8CCD-2035651BAEDF}"/>
    <cellStyle name="_CHECK 1 YTD Op expenses breakdown 31122011" xfId="13" xr:uid="{857466F7-31BB-42B9-866C-7FF0B8A04BF0}"/>
    <cellStyle name="_CHECK YTD TER JULY 2011 with performance fees" xfId="14" xr:uid="{AE9619D8-F2CE-48FF-83FE-422B019CB5E5}"/>
    <cellStyle name="_Op expenses 31052012" xfId="15" xr:uid="{64493968-CC26-4A8F-AFFC-4C3E39862B82}"/>
    <cellStyle name="20 % - Accent1 10" xfId="16" xr:uid="{DC5A4CAB-93FA-405D-A24B-578238F8E183}"/>
    <cellStyle name="20 % - Accent1 11" xfId="17" xr:uid="{487EE9DE-D234-433F-8196-F3063AE8ECB4}"/>
    <cellStyle name="20 % - Accent1 12" xfId="18" xr:uid="{BF7A23BF-0C8B-4D00-A513-51733BE9C5A9}"/>
    <cellStyle name="20 % - Accent1 13" xfId="19" xr:uid="{E42CD685-6334-4787-A44E-94A38F044465}"/>
    <cellStyle name="20 % - Accent1 14" xfId="20" xr:uid="{D7B9D86D-9337-4AEE-8777-0D0DE0031C04}"/>
    <cellStyle name="20 % - Accent1 15" xfId="21" xr:uid="{15F1F0A0-F68A-4DD2-A40C-45350F9BE3D2}"/>
    <cellStyle name="20 % - Accent1 16" xfId="22" xr:uid="{E6F877BE-BB75-4F4C-B2D2-C6E3F3659F14}"/>
    <cellStyle name="20 % - Accent1 17" xfId="23" xr:uid="{86F89787-06CA-456F-8EB8-7F5F4F96D879}"/>
    <cellStyle name="20 % - Accent1 18" xfId="24" xr:uid="{6232FD09-12A0-44C8-8F31-C64D976F4286}"/>
    <cellStyle name="20 % - Accent1 19" xfId="25" xr:uid="{29A95E2C-162B-4931-8BA0-9F093C3694D9}"/>
    <cellStyle name="20 % - Accent1 2" xfId="26" xr:uid="{761DED89-D17E-4F8E-82BD-65971582E1A1}"/>
    <cellStyle name="20 % - Accent1 2 2" xfId="27" xr:uid="{2452CE1B-F4E5-47A9-8BEE-3C7CDFF10659}"/>
    <cellStyle name="20 % - Accent1 2 2 2" xfId="28" xr:uid="{9B311DEE-324F-470E-972C-1402837F71A7}"/>
    <cellStyle name="20 % - Accent1 2 2 2 2" xfId="29" xr:uid="{9B18EB50-1804-492E-8FDC-786477C31DD0}"/>
    <cellStyle name="20 % - Accent1 2 2 3" xfId="30" xr:uid="{6FDB510C-234F-4794-B9FC-277C444D243C}"/>
    <cellStyle name="20 % - Accent1 2 2 4" xfId="31" xr:uid="{3429BA3B-3DFD-4C52-8965-CF1E0EB94957}"/>
    <cellStyle name="20 % - Accent1 2 3" xfId="32" xr:uid="{4C75AF8A-DE88-4C12-9DB4-0FBE2CEB9C92}"/>
    <cellStyle name="20 % - Accent1 2 3 2" xfId="33" xr:uid="{F3BBA02B-E4D3-47FB-9356-890B088B199D}"/>
    <cellStyle name="20 % - Accent1 2 4" xfId="34" xr:uid="{563C8858-6275-4F98-80D3-D76819BAE807}"/>
    <cellStyle name="20 % - Accent1 2 5" xfId="35" xr:uid="{448EAC31-606B-47D6-B954-5201D3A4114F}"/>
    <cellStyle name="20 % - Accent1 20" xfId="36" xr:uid="{32C11450-FEB6-4E50-A1B1-68882DBD1019}"/>
    <cellStyle name="20 % - Accent1 3" xfId="37" xr:uid="{2D41E535-0D30-4432-9E2B-95B29F5CAFE2}"/>
    <cellStyle name="20 % - Accent1 3 2" xfId="38" xr:uid="{71217C2E-3C2B-4876-9DAF-813B7F0FCB17}"/>
    <cellStyle name="20 % - Accent1 3 2 2" xfId="39" xr:uid="{26C2AB39-3A5F-4E41-8650-E6760537A7AF}"/>
    <cellStyle name="20 % - Accent1 3 2 2 2" xfId="40" xr:uid="{2A5AEA11-88A7-483F-B175-8A2923E15751}"/>
    <cellStyle name="20 % - Accent1 3 2 3" xfId="41" xr:uid="{C064BD94-6459-4025-84B7-1EAE8605EB4E}"/>
    <cellStyle name="20 % - Accent1 3 2 4" xfId="42" xr:uid="{616F8D27-02B7-4EAF-8C9F-A528227BF9C1}"/>
    <cellStyle name="20 % - Accent1 3 3" xfId="43" xr:uid="{9FA297C9-0236-42AE-AC12-DF1A60FB61FF}"/>
    <cellStyle name="20 % - Accent1 3 3 2" xfId="44" xr:uid="{06015221-12FF-4B14-B110-3BDA2627E270}"/>
    <cellStyle name="20 % - Accent1 3 4" xfId="45" xr:uid="{E2EF9631-6CAB-442D-9B5A-2738966DF923}"/>
    <cellStyle name="20 % - Accent1 3 5" xfId="46" xr:uid="{C6BC758A-7C8E-488D-B2FD-89AD3858B1E2}"/>
    <cellStyle name="20 % - Accent1 4" xfId="47" xr:uid="{96C618A2-2DCD-47F7-8BD9-144C1006262E}"/>
    <cellStyle name="20 % - Accent1 4 2" xfId="48" xr:uid="{2DD1C7C6-D86F-43BB-B2E9-105D261EAD23}"/>
    <cellStyle name="20 % - Accent1 4 2 2" xfId="49" xr:uid="{2AB3889C-2680-4148-83F1-5261410232E9}"/>
    <cellStyle name="20 % - Accent1 4 2 3" xfId="50" xr:uid="{A58BC1F8-D5FD-4609-A417-A18BBBAA8EB2}"/>
    <cellStyle name="20 % - Accent1 4 3" xfId="51" xr:uid="{AA40333C-059A-41B9-8CB7-0EEF97D7F2E2}"/>
    <cellStyle name="20 % - Accent1 4 4" xfId="52" xr:uid="{D9AD44A1-B2AB-41B2-914A-E0B48B612976}"/>
    <cellStyle name="20 % - Accent1 5" xfId="53" xr:uid="{E8D87837-668C-465A-9D60-9DC4E1648D63}"/>
    <cellStyle name="20 % - Accent1 5 2" xfId="54" xr:uid="{C22FB37F-A839-43E9-BBFB-EB400AF5A395}"/>
    <cellStyle name="20 % - Accent1 5 2 2" xfId="55" xr:uid="{34CB85DD-6549-4B2E-BC99-5DBF0410B395}"/>
    <cellStyle name="20 % - Accent1 5 3" xfId="56" xr:uid="{8FC9EA65-51E1-453A-A336-B42EC1F74A18}"/>
    <cellStyle name="20 % - Accent1 5 4" xfId="57" xr:uid="{AB089F5E-9AE7-4BEB-ACDA-EF41C5D2F3AB}"/>
    <cellStyle name="20 % - Accent1 6" xfId="58" xr:uid="{4773674B-5B81-458A-9B42-5F879B62E35F}"/>
    <cellStyle name="20 % - Accent1 6 2" xfId="59" xr:uid="{2552BD6B-1608-4E22-819F-79F939C99D32}"/>
    <cellStyle name="20 % - Accent1 6 2 2" xfId="60" xr:uid="{154D7334-1817-42DA-9B24-1F4AF20615AD}"/>
    <cellStyle name="20 % - Accent1 6 3" xfId="61" xr:uid="{7A81B294-310C-4423-BA10-C9065D93FE90}"/>
    <cellStyle name="20 % - Accent1 6 4" xfId="62" xr:uid="{4DFDFCFF-BE83-4921-8883-DED7725AF1FF}"/>
    <cellStyle name="20 % - Accent1 7" xfId="63" xr:uid="{0F9D017F-7B30-48C8-9E71-39CE93B6ACD9}"/>
    <cellStyle name="20 % - Accent1 7 2" xfId="64" xr:uid="{DC1F4BE6-404D-4883-8521-35F250D0D1C1}"/>
    <cellStyle name="20 % - Accent1 7 2 2" xfId="65" xr:uid="{487035B8-35BA-4317-BAB0-F770BB4B4049}"/>
    <cellStyle name="20 % - Accent1 7 3" xfId="66" xr:uid="{7F4764DA-0578-41DC-85C0-D56C0C14ECAA}"/>
    <cellStyle name="20 % - Accent1 7 4" xfId="67" xr:uid="{EF2939D3-F70F-4F93-883F-67C73C036028}"/>
    <cellStyle name="20 % - Accent1 8" xfId="68" xr:uid="{29853892-6090-4C9D-9B9B-060C1C3AE332}"/>
    <cellStyle name="20 % - Accent1 8 2" xfId="69" xr:uid="{207693EC-5778-4F59-A946-57385AC6AED5}"/>
    <cellStyle name="20 % - Accent1 8 3" xfId="70" xr:uid="{DC99E9E2-402A-4E8F-B57A-562FF674ED27}"/>
    <cellStyle name="20 % - Accent1 9" xfId="71" xr:uid="{4363A601-D326-4F15-BF17-4D8B19811F78}"/>
    <cellStyle name="20 % - Accent1 9 2" xfId="72" xr:uid="{FAE3084B-EE96-4A2D-905E-F0B815AE123C}"/>
    <cellStyle name="20 % - Accent2 10" xfId="73" xr:uid="{F1C0F471-C006-416F-9070-DD41515120EE}"/>
    <cellStyle name="20 % - Accent2 11" xfId="74" xr:uid="{F326FDB1-8913-49B6-9511-181B57DE4C02}"/>
    <cellStyle name="20 % - Accent2 12" xfId="75" xr:uid="{06B19AE9-29B5-4BD5-8D9B-08BC9AA0D1CD}"/>
    <cellStyle name="20 % - Accent2 13" xfId="76" xr:uid="{F018EEC3-5334-48C5-86CB-1B966A936F05}"/>
    <cellStyle name="20 % - Accent2 14" xfId="77" xr:uid="{E964582E-0046-41E3-9EC3-0A95F60D22AB}"/>
    <cellStyle name="20 % - Accent2 15" xfId="78" xr:uid="{37249B1A-AB35-49A1-9FE0-D68A6C95D76E}"/>
    <cellStyle name="20 % - Accent2 16" xfId="79" xr:uid="{6F563409-0F56-4466-940D-41F32839A929}"/>
    <cellStyle name="20 % - Accent2 17" xfId="80" xr:uid="{BEE43492-438A-4F7D-B7BA-BDA7111FEF7A}"/>
    <cellStyle name="20 % - Accent2 18" xfId="81" xr:uid="{E54C88EA-61BE-4CED-A811-BBBA03E35AC3}"/>
    <cellStyle name="20 % - Accent2 19" xfId="82" xr:uid="{BA3984DB-2248-4D7F-A49C-CCBA07FD8184}"/>
    <cellStyle name="20 % - Accent2 2" xfId="83" xr:uid="{0351E20F-1F24-41B0-AFBD-53443A35592A}"/>
    <cellStyle name="20 % - Accent2 2 2" xfId="84" xr:uid="{618F3CBD-B8FA-48E5-80B3-A14D0F20D1F2}"/>
    <cellStyle name="20 % - Accent2 2 2 2" xfId="85" xr:uid="{87A2DFA4-0C78-4CF5-85D7-2B3E6FB6482E}"/>
    <cellStyle name="20 % - Accent2 2 2 2 2" xfId="86" xr:uid="{59B1BF19-380B-418D-884D-DE9C4DD1A86C}"/>
    <cellStyle name="20 % - Accent2 2 2 3" xfId="87" xr:uid="{B9B2E7EF-0E46-453B-BA29-43B47243B005}"/>
    <cellStyle name="20 % - Accent2 2 2 4" xfId="88" xr:uid="{F12D9BB9-F150-4A4B-A86C-7372ACA9A8AB}"/>
    <cellStyle name="20 % - Accent2 2 3" xfId="89" xr:uid="{954E9FFB-1811-435D-A148-5EE666506707}"/>
    <cellStyle name="20 % - Accent2 2 3 2" xfId="90" xr:uid="{79CF2BD8-DB6F-4260-B351-8D2B6BC6A5DE}"/>
    <cellStyle name="20 % - Accent2 2 4" xfId="91" xr:uid="{E07394B3-8011-43AA-B4DB-77CE61944A16}"/>
    <cellStyle name="20 % - Accent2 2 5" xfId="92" xr:uid="{F05DA084-8859-43F7-BBAC-D15CDAC90C0A}"/>
    <cellStyle name="20 % - Accent2 20" xfId="93" xr:uid="{6E4E3E95-62AF-471B-BC19-20124B6B4AA0}"/>
    <cellStyle name="20 % - Accent2 3" xfId="94" xr:uid="{C523743C-3A2C-467B-8CA3-CE6B6D261042}"/>
    <cellStyle name="20 % - Accent2 3 2" xfId="95" xr:uid="{227ABEE0-E74F-4975-B720-5E2DB8FB8ADB}"/>
    <cellStyle name="20 % - Accent2 3 2 2" xfId="96" xr:uid="{08496FE5-7361-4645-9A55-A8186CE2FC82}"/>
    <cellStyle name="20 % - Accent2 3 2 2 2" xfId="97" xr:uid="{1F235D44-93B0-4C5B-9FB0-356BCA77276B}"/>
    <cellStyle name="20 % - Accent2 3 2 3" xfId="98" xr:uid="{EBCCCCF7-072E-456B-8B2A-DB368BBA2CA2}"/>
    <cellStyle name="20 % - Accent2 3 2 4" xfId="99" xr:uid="{5EC459A9-8885-43FC-9A8B-A3F182B7DD93}"/>
    <cellStyle name="20 % - Accent2 3 3" xfId="100" xr:uid="{D72EA688-08E3-4F8B-8D11-456C620B8976}"/>
    <cellStyle name="20 % - Accent2 3 3 2" xfId="101" xr:uid="{7CA7D4B7-4E57-47B3-87B1-FDB1EE371187}"/>
    <cellStyle name="20 % - Accent2 3 4" xfId="102" xr:uid="{F8C91F08-EE81-4D2D-9F22-580FD7FE4018}"/>
    <cellStyle name="20 % - Accent2 3 5" xfId="103" xr:uid="{18C56689-697B-41CD-BD3D-FBFF92B159C7}"/>
    <cellStyle name="20 % - Accent2 4" xfId="104" xr:uid="{01A785AC-7C35-4ECC-AD02-FE7A16A89603}"/>
    <cellStyle name="20 % - Accent2 4 2" xfId="105" xr:uid="{D85B127A-CD26-4834-A1BD-D763528E8230}"/>
    <cellStyle name="20 % - Accent2 4 2 2" xfId="106" xr:uid="{9390841C-500B-4CC4-B777-CB069D583231}"/>
    <cellStyle name="20 % - Accent2 4 2 3" xfId="107" xr:uid="{D6E02470-F98D-4422-A332-306CA71D64ED}"/>
    <cellStyle name="20 % - Accent2 4 3" xfId="108" xr:uid="{AD880912-2394-4D86-9A93-FF9CB833E0A8}"/>
    <cellStyle name="20 % - Accent2 4 4" xfId="109" xr:uid="{869324C1-4330-4A0D-A80D-7C5234F15F04}"/>
    <cellStyle name="20 % - Accent2 5" xfId="110" xr:uid="{315BBEBA-E6B5-4BF9-B7B6-B0067EF66422}"/>
    <cellStyle name="20 % - Accent2 5 2" xfId="111" xr:uid="{143BAD65-8AC5-47A1-940F-5715AF30F0CB}"/>
    <cellStyle name="20 % - Accent2 5 2 2" xfId="112" xr:uid="{5788444B-FB36-4E1D-9078-8E4E655A9BE0}"/>
    <cellStyle name="20 % - Accent2 5 3" xfId="113" xr:uid="{18631452-B7E6-4409-9D11-940881F59445}"/>
    <cellStyle name="20 % - Accent2 5 4" xfId="114" xr:uid="{8229ED05-99DE-4AE7-8DF7-58DA363CF2B6}"/>
    <cellStyle name="20 % - Accent2 6" xfId="115" xr:uid="{20593536-4791-41FE-BE42-01BC2A55CD57}"/>
    <cellStyle name="20 % - Accent2 6 2" xfId="116" xr:uid="{3770D5D7-4EDE-4920-AA9B-5149ED8D210F}"/>
    <cellStyle name="20 % - Accent2 6 2 2" xfId="117" xr:uid="{54744702-5E80-43FB-8383-BFE573A46071}"/>
    <cellStyle name="20 % - Accent2 6 3" xfId="118" xr:uid="{DD8BAA0A-5023-4C67-AB13-84AFB62565FE}"/>
    <cellStyle name="20 % - Accent2 6 4" xfId="119" xr:uid="{519EE763-7A87-4DAC-9D12-1EDFEFAD8B21}"/>
    <cellStyle name="20 % - Accent2 7" xfId="120" xr:uid="{76019B67-70C2-4459-819C-01E63EB7D736}"/>
    <cellStyle name="20 % - Accent2 7 2" xfId="121" xr:uid="{9A6A8044-9509-4FE6-A1FE-2F7E546A33C5}"/>
    <cellStyle name="20 % - Accent2 7 2 2" xfId="122" xr:uid="{35A6F186-7766-4844-B7B5-577D8AFD9E84}"/>
    <cellStyle name="20 % - Accent2 7 3" xfId="123" xr:uid="{F798B313-FF5C-4316-AAAD-EF92EDF0A73C}"/>
    <cellStyle name="20 % - Accent2 7 4" xfId="124" xr:uid="{05BA177D-5652-4838-9717-C79CD9E8A5BD}"/>
    <cellStyle name="20 % - Accent2 8" xfId="125" xr:uid="{AACB97FB-6E90-4627-A378-45A2048B0DD4}"/>
    <cellStyle name="20 % - Accent2 8 2" xfId="126" xr:uid="{171830B2-6072-4AA4-A78B-C70E5938BCD4}"/>
    <cellStyle name="20 % - Accent2 8 3" xfId="127" xr:uid="{387E6287-C763-49B4-BDC6-FA3113102102}"/>
    <cellStyle name="20 % - Accent2 9" xfId="128" xr:uid="{9DCF9C0B-EC69-4BC6-A29A-1CB493D92D90}"/>
    <cellStyle name="20 % - Accent2 9 2" xfId="129" xr:uid="{38006A29-6F92-479D-8C45-1098D4693C28}"/>
    <cellStyle name="20 % - Accent3 10" xfId="130" xr:uid="{017CD460-5C2B-42D3-AE28-4941504D1324}"/>
    <cellStyle name="20 % - Accent3 11" xfId="131" xr:uid="{2950A71F-7B02-4D49-9CD2-1741E8567DDE}"/>
    <cellStyle name="20 % - Accent3 12" xfId="132" xr:uid="{6A6E73C8-6A3F-41D8-BDE6-6A1C50FEF7AB}"/>
    <cellStyle name="20 % - Accent3 13" xfId="133" xr:uid="{7AAEE9DD-40E1-4D6B-AB79-E4FF44C83725}"/>
    <cellStyle name="20 % - Accent3 14" xfId="134" xr:uid="{71688761-B914-4255-8966-F0F7226A748C}"/>
    <cellStyle name="20 % - Accent3 15" xfId="135" xr:uid="{103ECF3B-B128-40A3-8166-F3905D8AB3C8}"/>
    <cellStyle name="20 % - Accent3 16" xfId="136" xr:uid="{400DCC50-FDC5-4311-9659-D2A1D2261BC9}"/>
    <cellStyle name="20 % - Accent3 17" xfId="137" xr:uid="{F5F06E44-AFBE-4DC1-B143-6C5D142E9978}"/>
    <cellStyle name="20 % - Accent3 18" xfId="138" xr:uid="{A8FDB50A-FFFB-4256-827E-255E297BDFC6}"/>
    <cellStyle name="20 % - Accent3 19" xfId="139" xr:uid="{CA53193D-0DBB-46DC-B5BF-F64273BAF851}"/>
    <cellStyle name="20 % - Accent3 2" xfId="140" xr:uid="{390DEB2C-1E31-45A7-80D1-FC99FBD1A4EE}"/>
    <cellStyle name="20 % - Accent3 2 2" xfId="141" xr:uid="{D7EC8C83-264B-435B-B2E9-9D2AF9CE1DA5}"/>
    <cellStyle name="20 % - Accent3 2 2 2" xfId="142" xr:uid="{50AB3B8F-0B2E-49A9-B9FA-C6BFA7727579}"/>
    <cellStyle name="20 % - Accent3 2 2 2 2" xfId="143" xr:uid="{701C0C11-8BC9-481E-97B1-E78B5EE4EDAD}"/>
    <cellStyle name="20 % - Accent3 2 2 3" xfId="144" xr:uid="{C5B4EAE1-B8E7-48E7-B294-4303A3DB696B}"/>
    <cellStyle name="20 % - Accent3 2 2 4" xfId="145" xr:uid="{191EA0D3-B564-4A68-867A-9F899475F1B9}"/>
    <cellStyle name="20 % - Accent3 2 3" xfId="146" xr:uid="{5F112DB1-A5F7-4147-8600-B9038E9BBC5E}"/>
    <cellStyle name="20 % - Accent3 2 3 2" xfId="147" xr:uid="{7C8CDC81-2725-4027-BA4C-CC8F5FE4F911}"/>
    <cellStyle name="20 % - Accent3 2 4" xfId="148" xr:uid="{AB7AF98F-65AF-4DFD-A522-80CB248EC121}"/>
    <cellStyle name="20 % - Accent3 2 5" xfId="149" xr:uid="{702819A9-172F-4811-AFA9-A093CE7632F6}"/>
    <cellStyle name="20 % - Accent3 20" xfId="150" xr:uid="{BE156421-A8D0-42BC-A9E0-6F21DF9B6E7B}"/>
    <cellStyle name="20 % - Accent3 3" xfId="151" xr:uid="{3615F33F-FF6C-4217-B339-6FD5DF08E65F}"/>
    <cellStyle name="20 % - Accent3 3 2" xfId="152" xr:uid="{F3464DFB-7A83-45E9-AA63-BB9C7C848EEB}"/>
    <cellStyle name="20 % - Accent3 3 2 2" xfId="153" xr:uid="{A26814C8-EB00-42B8-A4CB-50851178D7E1}"/>
    <cellStyle name="20 % - Accent3 3 2 2 2" xfId="154" xr:uid="{1B692185-1072-429E-8E5D-A05178C2FA54}"/>
    <cellStyle name="20 % - Accent3 3 2 3" xfId="155" xr:uid="{96C106C2-F892-4C55-9FD4-29C7F3096885}"/>
    <cellStyle name="20 % - Accent3 3 2 4" xfId="156" xr:uid="{05FB38A4-D9E4-4079-8F40-397A19EC4623}"/>
    <cellStyle name="20 % - Accent3 3 3" xfId="157" xr:uid="{FD4033BA-4877-4372-855F-55CB8A2A1CDA}"/>
    <cellStyle name="20 % - Accent3 3 3 2" xfId="158" xr:uid="{E88B5043-1E99-4A19-8F2E-68705BF9CB33}"/>
    <cellStyle name="20 % - Accent3 3 4" xfId="159" xr:uid="{128A3B9E-EE02-40F8-BD67-611C649A9413}"/>
    <cellStyle name="20 % - Accent3 3 5" xfId="160" xr:uid="{B58D86FC-324B-492A-AE9C-F0BDCB8CD6F3}"/>
    <cellStyle name="20 % - Accent3 4" xfId="161" xr:uid="{22D86D52-5256-4444-BC95-AA562A46A011}"/>
    <cellStyle name="20 % - Accent3 4 2" xfId="162" xr:uid="{67D8A63B-D051-4DBF-B25E-EC22AF5456F2}"/>
    <cellStyle name="20 % - Accent3 4 2 2" xfId="163" xr:uid="{C64B79BE-09FC-4F99-B4BC-1A2ED0F9395F}"/>
    <cellStyle name="20 % - Accent3 4 2 3" xfId="164" xr:uid="{826444E6-EED0-4EC3-9297-77DFA5577FC6}"/>
    <cellStyle name="20 % - Accent3 4 3" xfId="165" xr:uid="{71897E92-4735-421F-917D-08C0A3FEE965}"/>
    <cellStyle name="20 % - Accent3 4 4" xfId="166" xr:uid="{14D69F37-0765-4772-85C5-FCD0F650C675}"/>
    <cellStyle name="20 % - Accent3 5" xfId="167" xr:uid="{5674A264-2638-4747-A846-0AC9D8E6AACB}"/>
    <cellStyle name="20 % - Accent3 5 2" xfId="168" xr:uid="{316BD562-506B-448D-9781-169A727E0F82}"/>
    <cellStyle name="20 % - Accent3 5 2 2" xfId="169" xr:uid="{8C8B5D64-0E4E-42D8-B785-AC466DCA2E8F}"/>
    <cellStyle name="20 % - Accent3 5 3" xfId="170" xr:uid="{0A714E73-D79F-48AC-B867-161C2A447828}"/>
    <cellStyle name="20 % - Accent3 5 4" xfId="171" xr:uid="{9EA3ADCC-7225-4479-A5C1-B84ED3466FDE}"/>
    <cellStyle name="20 % - Accent3 6" xfId="172" xr:uid="{F517A9F3-9512-46BC-AB15-A9DF368784E3}"/>
    <cellStyle name="20 % - Accent3 6 2" xfId="173" xr:uid="{3295501B-4B0C-404C-BC72-4D5C4810266A}"/>
    <cellStyle name="20 % - Accent3 6 2 2" xfId="174" xr:uid="{9202A378-A821-4BEA-9DF3-00B4C0606F44}"/>
    <cellStyle name="20 % - Accent3 6 3" xfId="175" xr:uid="{248171A7-BF9E-4C7D-992C-921C42A2F709}"/>
    <cellStyle name="20 % - Accent3 6 4" xfId="176" xr:uid="{C50BB4AF-7D2C-4B07-9B24-2B8388F14F67}"/>
    <cellStyle name="20 % - Accent3 7" xfId="177" xr:uid="{B5962FC9-2EA8-4722-BD11-7DA465CB2913}"/>
    <cellStyle name="20 % - Accent3 7 2" xfId="178" xr:uid="{B25978E5-8461-4155-AD3C-F707938A336E}"/>
    <cellStyle name="20 % - Accent3 7 2 2" xfId="179" xr:uid="{279B8170-EE66-45B7-A374-1C4F4073753E}"/>
    <cellStyle name="20 % - Accent3 7 3" xfId="180" xr:uid="{E1040116-CC17-4B48-ACAC-F5E0D4A61274}"/>
    <cellStyle name="20 % - Accent3 7 4" xfId="181" xr:uid="{2BA15F84-8654-461C-8A22-C953CB4606B1}"/>
    <cellStyle name="20 % - Accent3 8" xfId="182" xr:uid="{716526AD-3CCB-4D76-AE8A-C067640B4701}"/>
    <cellStyle name="20 % - Accent3 8 2" xfId="183" xr:uid="{C687A38F-DE76-4C54-B15D-BFF003CC6FE9}"/>
    <cellStyle name="20 % - Accent3 8 3" xfId="184" xr:uid="{54A34976-5D94-49DB-AE46-EDD63AA40FAC}"/>
    <cellStyle name="20 % - Accent3 9" xfId="185" xr:uid="{FCC1C7B5-4265-47D1-A884-ED19AC8A11AB}"/>
    <cellStyle name="20 % - Accent3 9 2" xfId="186" xr:uid="{8EA43372-AF05-4D34-9A27-5728BE378770}"/>
    <cellStyle name="20 % - Accent4 10" xfId="187" xr:uid="{BF6F5900-08F6-4CAB-A343-38766949DCF2}"/>
    <cellStyle name="20 % - Accent4 11" xfId="188" xr:uid="{96AD2BCB-A338-43FA-8D30-4658BA388279}"/>
    <cellStyle name="20 % - Accent4 12" xfId="189" xr:uid="{3336BDA6-F403-4D0A-886C-F703C8E67E82}"/>
    <cellStyle name="20 % - Accent4 13" xfId="190" xr:uid="{FFE769E0-FE6C-4EF7-B949-6D89E564BD30}"/>
    <cellStyle name="20 % - Accent4 14" xfId="191" xr:uid="{67E13DA3-0267-42BA-A2A2-DE6AB3C183D6}"/>
    <cellStyle name="20 % - Accent4 15" xfId="192" xr:uid="{C6A0A8EF-2BDB-41E5-9FCF-5AE4281CAB60}"/>
    <cellStyle name="20 % - Accent4 16" xfId="193" xr:uid="{047FCD58-9812-40CC-95F9-B0D0759C2BF4}"/>
    <cellStyle name="20 % - Accent4 17" xfId="194" xr:uid="{C9BE36FC-EDEF-4E59-B24C-17B91910875B}"/>
    <cellStyle name="20 % - Accent4 18" xfId="195" xr:uid="{EA2A1FF9-D6DB-4E7A-91BA-24C680B1764F}"/>
    <cellStyle name="20 % - Accent4 19" xfId="196" xr:uid="{D99A961C-BA8E-48E1-B445-2F9590EC77DE}"/>
    <cellStyle name="20 % - Accent4 2" xfId="197" xr:uid="{DB9A3C6D-78CE-4994-9762-AE10437902CE}"/>
    <cellStyle name="20 % - Accent4 2 2" xfId="198" xr:uid="{DD587613-90B6-45C3-95A9-EB360CA4B08B}"/>
    <cellStyle name="20 % - Accent4 2 2 2" xfId="199" xr:uid="{E2892AF9-8274-4D63-99C7-C79317D69BAA}"/>
    <cellStyle name="20 % - Accent4 2 2 2 2" xfId="200" xr:uid="{750DB43E-1532-4D0D-B44D-99CF2A69050A}"/>
    <cellStyle name="20 % - Accent4 2 2 3" xfId="201" xr:uid="{0F4834CF-2309-4862-8F3A-0E576ABA07BB}"/>
    <cellStyle name="20 % - Accent4 2 2 4" xfId="202" xr:uid="{65733D14-48A6-4837-971B-C380B0D05019}"/>
    <cellStyle name="20 % - Accent4 2 3" xfId="203" xr:uid="{2015AF5E-61F2-4569-A77B-4C43D7A9161C}"/>
    <cellStyle name="20 % - Accent4 2 3 2" xfId="204" xr:uid="{D0D092EF-8850-4FA2-BC55-8F3E9A1724D5}"/>
    <cellStyle name="20 % - Accent4 2 4" xfId="205" xr:uid="{A2026524-91F7-4ECB-9456-695A3AE2EFD0}"/>
    <cellStyle name="20 % - Accent4 2 5" xfId="206" xr:uid="{4B173619-C719-4585-9624-678AE4F48ADF}"/>
    <cellStyle name="20 % - Accent4 20" xfId="207" xr:uid="{4E1AB4E8-FAB0-4071-B789-381B45C31AFB}"/>
    <cellStyle name="20 % - Accent4 3" xfId="208" xr:uid="{15BF9F77-8784-43E4-93AB-7D163801A7E4}"/>
    <cellStyle name="20 % - Accent4 3 2" xfId="209" xr:uid="{3F938E51-92CB-4249-9960-02C04EF6C22C}"/>
    <cellStyle name="20 % - Accent4 3 2 2" xfId="210" xr:uid="{8B74122C-FE7E-467B-AAD9-2EDE033F3278}"/>
    <cellStyle name="20 % - Accent4 3 2 2 2" xfId="211" xr:uid="{814F7ED4-FFB8-4F98-A848-DAB3BD5A9FBE}"/>
    <cellStyle name="20 % - Accent4 3 2 3" xfId="212" xr:uid="{572A345D-0F98-44D3-A645-16E34CA33A81}"/>
    <cellStyle name="20 % - Accent4 3 2 4" xfId="213" xr:uid="{AC2175C6-78FF-41C8-BA13-286CB9610A0A}"/>
    <cellStyle name="20 % - Accent4 3 3" xfId="214" xr:uid="{8FB37282-4797-4269-B34D-E2736FE32938}"/>
    <cellStyle name="20 % - Accent4 3 3 2" xfId="215" xr:uid="{94E4E62B-C34F-4A19-8404-02B57B896F4A}"/>
    <cellStyle name="20 % - Accent4 3 4" xfId="216" xr:uid="{F5169582-5954-491C-8A9E-D7A698456703}"/>
    <cellStyle name="20 % - Accent4 3 5" xfId="217" xr:uid="{313B7E78-48F9-4DAE-A815-46FAB9B877FC}"/>
    <cellStyle name="20 % - Accent4 4" xfId="218" xr:uid="{8BDF3F4E-E3F8-4726-8E14-66F061ABFB96}"/>
    <cellStyle name="20 % - Accent4 4 2" xfId="219" xr:uid="{4D190C8E-76CE-40FE-A34F-E14F93B52350}"/>
    <cellStyle name="20 % - Accent4 4 2 2" xfId="220" xr:uid="{925B5375-5A44-41E3-814D-DC6AA2CA0606}"/>
    <cellStyle name="20 % - Accent4 4 2 3" xfId="221" xr:uid="{7A42A897-96E9-454F-8CB7-D0076F91A8BC}"/>
    <cellStyle name="20 % - Accent4 4 3" xfId="222" xr:uid="{3323DE5F-DA07-4E9B-8553-1183284FBAAE}"/>
    <cellStyle name="20 % - Accent4 4 4" xfId="223" xr:uid="{E73FD006-6F8E-45DD-B315-F1FC82DD3FB1}"/>
    <cellStyle name="20 % - Accent4 5" xfId="224" xr:uid="{E5FA12F3-DB12-4A1B-B892-B813D583B37E}"/>
    <cellStyle name="20 % - Accent4 5 2" xfId="225" xr:uid="{759DA491-243C-4970-91AA-D837E4F760DF}"/>
    <cellStyle name="20 % - Accent4 5 2 2" xfId="226" xr:uid="{154980B2-5008-40ED-9C3D-E9363C1E04C0}"/>
    <cellStyle name="20 % - Accent4 5 3" xfId="227" xr:uid="{50FB93DD-592F-4A83-985B-410B63241A9C}"/>
    <cellStyle name="20 % - Accent4 5 4" xfId="228" xr:uid="{EA05864C-D751-4A59-802B-A144FBAC750E}"/>
    <cellStyle name="20 % - Accent4 6" xfId="229" xr:uid="{D9F54E2B-04F3-4831-A1E4-8459F9B95410}"/>
    <cellStyle name="20 % - Accent4 6 2" xfId="230" xr:uid="{86D07730-2F84-40FC-9CB5-4E6F6E2B08E2}"/>
    <cellStyle name="20 % - Accent4 6 2 2" xfId="231" xr:uid="{655D009D-98BC-49A4-99FB-9E2C3B0A1042}"/>
    <cellStyle name="20 % - Accent4 6 3" xfId="232" xr:uid="{F91DF9B1-ECF9-492B-AA2A-A86A6C8082CC}"/>
    <cellStyle name="20 % - Accent4 6 4" xfId="233" xr:uid="{9BB9DD3D-03D1-4D70-92C9-42D807453CE1}"/>
    <cellStyle name="20 % - Accent4 7" xfId="234" xr:uid="{AACF3D4E-0802-4B82-8D58-C1F0C8FE671A}"/>
    <cellStyle name="20 % - Accent4 7 2" xfId="235" xr:uid="{D7171609-8D5A-4BF2-8E86-95083168CB7B}"/>
    <cellStyle name="20 % - Accent4 7 2 2" xfId="236" xr:uid="{C7B7125D-F1D4-4B8B-B7EF-4ABBB6ED0220}"/>
    <cellStyle name="20 % - Accent4 7 3" xfId="237" xr:uid="{4392E24B-503B-4072-B944-F27D924701AE}"/>
    <cellStyle name="20 % - Accent4 7 4" xfId="238" xr:uid="{DC982EB0-B1B3-4501-A31E-6DDD73B8360C}"/>
    <cellStyle name="20 % - Accent4 8" xfId="239" xr:uid="{6ECBF79A-B44D-4CCB-94F8-D396A24C7898}"/>
    <cellStyle name="20 % - Accent4 8 2" xfId="240" xr:uid="{49C2FCDA-3838-4ACE-A498-7B0FF6BD48CE}"/>
    <cellStyle name="20 % - Accent4 8 3" xfId="241" xr:uid="{E94E3C79-44F5-4549-B58C-4E7D9E49ABA8}"/>
    <cellStyle name="20 % - Accent4 9" xfId="242" xr:uid="{9404C43A-2909-49CB-AFE9-0056B46E5682}"/>
    <cellStyle name="20 % - Accent4 9 2" xfId="243" xr:uid="{F64423FC-8959-45BD-ADCD-728A542F7AFF}"/>
    <cellStyle name="20 % - Accent5 10" xfId="244" xr:uid="{613A715B-A52F-4DFD-AD2F-67E202581F61}"/>
    <cellStyle name="20 % - Accent5 11" xfId="245" xr:uid="{6F92D8F4-922A-4524-95EA-98F35CB180D4}"/>
    <cellStyle name="20 % - Accent5 12" xfId="246" xr:uid="{CD01E7FD-76E6-4DD0-A0EF-F30CF9B90EF4}"/>
    <cellStyle name="20 % - Accent5 13" xfId="247" xr:uid="{12FF2A88-4FD1-4873-B6B2-B541ADFBE9E2}"/>
    <cellStyle name="20 % - Accent5 14" xfId="248" xr:uid="{6BDBCBCD-4F7E-4108-818D-19A25D17DBB8}"/>
    <cellStyle name="20 % - Accent5 15" xfId="249" xr:uid="{74B4797C-5F76-4CAE-9883-E953C1C7D409}"/>
    <cellStyle name="20 % - Accent5 16" xfId="250" xr:uid="{634A55B3-1AC8-4358-9688-07FEC4E286A8}"/>
    <cellStyle name="20 % - Accent5 17" xfId="251" xr:uid="{1E35C344-FDD0-40FF-9819-1B3AA23C8FBB}"/>
    <cellStyle name="20 % - Accent5 18" xfId="252" xr:uid="{51506830-B0D4-4FC8-A865-0A928D5D96A3}"/>
    <cellStyle name="20 % - Accent5 19" xfId="253" xr:uid="{E2705EF6-9D98-46B7-BB9B-4C3F5D4E5F5C}"/>
    <cellStyle name="20 % - Accent5 2" xfId="254" xr:uid="{D310BFA9-6C49-46A5-9823-C59EFD286726}"/>
    <cellStyle name="20 % - Accent5 2 2" xfId="255" xr:uid="{255ED5D1-5082-4DB5-858B-467BD64821F4}"/>
    <cellStyle name="20 % - Accent5 2 2 2" xfId="256" xr:uid="{B3DECD12-F019-4C77-9DD9-4B374F4AD539}"/>
    <cellStyle name="20 % - Accent5 2 2 2 2" xfId="257" xr:uid="{16372516-35C8-4EE5-A51D-EBD50283840B}"/>
    <cellStyle name="20 % - Accent5 2 2 3" xfId="258" xr:uid="{A8EFDD67-B214-4A0D-8FEB-730B50A1ED0E}"/>
    <cellStyle name="20 % - Accent5 2 2 4" xfId="259" xr:uid="{66ECC203-9017-4DB7-834D-CE9972C7CAC7}"/>
    <cellStyle name="20 % - Accent5 2 3" xfId="260" xr:uid="{0F35D98F-0A07-4907-9A9A-B4086F48FD92}"/>
    <cellStyle name="20 % - Accent5 2 3 2" xfId="261" xr:uid="{937D38AF-300D-479D-B716-E3A06AB41B48}"/>
    <cellStyle name="20 % - Accent5 2 4" xfId="262" xr:uid="{F454B5AD-9E62-4D6C-83C3-03CC34C5D13C}"/>
    <cellStyle name="20 % - Accent5 2 5" xfId="263" xr:uid="{94631D00-206F-4025-B871-2B1F55AF55B7}"/>
    <cellStyle name="20 % - Accent5 20" xfId="264" xr:uid="{D1314721-3450-416A-8D29-1E8A25D0D381}"/>
    <cellStyle name="20 % - Accent5 3" xfId="265" xr:uid="{7DC2DD09-218B-4FB6-8A45-CBCD1D44B7C4}"/>
    <cellStyle name="20 % - Accent5 3 2" xfId="266" xr:uid="{26959730-BD56-4E70-9F8F-11DFB0BC51E3}"/>
    <cellStyle name="20 % - Accent5 3 2 2" xfId="267" xr:uid="{9917773C-484B-46D6-AED7-9294E3E0BF70}"/>
    <cellStyle name="20 % - Accent5 3 2 2 2" xfId="268" xr:uid="{2EC190B3-C197-42EC-888C-D903FD5DFD44}"/>
    <cellStyle name="20 % - Accent5 3 2 3" xfId="269" xr:uid="{0CF78166-888D-4D9A-AEEE-DC7D4E3FB86E}"/>
    <cellStyle name="20 % - Accent5 3 2 4" xfId="270" xr:uid="{634B055A-4830-4A3A-AFEC-9E9A0638BA5C}"/>
    <cellStyle name="20 % - Accent5 3 3" xfId="271" xr:uid="{DA284ADE-B2BA-4867-9587-601084FCE25B}"/>
    <cellStyle name="20 % - Accent5 3 3 2" xfId="272" xr:uid="{203F1E48-33F4-47C9-99FD-D22F180DE165}"/>
    <cellStyle name="20 % - Accent5 3 4" xfId="273" xr:uid="{E72A1F1C-CC79-4C0E-AB7C-0DB07B394208}"/>
    <cellStyle name="20 % - Accent5 3 5" xfId="274" xr:uid="{A8A2B934-A0F9-4806-91DD-37F28DEF2405}"/>
    <cellStyle name="20 % - Accent5 4" xfId="275" xr:uid="{40DA3BDF-C8AC-4F40-B6E3-D6B36406B905}"/>
    <cellStyle name="20 % - Accent5 4 2" xfId="276" xr:uid="{2BB6CA06-1A2C-46BF-B1CC-FF8512E77C34}"/>
    <cellStyle name="20 % - Accent5 4 2 2" xfId="277" xr:uid="{7152D24A-F821-4A9E-BA8B-386852D044A9}"/>
    <cellStyle name="20 % - Accent5 4 2 3" xfId="278" xr:uid="{600F237D-9175-4E07-969B-7E77697B4EA0}"/>
    <cellStyle name="20 % - Accent5 4 3" xfId="279" xr:uid="{EFAFE0F8-3AA3-492B-A3E1-632513F19563}"/>
    <cellStyle name="20 % - Accent5 4 4" xfId="280" xr:uid="{D8686EFC-1C4D-45F9-85C2-CB7C04D9CB1F}"/>
    <cellStyle name="20 % - Accent5 5" xfId="281" xr:uid="{3CA52F4B-E1DC-486A-B75E-964E31F1C482}"/>
    <cellStyle name="20 % - Accent5 5 2" xfId="282" xr:uid="{ABF040F3-5230-4E2F-915B-AEE85163DF1E}"/>
    <cellStyle name="20 % - Accent5 5 2 2" xfId="283" xr:uid="{0E71AA2D-8C07-469A-A7B4-C7CF037488C2}"/>
    <cellStyle name="20 % - Accent5 5 3" xfId="284" xr:uid="{0B1F7043-B8BD-4252-9F81-69EF8907031F}"/>
    <cellStyle name="20 % - Accent5 5 4" xfId="285" xr:uid="{B831A8E9-8CE0-49E9-B071-BB1917CF577E}"/>
    <cellStyle name="20 % - Accent5 6" xfId="286" xr:uid="{F13FD040-52BE-46FF-B02E-D13D950FE0C7}"/>
    <cellStyle name="20 % - Accent5 6 2" xfId="287" xr:uid="{B66923C0-05F2-4505-8A4D-9909667ECBF3}"/>
    <cellStyle name="20 % - Accent5 6 2 2" xfId="288" xr:uid="{C01B8045-654C-4211-985F-2FDF067131BC}"/>
    <cellStyle name="20 % - Accent5 6 3" xfId="289" xr:uid="{021A1E5F-414C-4E16-A7CD-FED51F2045D8}"/>
    <cellStyle name="20 % - Accent5 6 4" xfId="290" xr:uid="{0F2410A2-55C2-4C2A-B370-D9C2DA9CD94C}"/>
    <cellStyle name="20 % - Accent5 7" xfId="291" xr:uid="{B6DE5C7B-8446-4D23-B52F-B7D6CBF49F4B}"/>
    <cellStyle name="20 % - Accent5 7 2" xfId="292" xr:uid="{EA4A56A9-B4F8-400B-983C-E13174CDC0C5}"/>
    <cellStyle name="20 % - Accent5 7 2 2" xfId="293" xr:uid="{BA27FFED-7D60-49B5-BE4F-67CB494188C1}"/>
    <cellStyle name="20 % - Accent5 7 3" xfId="294" xr:uid="{1E6B877A-7B3B-467F-8A9D-F1D5FC239B65}"/>
    <cellStyle name="20 % - Accent5 7 4" xfId="295" xr:uid="{4B8FF1EF-B5F5-41A3-A00B-6FF7BDC8BD04}"/>
    <cellStyle name="20 % - Accent5 8" xfId="296" xr:uid="{E39FE696-D9AF-4BAB-8AA4-37AD2DBC1AA1}"/>
    <cellStyle name="20 % - Accent5 8 2" xfId="297" xr:uid="{D99B20F9-6AA9-4514-8222-F7D6F138DD20}"/>
    <cellStyle name="20 % - Accent5 8 3" xfId="298" xr:uid="{A2B463B4-5905-4CB4-8531-C99E2A407122}"/>
    <cellStyle name="20 % - Accent5 9" xfId="299" xr:uid="{735C39F9-C590-4E6F-9EA2-1D65F32A5CF9}"/>
    <cellStyle name="20 % - Accent5 9 2" xfId="300" xr:uid="{EC8B68F4-B304-4493-B998-1F9439C69736}"/>
    <cellStyle name="20 % - Accent6 10" xfId="301" xr:uid="{B0770D79-B312-4208-B6BA-609C58923AA9}"/>
    <cellStyle name="20 % - Accent6 11" xfId="302" xr:uid="{8C420F63-9243-4CD5-BF67-DC8DA1AEAEB2}"/>
    <cellStyle name="20 % - Accent6 12" xfId="303" xr:uid="{F81789B1-F15B-4661-8C19-41745574A08C}"/>
    <cellStyle name="20 % - Accent6 13" xfId="304" xr:uid="{B51DF4FA-E1BD-42E3-8A61-E73D5E0A7EC5}"/>
    <cellStyle name="20 % - Accent6 14" xfId="305" xr:uid="{E8CB4863-2995-4239-88F1-341CDE94C6A2}"/>
    <cellStyle name="20 % - Accent6 15" xfId="306" xr:uid="{E9B9258D-DB65-42B3-9339-474794629B41}"/>
    <cellStyle name="20 % - Accent6 16" xfId="307" xr:uid="{E911D6DB-DE9D-49A2-BA41-1136C1E0E2FA}"/>
    <cellStyle name="20 % - Accent6 17" xfId="308" xr:uid="{B5A6AC37-6252-485E-BB10-565B7DEA730B}"/>
    <cellStyle name="20 % - Accent6 18" xfId="309" xr:uid="{BB69A1EA-0C23-49FD-A49F-D02AA81F765D}"/>
    <cellStyle name="20 % - Accent6 19" xfId="310" xr:uid="{B8A399A5-216D-44E2-975D-7558549B1A74}"/>
    <cellStyle name="20 % - Accent6 2" xfId="311" xr:uid="{1C4B2223-4AAC-480D-A80D-CC4B381CF293}"/>
    <cellStyle name="20 % - Accent6 2 2" xfId="312" xr:uid="{327A7C5B-8594-46EB-B658-C9D0ABC19172}"/>
    <cellStyle name="20 % - Accent6 2 2 2" xfId="313" xr:uid="{4FD92551-5687-4B03-A297-7475EEAE924E}"/>
    <cellStyle name="20 % - Accent6 2 2 2 2" xfId="314" xr:uid="{0093BD89-BD6A-4EE0-AFD5-A061113D5181}"/>
    <cellStyle name="20 % - Accent6 2 2 3" xfId="315" xr:uid="{3D6336D4-F880-4307-B1EC-B3CC3340E1BA}"/>
    <cellStyle name="20 % - Accent6 2 2 4" xfId="316" xr:uid="{8698FAA8-B378-44CC-B12D-9D76CD761326}"/>
    <cellStyle name="20 % - Accent6 2 3" xfId="317" xr:uid="{EDB8BF57-613A-4F8C-A764-2E91A495F45A}"/>
    <cellStyle name="20 % - Accent6 2 3 2" xfId="318" xr:uid="{1D9A96AC-D9A9-42DF-9417-F074BB6D470B}"/>
    <cellStyle name="20 % - Accent6 2 4" xfId="319" xr:uid="{BACAEE1B-CA98-4028-B248-9B161FF759CB}"/>
    <cellStyle name="20 % - Accent6 2 5" xfId="320" xr:uid="{080FDD4A-8816-43D7-B316-FEB7F2B5F1D0}"/>
    <cellStyle name="20 % - Accent6 20" xfId="321" xr:uid="{CAE4D1A0-4044-4248-A612-391E3A9540E7}"/>
    <cellStyle name="20 % - Accent6 3" xfId="322" xr:uid="{8AFE0F24-86DD-478F-ABE6-0E8C2ABA73EB}"/>
    <cellStyle name="20 % - Accent6 3 2" xfId="323" xr:uid="{749B2CF9-73A5-4D1B-815F-26947D34006E}"/>
    <cellStyle name="20 % - Accent6 3 2 2" xfId="324" xr:uid="{DF34315B-9579-4CA0-BFFD-58225901B91C}"/>
    <cellStyle name="20 % - Accent6 3 2 2 2" xfId="325" xr:uid="{F3F85582-2661-4E9E-9EAC-BDD302E30DA6}"/>
    <cellStyle name="20 % - Accent6 3 2 3" xfId="326" xr:uid="{C4F3D4D4-EC1F-4565-B236-385EE948613A}"/>
    <cellStyle name="20 % - Accent6 3 2 4" xfId="327" xr:uid="{A0917A76-60C3-4C16-8D68-B9D1AB1FDB5E}"/>
    <cellStyle name="20 % - Accent6 3 3" xfId="328" xr:uid="{6E36F1D1-55DD-4511-86C3-7702D47614A2}"/>
    <cellStyle name="20 % - Accent6 3 3 2" xfId="329" xr:uid="{A6EA6A55-D7A0-4D4A-8601-3EE27A30AE70}"/>
    <cellStyle name="20 % - Accent6 3 4" xfId="330" xr:uid="{7352C106-741B-4526-A521-51351F1DD675}"/>
    <cellStyle name="20 % - Accent6 3 5" xfId="331" xr:uid="{D5153D61-2093-46D2-AB3B-2EC0863BCF83}"/>
    <cellStyle name="20 % - Accent6 4" xfId="332" xr:uid="{CDC4F0B6-CB49-4FED-9686-582B1639C47C}"/>
    <cellStyle name="20 % - Accent6 4 2" xfId="333" xr:uid="{B597484A-F056-4DCA-9BCB-0F227D5FC4EE}"/>
    <cellStyle name="20 % - Accent6 4 2 2" xfId="334" xr:uid="{A6490C42-35E2-4182-8D54-919036E92FE7}"/>
    <cellStyle name="20 % - Accent6 4 2 3" xfId="335" xr:uid="{63D518F4-A09E-4C04-864F-48C8F05AEB4F}"/>
    <cellStyle name="20 % - Accent6 4 3" xfId="336" xr:uid="{49ECE5C2-F233-4E2D-A85A-B6E23E5B4AF9}"/>
    <cellStyle name="20 % - Accent6 4 4" xfId="337" xr:uid="{0A8E7C42-AE37-45A6-A912-62888ED9DB17}"/>
    <cellStyle name="20 % - Accent6 5" xfId="338" xr:uid="{41AA5B03-FFAD-4152-A6CE-CDCE177FD558}"/>
    <cellStyle name="20 % - Accent6 5 2" xfId="339" xr:uid="{1D99C7B4-1758-4E93-ABC2-78123D2E53D4}"/>
    <cellStyle name="20 % - Accent6 5 2 2" xfId="340" xr:uid="{264853B1-2B7B-41F2-9B05-1F0F6703B40F}"/>
    <cellStyle name="20 % - Accent6 5 3" xfId="341" xr:uid="{EDC80695-1B83-47B8-A3D5-8A96446BB50A}"/>
    <cellStyle name="20 % - Accent6 5 4" xfId="342" xr:uid="{3A7BF83E-F306-47EA-97DC-D01625330EB6}"/>
    <cellStyle name="20 % - Accent6 6" xfId="343" xr:uid="{1444EC51-7BC6-4FDD-AE75-D5364972821E}"/>
    <cellStyle name="20 % - Accent6 6 2" xfId="344" xr:uid="{CB5A240E-6EB9-4E84-BB82-C95ED0BA9EF6}"/>
    <cellStyle name="20 % - Accent6 6 2 2" xfId="345" xr:uid="{3425C86D-5BE5-4DBF-B423-D1E6950ED9D0}"/>
    <cellStyle name="20 % - Accent6 6 3" xfId="346" xr:uid="{2DF01481-024F-4B8F-9DD3-E70BBCA80BAC}"/>
    <cellStyle name="20 % - Accent6 6 4" xfId="347" xr:uid="{0DA23A73-3C33-4F1F-BC8F-8B11324511BE}"/>
    <cellStyle name="20 % - Accent6 7" xfId="348" xr:uid="{301D8818-5A88-4D3D-A828-38F36B2D1520}"/>
    <cellStyle name="20 % - Accent6 7 2" xfId="349" xr:uid="{70BC8066-4950-47C9-8CDE-C62464420E0D}"/>
    <cellStyle name="20 % - Accent6 7 2 2" xfId="350" xr:uid="{01CF023E-A003-41F9-9061-ADED45737B67}"/>
    <cellStyle name="20 % - Accent6 7 3" xfId="351" xr:uid="{489195FC-48B0-430B-A511-02CCF53D019E}"/>
    <cellStyle name="20 % - Accent6 7 4" xfId="352" xr:uid="{71557DBF-2EBA-4DD3-8610-807557362230}"/>
    <cellStyle name="20 % - Accent6 8" xfId="353" xr:uid="{78FEA6A1-7DC5-4E83-A2F1-E8D84DC09BF6}"/>
    <cellStyle name="20 % - Accent6 8 2" xfId="354" xr:uid="{FEB2B4DC-C850-43FB-BCAB-EECA4685BC25}"/>
    <cellStyle name="20 % - Accent6 8 3" xfId="355" xr:uid="{29166822-8537-4A2B-A547-AF1722982D47}"/>
    <cellStyle name="20 % - Accent6 9" xfId="356" xr:uid="{BA7F706E-1B1C-407C-972B-B3B2DBDB5D08}"/>
    <cellStyle name="20 % - Accent6 9 2" xfId="357" xr:uid="{00E1B3C1-D9F4-4A26-876A-09EB44E987F1}"/>
    <cellStyle name="20% - Accent1" xfId="358" builtinId="30" customBuiltin="1"/>
    <cellStyle name="20% - Accent2" xfId="359" builtinId="34" customBuiltin="1"/>
    <cellStyle name="20% - Accent3" xfId="360" builtinId="38" customBuiltin="1"/>
    <cellStyle name="20% - Accent4" xfId="361" builtinId="42" customBuiltin="1"/>
    <cellStyle name="20% - Accent5" xfId="362" builtinId="46" customBuiltin="1"/>
    <cellStyle name="20% - Accent6" xfId="363" builtinId="50" customBuiltin="1"/>
    <cellStyle name="20% - Colore 1 2" xfId="364" xr:uid="{1CF5B8BB-C902-4BD5-8CD6-DF11033D28EF}"/>
    <cellStyle name="20% - Colore 1 2 2" xfId="365" xr:uid="{84DDFC13-A07F-4946-9985-217EE774CCE0}"/>
    <cellStyle name="20% - Colore 2 2" xfId="366" xr:uid="{9760707C-AF8E-4DBD-A062-D8B135887B31}"/>
    <cellStyle name="20% - Colore 2 2 2" xfId="367" xr:uid="{0951FCFC-E2B1-495D-B1E7-1091556BDE42}"/>
    <cellStyle name="20% - Colore 3 2" xfId="368" xr:uid="{90237783-DE64-4EA5-BFAF-5FC3E37F99E8}"/>
    <cellStyle name="20% - Colore 3 2 2" xfId="369" xr:uid="{F3141978-AE50-4B6F-BB09-B4CA596A8201}"/>
    <cellStyle name="20% - Colore 4 2" xfId="370" xr:uid="{C685297B-FE2F-42CA-927D-52BEE4D557FD}"/>
    <cellStyle name="20% - Colore 4 2 2" xfId="371" xr:uid="{1EEBF25D-365D-4296-A075-40BA4159136B}"/>
    <cellStyle name="20% - Colore 5 2" xfId="372" xr:uid="{3B224F05-AB8B-4201-93F5-8B00A47DD90D}"/>
    <cellStyle name="20% - Colore 5 2 2" xfId="373" xr:uid="{7D9E30B9-EE74-471B-A693-92DEE4C81145}"/>
    <cellStyle name="20% - Colore 6 2" xfId="374" xr:uid="{0BB3281D-0CF2-46EF-B744-F6F806633E28}"/>
    <cellStyle name="20% - Colore 6 2 2" xfId="375" xr:uid="{CFD0510D-3E7A-4CD9-8429-A4A42FCCEE72}"/>
    <cellStyle name="40 % - Accent1 10" xfId="376" xr:uid="{B094015D-A18C-4294-BDA4-1D7EDC653F49}"/>
    <cellStyle name="40 % - Accent1 11" xfId="377" xr:uid="{89143C2E-076C-4621-A6ED-69D948A9957D}"/>
    <cellStyle name="40 % - Accent1 12" xfId="378" xr:uid="{8D356C9C-59B8-47E2-B45A-B598ECFF3911}"/>
    <cellStyle name="40 % - Accent1 13" xfId="379" xr:uid="{C035104A-2839-4459-A753-3D565B536D5E}"/>
    <cellStyle name="40 % - Accent1 14" xfId="380" xr:uid="{07D28C0A-F61D-4604-8013-227B5077E8A6}"/>
    <cellStyle name="40 % - Accent1 15" xfId="381" xr:uid="{33BB28A3-CBB1-4B5C-8AAE-EB9662C5128E}"/>
    <cellStyle name="40 % - Accent1 16" xfId="382" xr:uid="{C641127B-E41E-431E-9426-BB820B6474D7}"/>
    <cellStyle name="40 % - Accent1 17" xfId="383" xr:uid="{7F5D12CF-C80C-4658-B40F-FB09173639C9}"/>
    <cellStyle name="40 % - Accent1 18" xfId="384" xr:uid="{7928A37E-1649-497E-A0DA-DFADAE26C587}"/>
    <cellStyle name="40 % - Accent1 19" xfId="385" xr:uid="{84B076E5-D276-46EB-9A83-AD772AF7B2CB}"/>
    <cellStyle name="40 % - Accent1 2" xfId="386" xr:uid="{BF3E33B7-0759-4439-8173-E6D92F9210FA}"/>
    <cellStyle name="40 % - Accent1 2 2" xfId="387" xr:uid="{13595E5A-E762-4C13-8E14-1D012CD14FB3}"/>
    <cellStyle name="40 % - Accent1 2 2 2" xfId="388" xr:uid="{E6509883-E07E-4F25-A0DB-C854ADFEF9AD}"/>
    <cellStyle name="40 % - Accent1 2 2 2 2" xfId="389" xr:uid="{4C652B03-5602-4E13-BE88-35AD8344612E}"/>
    <cellStyle name="40 % - Accent1 2 2 3" xfId="390" xr:uid="{8833663C-A859-4237-9C3B-A52A38C6B2F2}"/>
    <cellStyle name="40 % - Accent1 2 2 4" xfId="391" xr:uid="{2AAB622A-8C3F-4E7D-A3C2-55A2943E7502}"/>
    <cellStyle name="40 % - Accent1 2 3" xfId="392" xr:uid="{26C7D4C8-DD5D-4B50-8F31-C7E712C1A7F7}"/>
    <cellStyle name="40 % - Accent1 2 3 2" xfId="393" xr:uid="{5364C285-7659-4FC2-B2E2-C4AF34F0EC1E}"/>
    <cellStyle name="40 % - Accent1 2 4" xfId="394" xr:uid="{E959F314-8A1A-4E05-AF06-4B152F732DDD}"/>
    <cellStyle name="40 % - Accent1 2 5" xfId="395" xr:uid="{805C976D-FCBA-4E11-9799-0CC1D287E1AF}"/>
    <cellStyle name="40 % - Accent1 20" xfId="396" xr:uid="{F1BBC46A-2E2C-4C8D-9788-D508DE263C1B}"/>
    <cellStyle name="40 % - Accent1 3" xfId="397" xr:uid="{92E7C2B6-9AF1-416D-BA98-9C5D47A2344C}"/>
    <cellStyle name="40 % - Accent1 3 2" xfId="398" xr:uid="{4943F2D4-FBD2-4A8D-8E65-DB0E4DA1DE22}"/>
    <cellStyle name="40 % - Accent1 3 2 2" xfId="399" xr:uid="{690AF5E7-A45B-4D97-B67F-2FDC4D28601E}"/>
    <cellStyle name="40 % - Accent1 3 2 2 2" xfId="400" xr:uid="{DAE41F94-AA44-4998-A621-9AAA7BCB6FCD}"/>
    <cellStyle name="40 % - Accent1 3 2 3" xfId="401" xr:uid="{F18B88B4-444E-4322-A556-EAD04DA25B9E}"/>
    <cellStyle name="40 % - Accent1 3 2 4" xfId="402" xr:uid="{F650A8BF-D2A9-4C77-99DD-D79D94246E3E}"/>
    <cellStyle name="40 % - Accent1 3 3" xfId="403" xr:uid="{568E7440-68C7-41BD-B7F4-3C43C341A11E}"/>
    <cellStyle name="40 % - Accent1 3 3 2" xfId="404" xr:uid="{7897F85E-3B09-4BF9-880B-A296B77803EA}"/>
    <cellStyle name="40 % - Accent1 3 4" xfId="405" xr:uid="{31B1C2C9-D21D-4F5F-B5CF-F85134EE19D8}"/>
    <cellStyle name="40 % - Accent1 3 5" xfId="406" xr:uid="{6BE78B03-6CC5-4BFC-AEC4-338B42DA2B7A}"/>
    <cellStyle name="40 % - Accent1 4" xfId="407" xr:uid="{6AAE7F01-F3D2-49B0-A9C4-DCBB9CE17094}"/>
    <cellStyle name="40 % - Accent1 4 2" xfId="408" xr:uid="{D5121DAA-488B-4DF0-967E-BD0D16CCB21F}"/>
    <cellStyle name="40 % - Accent1 4 2 2" xfId="409" xr:uid="{487EBECE-116E-4910-90F0-F31BE46920B5}"/>
    <cellStyle name="40 % - Accent1 4 2 3" xfId="410" xr:uid="{1E7370C5-8D42-4509-96D7-B0DB0D1CB0EC}"/>
    <cellStyle name="40 % - Accent1 4 3" xfId="411" xr:uid="{FD66264E-1AA4-4C3D-AEF6-7FA9392AC50D}"/>
    <cellStyle name="40 % - Accent1 4 4" xfId="412" xr:uid="{AD619334-061A-4E21-8410-7F2C3611140F}"/>
    <cellStyle name="40 % - Accent1 5" xfId="413" xr:uid="{EBDE359E-AABD-4EFC-98C4-E0D74E7424AC}"/>
    <cellStyle name="40 % - Accent1 5 2" xfId="414" xr:uid="{E5A402A3-AC67-44F8-AB74-E18F4BEDFF90}"/>
    <cellStyle name="40 % - Accent1 5 2 2" xfId="415" xr:uid="{06C416E4-33C4-43CC-8C62-CCC05BE07F4B}"/>
    <cellStyle name="40 % - Accent1 5 3" xfId="416" xr:uid="{C5C2FDB7-404A-4718-9552-3CBEB19AD465}"/>
    <cellStyle name="40 % - Accent1 5 4" xfId="417" xr:uid="{ABAF08AC-783B-4602-9C8F-12E4E9D4DAD9}"/>
    <cellStyle name="40 % - Accent1 6" xfId="418" xr:uid="{519A53F4-1F1D-44FA-BAB4-1E3E578F4726}"/>
    <cellStyle name="40 % - Accent1 6 2" xfId="419" xr:uid="{B2E8055A-F7A4-43D6-9DDF-B449F8BF39D9}"/>
    <cellStyle name="40 % - Accent1 6 2 2" xfId="420" xr:uid="{9719423B-5C61-40BE-B16C-431E04D01B21}"/>
    <cellStyle name="40 % - Accent1 6 3" xfId="421" xr:uid="{BF6926F6-DA58-42B4-8F3A-E912E834ECE3}"/>
    <cellStyle name="40 % - Accent1 6 4" xfId="422" xr:uid="{0F5333AE-D982-46D1-980A-CFD971AB1B6E}"/>
    <cellStyle name="40 % - Accent1 7" xfId="423" xr:uid="{1C5CA4D2-4108-4B28-8747-2FB8F8D45189}"/>
    <cellStyle name="40 % - Accent1 7 2" xfId="424" xr:uid="{373B560C-0EF4-4014-9FE7-0D9951A1B638}"/>
    <cellStyle name="40 % - Accent1 7 2 2" xfId="425" xr:uid="{1B910080-969A-4AED-82B8-EA4525C8D518}"/>
    <cellStyle name="40 % - Accent1 7 3" xfId="426" xr:uid="{990CCE4D-157D-454A-8DDC-DE78BA0C74BD}"/>
    <cellStyle name="40 % - Accent1 7 4" xfId="427" xr:uid="{41012641-6D54-4B80-A44A-25F8AAE55D91}"/>
    <cellStyle name="40 % - Accent1 8" xfId="428" xr:uid="{F0980759-DD8D-4676-840C-D77B37D17ADA}"/>
    <cellStyle name="40 % - Accent1 8 2" xfId="429" xr:uid="{A2E6BBF5-F9B6-43AC-ABA6-67D27372EA72}"/>
    <cellStyle name="40 % - Accent1 8 3" xfId="430" xr:uid="{D4DD1977-53BE-42D7-ACE1-CB5733C30BDA}"/>
    <cellStyle name="40 % - Accent1 9" xfId="431" xr:uid="{5A7C619D-0937-4729-A5AF-9FDDCAED3F80}"/>
    <cellStyle name="40 % - Accent1 9 2" xfId="432" xr:uid="{567A9DA3-590A-41C6-8C59-48DBDC6820E4}"/>
    <cellStyle name="40 % - Accent2 10" xfId="433" xr:uid="{FC8D599A-AC19-49E9-8E88-A38E0CEC7084}"/>
    <cellStyle name="40 % - Accent2 11" xfId="434" xr:uid="{AB82ED81-B761-4E29-8FA8-60ED13F66049}"/>
    <cellStyle name="40 % - Accent2 12" xfId="435" xr:uid="{048434C1-997B-475B-AF31-E552E18A77CB}"/>
    <cellStyle name="40 % - Accent2 13" xfId="436" xr:uid="{BC99E4C3-2F0B-4DD5-8FCD-40669656498B}"/>
    <cellStyle name="40 % - Accent2 14" xfId="437" xr:uid="{DF0BACB8-9002-40E6-B85B-BD69643DB2B8}"/>
    <cellStyle name="40 % - Accent2 15" xfId="438" xr:uid="{CA64162F-31EE-4974-95C7-8D18176BAB4F}"/>
    <cellStyle name="40 % - Accent2 16" xfId="439" xr:uid="{1D795174-FC1D-4B0A-8539-A1F3C7601179}"/>
    <cellStyle name="40 % - Accent2 17" xfId="440" xr:uid="{038BB497-E774-461A-B510-5ABA32633669}"/>
    <cellStyle name="40 % - Accent2 18" xfId="441" xr:uid="{E61B418B-1E31-4CF2-A7FD-6E7ECCF6764C}"/>
    <cellStyle name="40 % - Accent2 19" xfId="442" xr:uid="{C40B8ECF-78F2-44D7-87E8-81825F4C00F8}"/>
    <cellStyle name="40 % - Accent2 2" xfId="443" xr:uid="{73EE76EE-7871-48B8-B212-F5C7A87392C1}"/>
    <cellStyle name="40 % - Accent2 2 2" xfId="444" xr:uid="{B6769FB7-98E2-4845-850B-785C69E111CF}"/>
    <cellStyle name="40 % - Accent2 2 2 2" xfId="445" xr:uid="{1CF7552B-2B49-4F7E-BDF7-7EB081AA3980}"/>
    <cellStyle name="40 % - Accent2 2 2 2 2" xfId="446" xr:uid="{861A181B-1431-4A7C-8882-47A089A06106}"/>
    <cellStyle name="40 % - Accent2 2 2 3" xfId="447" xr:uid="{22121E68-CC3A-4275-8C3F-F6E41D75C5B7}"/>
    <cellStyle name="40 % - Accent2 2 2 4" xfId="448" xr:uid="{B609EFBE-C444-4446-88E7-A841426FC1C7}"/>
    <cellStyle name="40 % - Accent2 2 3" xfId="449" xr:uid="{340334F0-B2AD-482F-8463-F86D37C1759A}"/>
    <cellStyle name="40 % - Accent2 2 3 2" xfId="450" xr:uid="{2FD599E1-2502-43E1-9348-9DDADC09D4D5}"/>
    <cellStyle name="40 % - Accent2 2 4" xfId="451" xr:uid="{99624762-ED27-439C-ABD4-F0E02A6A7AF1}"/>
    <cellStyle name="40 % - Accent2 2 5" xfId="452" xr:uid="{8B6F777F-32C4-4CA4-8825-F74D2CF5EA39}"/>
    <cellStyle name="40 % - Accent2 20" xfId="453" xr:uid="{E2E2C20A-5E7F-4F7C-B79F-F6962DF2ABFA}"/>
    <cellStyle name="40 % - Accent2 3" xfId="454" xr:uid="{30180FF6-FF28-445E-A744-DB303ABAFEE4}"/>
    <cellStyle name="40 % - Accent2 3 2" xfId="455" xr:uid="{813E2266-9908-43A7-8F48-AFC1917B8E10}"/>
    <cellStyle name="40 % - Accent2 3 2 2" xfId="456" xr:uid="{00A3E90D-E776-4B1B-ADD1-5334FA4EC67E}"/>
    <cellStyle name="40 % - Accent2 3 2 2 2" xfId="457" xr:uid="{B410FCA9-0D2A-4A98-AD20-2234C0BBC44B}"/>
    <cellStyle name="40 % - Accent2 3 2 3" xfId="458" xr:uid="{E8BB4151-D8CA-46F3-9895-3FA70636BF6A}"/>
    <cellStyle name="40 % - Accent2 3 2 4" xfId="459" xr:uid="{9A6291F4-DA0B-4CB7-B23A-1A7DA2B72012}"/>
    <cellStyle name="40 % - Accent2 3 3" xfId="460" xr:uid="{457A7BCE-9EC2-4AA7-AAD3-07CBA3F3F75D}"/>
    <cellStyle name="40 % - Accent2 3 3 2" xfId="461" xr:uid="{12630336-E140-4101-8212-35416EDE5873}"/>
    <cellStyle name="40 % - Accent2 3 4" xfId="462" xr:uid="{4BAF1426-C67F-4906-A875-357267EF3A77}"/>
    <cellStyle name="40 % - Accent2 3 5" xfId="463" xr:uid="{77BB4FE7-BD65-435A-A0B1-CD0F217F38F1}"/>
    <cellStyle name="40 % - Accent2 4" xfId="464" xr:uid="{7B9B8624-6D22-4520-911D-ED933CC0AAE7}"/>
    <cellStyle name="40 % - Accent2 4 2" xfId="465" xr:uid="{FE7F05E4-A189-4B3E-9F88-56BD8AB9F77D}"/>
    <cellStyle name="40 % - Accent2 4 2 2" xfId="466" xr:uid="{74081A37-9820-4579-8CBC-A692887E96C8}"/>
    <cellStyle name="40 % - Accent2 4 2 3" xfId="467" xr:uid="{710679A8-FC71-433B-A5F6-410B87F9BD6F}"/>
    <cellStyle name="40 % - Accent2 4 3" xfId="468" xr:uid="{80A6165D-EC7C-4ED6-8710-4F01F4E88776}"/>
    <cellStyle name="40 % - Accent2 4 4" xfId="469" xr:uid="{CFEF1DFD-B8AB-4D90-9AD9-25258262ECF1}"/>
    <cellStyle name="40 % - Accent2 5" xfId="470" xr:uid="{E0CB3EE0-F3F9-4CA5-BB04-131CA2B9E59A}"/>
    <cellStyle name="40 % - Accent2 5 2" xfId="471" xr:uid="{AA793B49-A3CB-41EC-9675-FE2A561AA5F7}"/>
    <cellStyle name="40 % - Accent2 5 2 2" xfId="472" xr:uid="{C290CD1E-4047-46E5-A1A3-40305E817E76}"/>
    <cellStyle name="40 % - Accent2 5 3" xfId="473" xr:uid="{551D2C10-05C7-41AA-BDB1-28CC91BE7249}"/>
    <cellStyle name="40 % - Accent2 5 4" xfId="474" xr:uid="{2DF0DDBC-5093-464E-B6BD-6B31E9DC5D22}"/>
    <cellStyle name="40 % - Accent2 6" xfId="475" xr:uid="{B5B37FFD-0B33-48A1-BEA7-14639BA4B528}"/>
    <cellStyle name="40 % - Accent2 6 2" xfId="476" xr:uid="{DCF8659B-4FC2-4651-B80D-54E5A671D1A8}"/>
    <cellStyle name="40 % - Accent2 6 2 2" xfId="477" xr:uid="{0BDC0775-9ABE-49E0-8F7B-8AC18E6F625A}"/>
    <cellStyle name="40 % - Accent2 6 3" xfId="478" xr:uid="{072587AF-0383-4C71-9736-45A9E4D316A9}"/>
    <cellStyle name="40 % - Accent2 6 4" xfId="479" xr:uid="{55548796-DAF8-4EF9-9436-F2B528745D58}"/>
    <cellStyle name="40 % - Accent2 7" xfId="480" xr:uid="{3B93C483-DE12-4F80-8FA4-095A4CE094E5}"/>
    <cellStyle name="40 % - Accent2 7 2" xfId="481" xr:uid="{CFEADE63-9CF8-4FF8-BF64-C168EBB77805}"/>
    <cellStyle name="40 % - Accent2 7 2 2" xfId="482" xr:uid="{CBFE0C76-31C9-4092-B892-00561E973FE1}"/>
    <cellStyle name="40 % - Accent2 7 3" xfId="483" xr:uid="{50AFC08D-D599-488B-BAB6-D7F29334B26E}"/>
    <cellStyle name="40 % - Accent2 7 4" xfId="484" xr:uid="{67DBDF5E-6BD6-42E6-BEDB-EDB9442EADEA}"/>
    <cellStyle name="40 % - Accent2 8" xfId="485" xr:uid="{B3F657AF-15ED-48DC-9A6A-BD37EED58324}"/>
    <cellStyle name="40 % - Accent2 8 2" xfId="486" xr:uid="{E63123D6-42B8-416A-97D6-65235C274CC4}"/>
    <cellStyle name="40 % - Accent2 8 3" xfId="487" xr:uid="{EA4B0090-DC5B-40A0-8541-2E1F77AC8012}"/>
    <cellStyle name="40 % - Accent2 9" xfId="488" xr:uid="{28FA5F2F-8CA6-4EB0-A2B7-E42E8B99EB07}"/>
    <cellStyle name="40 % - Accent2 9 2" xfId="489" xr:uid="{386C81B4-11BA-4A95-8B3A-F350861E5898}"/>
    <cellStyle name="40 % - Accent3 10" xfId="490" xr:uid="{DD2AFEDD-3F89-465E-AFDF-3DCF685DB07F}"/>
    <cellStyle name="40 % - Accent3 11" xfId="491" xr:uid="{BA1C4164-33B4-4BAB-AFBA-DF231D02C277}"/>
    <cellStyle name="40 % - Accent3 12" xfId="492" xr:uid="{C7EF4BE2-E41D-436A-8312-F72765FE78EC}"/>
    <cellStyle name="40 % - Accent3 13" xfId="493" xr:uid="{8A433A1F-BBF8-4D4C-82C0-0893B64D90F4}"/>
    <cellStyle name="40 % - Accent3 14" xfId="494" xr:uid="{A54E04D1-C5E7-4B98-A9A7-7E58CD0C46B0}"/>
    <cellStyle name="40 % - Accent3 15" xfId="495" xr:uid="{2AEEA392-492D-4BBC-B140-070AC8B886B5}"/>
    <cellStyle name="40 % - Accent3 16" xfId="496" xr:uid="{68D29E1C-E8B8-48AD-8E8E-3B55252C225B}"/>
    <cellStyle name="40 % - Accent3 17" xfId="497" xr:uid="{05AE10B9-BEA9-40A4-AEAE-54A1DA0CE538}"/>
    <cellStyle name="40 % - Accent3 18" xfId="498" xr:uid="{E414B2B5-0FE5-41D7-BF28-D8AAA9E42200}"/>
    <cellStyle name="40 % - Accent3 19" xfId="499" xr:uid="{26FCAD72-20B2-4306-B16A-B88A8A3BD8CB}"/>
    <cellStyle name="40 % - Accent3 2" xfId="500" xr:uid="{EE7D3A90-3438-437A-B9E8-F373E7D3EC00}"/>
    <cellStyle name="40 % - Accent3 2 2" xfId="501" xr:uid="{2B262EAC-D892-4851-B66F-41030B4C72C5}"/>
    <cellStyle name="40 % - Accent3 2 2 2" xfId="502" xr:uid="{B1A82142-04E5-4695-AAD1-1B87531B144C}"/>
    <cellStyle name="40 % - Accent3 2 2 2 2" xfId="503" xr:uid="{94A45C7B-5DEB-4C6B-B89C-7CAE35401314}"/>
    <cellStyle name="40 % - Accent3 2 2 3" xfId="504" xr:uid="{6126460A-5E0D-4645-9A4B-C529A172B774}"/>
    <cellStyle name="40 % - Accent3 2 2 4" xfId="505" xr:uid="{F859B811-2447-4411-BD5D-196C10C1B263}"/>
    <cellStyle name="40 % - Accent3 2 3" xfId="506" xr:uid="{CA9F396C-ED24-40FD-AE01-EAB8C21B2F4F}"/>
    <cellStyle name="40 % - Accent3 2 3 2" xfId="507" xr:uid="{B85F5074-9861-4D06-9906-0BBF29096579}"/>
    <cellStyle name="40 % - Accent3 2 4" xfId="508" xr:uid="{91BE65AE-42E4-4A32-B75E-DBF910F91E1B}"/>
    <cellStyle name="40 % - Accent3 2 5" xfId="509" xr:uid="{7ADE57D6-DFEF-419C-9D92-CD4C5D6D30E2}"/>
    <cellStyle name="40 % - Accent3 20" xfId="510" xr:uid="{7E7E67C0-DBF6-44B3-978D-B7C7AE7843ED}"/>
    <cellStyle name="40 % - Accent3 3" xfId="511" xr:uid="{27FCF6AE-62E4-4E63-B7C0-BBF365E80DCA}"/>
    <cellStyle name="40 % - Accent3 3 2" xfId="512" xr:uid="{E5FE54CD-FAA0-45CE-8116-352794A5E84C}"/>
    <cellStyle name="40 % - Accent3 3 2 2" xfId="513" xr:uid="{F3269669-6F42-49F2-8B44-A123B4D4DB4B}"/>
    <cellStyle name="40 % - Accent3 3 2 2 2" xfId="514" xr:uid="{B26E37A4-5C41-49C3-A633-6C9C4D96B6F3}"/>
    <cellStyle name="40 % - Accent3 3 2 3" xfId="515" xr:uid="{98795DB0-3C03-4CF1-800F-C23AA99AED92}"/>
    <cellStyle name="40 % - Accent3 3 2 4" xfId="516" xr:uid="{DF0F7FCA-435E-4971-9BDC-B6AD403712A4}"/>
    <cellStyle name="40 % - Accent3 3 3" xfId="517" xr:uid="{BE963D06-B4CB-445C-B143-B7142E44CFCC}"/>
    <cellStyle name="40 % - Accent3 3 3 2" xfId="518" xr:uid="{0AABC22D-CF77-4BE9-B746-7A350BA62D53}"/>
    <cellStyle name="40 % - Accent3 3 4" xfId="519" xr:uid="{0724E4FF-A488-426B-BC82-1A1B5C2D9397}"/>
    <cellStyle name="40 % - Accent3 3 5" xfId="520" xr:uid="{D8C80C1D-110A-4A6B-AB63-42DCEF871245}"/>
    <cellStyle name="40 % - Accent3 4" xfId="521" xr:uid="{7B196FC0-F2E4-4AB2-8351-AD6C3E801526}"/>
    <cellStyle name="40 % - Accent3 4 2" xfId="522" xr:uid="{A3D72C8B-18BA-43FC-8227-739BCC4B906D}"/>
    <cellStyle name="40 % - Accent3 4 2 2" xfId="523" xr:uid="{1E794313-E9F9-4DEB-BFAF-0BB5FD3A7191}"/>
    <cellStyle name="40 % - Accent3 4 2 3" xfId="524" xr:uid="{DB78A11E-1861-490A-A049-FBC4D45BA31F}"/>
    <cellStyle name="40 % - Accent3 4 3" xfId="525" xr:uid="{7ADCD32F-0332-4644-9AC2-C6718F6FE86C}"/>
    <cellStyle name="40 % - Accent3 4 4" xfId="526" xr:uid="{01FB4441-60CE-4617-955B-7C6F4B617A58}"/>
    <cellStyle name="40 % - Accent3 5" xfId="527" xr:uid="{88E94B16-DC4A-4034-B878-F6E46B243FEC}"/>
    <cellStyle name="40 % - Accent3 5 2" xfId="528" xr:uid="{4BB02B3D-AAE2-4875-A0AC-72D9EDB94604}"/>
    <cellStyle name="40 % - Accent3 5 2 2" xfId="529" xr:uid="{08800567-F599-4021-B304-1DA828EE4ACF}"/>
    <cellStyle name="40 % - Accent3 5 3" xfId="530" xr:uid="{2EF8E803-9FC0-4DE6-B92D-32432564786E}"/>
    <cellStyle name="40 % - Accent3 5 4" xfId="531" xr:uid="{771A8168-7D08-498D-A7A8-41203D4EEE97}"/>
    <cellStyle name="40 % - Accent3 6" xfId="532" xr:uid="{8173EF21-36AB-40CF-A200-1BA589303883}"/>
    <cellStyle name="40 % - Accent3 6 2" xfId="533" xr:uid="{A8465735-C9D9-4FED-8B5C-B7B567798984}"/>
    <cellStyle name="40 % - Accent3 6 2 2" xfId="534" xr:uid="{E6DD9375-881F-4E3F-AEF0-F10E898E3A82}"/>
    <cellStyle name="40 % - Accent3 6 3" xfId="535" xr:uid="{CF4F2457-CAE6-463E-9C94-2EB9E85E57F1}"/>
    <cellStyle name="40 % - Accent3 6 4" xfId="536" xr:uid="{EB40A253-0591-4193-9AB4-FAF2FE526C89}"/>
    <cellStyle name="40 % - Accent3 7" xfId="537" xr:uid="{646DD560-24BF-4CE1-B8EB-A9A7DA27A271}"/>
    <cellStyle name="40 % - Accent3 7 2" xfId="538" xr:uid="{6DDD2D4F-9D7C-4C1E-8199-C1BDD425D123}"/>
    <cellStyle name="40 % - Accent3 7 2 2" xfId="539" xr:uid="{E309610D-BB5D-4AE1-B8B9-CE34A01CDC92}"/>
    <cellStyle name="40 % - Accent3 7 3" xfId="540" xr:uid="{A53349E4-A522-405A-853F-55C64D4E27E8}"/>
    <cellStyle name="40 % - Accent3 7 4" xfId="541" xr:uid="{9C1B69DE-D1F9-457E-B5DC-F542EFA0ABAA}"/>
    <cellStyle name="40 % - Accent3 8" xfId="542" xr:uid="{DCDDB0EC-851C-4678-8C54-8C7B1551A2CD}"/>
    <cellStyle name="40 % - Accent3 8 2" xfId="543" xr:uid="{61EDCCE7-0AC5-41A4-A8ED-F08CA2557A4C}"/>
    <cellStyle name="40 % - Accent3 8 3" xfId="544" xr:uid="{D217FB59-D2C3-4B1D-A163-5EC77F56D8F1}"/>
    <cellStyle name="40 % - Accent3 9" xfId="545" xr:uid="{0A14574D-346C-4AEA-82EF-B1FD168DE832}"/>
    <cellStyle name="40 % - Accent3 9 2" xfId="546" xr:uid="{A99B6F49-4BE0-4AA5-8907-E9A72356DF1C}"/>
    <cellStyle name="40 % - Accent4 10" xfId="547" xr:uid="{FB45E289-ECB3-494D-A20A-F217A0C7475A}"/>
    <cellStyle name="40 % - Accent4 11" xfId="548" xr:uid="{2960AB37-7C10-4398-A471-0A34831EFD4F}"/>
    <cellStyle name="40 % - Accent4 12" xfId="549" xr:uid="{2566D3C7-76C2-4404-A5FC-86F966FD9853}"/>
    <cellStyle name="40 % - Accent4 13" xfId="550" xr:uid="{19B5F3F9-E390-4B86-8544-ABC9D262A427}"/>
    <cellStyle name="40 % - Accent4 14" xfId="551" xr:uid="{CD950F82-F3D2-4CBC-A204-C92CD62DC6AF}"/>
    <cellStyle name="40 % - Accent4 15" xfId="552" xr:uid="{C012824F-9167-4E42-91FB-89E8C5691A1B}"/>
    <cellStyle name="40 % - Accent4 16" xfId="553" xr:uid="{7041C458-7515-419E-8DFF-7138B620D25A}"/>
    <cellStyle name="40 % - Accent4 17" xfId="554" xr:uid="{5D8F737A-24D5-4C5E-B039-9C1CF269D4FA}"/>
    <cellStyle name="40 % - Accent4 18" xfId="555" xr:uid="{A94CFBE0-0279-4D90-A278-612D1D28B59F}"/>
    <cellStyle name="40 % - Accent4 19" xfId="556" xr:uid="{588E6686-EC85-4AB9-BAE4-3FD2B44321FB}"/>
    <cellStyle name="40 % - Accent4 2" xfId="557" xr:uid="{C047E6F9-88A9-413B-B47D-051769EFD07B}"/>
    <cellStyle name="40 % - Accent4 2 2" xfId="558" xr:uid="{43CB21C3-BFDC-4081-8C23-F8EF9E7A2D8F}"/>
    <cellStyle name="40 % - Accent4 2 2 2" xfId="559" xr:uid="{468F0BBC-C343-4800-ACF3-98DBC87BF25F}"/>
    <cellStyle name="40 % - Accent4 2 2 2 2" xfId="560" xr:uid="{9AEA5DF1-9DFB-4FAD-AF69-3AC00974D77F}"/>
    <cellStyle name="40 % - Accent4 2 2 3" xfId="561" xr:uid="{62DB0EB8-1749-4A48-A638-E64B6A7FB74E}"/>
    <cellStyle name="40 % - Accent4 2 2 4" xfId="562" xr:uid="{1559CA55-8B7D-4003-8287-7544EBA0DEDE}"/>
    <cellStyle name="40 % - Accent4 2 3" xfId="563" xr:uid="{7042111D-3922-4043-AD9F-BEA526F49862}"/>
    <cellStyle name="40 % - Accent4 2 3 2" xfId="564" xr:uid="{339AD8D6-342E-4872-8DAE-C0434A168FE8}"/>
    <cellStyle name="40 % - Accent4 2 4" xfId="565" xr:uid="{2DE6E5A7-2570-4D1B-9C73-6ED5353A18BE}"/>
    <cellStyle name="40 % - Accent4 2 5" xfId="566" xr:uid="{4663000F-2453-4893-AEA8-ECA281222C22}"/>
    <cellStyle name="40 % - Accent4 20" xfId="567" xr:uid="{59C15BE5-4387-4749-871D-D41C2CA03E69}"/>
    <cellStyle name="40 % - Accent4 3" xfId="568" xr:uid="{2935A518-8CA4-4E06-8CA8-ADD1AF67C0B6}"/>
    <cellStyle name="40 % - Accent4 3 2" xfId="569" xr:uid="{AF4DC005-B26D-4C09-952A-03E85E4A5863}"/>
    <cellStyle name="40 % - Accent4 3 2 2" xfId="570" xr:uid="{FEA6BE70-FB11-481A-B5B2-F186ABF2B259}"/>
    <cellStyle name="40 % - Accent4 3 2 2 2" xfId="571" xr:uid="{90B5F524-6E10-43F7-924A-BE56E1E17E86}"/>
    <cellStyle name="40 % - Accent4 3 2 3" xfId="572" xr:uid="{BE3576E0-4B8F-4BE6-8FD1-1110A15E56A4}"/>
    <cellStyle name="40 % - Accent4 3 2 4" xfId="573" xr:uid="{D837D049-BE18-44EE-9219-36BE4B50F0A0}"/>
    <cellStyle name="40 % - Accent4 3 3" xfId="574" xr:uid="{EC5F0C41-D058-4639-B39C-DCE8302F2BDC}"/>
    <cellStyle name="40 % - Accent4 3 3 2" xfId="575" xr:uid="{1449664E-6EE9-4302-AADA-F3DF770C7F87}"/>
    <cellStyle name="40 % - Accent4 3 4" xfId="576" xr:uid="{6951AFA3-A704-4F0D-8672-94ED6CF86B33}"/>
    <cellStyle name="40 % - Accent4 3 5" xfId="577" xr:uid="{D937739B-6A53-4502-B0B4-9C8CE317E402}"/>
    <cellStyle name="40 % - Accent4 4" xfId="578" xr:uid="{B35E90D6-9467-402C-90E5-4EC0170EA9A1}"/>
    <cellStyle name="40 % - Accent4 4 2" xfId="579" xr:uid="{616ECC3D-B0C4-4A3E-A5C9-9306E649B3F1}"/>
    <cellStyle name="40 % - Accent4 4 2 2" xfId="580" xr:uid="{CCD31F5A-7CFE-45C5-8BF1-392B21AEBEEA}"/>
    <cellStyle name="40 % - Accent4 4 2 3" xfId="581" xr:uid="{CC04E1CB-EC53-4F59-B478-B36449C4586C}"/>
    <cellStyle name="40 % - Accent4 4 3" xfId="582" xr:uid="{0E7FB5B7-73B6-47AC-B725-3B59BF4AFA9B}"/>
    <cellStyle name="40 % - Accent4 4 4" xfId="583" xr:uid="{29069476-4553-40DD-96CB-BFE98B75F464}"/>
    <cellStyle name="40 % - Accent4 5" xfId="584" xr:uid="{35A5DBDB-30A1-479A-96E2-EF57029EF8CA}"/>
    <cellStyle name="40 % - Accent4 5 2" xfId="585" xr:uid="{AF061023-0A4B-4E3A-9927-8F26C40F6535}"/>
    <cellStyle name="40 % - Accent4 5 2 2" xfId="586" xr:uid="{99855450-70A6-4AA1-B73B-CEEA9B87FBFA}"/>
    <cellStyle name="40 % - Accent4 5 3" xfId="587" xr:uid="{6954A8C0-44A7-48A2-9A32-936A4A56442D}"/>
    <cellStyle name="40 % - Accent4 5 4" xfId="588" xr:uid="{5F7B7332-1601-4E48-8539-362782086C03}"/>
    <cellStyle name="40 % - Accent4 6" xfId="589" xr:uid="{D68046EB-AD5A-4237-AB8A-C22DC16B96F3}"/>
    <cellStyle name="40 % - Accent4 6 2" xfId="590" xr:uid="{32E9260D-C7CB-4FBE-B11F-35E153AB438F}"/>
    <cellStyle name="40 % - Accent4 6 2 2" xfId="591" xr:uid="{F85FD05E-4124-48D6-BEF2-E77FB9400505}"/>
    <cellStyle name="40 % - Accent4 6 3" xfId="592" xr:uid="{D3A33F2C-873D-422F-94DF-A393510713ED}"/>
    <cellStyle name="40 % - Accent4 6 4" xfId="593" xr:uid="{0BA55196-C4CD-4BD5-B586-B9B64B782964}"/>
    <cellStyle name="40 % - Accent4 7" xfId="594" xr:uid="{19CCC89A-6856-4742-8437-F0B6AC210223}"/>
    <cellStyle name="40 % - Accent4 7 2" xfId="595" xr:uid="{BD7FC454-E804-4814-8716-2AF7A05AA233}"/>
    <cellStyle name="40 % - Accent4 7 2 2" xfId="596" xr:uid="{94DEBBC8-6E08-4E57-96DE-25A83BDD84BF}"/>
    <cellStyle name="40 % - Accent4 7 3" xfId="597" xr:uid="{D027784E-C086-4B34-A96C-D9350042443E}"/>
    <cellStyle name="40 % - Accent4 7 4" xfId="598" xr:uid="{A4624AF5-72E8-4CFF-B0EE-57F525EEFCB4}"/>
    <cellStyle name="40 % - Accent4 8" xfId="599" xr:uid="{E632553B-0DC8-481A-9B28-D841A155CAD8}"/>
    <cellStyle name="40 % - Accent4 8 2" xfId="600" xr:uid="{109AABAB-3A01-48FA-A8E4-0D2EFC29D265}"/>
    <cellStyle name="40 % - Accent4 8 3" xfId="601" xr:uid="{6947E189-9109-400F-9023-8269681521B0}"/>
    <cellStyle name="40 % - Accent4 9" xfId="602" xr:uid="{C8C6E7B0-28C9-49F4-A77E-95911915FA85}"/>
    <cellStyle name="40 % - Accent4 9 2" xfId="603" xr:uid="{DE04E248-207A-4959-BD6A-8E2DCB677AC4}"/>
    <cellStyle name="40 % - Accent5 10" xfId="604" xr:uid="{4DC86DB1-494B-4DEE-B915-C3C471FB9E14}"/>
    <cellStyle name="40 % - Accent5 11" xfId="605" xr:uid="{04A98D6F-617F-4D37-BACC-942EF98411B7}"/>
    <cellStyle name="40 % - Accent5 12" xfId="606" xr:uid="{DE98F399-86B5-4DE1-94C0-D4CF95F2A397}"/>
    <cellStyle name="40 % - Accent5 13" xfId="607" xr:uid="{A985A435-B0DB-4467-A37E-D908F2DECE0F}"/>
    <cellStyle name="40 % - Accent5 14" xfId="608" xr:uid="{C5303CD4-7C11-4C7C-90DC-08A5B42972C6}"/>
    <cellStyle name="40 % - Accent5 15" xfId="609" xr:uid="{35AA28FA-3401-4E69-91C3-013B9362B2B1}"/>
    <cellStyle name="40 % - Accent5 16" xfId="610" xr:uid="{87363B03-3A07-46EF-BDD0-472AC6A92447}"/>
    <cellStyle name="40 % - Accent5 17" xfId="611" xr:uid="{FFBE1951-2A15-4D3D-B5F6-F8A96E8A1210}"/>
    <cellStyle name="40 % - Accent5 18" xfId="612" xr:uid="{B4BAE5BE-9A6B-422D-9D3A-23CCBBD1A492}"/>
    <cellStyle name="40 % - Accent5 19" xfId="613" xr:uid="{9E58C5FD-D110-4646-8BE6-6B2EAE29BA9F}"/>
    <cellStyle name="40 % - Accent5 2" xfId="614" xr:uid="{5D78F867-ADE1-429D-8976-BC0568111AC2}"/>
    <cellStyle name="40 % - Accent5 2 2" xfId="615" xr:uid="{C2F52B5B-86D0-4FF3-88C6-3895DDCE425C}"/>
    <cellStyle name="40 % - Accent5 2 2 2" xfId="616" xr:uid="{BB6207D5-DF72-4439-A7AF-9126C82E1972}"/>
    <cellStyle name="40 % - Accent5 2 2 2 2" xfId="617" xr:uid="{619E08D7-5668-4866-8252-8DBA370D008B}"/>
    <cellStyle name="40 % - Accent5 2 2 3" xfId="618" xr:uid="{58B2D101-D24B-450D-BFD1-41F309C806F1}"/>
    <cellStyle name="40 % - Accent5 2 2 4" xfId="619" xr:uid="{7172B1A5-26F1-4F62-8671-6DE0B4AB39ED}"/>
    <cellStyle name="40 % - Accent5 2 3" xfId="620" xr:uid="{F6F31F15-F950-4896-948C-BD09DDE93F66}"/>
    <cellStyle name="40 % - Accent5 2 3 2" xfId="621" xr:uid="{38B4CB6F-CDDF-43C4-8E23-1EE18751765C}"/>
    <cellStyle name="40 % - Accent5 2 4" xfId="622" xr:uid="{1D675BE6-ECFB-4E4F-AFAA-874AF9B9E19A}"/>
    <cellStyle name="40 % - Accent5 2 5" xfId="623" xr:uid="{DEFABA77-053E-46AD-92FE-B031E4D52656}"/>
    <cellStyle name="40 % - Accent5 20" xfId="624" xr:uid="{A61DDBA1-0652-4049-9365-524BFFD4F5E1}"/>
    <cellStyle name="40 % - Accent5 3" xfId="625" xr:uid="{721F74EA-867F-4A97-8D40-127EBDE9F4D6}"/>
    <cellStyle name="40 % - Accent5 3 2" xfId="626" xr:uid="{F8E73D61-BA54-4CB4-A9E3-3442435CD2AE}"/>
    <cellStyle name="40 % - Accent5 3 2 2" xfId="627" xr:uid="{F80CFB75-DDF1-4CB1-9ADF-D90207249A84}"/>
    <cellStyle name="40 % - Accent5 3 2 2 2" xfId="628" xr:uid="{35361112-3FFB-4D95-86B1-3BC8642B2358}"/>
    <cellStyle name="40 % - Accent5 3 2 3" xfId="629" xr:uid="{D113D711-FDBD-4912-8DE6-BA113EC0FC8A}"/>
    <cellStyle name="40 % - Accent5 3 2 4" xfId="630" xr:uid="{DA75DD77-4E93-4474-8AC9-662436C17DAB}"/>
    <cellStyle name="40 % - Accent5 3 3" xfId="631" xr:uid="{D2EEC02D-2498-4F0D-A0B8-EC57275EDEE9}"/>
    <cellStyle name="40 % - Accent5 3 3 2" xfId="632" xr:uid="{0830A440-C910-4252-87B6-AEBA70C73EC3}"/>
    <cellStyle name="40 % - Accent5 3 4" xfId="633" xr:uid="{6E7F94EE-8F58-4339-8057-DACE2E90B8A2}"/>
    <cellStyle name="40 % - Accent5 3 5" xfId="634" xr:uid="{DA037122-B64F-4DEB-9515-FCD5C6E264FE}"/>
    <cellStyle name="40 % - Accent5 4" xfId="635" xr:uid="{16287AB1-0EB9-49CB-83FB-FF9DA9BF8D38}"/>
    <cellStyle name="40 % - Accent5 4 2" xfId="636" xr:uid="{1711F6A3-6B33-48EE-9641-03FF76706C5F}"/>
    <cellStyle name="40 % - Accent5 4 2 2" xfId="637" xr:uid="{D33D5F62-D741-461D-8667-4B0AF19C1A1A}"/>
    <cellStyle name="40 % - Accent5 4 2 3" xfId="638" xr:uid="{C77063E5-20D7-4C65-90B4-A700AE0A2C57}"/>
    <cellStyle name="40 % - Accent5 4 3" xfId="639" xr:uid="{7ADB6C10-7E3B-4BB0-B092-03F0E744AD33}"/>
    <cellStyle name="40 % - Accent5 4 4" xfId="640" xr:uid="{79AC3B46-EEF2-4AC1-A29A-BA1D35E2C729}"/>
    <cellStyle name="40 % - Accent5 5" xfId="641" xr:uid="{3D4D34AF-8E5D-4645-8D8D-B5CCBA40AEC0}"/>
    <cellStyle name="40 % - Accent5 5 2" xfId="642" xr:uid="{F6CDE14E-836D-4862-AACA-85EB356FC659}"/>
    <cellStyle name="40 % - Accent5 5 2 2" xfId="643" xr:uid="{ADFF82DD-7E48-4C77-ADE6-70E512A04765}"/>
    <cellStyle name="40 % - Accent5 5 3" xfId="644" xr:uid="{22EA94EB-B578-4D61-A140-23326CE70E7A}"/>
    <cellStyle name="40 % - Accent5 5 4" xfId="645" xr:uid="{6663C2B3-08BF-44E1-9C71-82114BABB08D}"/>
    <cellStyle name="40 % - Accent5 6" xfId="646" xr:uid="{6A974E0C-9133-496D-8878-7A3B226F814F}"/>
    <cellStyle name="40 % - Accent5 6 2" xfId="647" xr:uid="{BE368E59-097E-4A99-8FFC-002F47DD00E3}"/>
    <cellStyle name="40 % - Accent5 6 2 2" xfId="648" xr:uid="{51A9299F-6A5F-4549-9721-B98BE6A28E70}"/>
    <cellStyle name="40 % - Accent5 6 3" xfId="649" xr:uid="{D30E219C-25F2-4E33-B6E9-EF89E327A480}"/>
    <cellStyle name="40 % - Accent5 6 4" xfId="650" xr:uid="{E9AFD769-594A-4194-97F9-45E893D94508}"/>
    <cellStyle name="40 % - Accent5 7" xfId="651" xr:uid="{D2F12FD1-19AC-428C-A8F4-03FF724DCB6B}"/>
    <cellStyle name="40 % - Accent5 7 2" xfId="652" xr:uid="{A70BCFBF-9F18-4412-BECF-4FE784E9833D}"/>
    <cellStyle name="40 % - Accent5 7 2 2" xfId="653" xr:uid="{E7D210E5-1268-46CB-B238-4D772C8B570F}"/>
    <cellStyle name="40 % - Accent5 7 3" xfId="654" xr:uid="{64391B93-11E2-4E3C-AB8E-58AD3D986C43}"/>
    <cellStyle name="40 % - Accent5 7 4" xfId="655" xr:uid="{43E9E053-4C4A-4295-B233-87B09AE3A38A}"/>
    <cellStyle name="40 % - Accent5 8" xfId="656" xr:uid="{7827B024-F6CD-47D4-9EFD-0232D94D91F5}"/>
    <cellStyle name="40 % - Accent5 8 2" xfId="657" xr:uid="{42F8C9DF-4FF9-4AA4-930D-62121CDBD1A7}"/>
    <cellStyle name="40 % - Accent5 8 3" xfId="658" xr:uid="{3595F45B-6054-4667-9085-37D1C6DFC72C}"/>
    <cellStyle name="40 % - Accent5 9" xfId="659" xr:uid="{91F2058E-75CC-4D5B-9C9F-3DCACAA2C45F}"/>
    <cellStyle name="40 % - Accent5 9 2" xfId="660" xr:uid="{0D316464-5CB0-41EF-BB5B-5152AB5A8CAF}"/>
    <cellStyle name="40 % - Accent6 10" xfId="661" xr:uid="{770B7090-E770-441B-ACB3-E704123C27E8}"/>
    <cellStyle name="40 % - Accent6 11" xfId="662" xr:uid="{3F909184-608A-4857-BF7E-95312B14E90A}"/>
    <cellStyle name="40 % - Accent6 12" xfId="663" xr:uid="{D5A9D243-39E0-4B91-BCCC-8B35A0797C27}"/>
    <cellStyle name="40 % - Accent6 13" xfId="664" xr:uid="{4E9EA913-F431-4BCE-8840-EB08A865227D}"/>
    <cellStyle name="40 % - Accent6 14" xfId="665" xr:uid="{F23785D6-9D6E-43D6-8296-A98F87D550EA}"/>
    <cellStyle name="40 % - Accent6 15" xfId="666" xr:uid="{51ABA829-F09A-480B-8081-A462ED3E030C}"/>
    <cellStyle name="40 % - Accent6 16" xfId="667" xr:uid="{7D05D079-3AD9-4627-9FEF-6FE405B8CBA4}"/>
    <cellStyle name="40 % - Accent6 17" xfId="668" xr:uid="{9EE911E8-150F-445E-AF6F-068EAC0315E9}"/>
    <cellStyle name="40 % - Accent6 18" xfId="669" xr:uid="{8DE7980F-00FE-47AD-8F25-3FA0B9143169}"/>
    <cellStyle name="40 % - Accent6 19" xfId="670" xr:uid="{67FCFFEE-E495-4171-B2B0-340E5D0F40FF}"/>
    <cellStyle name="40 % - Accent6 2" xfId="671" xr:uid="{DC3E311C-FF34-4DA5-B13E-B5B646C0C85C}"/>
    <cellStyle name="40 % - Accent6 2 2" xfId="672" xr:uid="{5706176F-DF94-4C36-AC63-57060EF50523}"/>
    <cellStyle name="40 % - Accent6 2 2 2" xfId="673" xr:uid="{B59CD1A2-BA4B-41BF-BCBD-D75BA4E419DF}"/>
    <cellStyle name="40 % - Accent6 2 2 2 2" xfId="674" xr:uid="{05621048-BEAB-44FF-8392-93DAB9D56D76}"/>
    <cellStyle name="40 % - Accent6 2 2 3" xfId="675" xr:uid="{2542EB98-D2F6-4E4E-BE7B-A95CA5BF0F46}"/>
    <cellStyle name="40 % - Accent6 2 2 4" xfId="676" xr:uid="{AB96F6D1-A0D4-4289-A6E3-9C555FA5DD6C}"/>
    <cellStyle name="40 % - Accent6 2 3" xfId="677" xr:uid="{9CDF8D5B-3976-4DBF-B613-F73AD0B95EAA}"/>
    <cellStyle name="40 % - Accent6 2 3 2" xfId="678" xr:uid="{0DA4AD13-D1FC-48B9-85B7-F84CC4975914}"/>
    <cellStyle name="40 % - Accent6 2 4" xfId="679" xr:uid="{4CE6DF85-C540-47EA-83BD-359BF17A046E}"/>
    <cellStyle name="40 % - Accent6 2 5" xfId="680" xr:uid="{0362F4E2-5F79-443C-8211-45927C436C9A}"/>
    <cellStyle name="40 % - Accent6 20" xfId="681" xr:uid="{493DB7C7-93B2-4D12-B0EC-1BE00EEA7CDA}"/>
    <cellStyle name="40 % - Accent6 3" xfId="682" xr:uid="{E6AD9A00-BBBA-4264-84C7-F83967E021C7}"/>
    <cellStyle name="40 % - Accent6 3 2" xfId="683" xr:uid="{92E6575F-67FB-448D-8EC2-198CB0333FC9}"/>
    <cellStyle name="40 % - Accent6 3 2 2" xfId="684" xr:uid="{4ED83F07-59DE-442A-8D13-46DBE8D7066C}"/>
    <cellStyle name="40 % - Accent6 3 2 2 2" xfId="685" xr:uid="{4BC1744A-3279-4F29-BAF2-3BB3F2B4FF66}"/>
    <cellStyle name="40 % - Accent6 3 2 3" xfId="686" xr:uid="{53B7C1E6-F5A6-4D21-AA7D-44AB84736927}"/>
    <cellStyle name="40 % - Accent6 3 2 4" xfId="687" xr:uid="{B942B54B-0F69-47BB-A212-CEFFB1347031}"/>
    <cellStyle name="40 % - Accent6 3 3" xfId="688" xr:uid="{97231A34-4EFC-439B-A4CA-481E1CD15035}"/>
    <cellStyle name="40 % - Accent6 3 3 2" xfId="689" xr:uid="{3A875C0A-2D84-4C8F-8ED0-6159347A03F5}"/>
    <cellStyle name="40 % - Accent6 3 4" xfId="690" xr:uid="{E601F257-1C82-483C-9631-2D4D60DB8B0F}"/>
    <cellStyle name="40 % - Accent6 3 5" xfId="691" xr:uid="{7CA7F00A-69CB-4D0F-83BA-B67F044803E5}"/>
    <cellStyle name="40 % - Accent6 4" xfId="692" xr:uid="{EAD203AF-7379-41BA-BE09-3050275C35F2}"/>
    <cellStyle name="40 % - Accent6 4 2" xfId="693" xr:uid="{80E9E153-6A2F-4CF1-9E0B-A5CC6133ED42}"/>
    <cellStyle name="40 % - Accent6 4 2 2" xfId="694" xr:uid="{FA4E7530-C75A-4A66-BC0B-FCD78EC8C559}"/>
    <cellStyle name="40 % - Accent6 4 2 3" xfId="695" xr:uid="{1779F8A2-7615-48C9-8409-6A1B6F20C6D9}"/>
    <cellStyle name="40 % - Accent6 4 3" xfId="696" xr:uid="{EC68AC75-B0DF-4610-B914-7ADC1ACC02A6}"/>
    <cellStyle name="40 % - Accent6 4 4" xfId="697" xr:uid="{9AA9E9F3-BE64-487E-BFEA-190F7D5AB108}"/>
    <cellStyle name="40 % - Accent6 5" xfId="698" xr:uid="{6EDECBA7-BF4A-4526-B4D5-09D2D583DD39}"/>
    <cellStyle name="40 % - Accent6 5 2" xfId="699" xr:uid="{DFD91262-2578-4213-93F4-D33FA5B6BAC2}"/>
    <cellStyle name="40 % - Accent6 5 2 2" xfId="700" xr:uid="{6DC0A924-55BE-4ADE-BD5F-46FF2F423209}"/>
    <cellStyle name="40 % - Accent6 5 3" xfId="701" xr:uid="{0B262A07-7B50-4998-8121-697F6BF68AD4}"/>
    <cellStyle name="40 % - Accent6 5 4" xfId="702" xr:uid="{6E4BEDC7-C8F6-4B7E-8307-9D356DCAE2B9}"/>
    <cellStyle name="40 % - Accent6 6" xfId="703" xr:uid="{9691A035-91FE-45EE-9F13-A7EFD5F5D274}"/>
    <cellStyle name="40 % - Accent6 6 2" xfId="704" xr:uid="{F3253ACD-0D6A-415F-80BE-90FC18BB0038}"/>
    <cellStyle name="40 % - Accent6 6 2 2" xfId="705" xr:uid="{44D79D8D-82AA-4556-9596-70252DFA83F5}"/>
    <cellStyle name="40 % - Accent6 6 3" xfId="706" xr:uid="{22D3D983-E674-44C4-BADD-EC550142233A}"/>
    <cellStyle name="40 % - Accent6 6 4" xfId="707" xr:uid="{19FCA5F2-E4BA-48C5-8BA7-8F175036228B}"/>
    <cellStyle name="40 % - Accent6 7" xfId="708" xr:uid="{2D19BE00-99D4-418D-AB38-65729658A7B6}"/>
    <cellStyle name="40 % - Accent6 7 2" xfId="709" xr:uid="{FA997538-BEE1-4CD8-B9CD-8D264F2FBF95}"/>
    <cellStyle name="40 % - Accent6 7 2 2" xfId="710" xr:uid="{2D520456-FBD0-404C-B782-B006507796D2}"/>
    <cellStyle name="40 % - Accent6 7 3" xfId="711" xr:uid="{A5FFC93B-7BCA-4C39-A028-C5D4E9A74EEE}"/>
    <cellStyle name="40 % - Accent6 7 4" xfId="712" xr:uid="{DC474D15-D2A4-4D66-AA73-EA05C82EF6F0}"/>
    <cellStyle name="40 % - Accent6 8" xfId="713" xr:uid="{F55E227F-33C1-412E-B625-6F60C967278E}"/>
    <cellStyle name="40 % - Accent6 8 2" xfId="714" xr:uid="{BE26AE42-51BF-4FD9-8F19-FA23DEE67489}"/>
    <cellStyle name="40 % - Accent6 8 3" xfId="715" xr:uid="{41609F6A-3B3E-490F-99DB-EAD5E0790C74}"/>
    <cellStyle name="40 % - Accent6 9" xfId="716" xr:uid="{F71A26DF-30CA-4A9F-B142-6CFEC5F8D9A1}"/>
    <cellStyle name="40 % - Accent6 9 2" xfId="717" xr:uid="{089826E1-A51D-4601-A462-485BF3CC187D}"/>
    <cellStyle name="40% - Accent1" xfId="718" builtinId="31" customBuiltin="1"/>
    <cellStyle name="40% - Accent2" xfId="719" builtinId="35" customBuiltin="1"/>
    <cellStyle name="40% - Accent3" xfId="720" builtinId="39" customBuiltin="1"/>
    <cellStyle name="40% - Accent4" xfId="721" builtinId="43" customBuiltin="1"/>
    <cellStyle name="40% - Accent5" xfId="722" builtinId="47" customBuiltin="1"/>
    <cellStyle name="40% - Accent6" xfId="723" builtinId="51" customBuiltin="1"/>
    <cellStyle name="40% - Colore 1 2" xfId="724" xr:uid="{DC97E3AE-D81D-4CE5-AB54-7F1A3FD51C81}"/>
    <cellStyle name="40% - Colore 1 2 2" xfId="725" xr:uid="{3BB30F90-9E24-4D9F-A5C6-2038B8B46C68}"/>
    <cellStyle name="40% - Colore 2 2" xfId="726" xr:uid="{36F52A66-71EE-49A9-A2AF-E0021B502F42}"/>
    <cellStyle name="40% - Colore 2 2 2" xfId="727" xr:uid="{8D79CB03-2607-4811-8B0A-7CE651CDB58B}"/>
    <cellStyle name="40% - Colore 3 2" xfId="728" xr:uid="{37420D54-433E-4269-B32D-6676973DD3FA}"/>
    <cellStyle name="40% - Colore 3 2 2" xfId="729" xr:uid="{FFB85F72-A579-41D2-9F5C-AC35D06672F2}"/>
    <cellStyle name="40% - Colore 4 2" xfId="730" xr:uid="{F022F350-FC3D-41D0-A59A-6FB7D7FA98D0}"/>
    <cellStyle name="40% - Colore 4 2 2" xfId="731" xr:uid="{041DC4FC-369D-4480-B913-9A15A9ABAFF0}"/>
    <cellStyle name="40% - Colore 5 2" xfId="732" xr:uid="{48C790B8-3C5C-490B-BDF7-A9667B96C6B7}"/>
    <cellStyle name="40% - Colore 5 2 2" xfId="733" xr:uid="{2718C6C3-A2F2-481B-9026-C6DB635CC2C1}"/>
    <cellStyle name="40% - Colore 6 2" xfId="734" xr:uid="{C2613FA5-499C-441C-90F1-447C016670F0}"/>
    <cellStyle name="40% - Colore 6 2 2" xfId="735" xr:uid="{1C424EE3-EF1A-43D1-BE0B-C570427622EC}"/>
    <cellStyle name="60% - Accent1 2" xfId="736" xr:uid="{AB156E81-7986-43BD-BFB1-39C02C1EA44A}"/>
    <cellStyle name="60% - Accent2 2" xfId="737" xr:uid="{36936544-FD3B-4608-B071-057B7475DB10}"/>
    <cellStyle name="60% - Accent3 2" xfId="738" xr:uid="{2AFBCBDC-F6FC-4371-ABDB-704FB473078B}"/>
    <cellStyle name="60% - Accent4 2" xfId="739" xr:uid="{50A3A8F3-1C6C-40E1-910A-CC9745F1F786}"/>
    <cellStyle name="60% - Accent5 2" xfId="740" xr:uid="{99C32B2A-12B3-4ED8-998B-2BA58FB8F7A7}"/>
    <cellStyle name="60% - Accent6 2" xfId="741" xr:uid="{AE008D6A-330E-4DED-B3C8-E2CC0A22A9F0}"/>
    <cellStyle name="60% - Colore 1 2" xfId="742" xr:uid="{9B9FAE31-2AC2-44E7-91FF-6934029C1991}"/>
    <cellStyle name="60% - Colore 2 2" xfId="743" xr:uid="{A0D4A384-5B9C-4849-A85C-96BAFE4DFD03}"/>
    <cellStyle name="60% - Colore 3 2" xfId="744" xr:uid="{12D42BA1-0EB0-417F-A939-B651CD2B9E11}"/>
    <cellStyle name="60% - Colore 4 2" xfId="745" xr:uid="{5410B58C-6C19-4C19-9B62-710FF7E36F34}"/>
    <cellStyle name="60% - Colore 5 2" xfId="746" xr:uid="{DC10FB4C-4BA9-455C-83AF-18910416C9E2}"/>
    <cellStyle name="60% - Colore 6 2" xfId="747" xr:uid="{58D03E64-7DCE-4B33-B109-7C4AF7D559F7}"/>
    <cellStyle name="Accent1" xfId="748" builtinId="29" customBuiltin="1"/>
    <cellStyle name="Accent2" xfId="749" builtinId="33" customBuiltin="1"/>
    <cellStyle name="Accent3" xfId="750" builtinId="37" customBuiltin="1"/>
    <cellStyle name="Accent4" xfId="751" builtinId="41" customBuiltin="1"/>
    <cellStyle name="Accent5" xfId="752" builtinId="45" customBuiltin="1"/>
    <cellStyle name="Accent6" xfId="753" builtinId="49" customBuiltin="1"/>
    <cellStyle name="Bad 2" xfId="754" xr:uid="{D30BE4DF-2D1C-419B-BA55-031266CE6BAD}"/>
    <cellStyle name="Calcolo 2" xfId="755" xr:uid="{FB5DC81F-8E2A-4771-BD00-138B3ED8F620}"/>
    <cellStyle name="Calculation" xfId="756" builtinId="22" customBuiltin="1"/>
    <cellStyle name="Cella collegata 2" xfId="757" xr:uid="{B7807860-83DB-462B-B64A-E0F26C5A4115}"/>
    <cellStyle name="Cella da controllare 2" xfId="758" xr:uid="{0A6750A6-4545-4B00-93E5-FA3F342AFB58}"/>
    <cellStyle name="Check Cell 2" xfId="759" xr:uid="{3F672645-A9B2-46B7-9CA0-E8290EA2B648}"/>
    <cellStyle name="Colore 1 2" xfId="760" xr:uid="{43ED05AA-8CBB-431D-9532-9C5C622263E1}"/>
    <cellStyle name="Colore 2 2" xfId="761" xr:uid="{EC539257-D8AA-4F1C-9E0B-8E60C7AA6C36}"/>
    <cellStyle name="Colore 3 2" xfId="762" xr:uid="{97653307-3C35-4D23-B761-D31ABF2D0295}"/>
    <cellStyle name="Colore 4 2" xfId="763" xr:uid="{2D74DD16-DC44-40EA-8619-F9366DC6836C}"/>
    <cellStyle name="Colore 5 2" xfId="764" xr:uid="{FF45F752-60AF-4054-BA03-46013E38D84E}"/>
    <cellStyle name="Colore 6 2" xfId="765" xr:uid="{136E53BA-099B-4431-AB75-9502D773598E}"/>
    <cellStyle name="Comma 2" xfId="766" xr:uid="{B00221F4-8ACA-4785-AE4D-CEB7129B9CCE}"/>
    <cellStyle name="Comma 2 2" xfId="767" xr:uid="{9D3887FA-905B-4720-99FA-21B8F653DBBA}"/>
    <cellStyle name="Comma 2 2 2" xfId="768" xr:uid="{3D703600-D747-4B05-80BD-321A298CE924}"/>
    <cellStyle name="Comma 2 2 3" xfId="769" xr:uid="{6C6E5FAA-FAEF-43A9-AF99-6E4B158F0F26}"/>
    <cellStyle name="Comma 2 3" xfId="770" xr:uid="{660211B8-ADCF-47AD-94A9-4C1B3A7586EE}"/>
    <cellStyle name="Comma 2 4" xfId="771" xr:uid="{AFA98FEF-7CED-4553-90B6-1C1126271D5C}"/>
    <cellStyle name="Comma 2 5" xfId="772" xr:uid="{E8648175-BD2E-4639-B31B-C4A6880CB252}"/>
    <cellStyle name="Comma 3" xfId="773" xr:uid="{952180CE-D792-419D-B2B2-A64F2625AB37}"/>
    <cellStyle name="Comma 3 2" xfId="774" xr:uid="{73EE053D-FD40-4555-9726-FDAF069F5817}"/>
    <cellStyle name="Comma 3 2 2" xfId="775" xr:uid="{FEE4D8AB-0C4C-402A-AF49-2852E9D99FD1}"/>
    <cellStyle name="Comma 3 3" xfId="776" xr:uid="{5B978106-4D8F-4586-AF27-28CCC56774FC}"/>
    <cellStyle name="Comma 3 4" xfId="777" xr:uid="{9E27E82B-2F1B-49EF-B49F-D8AA0B4C0293}"/>
    <cellStyle name="Comma 4" xfId="778" xr:uid="{0512B6B6-F458-4478-A435-F84964CCAF3E}"/>
    <cellStyle name="Comma 4 2" xfId="779" xr:uid="{426A3030-149C-41E1-AAD4-738A75CF027C}"/>
    <cellStyle name="Comma 4 2 2" xfId="780" xr:uid="{F9BFC001-9678-4B70-AB96-23A9FE1075A8}"/>
    <cellStyle name="Comma 5" xfId="781" xr:uid="{F3996CC6-47B3-4C1A-A02B-A75B6C5355DC}"/>
    <cellStyle name="Comma 5 2" xfId="782" xr:uid="{C553E11F-7FB2-4DC1-9088-F78867E766EE}"/>
    <cellStyle name="Comma 5 2 2" xfId="783" xr:uid="{DA405D7F-4210-4B74-9289-7A1E6832FF9E}"/>
    <cellStyle name="Comma 5 3" xfId="784" xr:uid="{F612E1E4-59B2-424A-8AE6-53400686965B}"/>
    <cellStyle name="Comma 5 3 2" xfId="785" xr:uid="{A7C20D5B-D54D-454C-BA7A-B7AE30B7BFB3}"/>
    <cellStyle name="Comma 5 3 2 2" xfId="786" xr:uid="{297D67FD-3FDC-4947-BBA4-D962E55FA2F5}"/>
    <cellStyle name="Comma 5 3 3" xfId="787" xr:uid="{45A5BB7F-5AD5-427E-870D-DF803AF74706}"/>
    <cellStyle name="Comma 5 4" xfId="788" xr:uid="{4AF647DD-80D7-42A0-9CE5-A200FD3B6674}"/>
    <cellStyle name="Comma 5 4 2" xfId="789" xr:uid="{9834B0C3-BE62-49E2-9517-9200E132AA6C}"/>
    <cellStyle name="Comma 5 4 2 2" xfId="790" xr:uid="{3A446057-1EAF-41D9-BCF0-2F1184CE237A}"/>
    <cellStyle name="Comma 5 4 3" xfId="791" xr:uid="{4348334B-55BE-47C5-9B80-518A080FD208}"/>
    <cellStyle name="Comma 5 5" xfId="792" xr:uid="{E4A8C473-2DE0-4216-9BDA-AFBAE61854FA}"/>
    <cellStyle name="Comma 6" xfId="793" xr:uid="{ABF04B9B-1CD2-4F96-8055-4D96925EBC64}"/>
    <cellStyle name="Comma 7" xfId="794" xr:uid="{BD5840EF-F5D7-472E-AFC4-80266BA5B447}"/>
    <cellStyle name="Comma 7 2" xfId="795" xr:uid="{CACF3154-81DC-4DEE-BC65-C120EE2940C9}"/>
    <cellStyle name="Commentaire 10" xfId="796" xr:uid="{037E1472-D39C-4E6E-AD2E-91087DD7F628}"/>
    <cellStyle name="Commentaire 11" xfId="797" xr:uid="{71C25D04-4FDE-4415-A608-62626EE924A7}"/>
    <cellStyle name="Commentaire 12" xfId="798" xr:uid="{2B084F84-79AC-48FA-B062-582C0FACF893}"/>
    <cellStyle name="Commentaire 13" xfId="799" xr:uid="{8C49E979-F19D-467E-A588-11F2C519A670}"/>
    <cellStyle name="Commentaire 14" xfId="800" xr:uid="{12DCDAE2-36F6-4826-9939-16A3944BDF2A}"/>
    <cellStyle name="Commentaire 15" xfId="801" xr:uid="{090FFE38-8F31-44FD-BE80-1D43D94489D0}"/>
    <cellStyle name="Commentaire 16" xfId="802" xr:uid="{F20405B8-0CBB-44C0-B18F-C3BDD691C7B5}"/>
    <cellStyle name="Commentaire 17" xfId="803" xr:uid="{B151204D-0CA0-4FE5-96B9-9E1B5D3FDD18}"/>
    <cellStyle name="Commentaire 18" xfId="804" xr:uid="{BE0CAE65-DF7B-4137-B797-14DAF77B528C}"/>
    <cellStyle name="Commentaire 2" xfId="805" xr:uid="{E0642247-E876-4990-85E6-44C43DBAA6A0}"/>
    <cellStyle name="Commentaire 2 2" xfId="806" xr:uid="{2D12E5CE-5F56-4896-90FD-92C61CEBE39E}"/>
    <cellStyle name="Commentaire 2 2 2" xfId="807" xr:uid="{A30D54B9-9232-4836-81EA-FD09CED1A562}"/>
    <cellStyle name="Commentaire 2 2 2 2" xfId="808" xr:uid="{E29AE4BE-9F14-4CBD-8DC1-270FE9444F0B}"/>
    <cellStyle name="Commentaire 2 2 3" xfId="809" xr:uid="{2E9D7CE1-6AE7-483C-B972-09E7B3464514}"/>
    <cellStyle name="Commentaire 2 2 4" xfId="810" xr:uid="{9785A8DB-1098-4F31-B387-C921C2D39A55}"/>
    <cellStyle name="Commentaire 2 3" xfId="811" xr:uid="{5228B418-309C-4DEA-867A-A4736693295C}"/>
    <cellStyle name="Commentaire 2 3 2" xfId="812" xr:uid="{86C3AADA-BB11-46DD-992A-94812F50A5E8}"/>
    <cellStyle name="Commentaire 2 4" xfId="813" xr:uid="{838C8CAC-54C3-45F2-B992-DA2CA25ED20E}"/>
    <cellStyle name="Commentaire 2 5" xfId="814" xr:uid="{16143E73-C566-41CC-87AA-6CBA0436EC50}"/>
    <cellStyle name="Commentaire 3" xfId="815" xr:uid="{F68AD396-CB40-4FAA-9A92-1B883098B8FE}"/>
    <cellStyle name="Commentaire 3 2" xfId="816" xr:uid="{72B7F17E-50DA-4D2C-8CC5-93A35AE0AFEB}"/>
    <cellStyle name="Commentaire 3 2 2" xfId="817" xr:uid="{3C307201-DB61-4030-80C2-B50D0539A0D6}"/>
    <cellStyle name="Commentaire 3 2 2 2" xfId="818" xr:uid="{C382D322-0065-440C-8A51-15E798E35C55}"/>
    <cellStyle name="Commentaire 3 2 3" xfId="819" xr:uid="{88BDF716-81BB-43FE-95E2-8903C57F6F0D}"/>
    <cellStyle name="Commentaire 3 2 4" xfId="820" xr:uid="{7709A76B-A8B7-44B5-9917-61920D52EA0B}"/>
    <cellStyle name="Commentaire 3 3" xfId="821" xr:uid="{6482D65F-A108-418C-A2DB-9CC6FC134E0D}"/>
    <cellStyle name="Commentaire 3 3 2" xfId="822" xr:uid="{7C9C2B37-7472-435B-A47B-9B17251CDA6F}"/>
    <cellStyle name="Commentaire 3 4" xfId="823" xr:uid="{321E5A46-A8FE-444D-B69F-C2B9D58B403F}"/>
    <cellStyle name="Commentaire 3 5" xfId="824" xr:uid="{0B27297A-2708-41E4-9A8B-155F0C8D5727}"/>
    <cellStyle name="Commentaire 4" xfId="825" xr:uid="{683411AD-FD2B-49BE-9258-2F362443E2DE}"/>
    <cellStyle name="Commentaire 4 2" xfId="826" xr:uid="{33BDEEFB-0B48-43C2-BDA4-3034F732E28D}"/>
    <cellStyle name="Commentaire 4 2 2" xfId="827" xr:uid="{8848F371-457F-4CA3-878A-72563CF00BEA}"/>
    <cellStyle name="Commentaire 4 2 2 2" xfId="828" xr:uid="{3ACD4FBB-84A7-4EEB-B215-CBB9A58F8866}"/>
    <cellStyle name="Commentaire 4 2 3" xfId="829" xr:uid="{6C3B0241-7CC8-4E14-9D8B-304838C10B94}"/>
    <cellStyle name="Commentaire 4 2 4" xfId="830" xr:uid="{705AAFE6-820E-4AC6-8C2B-CC7136DCAA53}"/>
    <cellStyle name="Commentaire 4 3" xfId="831" xr:uid="{8747E659-5C18-428E-B286-B67E5C753278}"/>
    <cellStyle name="Commentaire 4 3 2" xfId="832" xr:uid="{32235835-2AFA-4084-8FB9-CD51E1B7A6F2}"/>
    <cellStyle name="Commentaire 4 4" xfId="833" xr:uid="{1E729198-9D61-461D-A7F2-D4EBF858DE2F}"/>
    <cellStyle name="Commentaire 4 5" xfId="834" xr:uid="{83DC7BB6-F799-4F76-ABAB-E61720C522CB}"/>
    <cellStyle name="Commentaire 5" xfId="835" xr:uid="{59C8870D-DB41-426D-9569-8671B4AD1F03}"/>
    <cellStyle name="Commentaire 5 2" xfId="836" xr:uid="{FA95980B-EFCE-41EE-89A8-90630AB2ABE6}"/>
    <cellStyle name="Commentaire 5 2 2" xfId="837" xr:uid="{477C81E7-0B1C-4D69-BC8E-62B898B78A30}"/>
    <cellStyle name="Commentaire 5 2 3" xfId="838" xr:uid="{A26D41D8-7240-46ED-868F-BDA2B283480C}"/>
    <cellStyle name="Commentaire 5 3" xfId="839" xr:uid="{4CA2FC02-D1EB-4E39-91BB-0B769DDE4ACE}"/>
    <cellStyle name="Commentaire 5 4" xfId="840" xr:uid="{14826893-EF45-439F-9D1A-CF85D57EAF75}"/>
    <cellStyle name="Commentaire 6" xfId="841" xr:uid="{E26F7092-B992-4BD4-8EBA-FB569CD28DA0}"/>
    <cellStyle name="Commentaire 6 2" xfId="842" xr:uid="{AB0C9E4A-DE55-46A7-BD8B-05CE8C53192C}"/>
    <cellStyle name="Commentaire 6 2 2" xfId="843" xr:uid="{A60632D5-BA2C-4C3B-B808-7DF519384663}"/>
    <cellStyle name="Commentaire 6 3" xfId="844" xr:uid="{893AAC85-4A9A-49CC-9B08-4D6DB0810394}"/>
    <cellStyle name="Commentaire 6 4" xfId="845" xr:uid="{7E8EE30A-9C68-450A-BA84-36A0E2502215}"/>
    <cellStyle name="Commentaire 7" xfId="846" xr:uid="{CD509820-1325-4796-B349-4DDD5298896F}"/>
    <cellStyle name="Commentaire 7 2" xfId="847" xr:uid="{9CA52E1E-0B5E-49C8-AF6B-4CD2DAC4E789}"/>
    <cellStyle name="Commentaire 7 2 2" xfId="848" xr:uid="{D3664EB4-B2AF-48FF-9151-154AB53426DC}"/>
    <cellStyle name="Commentaire 7 3" xfId="849" xr:uid="{BF3462F5-A555-4866-8EFA-29C0A994785F}"/>
    <cellStyle name="Commentaire 7 4" xfId="850" xr:uid="{5ACBAFD6-C327-42D5-8FE0-D9FE9DFAA713}"/>
    <cellStyle name="Commentaire 8" xfId="851" xr:uid="{E14A794E-5081-460C-8A4A-690072798D7C}"/>
    <cellStyle name="Commentaire 8 2" xfId="852" xr:uid="{A00965D0-52DA-4E34-A063-3A2D43D02A2F}"/>
    <cellStyle name="Commentaire 8 2 2" xfId="853" xr:uid="{BF581B53-E989-4755-ADD6-3D3848A48C8F}"/>
    <cellStyle name="Commentaire 8 3" xfId="854" xr:uid="{E37B63C8-A282-48E6-B87A-4391E7DD00DD}"/>
    <cellStyle name="Commentaire 8 4" xfId="855" xr:uid="{9E6B976F-29ED-4BFC-863B-ED24FC8FCED9}"/>
    <cellStyle name="Commentaire 9" xfId="856" xr:uid="{18A1BCE9-15EB-4796-B247-3B465BC59790}"/>
    <cellStyle name="Commentaire 9 2" xfId="857" xr:uid="{4BC9D127-52EC-476C-A6E0-E9D1B27A26A3}"/>
    <cellStyle name="Euro" xfId="858" xr:uid="{15AA109C-C668-4D53-A948-829AC1F2BBCA}"/>
    <cellStyle name="Euro 2" xfId="859" xr:uid="{6FA3C582-932D-43C9-AA60-CAC099318841}"/>
    <cellStyle name="Euro 2 2" xfId="860" xr:uid="{ED77A63C-570D-4BD6-B61E-B34EF4BD1E24}"/>
    <cellStyle name="Euro 3" xfId="861" xr:uid="{36BF1D14-A953-426F-A59C-CDEE055004DC}"/>
    <cellStyle name="Explanatory Text 2" xfId="862" xr:uid="{D753F25C-AF66-4DD5-A035-FD48CC893509}"/>
    <cellStyle name="Good 2" xfId="863" xr:uid="{EAE04E35-2EAF-4CD0-9CEA-B1854588843C}"/>
    <cellStyle name="header" xfId="864" xr:uid="{A1DB4268-18E3-46AC-B6D8-90D0D0605E43}"/>
    <cellStyle name="Heading 1 2" xfId="865" xr:uid="{862125D9-E415-4943-885B-03E88ACE79A2}"/>
    <cellStyle name="Heading 2" xfId="866" builtinId="17"/>
    <cellStyle name="Heading 2 2" xfId="867" xr:uid="{87CFED53-9D1E-42C8-BAC0-AEDF1A0B4A43}"/>
    <cellStyle name="Heading 3" xfId="868" builtinId="18"/>
    <cellStyle name="Heading 3 2" xfId="869" xr:uid="{880168AF-97D3-4963-A65C-371AB7C4A8B2}"/>
    <cellStyle name="Heading 4 2" xfId="870" xr:uid="{C4FB3BDE-E784-471C-A613-2C9A48458549}"/>
    <cellStyle name="Hyperlink 2" xfId="871" xr:uid="{3C9550E8-D0D5-4320-A952-7C9DA14CFB78}"/>
    <cellStyle name="Input" xfId="872" builtinId="20" customBuiltin="1"/>
    <cellStyle name="Linked Cell" xfId="873" builtinId="24" customBuiltin="1"/>
    <cellStyle name="Migliaia 2" xfId="874" xr:uid="{B0B602F8-E51D-46F2-8A8E-8E52EE90F37E}"/>
    <cellStyle name="Migliaia 2 2" xfId="875" xr:uid="{329ED18D-C3C1-487D-B3A7-4AADAA369389}"/>
    <cellStyle name="Migliaia 3" xfId="876" xr:uid="{B5848A42-78AD-4D7A-A2E8-5056217A284A}"/>
    <cellStyle name="Migliaia 3 2" xfId="877" xr:uid="{1EA6B70C-F1DC-410A-8492-2DF8B00D7FB4}"/>
    <cellStyle name="Milliers 2" xfId="878" xr:uid="{14A028B5-E169-45DF-AF52-955ABDA4ADD4}"/>
    <cellStyle name="Milliers 2 2" xfId="879" xr:uid="{1E5B5373-275C-4C2A-9E44-F3117C20ED46}"/>
    <cellStyle name="Milliers 3" xfId="880" xr:uid="{8DB4F1AE-0D3F-438E-A3A6-43568940BD78}"/>
    <cellStyle name="Milliers 3 2" xfId="881" xr:uid="{8CA285D5-8F15-4F65-B020-4C8733F03F62}"/>
    <cellStyle name="Milliers 3 3" xfId="882" xr:uid="{1083C085-C740-43FE-B81E-147B0EE77420}"/>
    <cellStyle name="Milliers 4" xfId="883" xr:uid="{EA4DDF83-66F1-40CB-BA47-AFF6C0A2D146}"/>
    <cellStyle name="Milliers 5" xfId="884" xr:uid="{C2DB61B4-7200-435F-9DD6-07EE9823D246}"/>
    <cellStyle name="Neutral 2" xfId="885" xr:uid="{AA9CC13C-B998-4887-B47A-4E55B8866E3E}"/>
    <cellStyle name="Neutrale 2" xfId="886" xr:uid="{FDB02B69-B1CF-4022-B8CF-31D128B637F8}"/>
    <cellStyle name="Normal" xfId="0" builtinId="0"/>
    <cellStyle name="Normal 10" xfId="887" xr:uid="{A030B5E8-7F18-4BDA-98E0-6DAB3D70C086}"/>
    <cellStyle name="Normal 10 2" xfId="888" xr:uid="{594099F6-E0F3-41FB-9495-46A06EC5AE82}"/>
    <cellStyle name="Normal 10 3" xfId="889" xr:uid="{A94B6F93-8860-4B7F-AD30-5B8456A28B4C}"/>
    <cellStyle name="Normal 11" xfId="890" xr:uid="{E6AE0F1E-C697-4CEA-B63E-9B9DFFB4DC99}"/>
    <cellStyle name="Normal 11 2" xfId="891" xr:uid="{E4ADF8D0-918D-4783-A16C-3DE90A21E400}"/>
    <cellStyle name="Normal 11 3" xfId="892" xr:uid="{AE9E1E15-F224-4A61-BEC3-5D3BFC47DEBA}"/>
    <cellStyle name="Normal 12" xfId="893" xr:uid="{FF54F510-F3D7-412D-8AF7-EC79839AE16C}"/>
    <cellStyle name="Normal 12 2" xfId="894" xr:uid="{44F55CF6-AB2E-4B2B-B810-05A9178EB598}"/>
    <cellStyle name="Normal 13" xfId="895" xr:uid="{0336A6A3-B350-455D-A0BB-7EF371146C73}"/>
    <cellStyle name="Normal 13 2" xfId="896" xr:uid="{E8A35E2C-BCD6-4936-8155-67C86D0CAFAD}"/>
    <cellStyle name="Normal 13 3" xfId="897" xr:uid="{3D1646C3-2FE1-48CB-8C10-EE5E60B3792D}"/>
    <cellStyle name="Normal 14" xfId="898" xr:uid="{A4F6211E-1D00-4023-8148-52BF86B40F9C}"/>
    <cellStyle name="Normal 15" xfId="899" xr:uid="{94F7F745-2A35-4C8F-B0AD-BEADA0384FAB}"/>
    <cellStyle name="Normal 16" xfId="900" xr:uid="{5974F347-6CA4-43A1-A71A-797D75BB172D}"/>
    <cellStyle name="Normal 17" xfId="901" xr:uid="{A5557C23-BE4F-4C58-A7A7-B77AF7C67C2F}"/>
    <cellStyle name="Normal 18" xfId="902" xr:uid="{AD13791D-392A-411E-9537-47B13BA42158}"/>
    <cellStyle name="Normal 19" xfId="903" xr:uid="{02D2658B-5459-45DE-986D-DD9ECBC6C597}"/>
    <cellStyle name="Normal 2" xfId="904" xr:uid="{571B5D57-9E30-4C39-8744-AB821670B279}"/>
    <cellStyle name="Normal 2 2" xfId="905" xr:uid="{A8CDF7A9-4A76-4C88-ACA5-EEB833F8277A}"/>
    <cellStyle name="Normal 2 2 2" xfId="906" xr:uid="{C61A8EC0-E15E-46C9-A2D0-01C191E37347}"/>
    <cellStyle name="Normal 2 2 2 2" xfId="907" xr:uid="{086847D2-448D-41AF-B1D1-5B7F1C04D970}"/>
    <cellStyle name="Normal 2 2 3" xfId="908" xr:uid="{223C62B2-BDEB-416D-933E-F88A765597E6}"/>
    <cellStyle name="Normal 2 2 4" xfId="909" xr:uid="{D82CB681-2880-4180-A5AC-6BB1AC816812}"/>
    <cellStyle name="Normal 2 3" xfId="910" xr:uid="{157ACF4E-2145-46CA-98D6-CBD8EBE39DD7}"/>
    <cellStyle name="Normal 2 3 2" xfId="911" xr:uid="{CFA417F7-4036-429C-92A6-054C75E659A2}"/>
    <cellStyle name="Normal 2 3 3" xfId="912" xr:uid="{5A555B9E-0F73-4DD0-B68A-F96F14DAC388}"/>
    <cellStyle name="Normal 2 3 4" xfId="913" xr:uid="{578BFD8E-451F-47BC-B13E-E4BC8C59A12B}"/>
    <cellStyle name="Normal 2 4" xfId="914" xr:uid="{3714609D-4E0E-4998-8B3D-DB6E2C0AEE08}"/>
    <cellStyle name="Normal 2 4 2" xfId="915" xr:uid="{3E6C213B-E941-40A2-9EEA-7E63708A214C}"/>
    <cellStyle name="Normal 2 5" xfId="916" xr:uid="{98FEE8E0-672A-4162-A07B-A96FFF376CDF}"/>
    <cellStyle name="Normal 2 6" xfId="917" xr:uid="{4E0F8E3E-034C-4838-90F2-4D759A101304}"/>
    <cellStyle name="Normal 20" xfId="918" xr:uid="{C2DAF865-2363-49E5-8C80-BB9219FBD010}"/>
    <cellStyle name="Normal 21" xfId="919" xr:uid="{C1E89960-8A3F-4067-8581-D105FBA0E177}"/>
    <cellStyle name="Normal 22" xfId="920" xr:uid="{B31EFF2D-8CC1-47E6-B4FE-C33A80ECA166}"/>
    <cellStyle name="Normal 23" xfId="921" xr:uid="{EE6F5730-9DE0-42E9-867E-1D398C768AF0}"/>
    <cellStyle name="Normal 23 2" xfId="922" xr:uid="{DD7CAB4D-B926-4ABF-8340-BF443C42212B}"/>
    <cellStyle name="Normal 24" xfId="923" xr:uid="{697719FC-B206-4C3B-A52F-F70315BC225C}"/>
    <cellStyle name="Normal 24 2" xfId="924" xr:uid="{E7325065-0D18-4506-B66F-4A60987261D0}"/>
    <cellStyle name="Normal 25" xfId="925" xr:uid="{08751BAB-51EE-473C-B99D-5D95CF17ED8C}"/>
    <cellStyle name="Normal 3" xfId="926" xr:uid="{44A4B374-6B5E-4A5B-893A-FB1C98DB00D0}"/>
    <cellStyle name="Normal 3 2" xfId="927" xr:uid="{52790A93-1412-46EC-84B8-FF90F5BF57E9}"/>
    <cellStyle name="Normal 3 2 2" xfId="928" xr:uid="{DFF7076B-DC7A-44EE-A88C-17DD99212217}"/>
    <cellStyle name="Normal 3 2 2 2" xfId="929" xr:uid="{F43620D9-603E-4BFD-921E-850F7F7E7D5E}"/>
    <cellStyle name="Normal 3 2 3" xfId="930" xr:uid="{6C6D4842-DF6E-40A5-A8AA-751C32F261BE}"/>
    <cellStyle name="Normal 3 2 4" xfId="931" xr:uid="{C6C0BAFC-E542-49A7-BD44-829BC2FD92EE}"/>
    <cellStyle name="Normal 3 2 5" xfId="932" xr:uid="{B338DBC6-FBAC-4EC6-A66F-B61437E8830F}"/>
    <cellStyle name="Normal 3 2 6" xfId="933" xr:uid="{BF239F7A-15E7-4E42-B6A3-45D91B88B76B}"/>
    <cellStyle name="Normal 3 3" xfId="934" xr:uid="{FA8569D2-81D3-489B-BC71-A6395336E5B5}"/>
    <cellStyle name="Normal 3 3 2" xfId="935" xr:uid="{F9A88179-0D40-44FF-8CB1-05D634AF8625}"/>
    <cellStyle name="Normal 3 3 3" xfId="936" xr:uid="{CA2BBF63-C0D8-4DFB-B84F-9D1EBEC3E278}"/>
    <cellStyle name="Normal 3 3 4" xfId="937" xr:uid="{6AB19857-CBE1-4E47-AF6E-8CC826BB35FA}"/>
    <cellStyle name="Normal 3 4" xfId="938" xr:uid="{98DED32F-995A-46FF-A393-DC3BC95E93F7}"/>
    <cellStyle name="Normal 3 5" xfId="939" xr:uid="{9CF0DA24-6EA8-4801-991B-F425B1662916}"/>
    <cellStyle name="Normal 3 6" xfId="940" xr:uid="{F4134D8C-03ED-432A-AACF-59F99C9776AF}"/>
    <cellStyle name="Normal 3 7" xfId="941" xr:uid="{E97E1499-005D-498E-BE78-AB4514EE9B2B}"/>
    <cellStyle name="Normal 3 8" xfId="942" xr:uid="{5FD1B2E7-B565-41D2-8BEA-A29EBC0C8DDF}"/>
    <cellStyle name="Normal 4" xfId="943" xr:uid="{FCDD9F0F-3FF9-486B-ABAD-C8516AF42135}"/>
    <cellStyle name="Normal 4 2" xfId="944" xr:uid="{1A0A82AA-6548-44A8-87B5-616B48F7F142}"/>
    <cellStyle name="Normal 4 2 2" xfId="945" xr:uid="{986BDCEA-2D95-49F6-85DA-CDFAB756DD35}"/>
    <cellStyle name="Normal 4 2 2 2" xfId="946" xr:uid="{A3150995-4FA1-41DC-A9EB-18D14AFB37A1}"/>
    <cellStyle name="Normal 4 2 2 3" xfId="947" xr:uid="{D82F9810-6086-4B82-AE59-00EB656ED004}"/>
    <cellStyle name="Normal 4 2 2 4" xfId="948" xr:uid="{368DB53D-33CE-4095-8BB8-2EBC94400E7C}"/>
    <cellStyle name="Normal 4 2 3" xfId="949" xr:uid="{C613CD0C-6A18-4C9B-9298-78F09E490965}"/>
    <cellStyle name="Normal 4 2 4" xfId="950" xr:uid="{5B885763-9B07-4EC0-A124-0811F6FB5C49}"/>
    <cellStyle name="Normal 4 2 5" xfId="951" xr:uid="{5931B0CC-4E20-4EA3-A214-1100165FCFC4}"/>
    <cellStyle name="Normal 4 2 6" xfId="952" xr:uid="{F70FF29D-54E3-49B6-8A27-726592DA2647}"/>
    <cellStyle name="Normal 4 3" xfId="953" xr:uid="{09486FAC-BEFD-4519-9093-87701F7F517F}"/>
    <cellStyle name="Normal 4 3 2" xfId="954" xr:uid="{DFE9DB15-5725-4930-9437-10D5EB6BED40}"/>
    <cellStyle name="Normal 4 3 3" xfId="955" xr:uid="{85934366-C5A6-4B76-8153-6DEA5A2EAF81}"/>
    <cellStyle name="Normal 4 3 4" xfId="956" xr:uid="{583461E6-8647-4579-89AA-566AF40FA29B}"/>
    <cellStyle name="Normal 4 4" xfId="957" xr:uid="{3FE6624B-817C-4008-AE42-38CD7CE4E1A0}"/>
    <cellStyle name="Normal 4 4 2" xfId="958" xr:uid="{C41FC328-2778-411D-BE9E-7B675C4D6D63}"/>
    <cellStyle name="Normal 4 5" xfId="959" xr:uid="{263370CB-3DC2-4828-AA1D-0853EB609638}"/>
    <cellStyle name="Normal 4 6" xfId="960" xr:uid="{D1832DE3-2DDF-4F44-9A1A-46CCD0F7E55B}"/>
    <cellStyle name="Normal 4 7" xfId="961" xr:uid="{B961B8E3-F456-4FC7-99D7-826825533BF2}"/>
    <cellStyle name="Normal 5" xfId="962" xr:uid="{2245D345-48C4-4456-9FB0-DED4018D2A05}"/>
    <cellStyle name="Normal 5 2" xfId="963" xr:uid="{BD39FDA2-669E-43E5-AB28-7672C2DA7B31}"/>
    <cellStyle name="Normal 5 2 2" xfId="964" xr:uid="{0E5DAD0F-AF1C-49AA-83A9-6212699BEB3C}"/>
    <cellStyle name="Normal 5 2 2 2" xfId="965" xr:uid="{D0A08F73-6773-4088-9823-0B72AA544375}"/>
    <cellStyle name="Normal 5 2 3" xfId="966" xr:uid="{B0A0A669-5CB4-473E-B054-D5B4ECE4B6CB}"/>
    <cellStyle name="Normal 5 2 4" xfId="967" xr:uid="{4DAE3540-5FF8-40BA-B13F-1EA70D4398E8}"/>
    <cellStyle name="Normal 5 2 5" xfId="968" xr:uid="{62F68E1D-4E7D-474E-B9DB-C774E9744A0E}"/>
    <cellStyle name="Normal 5 3" xfId="969" xr:uid="{AE51CD1E-1066-429F-9505-4CCE4C53CB4A}"/>
    <cellStyle name="Normal 5 3 2" xfId="970" xr:uid="{041EC629-D68D-4733-B976-05C78DAC64CD}"/>
    <cellStyle name="Normal 5 3 2 2" xfId="971" xr:uid="{1E9273A3-13EC-44DE-94A6-59ABF5B305EF}"/>
    <cellStyle name="Normal 5 4" xfId="972" xr:uid="{9BF83FD1-D4F5-4C5E-9EA7-5940D993EFF8}"/>
    <cellStyle name="Normal 5 4 2" xfId="973" xr:uid="{87046C89-14FB-469B-8088-0CFB58222B19}"/>
    <cellStyle name="Normal 5 5" xfId="974" xr:uid="{43378841-C6ED-4180-B274-96A08DE79CF8}"/>
    <cellStyle name="Normal 5 6" xfId="975" xr:uid="{1C3B2E58-CFB5-4205-820E-819C0676A8E6}"/>
    <cellStyle name="Normal 5 7" xfId="976" xr:uid="{8919DBB2-A212-4F23-8435-480F1177BCA8}"/>
    <cellStyle name="Normal 6" xfId="977" xr:uid="{78FDA3C1-461E-4F13-9FDA-36C32B680F6A}"/>
    <cellStyle name="Normal 6 2" xfId="978" xr:uid="{AB695F74-B98E-48B3-9F69-11C42C9025D2}"/>
    <cellStyle name="Normal 6 2 2" xfId="979" xr:uid="{0ED55238-656F-4E1F-9632-79DC126E36EC}"/>
    <cellStyle name="Normal 6 2 3" xfId="980" xr:uid="{9353B064-F74C-4FE8-9A18-3980590CD176}"/>
    <cellStyle name="Normal 6 2 4" xfId="981" xr:uid="{41D61A8B-5549-457B-ABC8-E80711ACAB89}"/>
    <cellStyle name="Normal 6 3" xfId="982" xr:uid="{51C79B93-C364-4CF7-923C-8DB4EB76C2FC}"/>
    <cellStyle name="Normal 6 3 2" xfId="983" xr:uid="{C4B3D503-8ACD-44DC-8D08-6BE9535DA1B7}"/>
    <cellStyle name="Normal 6 4" xfId="984" xr:uid="{C2F5196F-C3C2-4165-B939-0FAE315A9CA7}"/>
    <cellStyle name="Normal 6 5" xfId="985" xr:uid="{2DE318EC-2AA8-44C3-BC0C-15CB3D92F1E8}"/>
    <cellStyle name="Normal 7" xfId="986" xr:uid="{87945838-2A2A-41D7-8FF8-0286A405AB3F}"/>
    <cellStyle name="Normal 7 2" xfId="987" xr:uid="{766C9246-48B0-4814-ABCC-A7669E853DBE}"/>
    <cellStyle name="Normal 7 2 2" xfId="988" xr:uid="{D19BC77E-7B66-4EC3-B9B1-668E78B4E506}"/>
    <cellStyle name="Normal 7 3" xfId="989" xr:uid="{F1925576-3121-4613-8721-BA4B801E257F}"/>
    <cellStyle name="Normal 7 4" xfId="990" xr:uid="{0836FE28-C828-4F80-B8F3-92CF4832142A}"/>
    <cellStyle name="Normal 8" xfId="991" xr:uid="{0FC57889-E7D0-42F4-AE38-C9FFCD9A520F}"/>
    <cellStyle name="Normal 8 2" xfId="992" xr:uid="{493383F1-4214-47BA-BB5B-C9FE17DEF231}"/>
    <cellStyle name="Normal 8 2 2" xfId="993" xr:uid="{9CDCD73D-28EC-4C65-B2C7-78DE6213A393}"/>
    <cellStyle name="Normal 8 2 3" xfId="994" xr:uid="{5F418406-A698-421D-82B2-F5C9379DBF1E}"/>
    <cellStyle name="Normal 8 3" xfId="995" xr:uid="{D1C7F237-ED25-4FD6-B1DB-CFFAF15E33E0}"/>
    <cellStyle name="Normal 8 4" xfId="996" xr:uid="{D8BD9CDF-3835-457B-8234-21AB34A63D27}"/>
    <cellStyle name="Normal 8 5" xfId="997" xr:uid="{75C9B8D3-2F1A-4BEE-BFD0-B37E122EE9EB}"/>
    <cellStyle name="Normal 8 6" xfId="998" xr:uid="{1F686DF5-1A43-4BA9-9BFB-B8A035E457B1}"/>
    <cellStyle name="Normal 9" xfId="999" xr:uid="{9140AF07-858B-49B1-B06B-2BF11C772474}"/>
    <cellStyle name="Normal 9 2" xfId="1000" xr:uid="{D3EB0809-089B-47B9-92DB-01A83F33445A}"/>
    <cellStyle name="Normal 9 2 2" xfId="1001" xr:uid="{3439C69B-B234-4A69-8945-E393E483DCA0}"/>
    <cellStyle name="Normal 9 2 3" xfId="1002" xr:uid="{73170AAC-DCB3-4CE6-AB60-E80CA9C290CE}"/>
    <cellStyle name="Normal 9 3" xfId="1003" xr:uid="{62B76468-BE3B-42A2-9212-F90442DABCAD}"/>
    <cellStyle name="Normal 9 3 2" xfId="1004" xr:uid="{50B9E1DF-8C14-4134-A8AC-66DBE74A5C18}"/>
    <cellStyle name="Normal 9 3 3" xfId="1005" xr:uid="{DA932FD3-D404-4C41-BD1E-A14B3A7EBF36}"/>
    <cellStyle name="Normal 9 4" xfId="1006" xr:uid="{9EC842E0-C580-40DC-A408-8BC4A852F4DB}"/>
    <cellStyle name="Normal 9 4 2" xfId="1007" xr:uid="{44808A0C-A5B3-45E8-B718-B25B63E9E94C}"/>
    <cellStyle name="Normal 9 4 3" xfId="1008" xr:uid="{AC8C23B7-ECEE-4F02-ADEB-67B3DCD738FB}"/>
    <cellStyle name="Normal 9 5" xfId="1009" xr:uid="{A39F1C97-46F5-439A-A1D6-50D9B2EDB0F7}"/>
    <cellStyle name="Normale_B - Nuovi Fondi_Comparti" xfId="1010" xr:uid="{408C84C0-2DE6-431E-A5B9-533DD6C01208}"/>
    <cellStyle name="Nota 2" xfId="1011" xr:uid="{658CF633-8C7B-454A-810C-C724AE40907A}"/>
    <cellStyle name="Note" xfId="1012" builtinId="10" customBuiltin="1"/>
    <cellStyle name="Note 2" xfId="1013" xr:uid="{05E423B8-9C1C-4F4A-8FE6-AEB89B21AFF9}"/>
    <cellStyle name="Output" xfId="1014" builtinId="21" customBuiltin="1"/>
    <cellStyle name="Output 2" xfId="1015" xr:uid="{803687A9-463B-4B43-9D14-8B07B0E77F93}"/>
    <cellStyle name="Percent" xfId="1016" builtinId="5"/>
    <cellStyle name="Percent 2" xfId="1017" xr:uid="{190E65BB-E785-43A5-9B0B-25920D9DC866}"/>
    <cellStyle name="Percent 2 2" xfId="1018" xr:uid="{9704171E-243E-49F1-9B6C-488439ECBEF3}"/>
    <cellStyle name="Percent 2 2 2" xfId="1019" xr:uid="{D1FE105C-2E60-4010-8E9B-53537D7CD9DA}"/>
    <cellStyle name="Percent 2 3" xfId="1020" xr:uid="{8494730B-FA10-4A4B-91DF-3924A3CAF035}"/>
    <cellStyle name="Percent 3" xfId="1021" xr:uid="{50C8C7E2-2C3F-42AD-85CE-E60A087AE994}"/>
    <cellStyle name="Percent 3 2" xfId="1022" xr:uid="{1D902D7E-D54E-4226-8BE6-AA880F1B9929}"/>
    <cellStyle name="Percent 3 3" xfId="1023" xr:uid="{D54727D1-92DB-4F38-86F3-6ABFD651F647}"/>
    <cellStyle name="Percent 4" xfId="1024" xr:uid="{1BE30E49-D907-4817-ACD3-E56B61D32C57}"/>
    <cellStyle name="Percent 4 2" xfId="1025" xr:uid="{60BD6707-F5FD-415F-8B23-5FD8DA51FBAD}"/>
    <cellStyle name="Percent 4 3" xfId="1026" xr:uid="{BBA9C084-CAA1-4644-8605-384389F66311}"/>
    <cellStyle name="Percent 4 3 2" xfId="1027" xr:uid="{8B259C07-EC9F-41AF-8F4D-336A3D638570}"/>
    <cellStyle name="Percent 4 4" xfId="1028" xr:uid="{F6B85B04-A0BD-4D0C-81B1-6E90C3A81CC7}"/>
    <cellStyle name="Percent 4 4 2" xfId="1029" xr:uid="{E85F5B38-AD96-440A-9077-5277A741F372}"/>
    <cellStyle name="Percent 5" xfId="1030" xr:uid="{87C02B0D-4829-4489-91DC-0B21178BF78D}"/>
    <cellStyle name="Percent 5 2" xfId="1031" xr:uid="{8F9BCB09-D935-4E2C-9975-D31B9D7B1E24}"/>
    <cellStyle name="Percent 6" xfId="1032" xr:uid="{DD2C6559-6BD0-4DC5-8858-93B09533D2B3}"/>
    <cellStyle name="Percentuale 2" xfId="1033" xr:uid="{A6D0C8B7-E07B-4E51-89CB-755651E2FA9F}"/>
    <cellStyle name="Pourcentage 2" xfId="1034" xr:uid="{266B0A19-6F1A-4747-ADD0-464B934C3ED7}"/>
    <cellStyle name="Pourcentage 2 2" xfId="1035" xr:uid="{F8AD53AD-6C0F-49A0-9235-204DCED8B4F1}"/>
    <cellStyle name="Pourcentage 3" xfId="1036" xr:uid="{960B91DD-2B6D-4D29-9570-FD47D8D0E772}"/>
    <cellStyle name="Pourcentage 4" xfId="1037" xr:uid="{AB010066-223F-45CC-AEE8-5A0CD5BE8C24}"/>
    <cellStyle name="Stile 1" xfId="1038" xr:uid="{5EC869EF-493C-466F-86E6-56887C4A4C31}"/>
    <cellStyle name="Style 1" xfId="1039" xr:uid="{F7779FF3-6308-49D8-8359-C6123C1EEC3D}"/>
    <cellStyle name="Style 1 2" xfId="1040" xr:uid="{0FFD9870-698C-402C-8F94-6CF03109ACF4}"/>
    <cellStyle name="Style 1 2 2" xfId="1041" xr:uid="{DC04B3C6-CDE9-43FE-8AFC-567263452F39}"/>
    <cellStyle name="Style 1 2 3" xfId="1042" xr:uid="{38314F81-66EF-40CB-9DA8-54B63535EC19}"/>
    <cellStyle name="Style 1 3" xfId="1043" xr:uid="{36C7478B-AD77-4F28-982A-F25D31BE9716}"/>
    <cellStyle name="Testo avviso 2" xfId="1044" xr:uid="{EC1041F0-F11E-4270-8359-B6755B5025CC}"/>
    <cellStyle name="Testo descrittivo 2" xfId="1045" xr:uid="{B77F16A8-DF40-441D-8111-74C3C545AB6E}"/>
    <cellStyle name="Title 2" xfId="1046" xr:uid="{EEF46A3D-C8C0-4879-B7D6-9576DF052F30}"/>
    <cellStyle name="Title 3" xfId="1047" xr:uid="{A6B6AB33-84AC-48E4-9CD0-BA60DAB21CC7}"/>
    <cellStyle name="Titolo 1 2" xfId="1048" xr:uid="{8F8DF6BE-2AED-4E60-97BC-D127B8BBABFE}"/>
    <cellStyle name="Titolo 2 2" xfId="1049" xr:uid="{B097862C-6857-4AA2-B88B-59E13BE622D7}"/>
    <cellStyle name="Titolo 3 2" xfId="1050" xr:uid="{301752B2-F04A-49FD-BAAA-DFE2B4A1572F}"/>
    <cellStyle name="Titolo 4 2" xfId="1051" xr:uid="{5A04C344-9978-4676-8B5F-A37CC4EC3CA1}"/>
    <cellStyle name="Titolo 5" xfId="1052" xr:uid="{9B9F5B79-C32F-4720-90FF-7DB43E25044D}"/>
    <cellStyle name="Titre 2" xfId="1053" xr:uid="{8D323697-EB64-4324-B0DE-13CC955AF9E1}"/>
    <cellStyle name="Total" xfId="1054" builtinId="25" customBuiltin="1"/>
    <cellStyle name="Totale 2" xfId="1055" xr:uid="{ABD41E73-0337-483B-AD64-B27A905F8AE7}"/>
    <cellStyle name="Valore non valido 2" xfId="1056" xr:uid="{3CB25191-374A-4BDC-A17A-76BD6C1FFCBB}"/>
    <cellStyle name="Valore valido 2" xfId="1057" xr:uid="{B10DF6F0-FE34-4B82-B3C2-17015FDD009F}"/>
    <cellStyle name="Warning Text" xfId="105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1122287</xdr:colOff>
      <xdr:row>0</xdr:row>
      <xdr:rowOff>295845</xdr:rowOff>
    </xdr:from>
    <xdr:to>
      <xdr:col>4</xdr:col>
      <xdr:colOff>1022039</xdr:colOff>
      <xdr:row>3</xdr:row>
      <xdr:rowOff>270979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A383045-876C-DED8-8C45-87BC7E4912BA}"/>
            </a:ext>
          </a:extLst>
        </xdr:cNvPr>
        <xdr:cNvSpPr txBox="1"/>
      </xdr:nvSpPr>
      <xdr:spPr>
        <a:xfrm>
          <a:off x="2057072" y="270445"/>
          <a:ext cx="6117982" cy="80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 Sicav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AMUNDI FUNDS</a:t>
          </a:r>
        </a:p>
        <a:p>
          <a:r>
            <a:rPr lang="it-IT" sz="2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classi </a:t>
          </a:r>
          <a:r>
            <a:rPr lang="it-IT" sz="2000" b="1" baseline="0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E-E2</a:t>
          </a:r>
          <a:r>
            <a:rPr lang="it-IT" sz="2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/ </a:t>
          </a:r>
          <a:r>
            <a:rPr lang="it-IT" sz="2000" b="1" baseline="0">
              <a:solidFill>
                <a:srgbClr val="00B0F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F-F2</a:t>
          </a:r>
          <a:r>
            <a:rPr lang="it-IT" sz="2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/ </a:t>
          </a:r>
          <a:r>
            <a:rPr lang="it-IT" sz="2000" b="1" baseline="0">
              <a:solidFill>
                <a:srgbClr val="00B0F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G-G2</a:t>
          </a:r>
        </a:p>
      </xdr:txBody>
    </xdr:sp>
    <xdr:clientData/>
  </xdr:twoCellAnchor>
  <xdr:twoCellAnchor editAs="oneCell">
    <xdr:from>
      <xdr:col>1</xdr:col>
      <xdr:colOff>104775</xdr:colOff>
      <xdr:row>0</xdr:row>
      <xdr:rowOff>104775</xdr:rowOff>
    </xdr:from>
    <xdr:to>
      <xdr:col>2</xdr:col>
      <xdr:colOff>847725</xdr:colOff>
      <xdr:row>3</xdr:row>
      <xdr:rowOff>114300</xdr:rowOff>
    </xdr:to>
    <xdr:pic>
      <xdr:nvPicPr>
        <xdr:cNvPr id="107687" name="Picture 3">
          <a:extLst>
            <a:ext uri="{FF2B5EF4-FFF2-40B4-BE49-F238E27FC236}">
              <a16:creationId xmlns:a16="http://schemas.microsoft.com/office/drawing/2014/main" id="{81F53F9A-DA3F-8165-0E2B-570907074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5"/>
          <a:ext cx="2000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1154039</xdr:colOff>
      <xdr:row>0</xdr:row>
      <xdr:rowOff>292263</xdr:rowOff>
    </xdr:from>
    <xdr:to>
      <xdr:col>5</xdr:col>
      <xdr:colOff>120889</xdr:colOff>
      <xdr:row>3</xdr:row>
      <xdr:rowOff>276486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E03B910-EF6D-C556-BEC8-A10D03666772}"/>
            </a:ext>
          </a:extLst>
        </xdr:cNvPr>
        <xdr:cNvSpPr txBox="1"/>
      </xdr:nvSpPr>
      <xdr:spPr>
        <a:xfrm>
          <a:off x="1896045" y="254163"/>
          <a:ext cx="6296144" cy="80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 Sicav 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AMUNDI FUNDS</a:t>
          </a:r>
        </a:p>
        <a:p>
          <a:r>
            <a:rPr lang="it-IT" sz="20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classi </a:t>
          </a:r>
          <a:r>
            <a:rPr lang="it-IT" sz="2000" b="1" baseline="0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M-M2</a:t>
          </a:r>
          <a:endParaRPr lang="it-IT" sz="2000" b="1" baseline="0">
            <a:solidFill>
              <a:srgbClr val="00B0F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123825</xdr:colOff>
      <xdr:row>0</xdr:row>
      <xdr:rowOff>219075</xdr:rowOff>
    </xdr:from>
    <xdr:to>
      <xdr:col>2</xdr:col>
      <xdr:colOff>1038225</xdr:colOff>
      <xdr:row>3</xdr:row>
      <xdr:rowOff>228600</xdr:rowOff>
    </xdr:to>
    <xdr:pic>
      <xdr:nvPicPr>
        <xdr:cNvPr id="108711" name="Picture 3">
          <a:extLst>
            <a:ext uri="{FF2B5EF4-FFF2-40B4-BE49-F238E27FC236}">
              <a16:creationId xmlns:a16="http://schemas.microsoft.com/office/drawing/2014/main" id="{2DD2AC4C-FED3-153F-E0AF-75602202D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9075"/>
          <a:ext cx="20193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1007386</xdr:colOff>
      <xdr:row>0</xdr:row>
      <xdr:rowOff>291775</xdr:rowOff>
    </xdr:from>
    <xdr:to>
      <xdr:col>5</xdr:col>
      <xdr:colOff>1589770</xdr:colOff>
      <xdr:row>3</xdr:row>
      <xdr:rowOff>244388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D40A8EF-C4F1-6BA2-3BF8-345CF39EAA68}"/>
            </a:ext>
          </a:extLst>
        </xdr:cNvPr>
        <xdr:cNvSpPr txBox="1"/>
      </xdr:nvSpPr>
      <xdr:spPr>
        <a:xfrm>
          <a:off x="1859409" y="272725"/>
          <a:ext cx="9121192" cy="793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 Fondi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AMUNDI SOLUZIONI ITALIA 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- </a:t>
          </a:r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AMUNDI S.F.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161925</xdr:rowOff>
    </xdr:from>
    <xdr:to>
      <xdr:col>1</xdr:col>
      <xdr:colOff>1104900</xdr:colOff>
      <xdr:row>3</xdr:row>
      <xdr:rowOff>142875</xdr:rowOff>
    </xdr:to>
    <xdr:pic>
      <xdr:nvPicPr>
        <xdr:cNvPr id="109735" name="Picture 3">
          <a:extLst>
            <a:ext uri="{FF2B5EF4-FFF2-40B4-BE49-F238E27FC236}">
              <a16:creationId xmlns:a16="http://schemas.microsoft.com/office/drawing/2014/main" id="{D829E5F3-817B-1C0E-1BDB-32F36E03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1925"/>
          <a:ext cx="20955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22715</xdr:colOff>
      <xdr:row>1</xdr:row>
      <xdr:rowOff>6432</xdr:rowOff>
    </xdr:from>
    <xdr:to>
      <xdr:col>5</xdr:col>
      <xdr:colOff>1090997</xdr:colOff>
      <xdr:row>3</xdr:row>
      <xdr:rowOff>257590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A6FF456-B683-D509-36E1-BDAF69365AFB}"/>
            </a:ext>
          </a:extLst>
        </xdr:cNvPr>
        <xdr:cNvSpPr txBox="1"/>
      </xdr:nvSpPr>
      <xdr:spPr>
        <a:xfrm>
          <a:off x="2266950" y="258234"/>
          <a:ext cx="9117454" cy="80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Fondi </a:t>
          </a:r>
        </a:p>
        <a:p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AMUNDI FUNDS SOLUTIONS</a:t>
          </a:r>
        </a:p>
      </xdr:txBody>
    </xdr:sp>
    <xdr:clientData/>
  </xdr:twoCellAnchor>
  <xdr:twoCellAnchor editAs="oneCell">
    <xdr:from>
      <xdr:col>0</xdr:col>
      <xdr:colOff>190500</xdr:colOff>
      <xdr:row>0</xdr:row>
      <xdr:rowOff>171450</xdr:rowOff>
    </xdr:from>
    <xdr:to>
      <xdr:col>2</xdr:col>
      <xdr:colOff>0</xdr:colOff>
      <xdr:row>3</xdr:row>
      <xdr:rowOff>219075</xdr:rowOff>
    </xdr:to>
    <xdr:pic>
      <xdr:nvPicPr>
        <xdr:cNvPr id="110759" name="Picture 3">
          <a:extLst>
            <a:ext uri="{FF2B5EF4-FFF2-40B4-BE49-F238E27FC236}">
              <a16:creationId xmlns:a16="http://schemas.microsoft.com/office/drawing/2014/main" id="{5992E1A5-F7A3-547B-B74A-95BE9DBE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019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1009650</xdr:colOff>
      <xdr:row>0</xdr:row>
      <xdr:rowOff>342900</xdr:rowOff>
    </xdr:from>
    <xdr:to>
      <xdr:col>1</xdr:col>
      <xdr:colOff>3495675</xdr:colOff>
      <xdr:row>3</xdr:row>
      <xdr:rowOff>47625</xdr:rowOff>
    </xdr:to>
    <xdr:pic>
      <xdr:nvPicPr>
        <xdr:cNvPr id="111865" name="Picture 2">
          <a:extLst>
            <a:ext uri="{FF2B5EF4-FFF2-40B4-BE49-F238E27FC236}">
              <a16:creationId xmlns:a16="http://schemas.microsoft.com/office/drawing/2014/main" id="{09BC1606-DBC2-58C2-5421-6CC104FA2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295275"/>
          <a:ext cx="2085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5032</xdr:colOff>
      <xdr:row>0</xdr:row>
      <xdr:rowOff>293568</xdr:rowOff>
    </xdr:from>
    <xdr:to>
      <xdr:col>8</xdr:col>
      <xdr:colOff>15938</xdr:colOff>
      <xdr:row>3</xdr:row>
      <xdr:rowOff>2314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7EDA728-97DB-0857-360A-A6A39DA505C0}"/>
            </a:ext>
          </a:extLst>
        </xdr:cNvPr>
        <xdr:cNvSpPr txBox="1"/>
      </xdr:nvSpPr>
      <xdr:spPr>
        <a:xfrm>
          <a:off x="3797789" y="280868"/>
          <a:ext cx="8706827" cy="586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Sicav </a:t>
          </a:r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FIRST EAGLE AMUNDI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161925</xdr:rowOff>
    </xdr:from>
    <xdr:to>
      <xdr:col>1</xdr:col>
      <xdr:colOff>714375</xdr:colOff>
      <xdr:row>3</xdr:row>
      <xdr:rowOff>171450</xdr:rowOff>
    </xdr:to>
    <xdr:pic>
      <xdr:nvPicPr>
        <xdr:cNvPr id="111867" name="Picture 4">
          <a:extLst>
            <a:ext uri="{FF2B5EF4-FFF2-40B4-BE49-F238E27FC236}">
              <a16:creationId xmlns:a16="http://schemas.microsoft.com/office/drawing/2014/main" id="{F861517D-47E7-EA09-1E85-48753B9BB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1925"/>
          <a:ext cx="19240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0</xdr:row>
      <xdr:rowOff>0</xdr:rowOff>
    </xdr:from>
    <xdr:to>
      <xdr:col>1</xdr:col>
      <xdr:colOff>1733550</xdr:colOff>
      <xdr:row>3</xdr:row>
      <xdr:rowOff>228600</xdr:rowOff>
    </xdr:to>
    <xdr:pic>
      <xdr:nvPicPr>
        <xdr:cNvPr id="113132" name="Picture 2">
          <a:extLst>
            <a:ext uri="{FF2B5EF4-FFF2-40B4-BE49-F238E27FC236}">
              <a16:creationId xmlns:a16="http://schemas.microsoft.com/office/drawing/2014/main" id="{8C311E6B-5B14-3B10-9D18-BCB1EDEE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0"/>
          <a:ext cx="11906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1871541</xdr:colOff>
      <xdr:row>1</xdr:row>
      <xdr:rowOff>2687</xdr:rowOff>
    </xdr:from>
    <xdr:to>
      <xdr:col>7</xdr:col>
      <xdr:colOff>1086253</xdr:colOff>
      <xdr:row>2</xdr:row>
      <xdr:rowOff>326512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3C4630C-CC73-ABA6-50A7-B743EDBF0362}"/>
            </a:ext>
          </a:extLst>
        </xdr:cNvPr>
        <xdr:cNvSpPr txBox="1"/>
      </xdr:nvSpPr>
      <xdr:spPr>
        <a:xfrm>
          <a:off x="2705263" y="323362"/>
          <a:ext cx="9112900" cy="600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20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</a:t>
          </a:r>
          <a:r>
            <a:rPr lang="it-IT" sz="20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Sicav </a:t>
          </a:r>
          <a:r>
            <a:rPr lang="it-IT" sz="20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CPR INVEST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180975</xdr:rowOff>
    </xdr:from>
    <xdr:to>
      <xdr:col>1</xdr:col>
      <xdr:colOff>419100</xdr:colOff>
      <xdr:row>2</xdr:row>
      <xdr:rowOff>361950</xdr:rowOff>
    </xdr:to>
    <xdr:pic>
      <xdr:nvPicPr>
        <xdr:cNvPr id="113134" name="Picture 4">
          <a:extLst>
            <a:ext uri="{FF2B5EF4-FFF2-40B4-BE49-F238E27FC236}">
              <a16:creationId xmlns:a16="http://schemas.microsoft.com/office/drawing/2014/main" id="{50244DF4-9BD5-A6C5-FE19-50362D756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80975"/>
          <a:ext cx="1600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113831" name="Picture 2">
          <a:extLst>
            <a:ext uri="{FF2B5EF4-FFF2-40B4-BE49-F238E27FC236}">
              <a16:creationId xmlns:a16="http://schemas.microsoft.com/office/drawing/2014/main" id="{3DC685A2-EC4E-3C80-8E63-5993A8AB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725170</xdr:colOff>
      <xdr:row>0</xdr:row>
      <xdr:rowOff>121286</xdr:rowOff>
    </xdr:from>
    <xdr:to>
      <xdr:col>4</xdr:col>
      <xdr:colOff>650266</xdr:colOff>
      <xdr:row>2</xdr:row>
      <xdr:rowOff>172220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37E8290-8B58-D116-6143-FCA631E4BEEC}"/>
            </a:ext>
          </a:extLst>
        </xdr:cNvPr>
        <xdr:cNvSpPr txBox="1"/>
      </xdr:nvSpPr>
      <xdr:spPr>
        <a:xfrm>
          <a:off x="1819275" y="104776"/>
          <a:ext cx="7620000" cy="371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6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STACCHI CEDOLA</a:t>
          </a:r>
          <a:r>
            <a:rPr lang="it-IT" sz="16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Sicav </a:t>
          </a:r>
          <a:r>
            <a:rPr lang="it-IT" sz="16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Fund Channel Investment Partners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erardi\AppData\Local\Microsoft\Windows\INetCache\Content.Outlook\VCRS1NH8\Italian%20Report%20FEA%20Funds%20(Quarterly)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erardi\AppData\Local\Microsoft\Windows\INetCache\Content.Outlook\N2VJCJ7F\NAVPRICE_20220104010609_FPNO_20220103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erardi\AppData\Local\Microsoft\Windows\INetCache\Content.Outlook\Z8B2WU4P\Italian%20Report%20FEA%20Funds%20(Quarterly)%20May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rrsbr\AppData\Local\Microsoft\Windows\INetCache\Content.Outlook\0B27QE9G\Italian%20Report%20Amundi%20Funds%20Method%20MTI%20QTI%20SAT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-its\amundi_milan\Homedirs\fbrrsbr\@Config\Desktop\SCARICHI\cedole%202025%2003%203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mundi_Milan/Sales&amp;Marketing/_COMMON/SERVICES%20&amp;%20SOLUTIONS/STACCHI%20CEDOLE/FONDI%20LUX/quote%20capitale_quota%20provento/2025_03_rd/Italian%20Report%20Amundi%20Funds%20Method%20Q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mundi_Milan/Sales&amp;Marketing/_COMMON/SERVICES%20&amp;%20SOLUTIONS/STACCHI%20CEDOLE/FONDI%20LUX/CALENDARI%20CEDOLE_OBIETTIVI/2025/AF_Annual%20Dividend%20Distribution%2030%20June%2020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mundi_Milan/Sales&amp;Marketing/_COMMON/SERVICES%20&amp;%20SOLUTIONS/STACCHI%20CEDOLE/FONDI%20LUX/quote%20capitale_quota%20provento/2025_09_rd/Italian%20Report%20Amundi%20Funds%20Method%20Q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erardi\AppData\Local\Microsoft\Windows\INetCache\Content.Outlook\UY1E8AYW\NAVPRICE_20251202024534_FPNO_20251201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</sheetNames>
    <sheetDataSet>
      <sheetData sheetId="0">
        <row r="2">
          <cell r="A2" t="str">
            <v>LU0878866978</v>
          </cell>
          <cell r="B2" t="str">
            <v>FIRST EAGLE AMUNDI INTERNATIONAL FUND</v>
          </cell>
          <cell r="C2" t="str">
            <v>Class AHS-QD</v>
          </cell>
          <cell r="D2" t="str">
            <v>31.18% Net Income</v>
          </cell>
          <cell r="E2">
            <v>0.67523488458318126</v>
          </cell>
          <cell r="F2">
            <v>0.30588811541681871</v>
          </cell>
          <cell r="G2">
            <v>0.98112299999999997</v>
          </cell>
          <cell r="H2" t="str">
            <v>SGD</v>
          </cell>
        </row>
        <row r="3">
          <cell r="A3" t="str">
            <v>LU1332727475</v>
          </cell>
          <cell r="B3" t="str">
            <v>FIRST EAGLE AMUNDI INTERNATIONAL FUND</v>
          </cell>
          <cell r="C3" t="str">
            <v>Class RHS-QD ( D )</v>
          </cell>
          <cell r="D3" t="str">
            <v>32.87% Net Income</v>
          </cell>
          <cell r="E3">
            <v>0.67547328346842805</v>
          </cell>
          <cell r="F3">
            <v>0.33068771653157203</v>
          </cell>
          <cell r="G3">
            <v>1.0061610000000001</v>
          </cell>
          <cell r="H3" t="str">
            <v>SGD</v>
          </cell>
        </row>
        <row r="4">
          <cell r="A4" t="str">
            <v>LU0565134938</v>
          </cell>
          <cell r="B4" t="str">
            <v>FIRST EAGLE AMUNDI INTERNATIONAL FUND</v>
          </cell>
          <cell r="C4" t="str">
            <v>Class AHE-QD</v>
          </cell>
          <cell r="D4" t="str">
            <v>29.46% Net Income</v>
          </cell>
          <cell r="E4">
            <v>0.61460038918996374</v>
          </cell>
          <cell r="F4">
            <v>0.25673861081003624</v>
          </cell>
          <cell r="G4">
            <v>0.87133899999999997</v>
          </cell>
          <cell r="H4" t="str">
            <v>EUR</v>
          </cell>
        </row>
        <row r="5">
          <cell r="A5" t="str">
            <v>LU0565135406</v>
          </cell>
          <cell r="B5" t="str">
            <v>FIRST EAGLE AMUNDI INTERNATIONAL FUND</v>
          </cell>
          <cell r="C5" t="str">
            <v>Class AHG-QD</v>
          </cell>
          <cell r="D5" t="str">
            <v>29.87% Net Income</v>
          </cell>
          <cell r="E5">
            <v>0.67130675959955532</v>
          </cell>
          <cell r="F5">
            <v>0.28590324040044474</v>
          </cell>
          <cell r="G5">
            <v>0.95721000000000001</v>
          </cell>
          <cell r="H5" t="str">
            <v>GBP</v>
          </cell>
        </row>
        <row r="6">
          <cell r="A6" t="str">
            <v>LU0565419693</v>
          </cell>
          <cell r="B6" t="str">
            <v>FIRST EAGLE AMUNDI INTERNATIONAL FUND</v>
          </cell>
          <cell r="C6" t="str">
            <v>Class AE-QD</v>
          </cell>
          <cell r="D6" t="str">
            <v>32.67% Net Income</v>
          </cell>
          <cell r="E6">
            <v>0.7938011011498044</v>
          </cell>
          <cell r="F6">
            <v>0.38509389885019568</v>
          </cell>
          <cell r="G6">
            <v>1.178895</v>
          </cell>
          <cell r="H6" t="str">
            <v>EUR</v>
          </cell>
        </row>
        <row r="7">
          <cell r="A7" t="str">
            <v>LU0878867943</v>
          </cell>
          <cell r="B7" t="str">
            <v>FIRST EAGLE AMUNDI INTERNATIONAL FUND</v>
          </cell>
          <cell r="C7" t="str">
            <v>Class RHE-QD</v>
          </cell>
          <cell r="D7" t="str">
            <v>31.56% Net Income</v>
          </cell>
          <cell r="E7">
            <v>0.64185743782027682</v>
          </cell>
          <cell r="F7">
            <v>0.29599856217972326</v>
          </cell>
          <cell r="G7">
            <v>0.93785600000000002</v>
          </cell>
          <cell r="H7" t="str">
            <v>EUR</v>
          </cell>
        </row>
        <row r="8">
          <cell r="A8" t="str">
            <v>LU0878867786</v>
          </cell>
          <cell r="B8" t="str">
            <v>FIRST EAGLE AMUNDI INTERNATIONAL FUND</v>
          </cell>
          <cell r="C8" t="str">
            <v>Class RU-QD</v>
          </cell>
          <cell r="D8" t="str">
            <v>34.03% Net Income</v>
          </cell>
          <cell r="E8">
            <v>0.63993162540382265</v>
          </cell>
          <cell r="F8">
            <v>0.3300613745961774</v>
          </cell>
          <cell r="G8">
            <v>0.96999299999999999</v>
          </cell>
          <cell r="H8" t="str">
            <v>USD</v>
          </cell>
        </row>
        <row r="9">
          <cell r="A9" t="str">
            <v>LU0878867513</v>
          </cell>
          <cell r="B9" t="str">
            <v>FIRST EAGLE AMUNDI INTERNATIONAL FUND</v>
          </cell>
          <cell r="C9" t="str">
            <v>Class RE-QD</v>
          </cell>
          <cell r="D9" t="str">
            <v>34.32% Net Income</v>
          </cell>
          <cell r="E9">
            <v>0.62284945690795668</v>
          </cell>
          <cell r="F9">
            <v>0.32549354309204342</v>
          </cell>
          <cell r="G9">
            <v>0.94834300000000005</v>
          </cell>
          <cell r="H9" t="str">
            <v>EUR</v>
          </cell>
        </row>
        <row r="10">
          <cell r="A10" t="str">
            <v>LU1095739907</v>
          </cell>
          <cell r="B10" t="str">
            <v>FIRST EAGLE AMUNDI INCOME BUILDER FUND</v>
          </cell>
          <cell r="C10" t="str">
            <v>Class AU-QD ( D )</v>
          </cell>
          <cell r="D10" t="str">
            <v>53.39% Net Income</v>
          </cell>
          <cell r="E10">
            <v>0.49219257634172692</v>
          </cell>
          <cell r="F10">
            <v>0.56385942365827313</v>
          </cell>
          <cell r="G10">
            <v>1.056052</v>
          </cell>
          <cell r="H10" t="str">
            <v>USD</v>
          </cell>
        </row>
        <row r="11">
          <cell r="A11" t="str">
            <v>LU1095740319</v>
          </cell>
          <cell r="B11" t="str">
            <v>FIRST EAGLE AMUNDI INCOME BUILDER FUND</v>
          </cell>
          <cell r="C11" t="str">
            <v>Class AHE-QD ( D )</v>
          </cell>
          <cell r="D11" t="str">
            <v>100% Net Income</v>
          </cell>
          <cell r="E11">
            <v>0</v>
          </cell>
          <cell r="F11">
            <v>0.19253443000000001</v>
          </cell>
          <cell r="G11">
            <v>0.19253443000000001</v>
          </cell>
          <cell r="H11" t="str">
            <v>EUR</v>
          </cell>
        </row>
        <row r="12">
          <cell r="A12" t="str">
            <v>LU1095740400</v>
          </cell>
          <cell r="B12" t="str">
            <v>FIRST EAGLE AMUNDI INCOME BUILDER FUND</v>
          </cell>
          <cell r="C12" t="str">
            <v>Class AHG-QD ( D )</v>
          </cell>
          <cell r="D12" t="str">
            <v>51.49% Net Income</v>
          </cell>
          <cell r="E12">
            <v>0.49365596160354436</v>
          </cell>
          <cell r="F12">
            <v>0.52404003839645563</v>
          </cell>
          <cell r="G12">
            <v>1.0176959999999999</v>
          </cell>
          <cell r="H12" t="str">
            <v>GBP</v>
          </cell>
        </row>
        <row r="13">
          <cell r="A13" t="str">
            <v>LU2104304311</v>
          </cell>
          <cell r="B13" t="str">
            <v>FIRST EAGLE AMUNDI INCOME BUILDER FUND</v>
          </cell>
          <cell r="C13" t="str">
            <v>Class AHE-QD ( D )</v>
          </cell>
          <cell r="D13" t="str">
            <v>50.38% Net Income</v>
          </cell>
          <cell r="E13">
            <v>0.58403301414797515</v>
          </cell>
          <cell r="F13">
            <v>0.59302598585202493</v>
          </cell>
          <cell r="G13">
            <v>1.1770590000000001</v>
          </cell>
          <cell r="H13" t="str">
            <v>EUR</v>
          </cell>
        </row>
        <row r="14">
          <cell r="A14" t="str">
            <v>LU1095739733</v>
          </cell>
          <cell r="B14" t="str">
            <v>FIRST EAGLE AMUNDI INCOME BUILDER FUND</v>
          </cell>
          <cell r="C14" t="str">
            <v>Class AE-QD ( D )</v>
          </cell>
          <cell r="D14" t="str">
            <v>53.39% Net Income</v>
          </cell>
          <cell r="E14">
            <v>0.53907845522835407</v>
          </cell>
          <cell r="F14">
            <v>0.617494544771646</v>
          </cell>
          <cell r="G14">
            <v>1.1565730000000001</v>
          </cell>
          <cell r="H14" t="str">
            <v>EUR</v>
          </cell>
        </row>
        <row r="15">
          <cell r="A15" t="str">
            <v>LU1095740665</v>
          </cell>
          <cell r="B15" t="str">
            <v>FIRST EAGLE AMUNDI INCOME BUILDER FUND</v>
          </cell>
          <cell r="C15" t="str">
            <v>Class FE-QD ( D )</v>
          </cell>
          <cell r="D15" t="str">
            <v>52.15% Net Income</v>
          </cell>
          <cell r="E15">
            <v>0.46848136633363724</v>
          </cell>
          <cell r="F15">
            <v>0.51050763366636276</v>
          </cell>
          <cell r="G15">
            <v>0.978989</v>
          </cell>
          <cell r="H15" t="str">
            <v>EUR</v>
          </cell>
        </row>
        <row r="16">
          <cell r="A16" t="str">
            <v>LU1095740749</v>
          </cell>
          <cell r="B16" t="str">
            <v>FIRST EAGLE AMUNDI INCOME BUILDER FUND</v>
          </cell>
          <cell r="C16" t="str">
            <v>Class FHE-QD ( D )</v>
          </cell>
          <cell r="D16" t="str">
            <v>48.03% Net Income</v>
          </cell>
          <cell r="E16">
            <v>0.47752227288008053</v>
          </cell>
          <cell r="F16">
            <v>0.44134172711991948</v>
          </cell>
          <cell r="G16">
            <v>0.91886400000000001</v>
          </cell>
          <cell r="H16" t="str">
            <v>EUR</v>
          </cell>
        </row>
        <row r="17">
          <cell r="A17" t="str">
            <v>LU1095741556</v>
          </cell>
          <cell r="B17" t="str">
            <v>FIRST EAGLE AMUNDI INCOME BUILDER FUND</v>
          </cell>
          <cell r="C17" t="str">
            <v>Class IHE-QD ( D )</v>
          </cell>
          <cell r="D17" t="str">
            <v>100% Net Income</v>
          </cell>
          <cell r="E17">
            <v>0</v>
          </cell>
          <cell r="F17">
            <v>9.9103569999999994</v>
          </cell>
          <cell r="G17">
            <v>9.9103569999999994</v>
          </cell>
          <cell r="H17" t="str">
            <v>EUR</v>
          </cell>
        </row>
        <row r="18">
          <cell r="A18" t="str">
            <v>LU1200996475</v>
          </cell>
          <cell r="B18" t="str">
            <v>FIRST EAGLE AMUNDI INCOME BUILDER FUND</v>
          </cell>
          <cell r="C18" t="str">
            <v>Class IU4-QD ( D )</v>
          </cell>
          <cell r="D18" t="str">
            <v>54.64% Net Income</v>
          </cell>
          <cell r="E18">
            <v>5.2744304496564132</v>
          </cell>
          <cell r="F18">
            <v>6.3537605503435861</v>
          </cell>
          <cell r="G18">
            <v>11.628190999999999</v>
          </cell>
          <cell r="H18" t="str">
            <v>USD</v>
          </cell>
        </row>
        <row r="19">
          <cell r="A19" t="str">
            <v>LU1095741473</v>
          </cell>
          <cell r="B19" t="str">
            <v>FIRST EAGLE AMUNDI INCOME BUILDER FUND</v>
          </cell>
          <cell r="C19" t="str">
            <v>Class IU-QD ( D )</v>
          </cell>
          <cell r="D19" t="str">
            <v>54.66% Net Income</v>
          </cell>
          <cell r="E19">
            <v>5.0244646038241054</v>
          </cell>
          <cell r="F19">
            <v>6.0564793961758951</v>
          </cell>
          <cell r="G19">
            <v>11.080944000000001</v>
          </cell>
          <cell r="H19" t="str">
            <v>USD</v>
          </cell>
        </row>
        <row r="20">
          <cell r="A20" t="str">
            <v>LU1820867205</v>
          </cell>
          <cell r="B20" t="str">
            <v>FIRST EAGLE AMUNDI INCOME BUILDER FUND</v>
          </cell>
          <cell r="C20" t="str">
            <v>Class OHE-QD ( D )</v>
          </cell>
          <cell r="D20" t="str">
            <v>100% Net Income</v>
          </cell>
          <cell r="E20">
            <v>0</v>
          </cell>
          <cell r="F20">
            <v>6.43</v>
          </cell>
          <cell r="G20">
            <v>6.43</v>
          </cell>
          <cell r="H20" t="str">
            <v>EUR</v>
          </cell>
        </row>
        <row r="21">
          <cell r="A21" t="str">
            <v>LU1095741127</v>
          </cell>
          <cell r="B21" t="str">
            <v>FIRST EAGLE AMUNDI INCOME BUILDER FUND</v>
          </cell>
          <cell r="C21" t="str">
            <v>Class RHE-QD ( D )</v>
          </cell>
          <cell r="D21" t="str">
            <v>0% Net Income</v>
          </cell>
          <cell r="E21">
            <v>1.0736250000000001</v>
          </cell>
          <cell r="F21">
            <v>0</v>
          </cell>
          <cell r="G21">
            <v>1.0736250000000001</v>
          </cell>
          <cell r="H21" t="str">
            <v>EUR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PRICE_20220104010609_FPNO_20"/>
    </sheetNames>
    <sheetDataSet>
      <sheetData sheetId="0" refreshError="1">
        <row r="8">
          <cell r="A8" t="str">
            <v>LU1882469239</v>
          </cell>
          <cell r="B8" t="str">
            <v>AF EURO AGGREGATE BOND</v>
          </cell>
          <cell r="C8" t="str">
            <v>Class M2 EUR QTD (D)</v>
          </cell>
          <cell r="D8" t="str">
            <v>EUR</v>
          </cell>
          <cell r="E8" t="str">
            <v>03-Jan-2022</v>
          </cell>
          <cell r="F8">
            <v>53046204.079999998</v>
          </cell>
          <cell r="G8">
            <v>52199.006999999998</v>
          </cell>
          <cell r="H8">
            <v>1016.23</v>
          </cell>
          <cell r="I8">
            <v>1.054</v>
          </cell>
          <cell r="J8">
            <v>1016.23</v>
          </cell>
        </row>
        <row r="9">
          <cell r="A9" t="str">
            <v>LU1882467886</v>
          </cell>
          <cell r="B9" t="str">
            <v>AF EURO AGGREGATE BOND</v>
          </cell>
          <cell r="C9" t="str">
            <v>Class A2 USD Hgd (C)</v>
          </cell>
          <cell r="D9" t="str">
            <v>USD</v>
          </cell>
          <cell r="E9" t="str">
            <v>03-Jan-2022</v>
          </cell>
          <cell r="F9">
            <v>730039.81</v>
          </cell>
          <cell r="G9">
            <v>13859.281000000001</v>
          </cell>
          <cell r="H9">
            <v>52.68</v>
          </cell>
          <cell r="I9">
            <v>0</v>
          </cell>
          <cell r="J9">
            <v>54.26</v>
          </cell>
        </row>
        <row r="10">
          <cell r="A10" t="str">
            <v>LU0616240825</v>
          </cell>
          <cell r="B10" t="str">
            <v>AF EURO AGGREGATE BOND</v>
          </cell>
          <cell r="C10" t="str">
            <v>Class I2 EUR MD (D)</v>
          </cell>
          <cell r="D10" t="str">
            <v>EUR</v>
          </cell>
          <cell r="E10" t="str">
            <v>03-Jan-2022</v>
          </cell>
          <cell r="F10">
            <v>8929264.9100000001</v>
          </cell>
          <cell r="G10">
            <v>13275</v>
          </cell>
          <cell r="H10">
            <v>672.64</v>
          </cell>
          <cell r="I10">
            <v>6</v>
          </cell>
          <cell r="J10">
            <v>672.64</v>
          </cell>
        </row>
        <row r="11">
          <cell r="A11" t="str">
            <v>LU1882467613</v>
          </cell>
          <cell r="B11" t="str">
            <v>AF EURO AGGREGATE BOND</v>
          </cell>
          <cell r="C11" t="str">
            <v>Class A2 EUR MD (D)</v>
          </cell>
          <cell r="D11" t="str">
            <v>EUR</v>
          </cell>
          <cell r="E11" t="str">
            <v>03-Jan-2022</v>
          </cell>
          <cell r="F11">
            <v>142162.07999999999</v>
          </cell>
          <cell r="G11">
            <v>2826.1860000000001</v>
          </cell>
          <cell r="H11">
            <v>50.3</v>
          </cell>
          <cell r="I11">
            <v>1.7500000000000002E-2</v>
          </cell>
          <cell r="J11">
            <v>51.81</v>
          </cell>
        </row>
        <row r="12">
          <cell r="A12" t="str">
            <v>LU1882468181</v>
          </cell>
          <cell r="B12" t="str">
            <v>AF EURO AGGREGATE BOND</v>
          </cell>
          <cell r="C12" t="str">
            <v>Class E2 EUR AD (D)</v>
          </cell>
          <cell r="D12" t="str">
            <v>EUR</v>
          </cell>
          <cell r="E12" t="str">
            <v>03-Jan-2022</v>
          </cell>
          <cell r="F12">
            <v>17672554.48</v>
          </cell>
          <cell r="G12">
            <v>3487765.6949999998</v>
          </cell>
          <cell r="H12">
            <v>5.0670000000000002</v>
          </cell>
          <cell r="I12">
            <v>0</v>
          </cell>
          <cell r="J12">
            <v>5.0670000000000002</v>
          </cell>
        </row>
        <row r="13">
          <cell r="A13" t="str">
            <v>LU1103159536</v>
          </cell>
          <cell r="B13" t="str">
            <v>AF EURO AGGREGATE BOND</v>
          </cell>
          <cell r="C13" t="str">
            <v>Class A2 EUR (C)</v>
          </cell>
          <cell r="D13" t="str">
            <v>EUR</v>
          </cell>
          <cell r="E13" t="str">
            <v>03-Jan-2022</v>
          </cell>
          <cell r="F13">
            <v>48922491.600000001</v>
          </cell>
          <cell r="G13">
            <v>480587.06400000001</v>
          </cell>
          <cell r="H13">
            <v>101.8</v>
          </cell>
          <cell r="I13">
            <v>0</v>
          </cell>
          <cell r="J13">
            <v>101.8</v>
          </cell>
        </row>
        <row r="14">
          <cell r="A14" t="str">
            <v>LU1103159619</v>
          </cell>
          <cell r="B14" t="str">
            <v>AF EURO AGGREGATE BOND</v>
          </cell>
          <cell r="C14" t="str">
            <v>Class A2 EUR AD (D)</v>
          </cell>
          <cell r="D14" t="str">
            <v>EUR</v>
          </cell>
          <cell r="E14" t="str">
            <v>03-Jan-2022</v>
          </cell>
          <cell r="F14">
            <v>46493927.869999997</v>
          </cell>
          <cell r="G14">
            <v>452245.25900000002</v>
          </cell>
          <cell r="H14">
            <v>102.81</v>
          </cell>
          <cell r="I14">
            <v>0</v>
          </cell>
          <cell r="J14">
            <v>102.81</v>
          </cell>
        </row>
        <row r="15">
          <cell r="A15" t="str">
            <v>LU1882468009</v>
          </cell>
          <cell r="B15" t="str">
            <v>AF EURO AGGREGATE BOND</v>
          </cell>
          <cell r="C15" t="str">
            <v>Class E2 EUR (C)</v>
          </cell>
          <cell r="D15" t="str">
            <v>EUR</v>
          </cell>
          <cell r="E15" t="str">
            <v>03-Jan-2022</v>
          </cell>
          <cell r="F15">
            <v>70328978.870000005</v>
          </cell>
          <cell r="G15">
            <v>13744302.323000001</v>
          </cell>
          <cell r="H15">
            <v>5.117</v>
          </cell>
          <cell r="I15">
            <v>0</v>
          </cell>
          <cell r="J15">
            <v>5.117</v>
          </cell>
        </row>
        <row r="16">
          <cell r="A16" t="str">
            <v>LU1882468421</v>
          </cell>
          <cell r="B16" t="str">
            <v>AF EURO AGGREGATE BOND</v>
          </cell>
          <cell r="C16" t="str">
            <v>Class F EUR AD (D)</v>
          </cell>
          <cell r="D16" t="str">
            <v>EUR</v>
          </cell>
          <cell r="E16" t="str">
            <v>03-Jan-2022</v>
          </cell>
          <cell r="F16">
            <v>13190307.359999999</v>
          </cell>
          <cell r="G16">
            <v>2625407.5819999999</v>
          </cell>
          <cell r="H16">
            <v>5.024</v>
          </cell>
          <cell r="I16">
            <v>0</v>
          </cell>
          <cell r="J16">
            <v>5.024</v>
          </cell>
        </row>
        <row r="17">
          <cell r="A17" t="str">
            <v>LU0616241989</v>
          </cell>
          <cell r="B17" t="str">
            <v>AF EURO AGGREGATE BOND</v>
          </cell>
          <cell r="C17" t="str">
            <v>Class F2 EUR (C)</v>
          </cell>
          <cell r="D17" t="str">
            <v>EUR</v>
          </cell>
          <cell r="E17" t="str">
            <v>03-Jan-2022</v>
          </cell>
          <cell r="F17">
            <v>3647659.72</v>
          </cell>
          <cell r="G17">
            <v>26696.896000000001</v>
          </cell>
          <cell r="H17">
            <v>136.63</v>
          </cell>
          <cell r="I17">
            <v>0</v>
          </cell>
          <cell r="J17">
            <v>136.63</v>
          </cell>
        </row>
        <row r="18">
          <cell r="A18" t="str">
            <v>LU1882468348</v>
          </cell>
          <cell r="B18" t="str">
            <v>AF EURO AGGREGATE BOND</v>
          </cell>
          <cell r="C18" t="str">
            <v>Class F EUR (C)</v>
          </cell>
          <cell r="D18" t="str">
            <v>EUR</v>
          </cell>
          <cell r="E18" t="str">
            <v>03-Jan-2022</v>
          </cell>
          <cell r="F18">
            <v>26020926.32</v>
          </cell>
          <cell r="G18">
            <v>5169203.8660000004</v>
          </cell>
          <cell r="H18">
            <v>5.0339999999999998</v>
          </cell>
          <cell r="I18">
            <v>0</v>
          </cell>
          <cell r="J18">
            <v>5.0339999999999998</v>
          </cell>
        </row>
        <row r="19">
          <cell r="A19" t="str">
            <v>LU1998918475</v>
          </cell>
          <cell r="B19" t="str">
            <v>AF EURO AGGREGATE BOND</v>
          </cell>
          <cell r="C19" t="str">
            <v>Class H EUR (C)</v>
          </cell>
          <cell r="D19" t="str">
            <v>EUR</v>
          </cell>
          <cell r="E19" t="str">
            <v>03-Jan-2022</v>
          </cell>
          <cell r="F19">
            <v>5437452.4199999999</v>
          </cell>
          <cell r="G19">
            <v>5423.4830000000002</v>
          </cell>
          <cell r="H19">
            <v>1002.58</v>
          </cell>
          <cell r="I19">
            <v>0</v>
          </cell>
          <cell r="J19">
            <v>1002.58</v>
          </cell>
        </row>
        <row r="20">
          <cell r="A20" t="str">
            <v>LU0616240585</v>
          </cell>
          <cell r="B20" t="str">
            <v>AF EURO AGGREGATE BOND</v>
          </cell>
          <cell r="C20" t="str">
            <v>Class I EUR (C)</v>
          </cell>
          <cell r="D20" t="str">
            <v>EUR</v>
          </cell>
          <cell r="E20" t="str">
            <v>03-Jan-2022</v>
          </cell>
          <cell r="F20">
            <v>110652812.43000001</v>
          </cell>
          <cell r="G20">
            <v>73663.331000000006</v>
          </cell>
          <cell r="H20">
            <v>1502.14</v>
          </cell>
          <cell r="I20">
            <v>0</v>
          </cell>
          <cell r="J20">
            <v>1502.14</v>
          </cell>
        </row>
        <row r="21">
          <cell r="A21" t="str">
            <v>LU1882468777</v>
          </cell>
          <cell r="B21" t="str">
            <v>AF EURO AGGREGATE BOND</v>
          </cell>
          <cell r="C21" t="str">
            <v>Class I2 EUR QTD (D)</v>
          </cell>
          <cell r="D21" t="str">
            <v>EUR</v>
          </cell>
          <cell r="E21" t="str">
            <v>03-Jan-2022</v>
          </cell>
          <cell r="F21">
            <v>2926796.33</v>
          </cell>
          <cell r="G21">
            <v>2877.8960000000002</v>
          </cell>
          <cell r="H21">
            <v>1016.99</v>
          </cell>
          <cell r="I21">
            <v>1.0542</v>
          </cell>
          <cell r="J21">
            <v>1016.99</v>
          </cell>
        </row>
        <row r="22">
          <cell r="A22" t="str">
            <v>LU1882468850</v>
          </cell>
          <cell r="B22" t="str">
            <v>AF EURO AGGREGATE BOND</v>
          </cell>
          <cell r="C22" t="str">
            <v>Class I2 USD Hgd (C)</v>
          </cell>
          <cell r="D22" t="str">
            <v>USD</v>
          </cell>
          <cell r="E22" t="str">
            <v>03-Jan-2022</v>
          </cell>
          <cell r="F22">
            <v>7769290.3300000001</v>
          </cell>
          <cell r="G22">
            <v>7248.8230000000003</v>
          </cell>
          <cell r="H22">
            <v>1071.8</v>
          </cell>
          <cell r="I22">
            <v>0</v>
          </cell>
          <cell r="J22">
            <v>1071.8</v>
          </cell>
        </row>
        <row r="23">
          <cell r="A23" t="str">
            <v>LU1882468264</v>
          </cell>
          <cell r="B23" t="str">
            <v>AF EURO AGGREGATE BOND</v>
          </cell>
          <cell r="C23" t="str">
            <v>Class E2 EUR QTD (D)</v>
          </cell>
          <cell r="D23" t="str">
            <v>EUR</v>
          </cell>
          <cell r="E23" t="str">
            <v>03-Jan-2022</v>
          </cell>
          <cell r="F23">
            <v>30873942.600000001</v>
          </cell>
          <cell r="G23">
            <v>6127650.9069999997</v>
          </cell>
          <cell r="H23">
            <v>5.0380000000000003</v>
          </cell>
          <cell r="I23">
            <v>5.1999999999999998E-3</v>
          </cell>
          <cell r="J23">
            <v>5.0380000000000003</v>
          </cell>
        </row>
        <row r="24">
          <cell r="A24" t="str">
            <v>LU1882468694</v>
          </cell>
          <cell r="B24" t="str">
            <v>AF EURO AGGREGATE BOND</v>
          </cell>
          <cell r="C24" t="str">
            <v>Class I2 EUR (C)</v>
          </cell>
          <cell r="D24" t="str">
            <v>EUR</v>
          </cell>
          <cell r="E24" t="str">
            <v>03-Jan-2022</v>
          </cell>
          <cell r="F24">
            <v>102643427.59</v>
          </cell>
          <cell r="G24">
            <v>99129.850999999995</v>
          </cell>
          <cell r="H24">
            <v>1035.44</v>
          </cell>
          <cell r="I24">
            <v>0</v>
          </cell>
          <cell r="J24">
            <v>1035.44</v>
          </cell>
        </row>
        <row r="25">
          <cell r="A25" t="str">
            <v>LU1882468934</v>
          </cell>
          <cell r="B25" t="str">
            <v>AF EURO AGGREGATE BOND</v>
          </cell>
          <cell r="C25" t="str">
            <v>Class J2 EUR (C)</v>
          </cell>
          <cell r="D25" t="str">
            <v>EUR</v>
          </cell>
          <cell r="E25" t="str">
            <v>03-Jan-2022</v>
          </cell>
          <cell r="F25">
            <v>43807696.899999999</v>
          </cell>
          <cell r="G25">
            <v>42180.309000000001</v>
          </cell>
          <cell r="H25">
            <v>1038.58</v>
          </cell>
          <cell r="I25">
            <v>0</v>
          </cell>
          <cell r="J25">
            <v>1038.58</v>
          </cell>
        </row>
        <row r="26">
          <cell r="A26" t="str">
            <v>LU0616241047</v>
          </cell>
          <cell r="B26" t="str">
            <v>AF EURO AGGREGATE BOND</v>
          </cell>
          <cell r="C26" t="str">
            <v>Class M EUR (C)</v>
          </cell>
          <cell r="D26" t="str">
            <v>EUR</v>
          </cell>
          <cell r="E26" t="str">
            <v>03-Jan-2022</v>
          </cell>
          <cell r="F26">
            <v>15585096.18</v>
          </cell>
          <cell r="G26">
            <v>104977.86199999999</v>
          </cell>
          <cell r="H26">
            <v>148.46</v>
          </cell>
          <cell r="I26">
            <v>0</v>
          </cell>
          <cell r="J26">
            <v>148.46</v>
          </cell>
        </row>
        <row r="27">
          <cell r="A27" t="str">
            <v>LU1882469403</v>
          </cell>
          <cell r="B27" t="str">
            <v>AF EURO AGGREGATE BOND</v>
          </cell>
          <cell r="C27" t="str">
            <v>Class R2 EUR AD (D)</v>
          </cell>
          <cell r="D27" t="str">
            <v>EUR</v>
          </cell>
          <cell r="E27" t="str">
            <v>03-Jan-2022</v>
          </cell>
          <cell r="F27">
            <v>201656.52</v>
          </cell>
          <cell r="G27">
            <v>3982.0859999999998</v>
          </cell>
          <cell r="H27">
            <v>50.64</v>
          </cell>
          <cell r="I27">
            <v>0</v>
          </cell>
          <cell r="J27">
            <v>50.64</v>
          </cell>
        </row>
        <row r="28">
          <cell r="A28" t="str">
            <v>LU1882469312</v>
          </cell>
          <cell r="B28" t="str">
            <v>AF EURO AGGREGATE BOND</v>
          </cell>
          <cell r="C28" t="str">
            <v>Class R2 EUR (C)</v>
          </cell>
          <cell r="D28" t="str">
            <v>EUR</v>
          </cell>
          <cell r="E28" t="str">
            <v>03-Jan-2022</v>
          </cell>
          <cell r="F28">
            <v>399756.37</v>
          </cell>
          <cell r="G28">
            <v>8095.4049999999997</v>
          </cell>
          <cell r="H28">
            <v>49.38</v>
          </cell>
          <cell r="I28">
            <v>0</v>
          </cell>
          <cell r="J28">
            <v>49.38</v>
          </cell>
        </row>
        <row r="29">
          <cell r="A29" t="str">
            <v>LU1882469585</v>
          </cell>
          <cell r="B29" t="str">
            <v>AF EURO AGGREGATE BOND</v>
          </cell>
          <cell r="C29" t="str">
            <v>Class R2 EUR MD (D)</v>
          </cell>
          <cell r="D29" t="str">
            <v>EUR</v>
          </cell>
          <cell r="E29" t="str">
            <v>03-Jan-2022</v>
          </cell>
          <cell r="F29">
            <v>5156.42</v>
          </cell>
          <cell r="G29">
            <v>101.595</v>
          </cell>
          <cell r="H29">
            <v>50.75</v>
          </cell>
          <cell r="I29">
            <v>1.7600000000000001E-2</v>
          </cell>
          <cell r="J29">
            <v>50.75</v>
          </cell>
        </row>
        <row r="30">
          <cell r="A30" t="str">
            <v>LU1882469668</v>
          </cell>
          <cell r="B30" t="str">
            <v>AF EURO AGGREGATE BOND</v>
          </cell>
          <cell r="C30" t="str">
            <v>Class R2 USD Hgd AD (D)</v>
          </cell>
          <cell r="D30" t="str">
            <v>USD</v>
          </cell>
          <cell r="E30" t="str">
            <v>03-Jan-2022</v>
          </cell>
          <cell r="F30">
            <v>18483.87</v>
          </cell>
          <cell r="G30">
            <v>352.50400000000002</v>
          </cell>
          <cell r="H30">
            <v>52.44</v>
          </cell>
          <cell r="I30">
            <v>0</v>
          </cell>
          <cell r="J30">
            <v>52.44</v>
          </cell>
        </row>
        <row r="31">
          <cell r="A31" t="str">
            <v>LU0616241393</v>
          </cell>
          <cell r="B31" t="str">
            <v>AF EURO AGGREGATE BOND</v>
          </cell>
          <cell r="C31" t="str">
            <v>Class O EUR (C)</v>
          </cell>
          <cell r="D31" t="str">
            <v>EUR</v>
          </cell>
          <cell r="E31" t="str">
            <v>03-Jan-2022</v>
          </cell>
          <cell r="F31">
            <v>5969437.7000000002</v>
          </cell>
          <cell r="G31">
            <v>4444</v>
          </cell>
          <cell r="H31">
            <v>1343.26</v>
          </cell>
          <cell r="I31">
            <v>0</v>
          </cell>
          <cell r="J31">
            <v>0</v>
          </cell>
        </row>
        <row r="32">
          <cell r="A32" t="str">
            <v>LU1882467704</v>
          </cell>
          <cell r="B32" t="str">
            <v>AF EURO AGGREGATE BOND</v>
          </cell>
          <cell r="C32" t="str">
            <v>Class A2 EUR QTD (D)</v>
          </cell>
          <cell r="D32" t="str">
            <v>EUR</v>
          </cell>
          <cell r="E32" t="str">
            <v>03-Jan-2022</v>
          </cell>
          <cell r="F32">
            <v>1530458.84</v>
          </cell>
          <cell r="G32">
            <v>30535.073</v>
          </cell>
          <cell r="H32">
            <v>50.12</v>
          </cell>
          <cell r="I32">
            <v>5.2299999999999999E-2</v>
          </cell>
          <cell r="J32">
            <v>51.62</v>
          </cell>
        </row>
        <row r="33">
          <cell r="A33" t="str">
            <v>LU0839528493</v>
          </cell>
          <cell r="B33" t="str">
            <v>AF EURO AGGREGATE BOND</v>
          </cell>
          <cell r="C33" t="str">
            <v>Class R EUR (C)</v>
          </cell>
          <cell r="D33" t="str">
            <v>EUR</v>
          </cell>
          <cell r="E33" t="str">
            <v>03-Jan-2022</v>
          </cell>
          <cell r="F33">
            <v>122288.83</v>
          </cell>
          <cell r="G33">
            <v>1179.4459999999999</v>
          </cell>
          <cell r="H33">
            <v>103.68</v>
          </cell>
          <cell r="I33">
            <v>0</v>
          </cell>
          <cell r="J33">
            <v>103.68</v>
          </cell>
        </row>
        <row r="34">
          <cell r="A34" t="str">
            <v>LU0839528733</v>
          </cell>
          <cell r="B34" t="str">
            <v>AF EURO AGGREGATE BOND</v>
          </cell>
          <cell r="C34" t="str">
            <v>Class R EUR AD (D)</v>
          </cell>
          <cell r="D34" t="str">
            <v>EUR</v>
          </cell>
          <cell r="E34" t="str">
            <v>03-Jan-2022</v>
          </cell>
          <cell r="F34">
            <v>35859.589999999997</v>
          </cell>
          <cell r="G34">
            <v>350.00200000000001</v>
          </cell>
          <cell r="H34">
            <v>102.46</v>
          </cell>
          <cell r="I34">
            <v>0</v>
          </cell>
          <cell r="J34">
            <v>102.46</v>
          </cell>
        </row>
        <row r="35">
          <cell r="A35" t="str">
            <v>LU0616241807</v>
          </cell>
          <cell r="B35" t="str">
            <v>AF EURO AGGREGATE BOND</v>
          </cell>
          <cell r="C35" t="str">
            <v>Class G EUR (C)</v>
          </cell>
          <cell r="D35" t="str">
            <v>EUR</v>
          </cell>
          <cell r="E35" t="str">
            <v>03-Jan-2022</v>
          </cell>
          <cell r="F35">
            <v>24096800.449999999</v>
          </cell>
          <cell r="G35">
            <v>172593.02900000001</v>
          </cell>
          <cell r="H35">
            <v>139.62</v>
          </cell>
          <cell r="I35">
            <v>0</v>
          </cell>
          <cell r="J35">
            <v>143.81</v>
          </cell>
        </row>
        <row r="36">
          <cell r="A36" t="str">
            <v>LU1250881981</v>
          </cell>
          <cell r="B36" t="str">
            <v>AF EURO AGGREGATE BOND</v>
          </cell>
          <cell r="C36" t="str">
            <v>Class Q-X EUR (C)</v>
          </cell>
          <cell r="D36" t="str">
            <v>EUR</v>
          </cell>
          <cell r="E36" t="str">
            <v>03-Jan-2022</v>
          </cell>
          <cell r="F36">
            <v>422310.27</v>
          </cell>
          <cell r="G36">
            <v>401.875</v>
          </cell>
          <cell r="H36">
            <v>1050.8499999999999</v>
          </cell>
          <cell r="I36">
            <v>0</v>
          </cell>
          <cell r="J36">
            <v>1050.8499999999999</v>
          </cell>
        </row>
        <row r="37">
          <cell r="A37" t="str">
            <v>LU2085674898</v>
          </cell>
          <cell r="B37" t="str">
            <v>AF EURO AGGREGATE BOND</v>
          </cell>
          <cell r="C37" t="str">
            <v>Class Z EUR (C)</v>
          </cell>
          <cell r="D37" t="str">
            <v>EUR</v>
          </cell>
          <cell r="E37" t="str">
            <v>03-Jan-2022</v>
          </cell>
          <cell r="F37">
            <v>7812450.5800000001</v>
          </cell>
          <cell r="G37">
            <v>7718</v>
          </cell>
          <cell r="H37">
            <v>1012.24</v>
          </cell>
          <cell r="I37">
            <v>0</v>
          </cell>
          <cell r="J37">
            <v>1012.24</v>
          </cell>
        </row>
        <row r="38">
          <cell r="A38" t="str">
            <v>LU0119099819</v>
          </cell>
          <cell r="B38" t="str">
            <v>AF EURO CORPORATE BOND</v>
          </cell>
          <cell r="C38" t="str">
            <v>Class A EUR (C)</v>
          </cell>
          <cell r="D38" t="str">
            <v>EUR</v>
          </cell>
          <cell r="E38" t="str">
            <v>03-Jan-2022</v>
          </cell>
          <cell r="F38">
            <v>37656619.289999999</v>
          </cell>
          <cell r="G38">
            <v>1825595.6270000001</v>
          </cell>
          <cell r="H38">
            <v>20.63</v>
          </cell>
          <cell r="I38">
            <v>0</v>
          </cell>
          <cell r="J38">
            <v>21.25</v>
          </cell>
        </row>
        <row r="39">
          <cell r="A39" t="str">
            <v>LU2070306431</v>
          </cell>
          <cell r="B39" t="str">
            <v>AF EURO CORPORATE BOND</v>
          </cell>
          <cell r="C39" t="str">
            <v>Class A5 EUR (C)</v>
          </cell>
          <cell r="D39" t="str">
            <v>EUR</v>
          </cell>
          <cell r="E39" t="str">
            <v>03-Jan-2022</v>
          </cell>
          <cell r="F39">
            <v>5040.97</v>
          </cell>
          <cell r="G39">
            <v>100</v>
          </cell>
          <cell r="H39">
            <v>50.41</v>
          </cell>
          <cell r="I39">
            <v>0</v>
          </cell>
          <cell r="J39">
            <v>50.41</v>
          </cell>
        </row>
        <row r="40">
          <cell r="A40" t="str">
            <v>LU1049751511</v>
          </cell>
          <cell r="B40" t="str">
            <v>AF EURO CORPORATE BOND</v>
          </cell>
          <cell r="C40" t="str">
            <v>Class A CZK Hgd (C)</v>
          </cell>
          <cell r="D40" t="str">
            <v>CZK</v>
          </cell>
          <cell r="E40" t="str">
            <v>03-Jan-2022</v>
          </cell>
          <cell r="F40">
            <v>67090452.390000001</v>
          </cell>
          <cell r="G40">
            <v>23891.772000000001</v>
          </cell>
          <cell r="H40">
            <v>2808.1</v>
          </cell>
          <cell r="I40">
            <v>0</v>
          </cell>
          <cell r="J40">
            <v>2808.1</v>
          </cell>
        </row>
        <row r="41">
          <cell r="A41" t="str">
            <v>LU0119100179</v>
          </cell>
          <cell r="B41" t="str">
            <v>AF EURO CORPORATE BOND</v>
          </cell>
          <cell r="C41" t="str">
            <v>Class A EUR AD (D)</v>
          </cell>
          <cell r="D41" t="str">
            <v>EUR</v>
          </cell>
          <cell r="E41" t="str">
            <v>03-Jan-2022</v>
          </cell>
          <cell r="F41">
            <v>12774536.67</v>
          </cell>
          <cell r="G41">
            <v>1069956.737</v>
          </cell>
          <cell r="H41">
            <v>11.94</v>
          </cell>
          <cell r="I41">
            <v>0</v>
          </cell>
          <cell r="J41">
            <v>12.3</v>
          </cell>
        </row>
        <row r="42">
          <cell r="A42" t="str">
            <v>LU1882472704</v>
          </cell>
          <cell r="B42" t="str">
            <v>AF EURO CORPORATE BOND</v>
          </cell>
          <cell r="C42" t="str">
            <v>Class M2 EUR (C)</v>
          </cell>
          <cell r="D42" t="str">
            <v>EUR</v>
          </cell>
          <cell r="E42" t="str">
            <v>03-Jan-2022</v>
          </cell>
          <cell r="F42">
            <v>254220646.61000001</v>
          </cell>
          <cell r="G42">
            <v>243172.788</v>
          </cell>
          <cell r="H42">
            <v>1045.43</v>
          </cell>
          <cell r="I42">
            <v>0</v>
          </cell>
          <cell r="J42">
            <v>1045.43</v>
          </cell>
        </row>
        <row r="43">
          <cell r="A43" t="str">
            <v>LU1882472886</v>
          </cell>
          <cell r="B43" t="str">
            <v>AF EURO CORPORATE BOND</v>
          </cell>
          <cell r="C43" t="str">
            <v>Class M2 EUR AD (D)</v>
          </cell>
          <cell r="D43" t="str">
            <v>EUR</v>
          </cell>
          <cell r="E43" t="str">
            <v>03-Jan-2022</v>
          </cell>
          <cell r="F43">
            <v>61707.57</v>
          </cell>
          <cell r="G43">
            <v>60.826000000000001</v>
          </cell>
          <cell r="H43">
            <v>1014.49</v>
          </cell>
          <cell r="I43">
            <v>0</v>
          </cell>
          <cell r="J43">
            <v>1014.49</v>
          </cell>
        </row>
        <row r="44">
          <cell r="A44" t="str">
            <v>LU1882470245</v>
          </cell>
          <cell r="B44" t="str">
            <v>AF EURO CORPORATE BOND</v>
          </cell>
          <cell r="C44" t="str">
            <v>Class C EUR (C)</v>
          </cell>
          <cell r="D44" t="str">
            <v>EUR</v>
          </cell>
          <cell r="E44" t="str">
            <v>03-Jan-2022</v>
          </cell>
          <cell r="F44">
            <v>293152.23</v>
          </cell>
          <cell r="G44">
            <v>5841.19</v>
          </cell>
          <cell r="H44">
            <v>50.19</v>
          </cell>
          <cell r="I44">
            <v>0</v>
          </cell>
          <cell r="J44">
            <v>50.19</v>
          </cell>
        </row>
        <row r="45">
          <cell r="A45" t="str">
            <v>LU1882470591</v>
          </cell>
          <cell r="B45" t="str">
            <v>AF EURO CORPORATE BOND</v>
          </cell>
          <cell r="C45" t="str">
            <v>Class C USD (C)</v>
          </cell>
          <cell r="D45" t="str">
            <v>USD</v>
          </cell>
          <cell r="E45" t="str">
            <v>03-Jan-2022</v>
          </cell>
          <cell r="F45">
            <v>20349.310000000001</v>
          </cell>
          <cell r="G45">
            <v>400.27300000000002</v>
          </cell>
          <cell r="H45">
            <v>50.84</v>
          </cell>
          <cell r="I45">
            <v>0</v>
          </cell>
          <cell r="J45">
            <v>50.84</v>
          </cell>
        </row>
        <row r="46">
          <cell r="A46" t="str">
            <v>LU1882470674</v>
          </cell>
          <cell r="B46" t="str">
            <v>AF EURO CORPORATE BOND</v>
          </cell>
          <cell r="C46" t="str">
            <v>Class C USD MD (D)</v>
          </cell>
          <cell r="D46" t="str">
            <v>USD</v>
          </cell>
          <cell r="E46" t="str">
            <v>03-Jan-2022</v>
          </cell>
          <cell r="F46">
            <v>5016.46</v>
          </cell>
          <cell r="G46">
            <v>99.549000000000007</v>
          </cell>
          <cell r="H46">
            <v>50.39</v>
          </cell>
          <cell r="I46">
            <v>2.1000000000000001E-2</v>
          </cell>
          <cell r="J46">
            <v>50.39</v>
          </cell>
        </row>
        <row r="47">
          <cell r="A47" t="str">
            <v>LU1882472969</v>
          </cell>
          <cell r="B47" t="str">
            <v>AF EURO CORPORATE BOND</v>
          </cell>
          <cell r="C47" t="str">
            <v>Class M2 EUR QTD (D)</v>
          </cell>
          <cell r="D47" t="str">
            <v>EUR</v>
          </cell>
          <cell r="E47" t="str">
            <v>03-Jan-2022</v>
          </cell>
          <cell r="F47">
            <v>998139.65</v>
          </cell>
          <cell r="G47">
            <v>972</v>
          </cell>
          <cell r="H47">
            <v>1026.8900000000001</v>
          </cell>
          <cell r="I47">
            <v>1.1649</v>
          </cell>
          <cell r="J47">
            <v>1026.8900000000001</v>
          </cell>
        </row>
        <row r="48">
          <cell r="A48" t="str">
            <v>LU1882470088</v>
          </cell>
          <cell r="B48" t="str">
            <v>AF EURO CORPORATE BOND</v>
          </cell>
          <cell r="C48" t="str">
            <v>Class A2 USD Hgd MD (D)</v>
          </cell>
          <cell r="D48" t="str">
            <v>USD</v>
          </cell>
          <cell r="E48" t="str">
            <v>03-Jan-2022</v>
          </cell>
          <cell r="F48">
            <v>137690.56</v>
          </cell>
          <cell r="G48">
            <v>2615.7220000000002</v>
          </cell>
          <cell r="H48">
            <v>52.64</v>
          </cell>
          <cell r="I48">
            <v>1.9900000000000001E-2</v>
          </cell>
          <cell r="J48">
            <v>54.22</v>
          </cell>
        </row>
        <row r="49">
          <cell r="A49" t="str">
            <v>LU1882470161</v>
          </cell>
          <cell r="B49" t="str">
            <v>AF EURO CORPORATE BOND</v>
          </cell>
          <cell r="C49" t="str">
            <v>Class A2 USD MD (D)</v>
          </cell>
          <cell r="D49" t="str">
            <v>USD</v>
          </cell>
          <cell r="E49" t="str">
            <v>03-Jan-2022</v>
          </cell>
          <cell r="F49">
            <v>66537.13</v>
          </cell>
          <cell r="G49">
            <v>1290.9090000000001</v>
          </cell>
          <cell r="H49">
            <v>51.54</v>
          </cell>
          <cell r="I49">
            <v>2.12E-2</v>
          </cell>
          <cell r="J49">
            <v>53.09</v>
          </cell>
        </row>
        <row r="50">
          <cell r="A50" t="str">
            <v>LU0158083906</v>
          </cell>
          <cell r="B50" t="str">
            <v>AF EURO CORPORATE BOND</v>
          </cell>
          <cell r="C50" t="str">
            <v>Class I2 EUR MD (D)</v>
          </cell>
          <cell r="D50" t="str">
            <v>EUR</v>
          </cell>
          <cell r="E50" t="str">
            <v>03-Jan-2022</v>
          </cell>
          <cell r="F50">
            <v>11920244.49</v>
          </cell>
          <cell r="G50">
            <v>241564.897</v>
          </cell>
          <cell r="H50">
            <v>49.35</v>
          </cell>
          <cell r="I50">
            <v>0.53</v>
          </cell>
          <cell r="J50">
            <v>49.35</v>
          </cell>
        </row>
        <row r="51">
          <cell r="A51" t="str">
            <v>LU1882469742</v>
          </cell>
          <cell r="B51" t="str">
            <v>AF EURO CORPORATE BOND</v>
          </cell>
          <cell r="C51" t="str">
            <v>Class A2 EUR MD (D)</v>
          </cell>
          <cell r="D51" t="str">
            <v>EUR</v>
          </cell>
          <cell r="E51" t="str">
            <v>03-Jan-2022</v>
          </cell>
          <cell r="F51">
            <v>11289.52</v>
          </cell>
          <cell r="G51">
            <v>222.095</v>
          </cell>
          <cell r="H51">
            <v>50.83</v>
          </cell>
          <cell r="I51">
            <v>1.9300000000000001E-2</v>
          </cell>
          <cell r="J51">
            <v>52.35</v>
          </cell>
        </row>
        <row r="52">
          <cell r="A52" t="str">
            <v>LU1882521765</v>
          </cell>
          <cell r="B52" t="str">
            <v>AF EURO CORPORATE BOND</v>
          </cell>
          <cell r="C52" t="str">
            <v>Class E2 EUR (C)</v>
          </cell>
          <cell r="D52" t="str">
            <v>EUR</v>
          </cell>
          <cell r="E52" t="str">
            <v>03-Jan-2022</v>
          </cell>
          <cell r="F52">
            <v>45375558.030000001</v>
          </cell>
          <cell r="G52">
            <v>8769866.3939999994</v>
          </cell>
          <cell r="H52">
            <v>5.1740000000000004</v>
          </cell>
          <cell r="I52">
            <v>0</v>
          </cell>
          <cell r="J52">
            <v>5.1740000000000004</v>
          </cell>
        </row>
        <row r="53">
          <cell r="A53" t="str">
            <v>LU0839528907</v>
          </cell>
          <cell r="B53" t="str">
            <v>AF EURO CORPORATE BOND</v>
          </cell>
          <cell r="C53" t="str">
            <v>Class A2 EUR (C)</v>
          </cell>
          <cell r="D53" t="str">
            <v>EUR</v>
          </cell>
          <cell r="E53" t="str">
            <v>03-Jan-2022</v>
          </cell>
          <cell r="F53">
            <v>15625218.16</v>
          </cell>
          <cell r="G53">
            <v>151772.291</v>
          </cell>
          <cell r="H53">
            <v>102.95</v>
          </cell>
          <cell r="I53">
            <v>0</v>
          </cell>
          <cell r="J53">
            <v>102.95</v>
          </cell>
        </row>
        <row r="54">
          <cell r="A54" t="str">
            <v>LU0839529202</v>
          </cell>
          <cell r="B54" t="str">
            <v>AF EURO CORPORATE BOND</v>
          </cell>
          <cell r="C54" t="str">
            <v>Class A2 EUR AD (D)</v>
          </cell>
          <cell r="D54" t="str">
            <v>EUR</v>
          </cell>
          <cell r="E54" t="str">
            <v>03-Jan-2022</v>
          </cell>
          <cell r="F54">
            <v>6281021.0700000003</v>
          </cell>
          <cell r="G54">
            <v>61711.417999999998</v>
          </cell>
          <cell r="H54">
            <v>101.78</v>
          </cell>
          <cell r="I54">
            <v>0</v>
          </cell>
          <cell r="J54">
            <v>101.78</v>
          </cell>
        </row>
        <row r="55">
          <cell r="A55" t="str">
            <v>LU0987187969</v>
          </cell>
          <cell r="B55" t="str">
            <v>AF EURO CORPORATE BOND</v>
          </cell>
          <cell r="C55" t="str">
            <v>Class A2 USD (C)</v>
          </cell>
          <cell r="D55" t="str">
            <v>USD</v>
          </cell>
          <cell r="E55" t="str">
            <v>03-Jan-2022</v>
          </cell>
          <cell r="F55">
            <v>589717.61</v>
          </cell>
          <cell r="G55">
            <v>5674.625</v>
          </cell>
          <cell r="H55">
            <v>103.92</v>
          </cell>
          <cell r="I55">
            <v>0</v>
          </cell>
          <cell r="J55">
            <v>103.92</v>
          </cell>
        </row>
        <row r="56">
          <cell r="A56" t="str">
            <v>LU1882522144</v>
          </cell>
          <cell r="B56" t="str">
            <v>AF EURO CORPORATE BOND</v>
          </cell>
          <cell r="C56" t="str">
            <v>Class F EUR (C)</v>
          </cell>
          <cell r="D56" t="str">
            <v>EUR</v>
          </cell>
          <cell r="E56" t="str">
            <v>03-Jan-2022</v>
          </cell>
          <cell r="F56">
            <v>20891665.850000001</v>
          </cell>
          <cell r="G56">
            <v>4092372.1639999999</v>
          </cell>
          <cell r="H56">
            <v>5.1050000000000004</v>
          </cell>
          <cell r="I56">
            <v>0</v>
          </cell>
          <cell r="J56">
            <v>5.1050000000000004</v>
          </cell>
        </row>
        <row r="57">
          <cell r="A57" t="str">
            <v>LU0557859294</v>
          </cell>
          <cell r="B57" t="str">
            <v>AF EURO CORPORATE BOND</v>
          </cell>
          <cell r="C57" t="str">
            <v>Class F2 EUR (C)</v>
          </cell>
          <cell r="D57" t="str">
            <v>EUR</v>
          </cell>
          <cell r="E57" t="str">
            <v>03-Jan-2022</v>
          </cell>
          <cell r="F57">
            <v>2001768.15</v>
          </cell>
          <cell r="G57">
            <v>15572.79</v>
          </cell>
          <cell r="H57">
            <v>128.54</v>
          </cell>
          <cell r="I57">
            <v>0</v>
          </cell>
          <cell r="J57">
            <v>128.54</v>
          </cell>
        </row>
        <row r="58">
          <cell r="A58" t="str">
            <v>LU0119099496</v>
          </cell>
          <cell r="B58" t="str">
            <v>AF EURO CORPORATE BOND</v>
          </cell>
          <cell r="C58" t="str">
            <v>Class I EUR (C)</v>
          </cell>
          <cell r="D58" t="str">
            <v>EUR</v>
          </cell>
          <cell r="E58" t="str">
            <v>03-Jan-2022</v>
          </cell>
          <cell r="F58">
            <v>408390340.99000001</v>
          </cell>
          <cell r="G58">
            <v>186013.55600000001</v>
          </cell>
          <cell r="H58">
            <v>2195.4899999999998</v>
          </cell>
          <cell r="I58">
            <v>0</v>
          </cell>
          <cell r="J58">
            <v>2195.4899999999998</v>
          </cell>
        </row>
        <row r="59">
          <cell r="A59" t="str">
            <v>LU1882472456</v>
          </cell>
          <cell r="B59" t="str">
            <v>AF EURO CORPORATE BOND</v>
          </cell>
          <cell r="C59" t="str">
            <v>Class I2 EUR AD (D)</v>
          </cell>
          <cell r="D59" t="str">
            <v>EUR</v>
          </cell>
          <cell r="E59" t="str">
            <v>03-Jan-2022</v>
          </cell>
          <cell r="F59">
            <v>30692742.699999999</v>
          </cell>
          <cell r="G59">
            <v>30276.117999999999</v>
          </cell>
          <cell r="H59">
            <v>1013.76</v>
          </cell>
          <cell r="I59">
            <v>0</v>
          </cell>
          <cell r="J59">
            <v>1013.76</v>
          </cell>
        </row>
        <row r="60">
          <cell r="A60" t="str">
            <v>LU1882472530</v>
          </cell>
          <cell r="B60" t="str">
            <v>AF EURO CORPORATE BOND</v>
          </cell>
          <cell r="C60" t="str">
            <v>Class I2 EUR QTD (D)</v>
          </cell>
          <cell r="D60" t="str">
            <v>EUR</v>
          </cell>
          <cell r="E60" t="str">
            <v>03-Jan-2022</v>
          </cell>
          <cell r="F60">
            <v>9429145.0399999991</v>
          </cell>
          <cell r="G60">
            <v>9185.9259999999995</v>
          </cell>
          <cell r="H60">
            <v>1026.48</v>
          </cell>
          <cell r="I60">
            <v>1.1638999999999999</v>
          </cell>
          <cell r="J60">
            <v>1026.48</v>
          </cell>
        </row>
        <row r="61">
          <cell r="A61" t="str">
            <v>LU1882522060</v>
          </cell>
          <cell r="B61" t="str">
            <v>AF EURO CORPORATE BOND</v>
          </cell>
          <cell r="C61" t="str">
            <v>Class E2 EUR QTD (D)</v>
          </cell>
          <cell r="D61" t="str">
            <v>EUR</v>
          </cell>
          <cell r="E61" t="str">
            <v>03-Jan-2022</v>
          </cell>
          <cell r="F61">
            <v>16037646.640000001</v>
          </cell>
          <cell r="G61">
            <v>3151402.7340000002</v>
          </cell>
          <cell r="H61">
            <v>5.0890000000000004</v>
          </cell>
          <cell r="I61">
            <v>5.7999999999999996E-3</v>
          </cell>
          <cell r="J61">
            <v>5.0890000000000004</v>
          </cell>
        </row>
        <row r="62">
          <cell r="A62" t="str">
            <v>LU1882472373</v>
          </cell>
          <cell r="B62" t="str">
            <v>AF EURO CORPORATE BOND</v>
          </cell>
          <cell r="C62" t="str">
            <v>Class I2 EUR (C)</v>
          </cell>
          <cell r="D62" t="str">
            <v>EUR</v>
          </cell>
          <cell r="E62" t="str">
            <v>03-Jan-2022</v>
          </cell>
          <cell r="F62">
            <v>122575962.12</v>
          </cell>
          <cell r="G62">
            <v>117097.159</v>
          </cell>
          <cell r="H62">
            <v>1046.79</v>
          </cell>
          <cell r="I62">
            <v>0</v>
          </cell>
          <cell r="J62">
            <v>1046.79</v>
          </cell>
        </row>
        <row r="63">
          <cell r="A63" t="str">
            <v>LU0194910054</v>
          </cell>
          <cell r="B63" t="str">
            <v>AF EURO CORPORATE BOND</v>
          </cell>
          <cell r="C63" t="str">
            <v>Class I EUR AD (D)</v>
          </cell>
          <cell r="D63" t="str">
            <v>EUR</v>
          </cell>
          <cell r="E63" t="str">
            <v>03-Jan-2022</v>
          </cell>
          <cell r="F63">
            <v>93008.06</v>
          </cell>
          <cell r="G63">
            <v>70</v>
          </cell>
          <cell r="H63">
            <v>1328.69</v>
          </cell>
          <cell r="I63">
            <v>0</v>
          </cell>
          <cell r="J63">
            <v>1328.69</v>
          </cell>
        </row>
        <row r="64">
          <cell r="A64" t="str">
            <v>LU0329442999</v>
          </cell>
          <cell r="B64" t="str">
            <v>AF EURO CORPORATE BOND</v>
          </cell>
          <cell r="C64" t="str">
            <v>Class M EUR (C)</v>
          </cell>
          <cell r="D64" t="str">
            <v>EUR</v>
          </cell>
          <cell r="E64" t="str">
            <v>03-Jan-2022</v>
          </cell>
          <cell r="F64">
            <v>1044694.28</v>
          </cell>
          <cell r="G64">
            <v>6190.2179999999998</v>
          </cell>
          <cell r="H64">
            <v>168.77</v>
          </cell>
          <cell r="I64">
            <v>0</v>
          </cell>
          <cell r="J64">
            <v>168.77</v>
          </cell>
        </row>
        <row r="65">
          <cell r="A65" t="str">
            <v>LU1882473009</v>
          </cell>
          <cell r="B65" t="str">
            <v>AF EURO CORPORATE BOND</v>
          </cell>
          <cell r="C65" t="str">
            <v>Class R2 EUR (C)</v>
          </cell>
          <cell r="D65" t="str">
            <v>EUR</v>
          </cell>
          <cell r="E65" t="str">
            <v>03-Jan-2022</v>
          </cell>
          <cell r="F65">
            <v>32079.35</v>
          </cell>
          <cell r="G65">
            <v>615.42999999999995</v>
          </cell>
          <cell r="H65">
            <v>52.13</v>
          </cell>
          <cell r="I65">
            <v>0</v>
          </cell>
          <cell r="J65">
            <v>52.13</v>
          </cell>
        </row>
        <row r="66">
          <cell r="A66" t="str">
            <v>LU0839529467</v>
          </cell>
          <cell r="B66" t="str">
            <v>AF EURO CORPORATE BOND</v>
          </cell>
          <cell r="C66" t="str">
            <v>Class R EUR (C)</v>
          </cell>
          <cell r="D66" t="str">
            <v>EUR</v>
          </cell>
          <cell r="E66" t="str">
            <v>03-Jan-2022</v>
          </cell>
          <cell r="F66">
            <v>1529751.72</v>
          </cell>
          <cell r="G66">
            <v>12781.056</v>
          </cell>
          <cell r="H66">
            <v>119.69</v>
          </cell>
          <cell r="I66">
            <v>0</v>
          </cell>
          <cell r="J66">
            <v>119.69</v>
          </cell>
        </row>
        <row r="67">
          <cell r="A67" t="str">
            <v>LU0839529897</v>
          </cell>
          <cell r="B67" t="str">
            <v>AF EURO CORPORATE BOND</v>
          </cell>
          <cell r="C67" t="str">
            <v>Class R EUR AD (D)</v>
          </cell>
          <cell r="D67" t="str">
            <v>EUR</v>
          </cell>
          <cell r="E67" t="str">
            <v>03-Jan-2022</v>
          </cell>
          <cell r="F67">
            <v>241106.71</v>
          </cell>
          <cell r="G67">
            <v>2140.3380000000002</v>
          </cell>
          <cell r="H67">
            <v>112.65</v>
          </cell>
          <cell r="I67">
            <v>0</v>
          </cell>
          <cell r="J67">
            <v>112.65</v>
          </cell>
        </row>
        <row r="68">
          <cell r="A68" t="str">
            <v>LU1882473181</v>
          </cell>
          <cell r="B68" t="str">
            <v>AF EURO CORPORATE BOND</v>
          </cell>
          <cell r="C68" t="str">
            <v>Class R2 USD (C)</v>
          </cell>
          <cell r="D68" t="str">
            <v>USD</v>
          </cell>
          <cell r="E68" t="str">
            <v>03-Jan-2022</v>
          </cell>
          <cell r="F68">
            <v>5175.76</v>
          </cell>
          <cell r="G68">
            <v>100</v>
          </cell>
          <cell r="H68">
            <v>51.76</v>
          </cell>
          <cell r="I68">
            <v>0</v>
          </cell>
          <cell r="J68">
            <v>51.76</v>
          </cell>
        </row>
        <row r="69">
          <cell r="A69" t="str">
            <v>LU0119100252</v>
          </cell>
          <cell r="B69" t="str">
            <v>AF EURO CORPORATE BOND</v>
          </cell>
          <cell r="C69" t="str">
            <v>Class G EUR (C)</v>
          </cell>
          <cell r="D69" t="str">
            <v>EUR</v>
          </cell>
          <cell r="E69" t="str">
            <v>03-Jan-2022</v>
          </cell>
          <cell r="F69">
            <v>20182540.84</v>
          </cell>
          <cell r="G69">
            <v>1014318.243</v>
          </cell>
          <cell r="H69">
            <v>19.899999999999999</v>
          </cell>
          <cell r="I69">
            <v>0</v>
          </cell>
          <cell r="J69">
            <v>20.5</v>
          </cell>
        </row>
        <row r="70">
          <cell r="A70" t="str">
            <v>LU1250882104</v>
          </cell>
          <cell r="B70" t="str">
            <v>AF EURO CORPORATE BOND</v>
          </cell>
          <cell r="C70" t="str">
            <v>Class Q-X EUR (C)</v>
          </cell>
          <cell r="D70" t="str">
            <v>EUR</v>
          </cell>
          <cell r="E70" t="str">
            <v>03-Jan-2022</v>
          </cell>
          <cell r="F70">
            <v>5861.41</v>
          </cell>
          <cell r="G70">
            <v>5</v>
          </cell>
          <cell r="H70">
            <v>1172.28</v>
          </cell>
          <cell r="I70">
            <v>0</v>
          </cell>
          <cell r="J70">
            <v>1172.28</v>
          </cell>
        </row>
        <row r="71">
          <cell r="A71" t="str">
            <v>LU1998921008</v>
          </cell>
          <cell r="B71" t="str">
            <v>AF EURO CORPORATE BOND</v>
          </cell>
          <cell r="C71" t="str">
            <v>Class X EUR ( C )</v>
          </cell>
          <cell r="D71" t="str">
            <v>EUR</v>
          </cell>
          <cell r="E71" t="str">
            <v>03-Jan-2022</v>
          </cell>
          <cell r="F71">
            <v>110199050.34999999</v>
          </cell>
          <cell r="G71">
            <v>107682.192</v>
          </cell>
          <cell r="H71">
            <v>1023.37</v>
          </cell>
          <cell r="I71">
            <v>0</v>
          </cell>
          <cell r="J71">
            <v>1023.37</v>
          </cell>
        </row>
        <row r="72">
          <cell r="A72" t="str">
            <v>LU2070304063</v>
          </cell>
          <cell r="B72" t="str">
            <v>AF EURO CORPORATE BOND</v>
          </cell>
          <cell r="C72" t="str">
            <v>Class Z EUR (C)</v>
          </cell>
          <cell r="D72" t="str">
            <v>EUR</v>
          </cell>
          <cell r="E72" t="str">
            <v>03-Jan-2022</v>
          </cell>
          <cell r="F72">
            <v>1740713.09</v>
          </cell>
          <cell r="G72">
            <v>1715</v>
          </cell>
          <cell r="H72">
            <v>1014.99</v>
          </cell>
          <cell r="I72">
            <v>0</v>
          </cell>
          <cell r="J72">
            <v>1014.99</v>
          </cell>
        </row>
        <row r="73">
          <cell r="A73" t="str">
            <v>LU1998918715</v>
          </cell>
          <cell r="B73" t="str">
            <v>AF EURO CORPORATE BOND</v>
          </cell>
          <cell r="C73" t="str">
            <v>Class H EUR QTD ( D )</v>
          </cell>
          <cell r="D73" t="str">
            <v>EUR</v>
          </cell>
          <cell r="E73" t="str">
            <v>03-Jan-2022</v>
          </cell>
          <cell r="F73">
            <v>4916714.18</v>
          </cell>
          <cell r="G73">
            <v>4895.5060000000003</v>
          </cell>
          <cell r="H73">
            <v>1004.33</v>
          </cell>
          <cell r="I73">
            <v>1.1354</v>
          </cell>
          <cell r="J73">
            <v>1004.33</v>
          </cell>
        </row>
        <row r="74">
          <cell r="A74" t="str">
            <v>LU0119110723</v>
          </cell>
          <cell r="B74" t="str">
            <v>AF EURO HIGH YIELD BOND</v>
          </cell>
          <cell r="C74" t="str">
            <v>Class A EUR (C)</v>
          </cell>
          <cell r="D74" t="str">
            <v>EUR</v>
          </cell>
          <cell r="E74" t="str">
            <v>03-Jan-2022</v>
          </cell>
          <cell r="F74">
            <v>71436534.849999994</v>
          </cell>
          <cell r="G74">
            <v>3039231.6469999999</v>
          </cell>
          <cell r="H74">
            <v>23.5</v>
          </cell>
          <cell r="I74">
            <v>0</v>
          </cell>
          <cell r="J74">
            <v>24.44</v>
          </cell>
        </row>
        <row r="75">
          <cell r="A75" t="str">
            <v>LU2098274686</v>
          </cell>
          <cell r="B75" t="str">
            <v>AF EURO HIGH YIELD BOND</v>
          </cell>
          <cell r="C75" t="str">
            <v>Class A2 AUD Hgd MD3 (D)</v>
          </cell>
          <cell r="D75" t="str">
            <v>AUD</v>
          </cell>
          <cell r="E75" t="str">
            <v>03-Jan-2022</v>
          </cell>
          <cell r="F75">
            <v>167513.51999999999</v>
          </cell>
          <cell r="G75">
            <v>3752.0250000000001</v>
          </cell>
          <cell r="H75">
            <v>44.65</v>
          </cell>
          <cell r="I75">
            <v>0.29139999999999999</v>
          </cell>
          <cell r="J75">
            <v>44.65</v>
          </cell>
        </row>
        <row r="76">
          <cell r="A76" t="str">
            <v>LU2098274769</v>
          </cell>
          <cell r="B76" t="str">
            <v>AF EURO HIGH YIELD BOND</v>
          </cell>
          <cell r="C76" t="str">
            <v>Class A2 EUR MD3 (D)</v>
          </cell>
          <cell r="D76" t="str">
            <v>EUR</v>
          </cell>
          <cell r="E76" t="str">
            <v>03-Jan-2022</v>
          </cell>
          <cell r="F76">
            <v>18452.669999999998</v>
          </cell>
          <cell r="G76">
            <v>398.483</v>
          </cell>
          <cell r="H76">
            <v>46.31</v>
          </cell>
          <cell r="I76">
            <v>0.20830000000000001</v>
          </cell>
          <cell r="J76">
            <v>46.31</v>
          </cell>
        </row>
        <row r="77">
          <cell r="A77" t="str">
            <v>LU2070306605</v>
          </cell>
          <cell r="B77" t="str">
            <v>AF EURO HIGH YIELD BOND</v>
          </cell>
          <cell r="C77" t="str">
            <v>Class A5 EUR (C)</v>
          </cell>
          <cell r="D77" t="str">
            <v>EUR</v>
          </cell>
          <cell r="E77" t="str">
            <v>03-Jan-2022</v>
          </cell>
          <cell r="F77">
            <v>5266.56</v>
          </cell>
          <cell r="G77">
            <v>100</v>
          </cell>
          <cell r="H77">
            <v>52.67</v>
          </cell>
          <cell r="I77">
            <v>0</v>
          </cell>
          <cell r="J77">
            <v>52.67</v>
          </cell>
        </row>
        <row r="78">
          <cell r="A78" t="str">
            <v>LU2098274843</v>
          </cell>
          <cell r="B78" t="str">
            <v>AF EURO HIGH YIELD BOND</v>
          </cell>
          <cell r="C78" t="str">
            <v>Class A2 USD Hgd MD3 (D)</v>
          </cell>
          <cell r="D78" t="str">
            <v>USD</v>
          </cell>
          <cell r="E78" t="str">
            <v>03-Jan-2022</v>
          </cell>
          <cell r="F78">
            <v>300019.02</v>
          </cell>
          <cell r="G78">
            <v>6609.61</v>
          </cell>
          <cell r="H78">
            <v>45.39</v>
          </cell>
          <cell r="I78">
            <v>0.29139999999999999</v>
          </cell>
          <cell r="J78">
            <v>45.39</v>
          </cell>
        </row>
        <row r="79">
          <cell r="A79" t="str">
            <v>LU1049751867</v>
          </cell>
          <cell r="B79" t="str">
            <v>AF EURO HIGH YIELD BOND</v>
          </cell>
          <cell r="C79" t="str">
            <v>Class A CZK Hgd (C)</v>
          </cell>
          <cell r="D79" t="str">
            <v>CZK</v>
          </cell>
          <cell r="E79" t="str">
            <v>03-Jan-2022</v>
          </cell>
          <cell r="F79">
            <v>509223371.81</v>
          </cell>
          <cell r="G79">
            <v>171719.717</v>
          </cell>
          <cell r="H79">
            <v>2965.43</v>
          </cell>
          <cell r="I79">
            <v>0</v>
          </cell>
          <cell r="J79">
            <v>2965.43</v>
          </cell>
        </row>
        <row r="80">
          <cell r="A80" t="str">
            <v>LU0987188777</v>
          </cell>
          <cell r="B80" t="str">
            <v>AF EURO HIGH YIELD BOND</v>
          </cell>
          <cell r="C80" t="str">
            <v>Class A USD Hgd (C)</v>
          </cell>
          <cell r="D80" t="str">
            <v>USD</v>
          </cell>
          <cell r="E80" t="str">
            <v>03-Jan-2022</v>
          </cell>
          <cell r="F80">
            <v>204772.94</v>
          </cell>
          <cell r="G80">
            <v>1543.5730000000001</v>
          </cell>
          <cell r="H80">
            <v>132.66</v>
          </cell>
          <cell r="I80">
            <v>0</v>
          </cell>
          <cell r="J80">
            <v>137.97</v>
          </cell>
        </row>
        <row r="81">
          <cell r="A81" t="str">
            <v>LU1650130187</v>
          </cell>
          <cell r="B81" t="str">
            <v>AF EURO HIGH YIELD BOND</v>
          </cell>
          <cell r="C81" t="str">
            <v>Class A2 USD Hgd MD (D)</v>
          </cell>
          <cell r="D81" t="str">
            <v>USD</v>
          </cell>
          <cell r="E81" t="str">
            <v>03-Jan-2022</v>
          </cell>
          <cell r="F81">
            <v>556850.76</v>
          </cell>
          <cell r="G81">
            <v>6165.9430000000002</v>
          </cell>
          <cell r="H81">
            <v>90.31</v>
          </cell>
          <cell r="I81">
            <v>0.51470000000000005</v>
          </cell>
          <cell r="J81">
            <v>90.31</v>
          </cell>
        </row>
        <row r="82">
          <cell r="A82" t="str">
            <v>LU0119110996</v>
          </cell>
          <cell r="B82" t="str">
            <v>AF EURO HIGH YIELD BOND</v>
          </cell>
          <cell r="C82" t="str">
            <v>Class A EUR AD (D)</v>
          </cell>
          <cell r="D82" t="str">
            <v>EUR</v>
          </cell>
          <cell r="E82" t="str">
            <v>03-Jan-2022</v>
          </cell>
          <cell r="F82">
            <v>5099882.1500000004</v>
          </cell>
          <cell r="G82">
            <v>460393.02299999999</v>
          </cell>
          <cell r="H82">
            <v>11.08</v>
          </cell>
          <cell r="I82">
            <v>0</v>
          </cell>
          <cell r="J82">
            <v>11.52</v>
          </cell>
        </row>
        <row r="83">
          <cell r="A83" t="str">
            <v>LU2098274926</v>
          </cell>
          <cell r="B83" t="str">
            <v>AF EURO HIGH YIELD BOND</v>
          </cell>
          <cell r="C83" t="str">
            <v>Class A2 ZAR Hgd MD3 (D)</v>
          </cell>
          <cell r="D83" t="str">
            <v>ZAR</v>
          </cell>
          <cell r="E83" t="str">
            <v>03-Jan-2022</v>
          </cell>
          <cell r="F83">
            <v>3043639.45</v>
          </cell>
          <cell r="G83">
            <v>3308.748</v>
          </cell>
          <cell r="H83">
            <v>919.88</v>
          </cell>
          <cell r="I83">
            <v>8.7445000000000004</v>
          </cell>
          <cell r="J83">
            <v>919.88</v>
          </cell>
        </row>
        <row r="84">
          <cell r="A84" t="str">
            <v>LU0187736193</v>
          </cell>
          <cell r="B84" t="str">
            <v>AF EURO HIGH YIELD BOND</v>
          </cell>
          <cell r="C84" t="str">
            <v>Class I2 EUR MD (D)</v>
          </cell>
          <cell r="D84" t="str">
            <v>EUR</v>
          </cell>
          <cell r="E84" t="str">
            <v>03-Jan-2022</v>
          </cell>
          <cell r="F84">
            <v>17752094.18</v>
          </cell>
          <cell r="G84">
            <v>889945.65899999999</v>
          </cell>
          <cell r="H84">
            <v>19.95</v>
          </cell>
          <cell r="I84">
            <v>0.3</v>
          </cell>
          <cell r="J84">
            <v>19.95</v>
          </cell>
        </row>
        <row r="85">
          <cell r="A85" t="str">
            <v>LU0839530044</v>
          </cell>
          <cell r="B85" t="str">
            <v>AF EURO HIGH YIELD BOND</v>
          </cell>
          <cell r="C85" t="str">
            <v>Class A2 EUR (C)</v>
          </cell>
          <cell r="D85" t="str">
            <v>EUR</v>
          </cell>
          <cell r="E85" t="str">
            <v>03-Jan-2022</v>
          </cell>
          <cell r="F85">
            <v>169413.65</v>
          </cell>
          <cell r="G85">
            <v>7261.7790000000005</v>
          </cell>
          <cell r="H85">
            <v>23.33</v>
          </cell>
          <cell r="I85">
            <v>0</v>
          </cell>
          <cell r="J85">
            <v>23.33</v>
          </cell>
        </row>
        <row r="86">
          <cell r="A86" t="str">
            <v>LU0906522494</v>
          </cell>
          <cell r="B86" t="str">
            <v>AF EURO HIGH YIELD BOND</v>
          </cell>
          <cell r="C86" t="str">
            <v>Class F2 EUR MD (D)</v>
          </cell>
          <cell r="D86" t="str">
            <v>EUR</v>
          </cell>
          <cell r="E86" t="str">
            <v>03-Jan-2022</v>
          </cell>
          <cell r="F86">
            <v>1555967.01</v>
          </cell>
          <cell r="G86">
            <v>15886.724</v>
          </cell>
          <cell r="H86">
            <v>97.94</v>
          </cell>
          <cell r="I86">
            <v>0.20749999999999999</v>
          </cell>
          <cell r="J86">
            <v>97.94</v>
          </cell>
        </row>
        <row r="87">
          <cell r="A87" t="str">
            <v>LU0557859880</v>
          </cell>
          <cell r="B87" t="str">
            <v>AF EURO HIGH YIELD BOND</v>
          </cell>
          <cell r="C87" t="str">
            <v>Class F2 EUR (C)</v>
          </cell>
          <cell r="D87" t="str">
            <v>EUR</v>
          </cell>
          <cell r="E87" t="str">
            <v>03-Jan-2022</v>
          </cell>
          <cell r="F87">
            <v>3986809.36</v>
          </cell>
          <cell r="G87">
            <v>28333.708999999999</v>
          </cell>
          <cell r="H87">
            <v>140.71</v>
          </cell>
          <cell r="I87">
            <v>0</v>
          </cell>
          <cell r="J87">
            <v>140.71</v>
          </cell>
        </row>
        <row r="88">
          <cell r="A88" t="str">
            <v>LU2018719729</v>
          </cell>
          <cell r="B88" t="str">
            <v>AF EURO HIGH YIELD BOND</v>
          </cell>
          <cell r="C88" t="str">
            <v>Class F EUR (C)</v>
          </cell>
          <cell r="D88" t="str">
            <v>EUR</v>
          </cell>
          <cell r="E88" t="str">
            <v>03-Jan-2022</v>
          </cell>
          <cell r="F88">
            <v>96834.64</v>
          </cell>
          <cell r="G88">
            <v>18865.349999999999</v>
          </cell>
          <cell r="H88">
            <v>5.133</v>
          </cell>
          <cell r="I88">
            <v>0</v>
          </cell>
          <cell r="J88">
            <v>5.133</v>
          </cell>
        </row>
        <row r="89">
          <cell r="A89" t="str">
            <v>LU2018719992</v>
          </cell>
          <cell r="B89" t="str">
            <v>AF EURO HIGH YIELD BOND</v>
          </cell>
          <cell r="C89" t="str">
            <v>Class F EUR MD (D)</v>
          </cell>
          <cell r="D89" t="str">
            <v>EUR</v>
          </cell>
          <cell r="E89" t="str">
            <v>03-Jan-2022</v>
          </cell>
          <cell r="F89">
            <v>118260.97</v>
          </cell>
          <cell r="G89">
            <v>24302.32</v>
          </cell>
          <cell r="H89">
            <v>4.8659999999999997</v>
          </cell>
          <cell r="I89">
            <v>1.03E-2</v>
          </cell>
          <cell r="J89">
            <v>4.8659999999999997</v>
          </cell>
        </row>
        <row r="90">
          <cell r="A90" t="str">
            <v>LU1998919010</v>
          </cell>
          <cell r="B90" t="str">
            <v>AF EURO HIGH YIELD BOND</v>
          </cell>
          <cell r="C90" t="str">
            <v>Class H EUR (C)</v>
          </cell>
          <cell r="D90" t="str">
            <v>EUR</v>
          </cell>
          <cell r="E90" t="str">
            <v>03-Jan-2022</v>
          </cell>
          <cell r="F90">
            <v>15118853.01</v>
          </cell>
          <cell r="G90">
            <v>14074.779</v>
          </cell>
          <cell r="H90">
            <v>1074.18</v>
          </cell>
          <cell r="I90">
            <v>0</v>
          </cell>
          <cell r="J90">
            <v>1074.18</v>
          </cell>
        </row>
        <row r="91">
          <cell r="A91" t="str">
            <v>LU0119109980</v>
          </cell>
          <cell r="B91" t="str">
            <v>AF EURO HIGH YIELD BOND</v>
          </cell>
          <cell r="C91" t="str">
            <v>Class I EUR (C)</v>
          </cell>
          <cell r="D91" t="str">
            <v>EUR</v>
          </cell>
          <cell r="E91" t="str">
            <v>03-Jan-2022</v>
          </cell>
          <cell r="F91">
            <v>235033380.31</v>
          </cell>
          <cell r="G91">
            <v>80635.847999999998</v>
          </cell>
          <cell r="H91">
            <v>2914.75</v>
          </cell>
          <cell r="I91">
            <v>0</v>
          </cell>
          <cell r="J91">
            <v>2914.75</v>
          </cell>
        </row>
        <row r="92">
          <cell r="A92" t="str">
            <v>LU1897298805</v>
          </cell>
          <cell r="B92" t="str">
            <v>AF EURO HIGH YIELD BOND</v>
          </cell>
          <cell r="C92" t="str">
            <v>Class I2 GBP (C)</v>
          </cell>
          <cell r="D92" t="str">
            <v>GBP</v>
          </cell>
          <cell r="E92" t="str">
            <v>03-Jan-2022</v>
          </cell>
          <cell r="F92">
            <v>5155.0600000000004</v>
          </cell>
          <cell r="G92">
            <v>5</v>
          </cell>
          <cell r="H92">
            <v>1031.01</v>
          </cell>
          <cell r="I92">
            <v>0</v>
          </cell>
          <cell r="J92">
            <v>1031.01</v>
          </cell>
        </row>
        <row r="93">
          <cell r="A93" t="str">
            <v>LU1897298987</v>
          </cell>
          <cell r="B93" t="str">
            <v>AF EURO HIGH YIELD BOND</v>
          </cell>
          <cell r="C93" t="str">
            <v>Class I2 GBP Hgd (C)</v>
          </cell>
          <cell r="D93" t="str">
            <v>GBP</v>
          </cell>
          <cell r="E93" t="str">
            <v>03-Jan-2022</v>
          </cell>
          <cell r="F93">
            <v>232333.29</v>
          </cell>
          <cell r="G93">
            <v>217.34399999999999</v>
          </cell>
          <cell r="H93">
            <v>1068.97</v>
          </cell>
          <cell r="I93">
            <v>0</v>
          </cell>
          <cell r="J93">
            <v>1068.97</v>
          </cell>
        </row>
        <row r="94">
          <cell r="A94" t="str">
            <v>LU0987188850</v>
          </cell>
          <cell r="B94" t="str">
            <v>AF EURO HIGH YIELD BOND</v>
          </cell>
          <cell r="C94" t="str">
            <v>Class I USD Hgd (C)</v>
          </cell>
          <cell r="D94" t="str">
            <v>USD</v>
          </cell>
          <cell r="E94" t="str">
            <v>03-Jan-2022</v>
          </cell>
          <cell r="F94">
            <v>61349.11</v>
          </cell>
          <cell r="G94">
            <v>44</v>
          </cell>
          <cell r="H94">
            <v>1394.3</v>
          </cell>
          <cell r="I94">
            <v>0</v>
          </cell>
          <cell r="J94">
            <v>1394.3</v>
          </cell>
        </row>
        <row r="95">
          <cell r="A95" t="str">
            <v>LU0194908405</v>
          </cell>
          <cell r="B95" t="str">
            <v>AF EURO HIGH YIELD BOND</v>
          </cell>
          <cell r="C95" t="str">
            <v>Class I EUR AD (D)</v>
          </cell>
          <cell r="D95" t="str">
            <v>EUR</v>
          </cell>
          <cell r="E95" t="str">
            <v>03-Jan-2022</v>
          </cell>
          <cell r="F95">
            <v>119201440.58</v>
          </cell>
          <cell r="G95">
            <v>110857.482</v>
          </cell>
          <cell r="H95">
            <v>1075.27</v>
          </cell>
          <cell r="I95">
            <v>0</v>
          </cell>
          <cell r="J95">
            <v>1075.27</v>
          </cell>
        </row>
        <row r="96">
          <cell r="A96" t="str">
            <v>LU2036672561</v>
          </cell>
          <cell r="B96" t="str">
            <v>AF EURO HIGH YIELD BOND</v>
          </cell>
          <cell r="C96" t="str">
            <v>Class J EUR AD (D)</v>
          </cell>
          <cell r="D96" t="str">
            <v>EUR</v>
          </cell>
          <cell r="E96" t="str">
            <v>03-Jan-2022</v>
          </cell>
          <cell r="F96">
            <v>46615598.25</v>
          </cell>
          <cell r="G96">
            <v>46211.648000000001</v>
          </cell>
          <cell r="H96">
            <v>1008.74</v>
          </cell>
          <cell r="I96">
            <v>0</v>
          </cell>
          <cell r="J96">
            <v>1008.74</v>
          </cell>
        </row>
        <row r="97">
          <cell r="A97" t="str">
            <v>LU0329443294</v>
          </cell>
          <cell r="B97" t="str">
            <v>AF EURO HIGH YIELD BOND</v>
          </cell>
          <cell r="C97" t="str">
            <v>Class M EUR (C)</v>
          </cell>
          <cell r="D97" t="str">
            <v>EUR</v>
          </cell>
          <cell r="E97" t="str">
            <v>03-Jan-2022</v>
          </cell>
          <cell r="F97">
            <v>128330577.23</v>
          </cell>
          <cell r="G97">
            <v>639640.74699999997</v>
          </cell>
          <cell r="H97">
            <v>200.63</v>
          </cell>
          <cell r="I97">
            <v>0</v>
          </cell>
          <cell r="J97">
            <v>200.63</v>
          </cell>
        </row>
        <row r="98">
          <cell r="A98" t="str">
            <v>LU0557859963</v>
          </cell>
          <cell r="B98" t="str">
            <v>AF EURO HIGH YIELD BOND</v>
          </cell>
          <cell r="C98" t="str">
            <v>Class O EUR (C)</v>
          </cell>
          <cell r="D98" t="str">
            <v>EUR</v>
          </cell>
          <cell r="E98" t="str">
            <v>03-Jan-2022</v>
          </cell>
          <cell r="F98">
            <v>33715656.490000002</v>
          </cell>
          <cell r="G98">
            <v>20369</v>
          </cell>
          <cell r="H98">
            <v>1655.24</v>
          </cell>
          <cell r="I98">
            <v>0</v>
          </cell>
          <cell r="J98">
            <v>1655.24</v>
          </cell>
        </row>
        <row r="99">
          <cell r="A99" t="str">
            <v>LU2070304733</v>
          </cell>
          <cell r="B99" t="str">
            <v>AF EURO HIGH YIELD BOND</v>
          </cell>
          <cell r="C99" t="str">
            <v>Class U AUD HGD MD3 (D)</v>
          </cell>
          <cell r="D99" t="str">
            <v>AUD</v>
          </cell>
          <cell r="E99" t="str">
            <v>03-Jan-2022</v>
          </cell>
          <cell r="F99">
            <v>149192.28</v>
          </cell>
          <cell r="G99">
            <v>3420.1109999999999</v>
          </cell>
          <cell r="H99">
            <v>43.62</v>
          </cell>
          <cell r="I99">
            <v>0.29330000000000001</v>
          </cell>
          <cell r="J99">
            <v>43.62</v>
          </cell>
        </row>
        <row r="100">
          <cell r="A100" t="str">
            <v>LU2070304816</v>
          </cell>
          <cell r="B100" t="str">
            <v>AF EURO HIGH YIELD BOND</v>
          </cell>
          <cell r="C100" t="str">
            <v>Class U EUR MD3 (D)</v>
          </cell>
          <cell r="D100" t="str">
            <v>EUR</v>
          </cell>
          <cell r="E100" t="str">
            <v>03-Jan-2022</v>
          </cell>
          <cell r="F100">
            <v>279802.65999999997</v>
          </cell>
          <cell r="G100">
            <v>6202.1130000000003</v>
          </cell>
          <cell r="H100">
            <v>45.11</v>
          </cell>
          <cell r="I100">
            <v>0.2084</v>
          </cell>
          <cell r="J100">
            <v>45.11</v>
          </cell>
        </row>
        <row r="101">
          <cell r="A101" t="str">
            <v>LU2070305037</v>
          </cell>
          <cell r="B101" t="str">
            <v>AF EURO HIGH YIELD BOND</v>
          </cell>
          <cell r="C101" t="str">
            <v>Class U ZAR HGD MD3 (D)</v>
          </cell>
          <cell r="D101" t="str">
            <v>ZAR</v>
          </cell>
          <cell r="E101" t="str">
            <v>03-Jan-2022</v>
          </cell>
          <cell r="F101">
            <v>4184211.93</v>
          </cell>
          <cell r="G101">
            <v>93166.9</v>
          </cell>
          <cell r="H101">
            <v>44.91</v>
          </cell>
          <cell r="I101">
            <v>0.43980000000000002</v>
          </cell>
          <cell r="J101">
            <v>44.91</v>
          </cell>
        </row>
        <row r="102">
          <cell r="A102" t="str">
            <v>LU2070304907</v>
          </cell>
          <cell r="B102" t="str">
            <v>AF EURO HIGH YIELD BOND</v>
          </cell>
          <cell r="C102" t="str">
            <v>Class U USD HGD MD3 (D)</v>
          </cell>
          <cell r="D102" t="str">
            <v>USD</v>
          </cell>
          <cell r="E102" t="str">
            <v>03-Jan-2022</v>
          </cell>
          <cell r="F102">
            <v>2072702.57</v>
          </cell>
          <cell r="G102">
            <v>46820.347999999998</v>
          </cell>
          <cell r="H102">
            <v>44.27</v>
          </cell>
          <cell r="I102">
            <v>0.29249999999999998</v>
          </cell>
          <cell r="J102">
            <v>44.27</v>
          </cell>
        </row>
        <row r="103">
          <cell r="A103" t="str">
            <v>LU0839530630</v>
          </cell>
          <cell r="B103" t="str">
            <v>AF EURO HIGH YIELD BOND</v>
          </cell>
          <cell r="C103" t="str">
            <v>Class R EUR (C)</v>
          </cell>
          <cell r="D103" t="str">
            <v>EUR</v>
          </cell>
          <cell r="E103" t="str">
            <v>03-Jan-2022</v>
          </cell>
          <cell r="F103">
            <v>570403.6</v>
          </cell>
          <cell r="G103">
            <v>4288.308</v>
          </cell>
          <cell r="H103">
            <v>133.01</v>
          </cell>
          <cell r="I103">
            <v>0</v>
          </cell>
          <cell r="J103">
            <v>133.01</v>
          </cell>
        </row>
        <row r="104">
          <cell r="A104" t="str">
            <v>LU0119111028</v>
          </cell>
          <cell r="B104" t="str">
            <v>AF EURO HIGH YIELD BOND</v>
          </cell>
          <cell r="C104" t="str">
            <v>Class G EUR (C)</v>
          </cell>
          <cell r="D104" t="str">
            <v>EUR</v>
          </cell>
          <cell r="E104" t="str">
            <v>03-Jan-2022</v>
          </cell>
          <cell r="F104">
            <v>33103004.23</v>
          </cell>
          <cell r="G104">
            <v>1482091.851</v>
          </cell>
          <cell r="H104">
            <v>22.34</v>
          </cell>
          <cell r="I104">
            <v>0</v>
          </cell>
          <cell r="J104">
            <v>23.01</v>
          </cell>
        </row>
        <row r="105">
          <cell r="A105" t="str">
            <v>LU0906522734</v>
          </cell>
          <cell r="B105" t="str">
            <v>AF EURO HIGH YIELD BOND</v>
          </cell>
          <cell r="C105" t="str">
            <v>Class G EUR MD (D)</v>
          </cell>
          <cell r="D105" t="str">
            <v>EUR</v>
          </cell>
          <cell r="E105" t="str">
            <v>03-Jan-2022</v>
          </cell>
          <cell r="F105">
            <v>15716308.52</v>
          </cell>
          <cell r="G105">
            <v>158141.00899999999</v>
          </cell>
          <cell r="H105">
            <v>99.38</v>
          </cell>
          <cell r="I105">
            <v>0.20960000000000001</v>
          </cell>
          <cell r="J105">
            <v>99.38</v>
          </cell>
        </row>
        <row r="106">
          <cell r="A106" t="str">
            <v>LU1327396179</v>
          </cell>
          <cell r="B106" t="str">
            <v>AF EURO HIGH YIELD BOND</v>
          </cell>
          <cell r="C106" t="str">
            <v>Class G AUD Hgd MD (D)</v>
          </cell>
          <cell r="D106" t="str">
            <v>AUD</v>
          </cell>
          <cell r="E106" t="str">
            <v>03-Jan-2022</v>
          </cell>
          <cell r="F106">
            <v>3847.5</v>
          </cell>
          <cell r="G106">
            <v>42.91</v>
          </cell>
          <cell r="H106">
            <v>89.66</v>
          </cell>
          <cell r="I106">
            <v>0.51219999999999999</v>
          </cell>
          <cell r="J106">
            <v>89.66</v>
          </cell>
        </row>
        <row r="107">
          <cell r="A107" t="str">
            <v>LU1327396336</v>
          </cell>
          <cell r="B107" t="str">
            <v>AF EURO HIGH YIELD BOND</v>
          </cell>
          <cell r="C107" t="str">
            <v>Class G USD Hgd MD (D)</v>
          </cell>
          <cell r="D107" t="str">
            <v>USD</v>
          </cell>
          <cell r="E107" t="str">
            <v>03-Jan-2022</v>
          </cell>
          <cell r="F107">
            <v>554925.84</v>
          </cell>
          <cell r="G107">
            <v>6219.8040000000001</v>
          </cell>
          <cell r="H107">
            <v>89.22</v>
          </cell>
          <cell r="I107">
            <v>0.50900000000000001</v>
          </cell>
          <cell r="J107">
            <v>89.22</v>
          </cell>
        </row>
        <row r="108">
          <cell r="A108" t="str">
            <v>LU1998921347</v>
          </cell>
          <cell r="B108" t="str">
            <v>AF EURO HIGH YIELD BOND</v>
          </cell>
          <cell r="C108" t="str">
            <v>Class X EUR (C)</v>
          </cell>
          <cell r="D108" t="str">
            <v>EUR</v>
          </cell>
          <cell r="E108" t="str">
            <v>03-Jan-2022</v>
          </cell>
          <cell r="F108">
            <v>22898448.43</v>
          </cell>
          <cell r="G108">
            <v>21242.048999999999</v>
          </cell>
          <cell r="H108">
            <v>1077.98</v>
          </cell>
          <cell r="I108">
            <v>0</v>
          </cell>
          <cell r="J108">
            <v>1077.98</v>
          </cell>
        </row>
        <row r="109">
          <cell r="A109" t="str">
            <v>LU2132230207</v>
          </cell>
          <cell r="B109" t="str">
            <v>AF EURO HIGH YIELD BOND</v>
          </cell>
          <cell r="C109" t="str">
            <v>Class Z EUR (C)</v>
          </cell>
          <cell r="D109" t="str">
            <v>EUR</v>
          </cell>
          <cell r="E109" t="str">
            <v>03-Jan-2022</v>
          </cell>
          <cell r="F109">
            <v>2074223.77</v>
          </cell>
          <cell r="G109">
            <v>2082</v>
          </cell>
          <cell r="H109">
            <v>996.27</v>
          </cell>
          <cell r="I109">
            <v>0</v>
          </cell>
          <cell r="J109">
            <v>996.27</v>
          </cell>
        </row>
        <row r="110">
          <cell r="A110" t="str">
            <v>LU0201576401</v>
          </cell>
          <cell r="B110" t="str">
            <v>AF EURO INFLATION BOND</v>
          </cell>
          <cell r="C110" t="str">
            <v>Class A EUR (C)</v>
          </cell>
          <cell r="D110" t="str">
            <v>EUR</v>
          </cell>
          <cell r="E110" t="str">
            <v>03-Jan-2022</v>
          </cell>
          <cell r="F110">
            <v>18040596.09</v>
          </cell>
          <cell r="G110">
            <v>116924.18799999999</v>
          </cell>
          <cell r="H110">
            <v>154.29</v>
          </cell>
          <cell r="I110">
            <v>0</v>
          </cell>
          <cell r="J110">
            <v>158.91999999999999</v>
          </cell>
        </row>
        <row r="111">
          <cell r="A111" t="str">
            <v>LU2070306860</v>
          </cell>
          <cell r="B111" t="str">
            <v>AF EURO INFLATION BOND</v>
          </cell>
          <cell r="C111" t="str">
            <v>Class A5 EUR (C)</v>
          </cell>
          <cell r="D111" t="str">
            <v>EUR</v>
          </cell>
          <cell r="E111" t="str">
            <v>03-Jan-2022</v>
          </cell>
          <cell r="F111">
            <v>5183.99</v>
          </cell>
          <cell r="G111">
            <v>100</v>
          </cell>
          <cell r="H111">
            <v>51.84</v>
          </cell>
          <cell r="I111">
            <v>0</v>
          </cell>
          <cell r="J111">
            <v>51.84</v>
          </cell>
        </row>
        <row r="112">
          <cell r="A112" t="str">
            <v>LU0201602504</v>
          </cell>
          <cell r="B112" t="str">
            <v>AF EURO INFLATION BOND</v>
          </cell>
          <cell r="C112" t="str">
            <v>Class A EUR AD (D)</v>
          </cell>
          <cell r="D112" t="str">
            <v>EUR</v>
          </cell>
          <cell r="E112" t="str">
            <v>03-Jan-2022</v>
          </cell>
          <cell r="F112">
            <v>3494712.2</v>
          </cell>
          <cell r="G112">
            <v>26272.075000000001</v>
          </cell>
          <cell r="H112">
            <v>133.02000000000001</v>
          </cell>
          <cell r="I112">
            <v>0</v>
          </cell>
          <cell r="J112">
            <v>137.01</v>
          </cell>
        </row>
        <row r="113">
          <cell r="A113" t="str">
            <v>LU2018720495</v>
          </cell>
          <cell r="B113" t="str">
            <v>AF EURO INFLATION BOND</v>
          </cell>
          <cell r="C113" t="str">
            <v>Class F EUR (C)</v>
          </cell>
          <cell r="D113" t="str">
            <v>EUR</v>
          </cell>
          <cell r="E113" t="str">
            <v>03-Jan-2022</v>
          </cell>
          <cell r="F113">
            <v>1178484.68</v>
          </cell>
          <cell r="G113">
            <v>233153.68400000001</v>
          </cell>
          <cell r="H113">
            <v>5.0549999999999997</v>
          </cell>
          <cell r="I113">
            <v>0</v>
          </cell>
          <cell r="J113">
            <v>5.0549999999999997</v>
          </cell>
        </row>
        <row r="114">
          <cell r="A114" t="str">
            <v>LU0557860110</v>
          </cell>
          <cell r="B114" t="str">
            <v>AF EURO INFLATION BOND</v>
          </cell>
          <cell r="C114" t="str">
            <v>Class F2 EUR (C)</v>
          </cell>
          <cell r="D114" t="str">
            <v>EUR</v>
          </cell>
          <cell r="E114" t="str">
            <v>03-Jan-2022</v>
          </cell>
          <cell r="F114">
            <v>3092868.6</v>
          </cell>
          <cell r="G114">
            <v>27666.358</v>
          </cell>
          <cell r="H114">
            <v>111.79</v>
          </cell>
          <cell r="I114">
            <v>0</v>
          </cell>
          <cell r="J114">
            <v>111.79</v>
          </cell>
        </row>
        <row r="115">
          <cell r="A115" t="str">
            <v>LU0201577045</v>
          </cell>
          <cell r="B115" t="str">
            <v>AF EURO INFLATION BOND</v>
          </cell>
          <cell r="C115" t="str">
            <v>Class I EUR (C)</v>
          </cell>
          <cell r="D115" t="str">
            <v>EUR</v>
          </cell>
          <cell r="E115" t="str">
            <v>03-Jan-2022</v>
          </cell>
          <cell r="F115">
            <v>27534660.359999999</v>
          </cell>
          <cell r="G115">
            <v>16197.496999999999</v>
          </cell>
          <cell r="H115">
            <v>1699.93</v>
          </cell>
          <cell r="I115">
            <v>0</v>
          </cell>
          <cell r="J115">
            <v>1699.93</v>
          </cell>
        </row>
        <row r="116">
          <cell r="A116" t="str">
            <v>LU0329443377</v>
          </cell>
          <cell r="B116" t="str">
            <v>AF EURO INFLATION BOND</v>
          </cell>
          <cell r="C116" t="str">
            <v>Class M EUR (C)</v>
          </cell>
          <cell r="D116" t="str">
            <v>EUR</v>
          </cell>
          <cell r="E116" t="str">
            <v>03-Jan-2022</v>
          </cell>
          <cell r="F116">
            <v>2170277.58</v>
          </cell>
          <cell r="G116">
            <v>15503.47</v>
          </cell>
          <cell r="H116">
            <v>139.99</v>
          </cell>
          <cell r="I116">
            <v>0</v>
          </cell>
          <cell r="J116">
            <v>139.99</v>
          </cell>
        </row>
        <row r="117">
          <cell r="A117" t="str">
            <v>LU0906523039</v>
          </cell>
          <cell r="B117" t="str">
            <v>AF EURO INFLATION BOND</v>
          </cell>
          <cell r="C117" t="str">
            <v>Class OR EUR (C)</v>
          </cell>
          <cell r="D117" t="str">
            <v>EUR</v>
          </cell>
          <cell r="E117" t="str">
            <v>03-Jan-2022</v>
          </cell>
          <cell r="F117">
            <v>29023317.949999999</v>
          </cell>
          <cell r="G117">
            <v>25724.61</v>
          </cell>
          <cell r="H117">
            <v>1128.23</v>
          </cell>
          <cell r="I117">
            <v>0</v>
          </cell>
          <cell r="J117">
            <v>1128.23</v>
          </cell>
        </row>
        <row r="118">
          <cell r="A118" t="str">
            <v>LU0839532099</v>
          </cell>
          <cell r="B118" t="str">
            <v>AF EURO INFLATION BOND</v>
          </cell>
          <cell r="C118" t="str">
            <v>Class R EUR (C)</v>
          </cell>
          <cell r="D118" t="str">
            <v>EUR</v>
          </cell>
          <cell r="E118" t="str">
            <v>03-Jan-2022</v>
          </cell>
          <cell r="F118">
            <v>271211.63</v>
          </cell>
          <cell r="G118">
            <v>2328</v>
          </cell>
          <cell r="H118">
            <v>116.5</v>
          </cell>
          <cell r="I118">
            <v>0</v>
          </cell>
          <cell r="J118">
            <v>116.5</v>
          </cell>
        </row>
        <row r="119">
          <cell r="A119" t="str">
            <v>LU0839532255</v>
          </cell>
          <cell r="B119" t="str">
            <v>AF EURO INFLATION BOND</v>
          </cell>
          <cell r="C119" t="str">
            <v>Class R EUR AD (D)</v>
          </cell>
          <cell r="D119" t="str">
            <v>EUR</v>
          </cell>
          <cell r="E119" t="str">
            <v>03-Jan-2022</v>
          </cell>
          <cell r="F119">
            <v>4362795.9000000004</v>
          </cell>
          <cell r="G119">
            <v>39783.059000000001</v>
          </cell>
          <cell r="H119">
            <v>109.66</v>
          </cell>
          <cell r="I119">
            <v>0</v>
          </cell>
          <cell r="J119">
            <v>109.66</v>
          </cell>
        </row>
        <row r="120">
          <cell r="A120" t="str">
            <v>LU0201576666</v>
          </cell>
          <cell r="B120" t="str">
            <v>AF EURO INFLATION BOND</v>
          </cell>
          <cell r="C120" t="str">
            <v>Class G EUR (C)</v>
          </cell>
          <cell r="D120" t="str">
            <v>EUR</v>
          </cell>
          <cell r="E120" t="str">
            <v>03-Jan-2022</v>
          </cell>
          <cell r="F120">
            <v>20402709.57</v>
          </cell>
          <cell r="G120">
            <v>136501.861</v>
          </cell>
          <cell r="H120">
            <v>149.47</v>
          </cell>
          <cell r="I120">
            <v>0</v>
          </cell>
          <cell r="J120">
            <v>153.94999999999999</v>
          </cell>
        </row>
        <row r="121">
          <cell r="A121" t="str">
            <v>LU0201602843</v>
          </cell>
          <cell r="B121" t="str">
            <v>AF EURO INFLATION BOND</v>
          </cell>
          <cell r="C121" t="str">
            <v>Class I EUR AD (D)</v>
          </cell>
          <cell r="D121" t="str">
            <v>EUR</v>
          </cell>
          <cell r="E121" t="str">
            <v>03-Jan-2022</v>
          </cell>
          <cell r="F121">
            <v>16075.44</v>
          </cell>
          <cell r="G121">
            <v>15.744</v>
          </cell>
          <cell r="H121">
            <v>1021.05</v>
          </cell>
          <cell r="I121">
            <v>0</v>
          </cell>
          <cell r="J121">
            <v>1021.05</v>
          </cell>
        </row>
        <row r="122">
          <cell r="A122" t="str">
            <v>LU0752741818</v>
          </cell>
          <cell r="B122" t="str">
            <v>AF EURO INFLATION BOND</v>
          </cell>
          <cell r="C122" t="str">
            <v>Class Q-X EUR (C)</v>
          </cell>
          <cell r="D122" t="str">
            <v>EUR</v>
          </cell>
          <cell r="E122" t="str">
            <v>03-Jan-2022</v>
          </cell>
          <cell r="F122">
            <v>3912895.71</v>
          </cell>
          <cell r="G122">
            <v>3300.6840000000002</v>
          </cell>
          <cell r="H122">
            <v>1185.48</v>
          </cell>
          <cell r="I122">
            <v>0</v>
          </cell>
          <cell r="J122">
            <v>1185.48</v>
          </cell>
        </row>
        <row r="123">
          <cell r="A123" t="str">
            <v>LU0557861860</v>
          </cell>
          <cell r="B123" t="str">
            <v>AF GLOBAL BOND</v>
          </cell>
          <cell r="C123" t="str">
            <v>Class A EUR (C)</v>
          </cell>
          <cell r="D123" t="str">
            <v>EUR</v>
          </cell>
          <cell r="E123" t="str">
            <v>03-Jan-2022</v>
          </cell>
          <cell r="F123">
            <v>32325939.73</v>
          </cell>
          <cell r="G123">
            <v>210855.96100000001</v>
          </cell>
          <cell r="H123">
            <v>153.31</v>
          </cell>
          <cell r="I123">
            <v>0</v>
          </cell>
          <cell r="J123">
            <v>157.91</v>
          </cell>
        </row>
        <row r="124">
          <cell r="A124" t="str">
            <v>LU0119133188</v>
          </cell>
          <cell r="B124" t="str">
            <v>AF GLOBAL BOND</v>
          </cell>
          <cell r="C124" t="str">
            <v>Class A USD (C)</v>
          </cell>
          <cell r="D124" t="str">
            <v>USD</v>
          </cell>
          <cell r="E124" t="str">
            <v>03-Jan-2022</v>
          </cell>
          <cell r="F124">
            <v>25360510.98</v>
          </cell>
          <cell r="G124">
            <v>858430.42500000005</v>
          </cell>
          <cell r="H124">
            <v>29.54</v>
          </cell>
          <cell r="I124">
            <v>0</v>
          </cell>
          <cell r="J124">
            <v>30.43</v>
          </cell>
        </row>
        <row r="125">
          <cell r="A125" t="str">
            <v>LU2070307678</v>
          </cell>
          <cell r="B125" t="str">
            <v>AF GLOBAL BOND</v>
          </cell>
          <cell r="C125" t="str">
            <v>Class A5 EUR (C)</v>
          </cell>
          <cell r="D125" t="str">
            <v>EUR</v>
          </cell>
          <cell r="E125" t="str">
            <v>03-Jan-2022</v>
          </cell>
          <cell r="F125">
            <v>4850.8999999999996</v>
          </cell>
          <cell r="G125">
            <v>100</v>
          </cell>
          <cell r="H125">
            <v>48.51</v>
          </cell>
          <cell r="I125">
            <v>0</v>
          </cell>
          <cell r="J125">
            <v>48.51</v>
          </cell>
        </row>
        <row r="126">
          <cell r="A126" t="str">
            <v>LU0557861944</v>
          </cell>
          <cell r="B126" t="str">
            <v>AF GLOBAL BOND</v>
          </cell>
          <cell r="C126" t="str">
            <v>Class A EUR AD (D)</v>
          </cell>
          <cell r="D126" t="str">
            <v>EUR</v>
          </cell>
          <cell r="E126" t="str">
            <v>03-Jan-2022</v>
          </cell>
          <cell r="F126">
            <v>43115081.82</v>
          </cell>
          <cell r="G126">
            <v>367042.31400000001</v>
          </cell>
          <cell r="H126">
            <v>117.47</v>
          </cell>
          <cell r="I126">
            <v>0</v>
          </cell>
          <cell r="J126">
            <v>120.99</v>
          </cell>
        </row>
        <row r="127">
          <cell r="A127" t="str">
            <v>LU0119133691</v>
          </cell>
          <cell r="B127" t="str">
            <v>AF GLOBAL BOND</v>
          </cell>
          <cell r="C127" t="str">
            <v>Class A USD AD (D)</v>
          </cell>
          <cell r="D127" t="str">
            <v>USD</v>
          </cell>
          <cell r="E127" t="str">
            <v>03-Jan-2022</v>
          </cell>
          <cell r="F127">
            <v>2131358.77</v>
          </cell>
          <cell r="G127">
            <v>143754.11199999999</v>
          </cell>
          <cell r="H127">
            <v>14.83</v>
          </cell>
          <cell r="I127">
            <v>0</v>
          </cell>
          <cell r="J127">
            <v>15.27</v>
          </cell>
        </row>
        <row r="128">
          <cell r="A128" t="str">
            <v>LU0839533063</v>
          </cell>
          <cell r="B128" t="str">
            <v>AF GLOBAL BOND</v>
          </cell>
          <cell r="C128" t="str">
            <v>Class A2 USD (C)</v>
          </cell>
          <cell r="D128" t="str">
            <v>USD</v>
          </cell>
          <cell r="E128" t="str">
            <v>03-Jan-2022</v>
          </cell>
          <cell r="F128">
            <v>3160324.64</v>
          </cell>
          <cell r="G128">
            <v>104658.91</v>
          </cell>
          <cell r="H128">
            <v>30.2</v>
          </cell>
          <cell r="I128">
            <v>0</v>
          </cell>
          <cell r="J128">
            <v>30.2</v>
          </cell>
        </row>
        <row r="129">
          <cell r="A129" t="str">
            <v>LU0839533220</v>
          </cell>
          <cell r="B129" t="str">
            <v>AF GLOBAL BOND</v>
          </cell>
          <cell r="C129" t="str">
            <v>Class A2 USD AD (D)</v>
          </cell>
          <cell r="D129" t="str">
            <v>USD</v>
          </cell>
          <cell r="E129" t="str">
            <v>03-Jan-2022</v>
          </cell>
          <cell r="F129">
            <v>1324.76</v>
          </cell>
          <cell r="G129">
            <v>85.47</v>
          </cell>
          <cell r="H129">
            <v>15.5</v>
          </cell>
          <cell r="I129">
            <v>0</v>
          </cell>
          <cell r="J129">
            <v>15.5</v>
          </cell>
        </row>
        <row r="130">
          <cell r="A130" t="str">
            <v>LU2018722194</v>
          </cell>
          <cell r="B130" t="str">
            <v>AF GLOBAL BOND</v>
          </cell>
          <cell r="C130" t="str">
            <v>Class F EUR Hgd MD (D)</v>
          </cell>
          <cell r="D130" t="str">
            <v>EUR</v>
          </cell>
          <cell r="E130" t="str">
            <v>03-Jan-2022</v>
          </cell>
          <cell r="F130">
            <v>114638.56</v>
          </cell>
          <cell r="G130">
            <v>25155.309000000001</v>
          </cell>
          <cell r="H130">
            <v>4.5570000000000004</v>
          </cell>
          <cell r="I130">
            <v>6.4000000000000003E-3</v>
          </cell>
          <cell r="J130">
            <v>4.5570000000000004</v>
          </cell>
        </row>
        <row r="131">
          <cell r="A131" t="str">
            <v>LU0557862165</v>
          </cell>
          <cell r="B131" t="str">
            <v>AF GLOBAL BOND</v>
          </cell>
          <cell r="C131" t="str">
            <v>Class F2 USD (C)</v>
          </cell>
          <cell r="D131" t="str">
            <v>USD</v>
          </cell>
          <cell r="E131" t="str">
            <v>03-Jan-2022</v>
          </cell>
          <cell r="F131">
            <v>1055187.6000000001</v>
          </cell>
          <cell r="G131">
            <v>9566.9680000000008</v>
          </cell>
          <cell r="H131">
            <v>110.29</v>
          </cell>
          <cell r="I131">
            <v>0</v>
          </cell>
          <cell r="J131">
            <v>110.29</v>
          </cell>
        </row>
        <row r="132">
          <cell r="A132" t="str">
            <v>LU0557862082</v>
          </cell>
          <cell r="B132" t="str">
            <v>AF GLOBAL BOND</v>
          </cell>
          <cell r="C132" t="str">
            <v>Class F2 EUR Hgd (C)</v>
          </cell>
          <cell r="D132" t="str">
            <v>EUR</v>
          </cell>
          <cell r="E132" t="str">
            <v>03-Jan-2022</v>
          </cell>
          <cell r="F132">
            <v>153980.47</v>
          </cell>
          <cell r="G132">
            <v>1620.6310000000001</v>
          </cell>
          <cell r="H132">
            <v>95.01</v>
          </cell>
          <cell r="I132">
            <v>0</v>
          </cell>
          <cell r="J132">
            <v>95.01</v>
          </cell>
        </row>
        <row r="133">
          <cell r="A133" t="str">
            <v>LU0613078343</v>
          </cell>
          <cell r="B133" t="str">
            <v>AF GLOBAL BOND</v>
          </cell>
          <cell r="C133" t="str">
            <v>Class F2 EUR Hgd MD (D)</v>
          </cell>
          <cell r="D133" t="str">
            <v>EUR</v>
          </cell>
          <cell r="E133" t="str">
            <v>03-Jan-2022</v>
          </cell>
          <cell r="F133">
            <v>1848677.37</v>
          </cell>
          <cell r="G133">
            <v>24408.153999999999</v>
          </cell>
          <cell r="H133">
            <v>75.739999999999995</v>
          </cell>
          <cell r="I133">
            <v>0.1067</v>
          </cell>
          <cell r="J133">
            <v>75.739999999999995</v>
          </cell>
        </row>
        <row r="134">
          <cell r="A134" t="str">
            <v>LU0613078186</v>
          </cell>
          <cell r="B134" t="str">
            <v>AF GLOBAL BOND</v>
          </cell>
          <cell r="C134" t="str">
            <v>Class G EUR Hgd MD (D)</v>
          </cell>
          <cell r="D134" t="str">
            <v>EUR</v>
          </cell>
          <cell r="E134" t="str">
            <v>03-Jan-2022</v>
          </cell>
          <cell r="F134">
            <v>7227271.4800000004</v>
          </cell>
          <cell r="G134">
            <v>97258.138999999996</v>
          </cell>
          <cell r="H134">
            <v>74.31</v>
          </cell>
          <cell r="I134">
            <v>0.1042</v>
          </cell>
          <cell r="J134">
            <v>76.540000000000006</v>
          </cell>
        </row>
        <row r="135">
          <cell r="A135" t="str">
            <v>LU2052288888</v>
          </cell>
          <cell r="B135" t="str">
            <v>AF GLOBAL BOND</v>
          </cell>
          <cell r="C135" t="str">
            <v>Class I2 GBP (C)</v>
          </cell>
          <cell r="D135" t="str">
            <v>GBP</v>
          </cell>
          <cell r="E135" t="str">
            <v>03-Jan-2022</v>
          </cell>
          <cell r="F135">
            <v>4732.8100000000004</v>
          </cell>
          <cell r="G135">
            <v>5</v>
          </cell>
          <cell r="H135">
            <v>946.56</v>
          </cell>
          <cell r="I135">
            <v>0</v>
          </cell>
          <cell r="J135">
            <v>946.56</v>
          </cell>
        </row>
        <row r="136">
          <cell r="A136" t="str">
            <v>LU0119131489</v>
          </cell>
          <cell r="B136" t="str">
            <v>AF GLOBAL BOND</v>
          </cell>
          <cell r="C136" t="str">
            <v>Class I USD (C)</v>
          </cell>
          <cell r="D136" t="str">
            <v>USD</v>
          </cell>
          <cell r="E136" t="str">
            <v>03-Jan-2022</v>
          </cell>
          <cell r="F136">
            <v>242311.16</v>
          </cell>
          <cell r="G136">
            <v>80.673000000000002</v>
          </cell>
          <cell r="H136">
            <v>3003.62</v>
          </cell>
          <cell r="I136">
            <v>0</v>
          </cell>
          <cell r="J136">
            <v>3003.62</v>
          </cell>
        </row>
        <row r="137">
          <cell r="A137" t="str">
            <v>LU0228160049</v>
          </cell>
          <cell r="B137" t="str">
            <v>AF GLOBAL BOND</v>
          </cell>
          <cell r="C137" t="str">
            <v>Class Q-I15 EUR AD (D)</v>
          </cell>
          <cell r="D137" t="str">
            <v>EUR</v>
          </cell>
          <cell r="E137" t="str">
            <v>03-Jan-2022</v>
          </cell>
          <cell r="F137">
            <v>1118434.77</v>
          </cell>
          <cell r="G137">
            <v>1045.2170000000001</v>
          </cell>
          <cell r="H137">
            <v>1070.05</v>
          </cell>
          <cell r="I137">
            <v>0</v>
          </cell>
          <cell r="J137">
            <v>1070.05</v>
          </cell>
        </row>
        <row r="138">
          <cell r="A138" t="str">
            <v>LU1971432742</v>
          </cell>
          <cell r="B138" t="str">
            <v>AF GLOBAL BOND</v>
          </cell>
          <cell r="C138" t="str">
            <v>Class M EUR (C)</v>
          </cell>
          <cell r="D138" t="str">
            <v>EUR</v>
          </cell>
          <cell r="E138" t="str">
            <v>03-Jan-2022</v>
          </cell>
          <cell r="F138">
            <v>7664005.4400000004</v>
          </cell>
          <cell r="G138">
            <v>72262.557000000001</v>
          </cell>
          <cell r="H138">
            <v>106.06</v>
          </cell>
          <cell r="I138">
            <v>0</v>
          </cell>
          <cell r="J138">
            <v>0</v>
          </cell>
        </row>
        <row r="139">
          <cell r="A139" t="str">
            <v>LU0329445158</v>
          </cell>
          <cell r="B139" t="str">
            <v>AF GLOBAL BOND</v>
          </cell>
          <cell r="C139" t="str">
            <v>Class M USD (C)</v>
          </cell>
          <cell r="D139" t="str">
            <v>USD</v>
          </cell>
          <cell r="E139" t="str">
            <v>03-Jan-2022</v>
          </cell>
          <cell r="F139">
            <v>11951176.25</v>
          </cell>
          <cell r="G139">
            <v>73245.653000000006</v>
          </cell>
          <cell r="H139">
            <v>163.16999999999999</v>
          </cell>
          <cell r="I139">
            <v>0</v>
          </cell>
          <cell r="J139">
            <v>163.16999999999999</v>
          </cell>
        </row>
        <row r="140">
          <cell r="A140" t="str">
            <v>LU1971432825</v>
          </cell>
          <cell r="B140" t="str">
            <v>AF GLOBAL BOND</v>
          </cell>
          <cell r="C140" t="str">
            <v>Class M EUR AD (D)</v>
          </cell>
          <cell r="D140" t="str">
            <v>EUR</v>
          </cell>
          <cell r="E140" t="str">
            <v>03-Jan-2022</v>
          </cell>
          <cell r="F140">
            <v>5094.95</v>
          </cell>
          <cell r="G140">
            <v>50</v>
          </cell>
          <cell r="H140">
            <v>101.9</v>
          </cell>
          <cell r="I140">
            <v>0</v>
          </cell>
          <cell r="J140">
            <v>0</v>
          </cell>
        </row>
        <row r="141">
          <cell r="A141" t="str">
            <v>LU0557862322</v>
          </cell>
          <cell r="B141" t="str">
            <v>AF GLOBAL BOND</v>
          </cell>
          <cell r="C141" t="str">
            <v>Class M EUR Hgd (C)</v>
          </cell>
          <cell r="D141" t="str">
            <v>EUR</v>
          </cell>
          <cell r="E141" t="str">
            <v>03-Jan-2022</v>
          </cell>
          <cell r="F141">
            <v>72995.88</v>
          </cell>
          <cell r="G141">
            <v>734.51900000000001</v>
          </cell>
          <cell r="H141">
            <v>99.38</v>
          </cell>
          <cell r="I141">
            <v>0</v>
          </cell>
          <cell r="J141">
            <v>99.38</v>
          </cell>
        </row>
        <row r="142">
          <cell r="A142" t="str">
            <v>LU2052289423</v>
          </cell>
          <cell r="B142" t="str">
            <v>AF GLOBAL BOND</v>
          </cell>
          <cell r="C142" t="str">
            <v>Class P2 USD (C)</v>
          </cell>
          <cell r="D142" t="str">
            <v>USD</v>
          </cell>
          <cell r="E142" t="str">
            <v>03-Jan-2022</v>
          </cell>
          <cell r="F142">
            <v>4908.0600000000004</v>
          </cell>
          <cell r="G142">
            <v>100</v>
          </cell>
          <cell r="H142">
            <v>49.08</v>
          </cell>
          <cell r="I142">
            <v>0</v>
          </cell>
          <cell r="J142">
            <v>49.08</v>
          </cell>
        </row>
        <row r="143">
          <cell r="A143" t="str">
            <v>LU2259110372</v>
          </cell>
          <cell r="B143" t="str">
            <v>AF GLOBAL BOND</v>
          </cell>
          <cell r="C143" t="str">
            <v>Class R2 GBP (C)</v>
          </cell>
          <cell r="D143" t="str">
            <v>GBP</v>
          </cell>
          <cell r="E143" t="str">
            <v>03-Jan-2022</v>
          </cell>
          <cell r="F143">
            <v>4643.57</v>
          </cell>
          <cell r="G143">
            <v>100</v>
          </cell>
          <cell r="H143">
            <v>46.44</v>
          </cell>
          <cell r="I143">
            <v>0</v>
          </cell>
          <cell r="J143">
            <v>46.44</v>
          </cell>
        </row>
        <row r="144">
          <cell r="A144" t="str">
            <v>LU0119133931</v>
          </cell>
          <cell r="B144" t="str">
            <v>AF GLOBAL BOND</v>
          </cell>
          <cell r="C144" t="str">
            <v>Class G USD (C)</v>
          </cell>
          <cell r="D144" t="str">
            <v>USD</v>
          </cell>
          <cell r="E144" t="str">
            <v>03-Jan-2022</v>
          </cell>
          <cell r="F144">
            <v>9412665.2599999998</v>
          </cell>
          <cell r="G144">
            <v>338433.42300000001</v>
          </cell>
          <cell r="H144">
            <v>27.81</v>
          </cell>
          <cell r="I144">
            <v>0</v>
          </cell>
          <cell r="J144">
            <v>28.64</v>
          </cell>
        </row>
        <row r="145">
          <cell r="A145" t="str">
            <v>LU0557862678</v>
          </cell>
          <cell r="B145" t="str">
            <v>AF GLOBAL BOND</v>
          </cell>
          <cell r="C145" t="str">
            <v>Class G EUR Hgd (C)</v>
          </cell>
          <cell r="D145" t="str">
            <v>EUR</v>
          </cell>
          <cell r="E145" t="str">
            <v>03-Jan-2022</v>
          </cell>
          <cell r="F145">
            <v>3180029.06</v>
          </cell>
          <cell r="G145">
            <v>31376.39</v>
          </cell>
          <cell r="H145">
            <v>101.35</v>
          </cell>
          <cell r="I145">
            <v>0</v>
          </cell>
          <cell r="J145">
            <v>104.39</v>
          </cell>
        </row>
        <row r="146">
          <cell r="A146" t="str">
            <v>LU0557861274</v>
          </cell>
          <cell r="B146" t="str">
            <v>AF GLOBAL AGGREGATE BOND</v>
          </cell>
          <cell r="C146" t="str">
            <v>Class A EUR (C)</v>
          </cell>
          <cell r="D146" t="str">
            <v>EUR</v>
          </cell>
          <cell r="E146" t="str">
            <v>03-Jan-2022</v>
          </cell>
          <cell r="F146">
            <v>138798208.47999999</v>
          </cell>
          <cell r="G146">
            <v>771136.397</v>
          </cell>
          <cell r="H146">
            <v>179.99</v>
          </cell>
          <cell r="I146">
            <v>0</v>
          </cell>
          <cell r="J146">
            <v>185.39</v>
          </cell>
        </row>
        <row r="147">
          <cell r="A147" t="str">
            <v>LU0319688015</v>
          </cell>
          <cell r="B147" t="str">
            <v>AF GLOBAL AGGREGATE BOND</v>
          </cell>
          <cell r="C147" t="str">
            <v>Class A USD (C)</v>
          </cell>
          <cell r="D147" t="str">
            <v>USD</v>
          </cell>
          <cell r="E147" t="str">
            <v>03-Jan-2022</v>
          </cell>
          <cell r="F147">
            <v>116299959.05</v>
          </cell>
          <cell r="G147">
            <v>461187.5</v>
          </cell>
          <cell r="H147">
            <v>252.18</v>
          </cell>
          <cell r="I147">
            <v>0</v>
          </cell>
          <cell r="J147">
            <v>259.75</v>
          </cell>
        </row>
        <row r="148">
          <cell r="A148" t="str">
            <v>LU0906524433</v>
          </cell>
          <cell r="B148" t="str">
            <v>AF GLOBAL AGGREGATE BOND</v>
          </cell>
          <cell r="C148" t="str">
            <v>Class A USD MD (D)</v>
          </cell>
          <cell r="D148" t="str">
            <v>USD</v>
          </cell>
          <cell r="E148" t="str">
            <v>03-Jan-2022</v>
          </cell>
          <cell r="F148">
            <v>879126.47</v>
          </cell>
          <cell r="G148">
            <v>8654.2430000000004</v>
          </cell>
          <cell r="H148">
            <v>101.58</v>
          </cell>
          <cell r="I148">
            <v>0.13220000000000001</v>
          </cell>
          <cell r="J148">
            <v>101.58</v>
          </cell>
        </row>
        <row r="149">
          <cell r="A149" t="str">
            <v>LU2002721616</v>
          </cell>
          <cell r="B149" t="str">
            <v>AF GLOBAL AGGREGATE BOND</v>
          </cell>
          <cell r="C149" t="str">
            <v>Class M2 EUR Hgd AD ( D )</v>
          </cell>
          <cell r="D149" t="str">
            <v>EUR</v>
          </cell>
          <cell r="E149" t="str">
            <v>03-Jan-2022</v>
          </cell>
          <cell r="F149">
            <v>186452.53</v>
          </cell>
          <cell r="G149">
            <v>192.399</v>
          </cell>
          <cell r="H149">
            <v>969.09</v>
          </cell>
          <cell r="I149">
            <v>0</v>
          </cell>
          <cell r="J149">
            <v>969.09</v>
          </cell>
        </row>
        <row r="150">
          <cell r="A150" t="str">
            <v>LU1049752089</v>
          </cell>
          <cell r="B150" t="str">
            <v>AF GLOBAL AGGREGATE BOND</v>
          </cell>
          <cell r="C150" t="str">
            <v>Class A2 SGD Hgd MD (D)</v>
          </cell>
          <cell r="D150" t="str">
            <v>SGD</v>
          </cell>
          <cell r="E150" t="str">
            <v>03-Jan-2022</v>
          </cell>
          <cell r="F150">
            <v>28649.53</v>
          </cell>
          <cell r="G150">
            <v>292.73899999999998</v>
          </cell>
          <cell r="H150">
            <v>97.87</v>
          </cell>
          <cell r="I150">
            <v>0.1273</v>
          </cell>
          <cell r="J150">
            <v>97.87</v>
          </cell>
        </row>
        <row r="151">
          <cell r="A151" t="str">
            <v>LU1049752162</v>
          </cell>
          <cell r="B151" t="str">
            <v>AF GLOBAL AGGREGATE BOND</v>
          </cell>
          <cell r="C151" t="str">
            <v>Class A2 USD MD (D)</v>
          </cell>
          <cell r="D151" t="str">
            <v>USD</v>
          </cell>
          <cell r="E151" t="str">
            <v>03-Jan-2022</v>
          </cell>
          <cell r="F151">
            <v>214488.27</v>
          </cell>
          <cell r="G151">
            <v>2114.2260000000001</v>
          </cell>
          <cell r="H151">
            <v>101.45</v>
          </cell>
          <cell r="I151">
            <v>0.1318</v>
          </cell>
          <cell r="J151">
            <v>101.45</v>
          </cell>
        </row>
        <row r="152">
          <cell r="A152" t="str">
            <v>LU2032056355</v>
          </cell>
          <cell r="B152" t="str">
            <v>AF GLOBAL AGGREGATE BOND</v>
          </cell>
          <cell r="C152" t="str">
            <v>Class A5 EUR (C)</v>
          </cell>
          <cell r="D152" t="str">
            <v>EUR</v>
          </cell>
          <cell r="E152" t="str">
            <v>03-Jan-2022</v>
          </cell>
          <cell r="F152">
            <v>255288.17</v>
          </cell>
          <cell r="G152">
            <v>5097.2529999999997</v>
          </cell>
          <cell r="H152">
            <v>50.08</v>
          </cell>
          <cell r="I152">
            <v>0</v>
          </cell>
          <cell r="J152">
            <v>50.08</v>
          </cell>
        </row>
        <row r="153">
          <cell r="A153" t="str">
            <v>LU2070309617</v>
          </cell>
          <cell r="B153" t="str">
            <v>AF GLOBAL AGGREGATE BOND</v>
          </cell>
          <cell r="C153" t="str">
            <v>Class A2 EUR AD (D)</v>
          </cell>
          <cell r="D153" t="str">
            <v>EUR</v>
          </cell>
          <cell r="E153" t="str">
            <v>03-Jan-2022</v>
          </cell>
          <cell r="F153">
            <v>541900.16</v>
          </cell>
          <cell r="G153">
            <v>11064</v>
          </cell>
          <cell r="H153">
            <v>48.98</v>
          </cell>
          <cell r="I153">
            <v>0</v>
          </cell>
          <cell r="J153">
            <v>50.45</v>
          </cell>
        </row>
        <row r="154">
          <cell r="A154" t="str">
            <v>LU0945157773</v>
          </cell>
          <cell r="B154" t="str">
            <v>AF GLOBAL AGGREGATE BOND</v>
          </cell>
          <cell r="C154" t="str">
            <v>Class A CHF Hgd (C)</v>
          </cell>
          <cell r="D154" t="str">
            <v>CHF</v>
          </cell>
          <cell r="E154" t="str">
            <v>03-Jan-2022</v>
          </cell>
          <cell r="F154">
            <v>10789205.689999999</v>
          </cell>
          <cell r="G154">
            <v>100572.94899999999</v>
          </cell>
          <cell r="H154">
            <v>107.28</v>
          </cell>
          <cell r="I154">
            <v>0</v>
          </cell>
          <cell r="J154">
            <v>107.28</v>
          </cell>
        </row>
        <row r="155">
          <cell r="A155" t="str">
            <v>LU1327396765</v>
          </cell>
          <cell r="B155" t="str">
            <v>AF GLOBAL AGGREGATE BOND</v>
          </cell>
          <cell r="C155" t="str">
            <v>Class A EUR MD (D)</v>
          </cell>
          <cell r="D155" t="str">
            <v>EUR</v>
          </cell>
          <cell r="E155" t="str">
            <v>03-Jan-2022</v>
          </cell>
          <cell r="F155">
            <v>55214451.560000002</v>
          </cell>
          <cell r="G155">
            <v>556655.68000000005</v>
          </cell>
          <cell r="H155">
            <v>99.19</v>
          </cell>
          <cell r="I155">
            <v>0.11890000000000001</v>
          </cell>
          <cell r="J155">
            <v>99.19</v>
          </cell>
        </row>
        <row r="156">
          <cell r="A156" t="str">
            <v>LU0906524193</v>
          </cell>
          <cell r="B156" t="str">
            <v>AF GLOBAL AGGREGATE BOND</v>
          </cell>
          <cell r="C156" t="str">
            <v>Class A EUR Hgd (C)</v>
          </cell>
          <cell r="D156" t="str">
            <v>EUR</v>
          </cell>
          <cell r="E156" t="str">
            <v>03-Jan-2022</v>
          </cell>
          <cell r="F156">
            <v>256283643.78</v>
          </cell>
          <cell r="G156">
            <v>2289090.2140000002</v>
          </cell>
          <cell r="H156">
            <v>111.96</v>
          </cell>
          <cell r="I156">
            <v>0</v>
          </cell>
          <cell r="J156">
            <v>115.32</v>
          </cell>
        </row>
        <row r="157">
          <cell r="A157" t="str">
            <v>LU1049752758</v>
          </cell>
          <cell r="B157" t="str">
            <v>AF GLOBAL AGGREGATE BOND</v>
          </cell>
          <cell r="C157" t="str">
            <v>Class A CZK Hgd (C)</v>
          </cell>
          <cell r="D157" t="str">
            <v>CZK</v>
          </cell>
          <cell r="E157" t="str">
            <v>03-Jan-2022</v>
          </cell>
          <cell r="F157">
            <v>771415777.89999998</v>
          </cell>
          <cell r="G157">
            <v>286200.826</v>
          </cell>
          <cell r="H157">
            <v>2695.37</v>
          </cell>
          <cell r="I157">
            <v>0</v>
          </cell>
          <cell r="J157">
            <v>2695.37</v>
          </cell>
        </row>
        <row r="158">
          <cell r="A158" t="str">
            <v>LU1883317932</v>
          </cell>
          <cell r="B158" t="str">
            <v>AF GLOBAL AGGREGATE BOND</v>
          </cell>
          <cell r="C158" t="str">
            <v>Class M2 EUR (C)</v>
          </cell>
          <cell r="D158" t="str">
            <v>EUR</v>
          </cell>
          <cell r="E158" t="str">
            <v>03-Jan-2022</v>
          </cell>
          <cell r="F158">
            <v>64767330.640000001</v>
          </cell>
          <cell r="G158">
            <v>59462.425999999999</v>
          </cell>
          <cell r="H158">
            <v>1089.21</v>
          </cell>
          <cell r="I158">
            <v>0</v>
          </cell>
          <cell r="J158">
            <v>1089.21</v>
          </cell>
        </row>
        <row r="159">
          <cell r="A159" t="str">
            <v>LU0557861357</v>
          </cell>
          <cell r="B159" t="str">
            <v>AF GLOBAL AGGREGATE BOND</v>
          </cell>
          <cell r="C159" t="str">
            <v>Class A EUR AD (D)</v>
          </cell>
          <cell r="D159" t="str">
            <v>EUR</v>
          </cell>
          <cell r="E159" t="str">
            <v>03-Jan-2022</v>
          </cell>
          <cell r="F159">
            <v>134464610.53</v>
          </cell>
          <cell r="G159">
            <v>865227.74800000002</v>
          </cell>
          <cell r="H159">
            <v>155.41</v>
          </cell>
          <cell r="I159">
            <v>0</v>
          </cell>
          <cell r="J159">
            <v>160.07</v>
          </cell>
        </row>
        <row r="160">
          <cell r="A160" t="str">
            <v>LU0319688288</v>
          </cell>
          <cell r="B160" t="str">
            <v>AF GLOBAL AGGREGATE BOND</v>
          </cell>
          <cell r="C160" t="str">
            <v>Class A USD AD (D)</v>
          </cell>
          <cell r="D160" t="str">
            <v>USD</v>
          </cell>
          <cell r="E160" t="str">
            <v>03-Jan-2022</v>
          </cell>
          <cell r="F160">
            <v>28485557.449999999</v>
          </cell>
          <cell r="G160">
            <v>227831.83300000001</v>
          </cell>
          <cell r="H160">
            <v>125.03</v>
          </cell>
          <cell r="I160">
            <v>0</v>
          </cell>
          <cell r="J160">
            <v>128.78</v>
          </cell>
        </row>
        <row r="161">
          <cell r="A161" t="str">
            <v>LU1883316702</v>
          </cell>
          <cell r="B161" t="str">
            <v>AF GLOBAL AGGREGATE BOND</v>
          </cell>
          <cell r="C161" t="str">
            <v>Class B USD MD (D)</v>
          </cell>
          <cell r="D161" t="str">
            <v>USD</v>
          </cell>
          <cell r="E161" t="str">
            <v>03-Jan-2022</v>
          </cell>
          <cell r="F161">
            <v>1094225.24</v>
          </cell>
          <cell r="G161">
            <v>21701.556</v>
          </cell>
          <cell r="H161">
            <v>50.42</v>
          </cell>
          <cell r="I161">
            <v>6.6199999999999995E-2</v>
          </cell>
          <cell r="J161">
            <v>50.42</v>
          </cell>
        </row>
        <row r="162">
          <cell r="A162" t="str">
            <v>LU1392371701</v>
          </cell>
          <cell r="B162" t="str">
            <v>AF GLOBAL AGGREGATE BOND</v>
          </cell>
          <cell r="C162" t="str">
            <v>Class OR USD AD (D)</v>
          </cell>
          <cell r="D162" t="str">
            <v>USD</v>
          </cell>
          <cell r="E162" t="str">
            <v>03-Jan-2022</v>
          </cell>
          <cell r="F162">
            <v>1472469.08</v>
          </cell>
          <cell r="G162">
            <v>1346.41</v>
          </cell>
          <cell r="H162">
            <v>1093.6300000000001</v>
          </cell>
          <cell r="I162">
            <v>0</v>
          </cell>
          <cell r="J162">
            <v>1093.6300000000001</v>
          </cell>
        </row>
        <row r="163">
          <cell r="A163" t="str">
            <v>LU0906524276</v>
          </cell>
          <cell r="B163" t="str">
            <v>AF GLOBAL AGGREGATE BOND</v>
          </cell>
          <cell r="C163" t="str">
            <v>Class A EUR Hgd AD (D)</v>
          </cell>
          <cell r="D163" t="str">
            <v>EUR</v>
          </cell>
          <cell r="E163" t="str">
            <v>03-Jan-2022</v>
          </cell>
          <cell r="F163">
            <v>53911644.789999999</v>
          </cell>
          <cell r="G163">
            <v>548445.88500000001</v>
          </cell>
          <cell r="H163">
            <v>98.3</v>
          </cell>
          <cell r="I163">
            <v>0</v>
          </cell>
          <cell r="J163">
            <v>101.25</v>
          </cell>
        </row>
        <row r="164">
          <cell r="A164" t="str">
            <v>LU0987191649</v>
          </cell>
          <cell r="B164" t="str">
            <v>AF GLOBAL AGGREGATE BOND</v>
          </cell>
          <cell r="C164" t="str">
            <v>Class I GBP Hgd AD (D)</v>
          </cell>
          <cell r="D164" t="str">
            <v>GBP</v>
          </cell>
          <cell r="E164" t="str">
            <v>03-Jan-2022</v>
          </cell>
          <cell r="F164">
            <v>76788.479999999996</v>
          </cell>
          <cell r="G164">
            <v>76.938000000000002</v>
          </cell>
          <cell r="H164">
            <v>998.06</v>
          </cell>
          <cell r="I164">
            <v>0</v>
          </cell>
          <cell r="J164">
            <v>998.06</v>
          </cell>
        </row>
        <row r="165">
          <cell r="A165" t="str">
            <v>LU2002721889</v>
          </cell>
          <cell r="B165" t="str">
            <v>AF GLOBAL AGGREGATE BOND</v>
          </cell>
          <cell r="C165" t="str">
            <v>Class M2 EUR Hgd (C)</v>
          </cell>
          <cell r="D165" t="str">
            <v>EUR</v>
          </cell>
          <cell r="E165" t="str">
            <v>03-Jan-2022</v>
          </cell>
          <cell r="F165">
            <v>52422626.5</v>
          </cell>
          <cell r="G165">
            <v>51851.781000000003</v>
          </cell>
          <cell r="H165">
            <v>1011.01</v>
          </cell>
          <cell r="I165">
            <v>0</v>
          </cell>
          <cell r="J165">
            <v>1011.01</v>
          </cell>
        </row>
        <row r="166">
          <cell r="A166" t="str">
            <v>LU1883318070</v>
          </cell>
          <cell r="B166" t="str">
            <v>AF GLOBAL AGGREGATE BOND</v>
          </cell>
          <cell r="C166" t="str">
            <v>Class M2 EUR Hgd QTD (D)</v>
          </cell>
          <cell r="D166" t="str">
            <v>EUR</v>
          </cell>
          <cell r="E166" t="str">
            <v>03-Jan-2022</v>
          </cell>
          <cell r="F166">
            <v>633738.66</v>
          </cell>
          <cell r="G166">
            <v>633.471</v>
          </cell>
          <cell r="H166">
            <v>1000.42</v>
          </cell>
          <cell r="I166">
            <v>3.9230999999999998</v>
          </cell>
          <cell r="J166">
            <v>1000.42</v>
          </cell>
        </row>
        <row r="167">
          <cell r="A167" t="str">
            <v>LU1883316884</v>
          </cell>
          <cell r="B167" t="str">
            <v>AF GLOBAL AGGREGATE BOND</v>
          </cell>
          <cell r="C167" t="str">
            <v>Class C EUR (C)</v>
          </cell>
          <cell r="D167" t="str">
            <v>EUR</v>
          </cell>
          <cell r="E167" t="str">
            <v>03-Jan-2022</v>
          </cell>
          <cell r="F167">
            <v>28823.18</v>
          </cell>
          <cell r="G167">
            <v>552.12300000000005</v>
          </cell>
          <cell r="H167">
            <v>52.2</v>
          </cell>
          <cell r="I167">
            <v>0</v>
          </cell>
          <cell r="J167">
            <v>52.2</v>
          </cell>
        </row>
        <row r="168">
          <cell r="A168" t="str">
            <v>LU1883317007</v>
          </cell>
          <cell r="B168" t="str">
            <v>AF GLOBAL AGGREGATE BOND</v>
          </cell>
          <cell r="C168" t="str">
            <v>Class C USD (C)</v>
          </cell>
          <cell r="D168" t="str">
            <v>USD</v>
          </cell>
          <cell r="E168" t="str">
            <v>03-Jan-2022</v>
          </cell>
          <cell r="F168">
            <v>847375.68</v>
          </cell>
          <cell r="G168">
            <v>16294.325999999999</v>
          </cell>
          <cell r="H168">
            <v>52</v>
          </cell>
          <cell r="I168">
            <v>0</v>
          </cell>
          <cell r="J168">
            <v>52</v>
          </cell>
        </row>
        <row r="169">
          <cell r="A169" t="str">
            <v>LU1883317189</v>
          </cell>
          <cell r="B169" t="str">
            <v>AF GLOBAL AGGREGATE BOND</v>
          </cell>
          <cell r="C169" t="str">
            <v>Class C USD MD (D)</v>
          </cell>
          <cell r="D169" t="str">
            <v>USD</v>
          </cell>
          <cell r="E169" t="str">
            <v>03-Jan-2022</v>
          </cell>
          <cell r="F169">
            <v>409194.91</v>
          </cell>
          <cell r="G169">
            <v>8116.0780000000004</v>
          </cell>
          <cell r="H169">
            <v>50.42</v>
          </cell>
          <cell r="I169">
            <v>6.6199999999999995E-2</v>
          </cell>
          <cell r="J169">
            <v>50.42</v>
          </cell>
        </row>
        <row r="170">
          <cell r="A170" t="str">
            <v>LU1883318153</v>
          </cell>
          <cell r="B170" t="str">
            <v>AF GLOBAL AGGREGATE BOND</v>
          </cell>
          <cell r="C170" t="str">
            <v>Class M2 EUR QTD (D)</v>
          </cell>
          <cell r="D170" t="str">
            <v>EUR</v>
          </cell>
          <cell r="E170" t="str">
            <v>03-Jan-2022</v>
          </cell>
          <cell r="F170">
            <v>71402319.280000001</v>
          </cell>
          <cell r="G170">
            <v>68054.998000000007</v>
          </cell>
          <cell r="H170">
            <v>1049.19</v>
          </cell>
          <cell r="I170">
            <v>3.7574000000000001</v>
          </cell>
          <cell r="J170">
            <v>1049.19</v>
          </cell>
        </row>
        <row r="171">
          <cell r="A171" t="str">
            <v>LU1854487466</v>
          </cell>
          <cell r="B171" t="str">
            <v>AF GLOBAL AGGREGATE BOND</v>
          </cell>
          <cell r="C171" t="str">
            <v>Class Q-I19 EUR Hgd</v>
          </cell>
          <cell r="D171" t="str">
            <v>EUR</v>
          </cell>
          <cell r="E171" t="str">
            <v>03-Jan-2022</v>
          </cell>
          <cell r="F171">
            <v>178852236.15000001</v>
          </cell>
          <cell r="G171">
            <v>170355.84400000001</v>
          </cell>
          <cell r="H171">
            <v>1049.8699999999999</v>
          </cell>
          <cell r="I171">
            <v>0</v>
          </cell>
          <cell r="J171">
            <v>1049.8699999999999</v>
          </cell>
        </row>
        <row r="172">
          <cell r="A172" t="str">
            <v>LU1832661448</v>
          </cell>
          <cell r="B172" t="str">
            <v>AF GLOBAL AGGREGATE BOND</v>
          </cell>
          <cell r="C172" t="str">
            <v>Class Q-I8 EUR Hgd</v>
          </cell>
          <cell r="D172" t="str">
            <v>EUR</v>
          </cell>
          <cell r="E172" t="str">
            <v>03-Jan-2022</v>
          </cell>
          <cell r="F172">
            <v>97995.86</v>
          </cell>
          <cell r="G172">
            <v>100</v>
          </cell>
          <cell r="H172">
            <v>979.96</v>
          </cell>
          <cell r="I172">
            <v>0</v>
          </cell>
          <cell r="J172">
            <v>979.96</v>
          </cell>
        </row>
        <row r="173">
          <cell r="A173" t="str">
            <v>LU1883316371</v>
          </cell>
          <cell r="B173" t="str">
            <v>AF GLOBAL AGGREGATE BOND</v>
          </cell>
          <cell r="C173" t="str">
            <v>Class A2 EUR (C)</v>
          </cell>
          <cell r="D173" t="str">
            <v>EUR</v>
          </cell>
          <cell r="E173" t="str">
            <v>03-Jan-2022</v>
          </cell>
          <cell r="F173">
            <v>6252354.8200000003</v>
          </cell>
          <cell r="G173">
            <v>116708.484</v>
          </cell>
          <cell r="H173">
            <v>53.57</v>
          </cell>
          <cell r="I173">
            <v>0</v>
          </cell>
          <cell r="J173">
            <v>55.18</v>
          </cell>
        </row>
        <row r="174">
          <cell r="A174" t="str">
            <v>LU1883316454</v>
          </cell>
          <cell r="B174" t="str">
            <v>AF GLOBAL AGGREGATE BOND</v>
          </cell>
          <cell r="C174" t="str">
            <v>Class A2 EUR MD (D)</v>
          </cell>
          <cell r="D174" t="str">
            <v>EUR</v>
          </cell>
          <cell r="E174" t="str">
            <v>03-Jan-2022</v>
          </cell>
          <cell r="F174">
            <v>217796.06</v>
          </cell>
          <cell r="G174">
            <v>4206.0169999999998</v>
          </cell>
          <cell r="H174">
            <v>51.78</v>
          </cell>
          <cell r="I174">
            <v>6.2100000000000002E-2</v>
          </cell>
          <cell r="J174">
            <v>53.33</v>
          </cell>
        </row>
        <row r="175">
          <cell r="A175" t="str">
            <v>LU1883317262</v>
          </cell>
          <cell r="B175" t="str">
            <v>AF GLOBAL AGGREGATE BOND</v>
          </cell>
          <cell r="C175" t="str">
            <v>Class E2 EUR (C)</v>
          </cell>
          <cell r="D175" t="str">
            <v>EUR</v>
          </cell>
          <cell r="E175" t="str">
            <v>03-Jan-2022</v>
          </cell>
          <cell r="F175">
            <v>10751910.890000001</v>
          </cell>
          <cell r="G175">
            <v>1998330.7679999999</v>
          </cell>
          <cell r="H175">
            <v>5.38</v>
          </cell>
          <cell r="I175">
            <v>0</v>
          </cell>
          <cell r="J175">
            <v>5.38</v>
          </cell>
        </row>
        <row r="176">
          <cell r="A176" t="str">
            <v>LU1049752592</v>
          </cell>
          <cell r="B176" t="str">
            <v>AF GLOBAL AGGREGATE BOND</v>
          </cell>
          <cell r="C176" t="str">
            <v>Class A2 USD (C)</v>
          </cell>
          <cell r="D176" t="str">
            <v>USD</v>
          </cell>
          <cell r="E176" t="str">
            <v>03-Jan-2022</v>
          </cell>
          <cell r="F176">
            <v>39271978.729999997</v>
          </cell>
          <cell r="G176">
            <v>333366.23800000001</v>
          </cell>
          <cell r="H176">
            <v>117.8</v>
          </cell>
          <cell r="I176">
            <v>0</v>
          </cell>
          <cell r="J176">
            <v>117.8</v>
          </cell>
        </row>
        <row r="177">
          <cell r="A177" t="str">
            <v>LU1378916545</v>
          </cell>
          <cell r="B177" t="str">
            <v>AF GLOBAL AGGREGATE BOND</v>
          </cell>
          <cell r="C177" t="str">
            <v>Class Q-I0 EUR Hgd (C)</v>
          </cell>
          <cell r="D177" t="str">
            <v>EUR</v>
          </cell>
          <cell r="E177" t="str">
            <v>03-Jan-2022</v>
          </cell>
          <cell r="F177">
            <v>1435563.2</v>
          </cell>
          <cell r="G177">
            <v>1317.924</v>
          </cell>
          <cell r="H177">
            <v>1089.26</v>
          </cell>
          <cell r="I177">
            <v>0</v>
          </cell>
          <cell r="J177">
            <v>1089.26</v>
          </cell>
        </row>
        <row r="178">
          <cell r="A178" t="str">
            <v>LU2018719646</v>
          </cell>
          <cell r="B178" t="str">
            <v>AF GLOBAL AGGREGATE BOND</v>
          </cell>
          <cell r="C178" t="str">
            <v>Class F EUR Hgd MD (D)</v>
          </cell>
          <cell r="D178" t="str">
            <v>EUR</v>
          </cell>
          <cell r="E178" t="str">
            <v>03-Jan-2022</v>
          </cell>
          <cell r="F178">
            <v>181211.73</v>
          </cell>
          <cell r="G178">
            <v>38396.523999999998</v>
          </cell>
          <cell r="H178">
            <v>4.7190000000000003</v>
          </cell>
          <cell r="I178">
            <v>6.1999999999999998E-3</v>
          </cell>
          <cell r="J178">
            <v>4.7190000000000003</v>
          </cell>
        </row>
        <row r="179">
          <cell r="A179" t="str">
            <v>LU1883317429</v>
          </cell>
          <cell r="B179" t="str">
            <v>AF GLOBAL AGGREGATE BOND</v>
          </cell>
          <cell r="C179" t="str">
            <v>Class F EUR (C)</v>
          </cell>
          <cell r="D179" t="str">
            <v>EUR</v>
          </cell>
          <cell r="E179" t="str">
            <v>03-Jan-2022</v>
          </cell>
          <cell r="F179">
            <v>2241783.87</v>
          </cell>
          <cell r="G179">
            <v>424417.39199999999</v>
          </cell>
          <cell r="H179">
            <v>5.282</v>
          </cell>
          <cell r="I179">
            <v>0</v>
          </cell>
          <cell r="J179">
            <v>5.282</v>
          </cell>
        </row>
        <row r="180">
          <cell r="A180" t="str">
            <v>LU0557861431</v>
          </cell>
          <cell r="B180" t="str">
            <v>AF GLOBAL AGGREGATE BOND</v>
          </cell>
          <cell r="C180" t="str">
            <v>Class F2 USD (C)</v>
          </cell>
          <cell r="D180" t="str">
            <v>USD</v>
          </cell>
          <cell r="E180" t="str">
            <v>03-Jan-2022</v>
          </cell>
          <cell r="F180">
            <v>29694076.77</v>
          </cell>
          <cell r="G180">
            <v>225023.69500000001</v>
          </cell>
          <cell r="H180">
            <v>131.96</v>
          </cell>
          <cell r="I180">
            <v>0</v>
          </cell>
          <cell r="J180">
            <v>131.96</v>
          </cell>
        </row>
        <row r="181">
          <cell r="A181" t="str">
            <v>LU2208986872</v>
          </cell>
          <cell r="B181" t="str">
            <v>AF GLOBAL AGGREGATE BOND</v>
          </cell>
          <cell r="C181" t="str">
            <v>Class F USD (C)</v>
          </cell>
          <cell r="D181" t="str">
            <v>USD</v>
          </cell>
          <cell r="E181" t="str">
            <v>03-Jan-2022</v>
          </cell>
          <cell r="F181">
            <v>28611.58</v>
          </cell>
          <cell r="G181">
            <v>5771.241</v>
          </cell>
          <cell r="H181">
            <v>4.9580000000000002</v>
          </cell>
          <cell r="I181">
            <v>0</v>
          </cell>
          <cell r="J181">
            <v>4.9580000000000002</v>
          </cell>
        </row>
        <row r="182">
          <cell r="A182" t="str">
            <v>LU1250884811</v>
          </cell>
          <cell r="B182" t="str">
            <v>AF GLOBAL AGGREGATE BOND</v>
          </cell>
          <cell r="C182" t="str">
            <v>Class F2 USD MD (D)</v>
          </cell>
          <cell r="D182" t="str">
            <v>USD</v>
          </cell>
          <cell r="E182" t="str">
            <v>03-Jan-2022</v>
          </cell>
          <cell r="F182">
            <v>1506591.99</v>
          </cell>
          <cell r="G182">
            <v>14838.842000000001</v>
          </cell>
          <cell r="H182">
            <v>101.53</v>
          </cell>
          <cell r="I182">
            <v>0.1326</v>
          </cell>
          <cell r="J182">
            <v>101.53</v>
          </cell>
        </row>
        <row r="183">
          <cell r="A183" t="str">
            <v>LU0613077535</v>
          </cell>
          <cell r="B183" t="str">
            <v>AF GLOBAL AGGREGATE BOND</v>
          </cell>
          <cell r="C183" t="str">
            <v>Class F2 EUR Hgd (C)</v>
          </cell>
          <cell r="D183" t="str">
            <v>EUR</v>
          </cell>
          <cell r="E183" t="str">
            <v>03-Jan-2022</v>
          </cell>
          <cell r="F183">
            <v>23464327.899999999</v>
          </cell>
          <cell r="G183">
            <v>203787.076</v>
          </cell>
          <cell r="H183">
            <v>115.14</v>
          </cell>
          <cell r="I183">
            <v>0</v>
          </cell>
          <cell r="J183">
            <v>115.14</v>
          </cell>
        </row>
        <row r="184">
          <cell r="A184" t="str">
            <v>LU2208986013</v>
          </cell>
          <cell r="B184" t="str">
            <v>AF GLOBAL AGGREGATE BOND</v>
          </cell>
          <cell r="C184" t="str">
            <v>Class F EUR Hgd (C)</v>
          </cell>
          <cell r="D184" t="str">
            <v>EUR</v>
          </cell>
          <cell r="E184" t="str">
            <v>03-Jan-2022</v>
          </cell>
          <cell r="F184">
            <v>106181.89</v>
          </cell>
          <cell r="G184">
            <v>21623.652999999998</v>
          </cell>
          <cell r="H184">
            <v>4.91</v>
          </cell>
          <cell r="I184">
            <v>0</v>
          </cell>
          <cell r="J184">
            <v>4.91</v>
          </cell>
        </row>
        <row r="185">
          <cell r="A185" t="str">
            <v>LU0613077709</v>
          </cell>
          <cell r="B185" t="str">
            <v>AF GLOBAL AGGREGATE BOND</v>
          </cell>
          <cell r="C185" t="str">
            <v>Class F2 EUR Hgd MD (D)</v>
          </cell>
          <cell r="D185" t="str">
            <v>EUR</v>
          </cell>
          <cell r="E185" t="str">
            <v>03-Jan-2022</v>
          </cell>
          <cell r="F185">
            <v>60654532.5</v>
          </cell>
          <cell r="G185">
            <v>703194.22600000002</v>
          </cell>
          <cell r="H185">
            <v>86.26</v>
          </cell>
          <cell r="I185">
            <v>0.1137</v>
          </cell>
          <cell r="J185">
            <v>86.26</v>
          </cell>
        </row>
        <row r="186">
          <cell r="A186" t="str">
            <v>LU0613077295</v>
          </cell>
          <cell r="B186" t="str">
            <v>AF GLOBAL AGGREGATE BOND</v>
          </cell>
          <cell r="C186" t="str">
            <v>Class G EUR Hgd MD (D)</v>
          </cell>
          <cell r="D186" t="str">
            <v>EUR</v>
          </cell>
          <cell r="E186" t="str">
            <v>03-Jan-2022</v>
          </cell>
          <cell r="F186">
            <v>235846037.69</v>
          </cell>
          <cell r="G186">
            <v>2643253.1779999998</v>
          </cell>
          <cell r="H186">
            <v>89.23</v>
          </cell>
          <cell r="I186">
            <v>0.1172</v>
          </cell>
          <cell r="J186">
            <v>91.91</v>
          </cell>
        </row>
        <row r="187">
          <cell r="A187" t="str">
            <v>LU1706545289</v>
          </cell>
          <cell r="B187" t="str">
            <v>AF GLOBAL AGGREGATE BOND</v>
          </cell>
          <cell r="C187" t="str">
            <v>Class G EUR Hgd QD (D)</v>
          </cell>
          <cell r="D187" t="str">
            <v>EUR</v>
          </cell>
          <cell r="E187" t="str">
            <v>03-Jan-2022</v>
          </cell>
          <cell r="F187">
            <v>5657354.2800000003</v>
          </cell>
          <cell r="G187">
            <v>60367.665999999997</v>
          </cell>
          <cell r="H187">
            <v>93.71</v>
          </cell>
          <cell r="I187">
            <v>0.37040000000000001</v>
          </cell>
          <cell r="J187">
            <v>93.71</v>
          </cell>
        </row>
        <row r="188">
          <cell r="A188" t="str">
            <v>LU1883317775</v>
          </cell>
          <cell r="B188" t="str">
            <v>AF GLOBAL AGGREGATE BOND</v>
          </cell>
          <cell r="C188" t="str">
            <v>Class I2 EUR Hgd (C)</v>
          </cell>
          <cell r="D188" t="str">
            <v>EUR</v>
          </cell>
          <cell r="E188" t="str">
            <v>03-Jan-2022</v>
          </cell>
          <cell r="F188">
            <v>2581645.9500000002</v>
          </cell>
          <cell r="G188">
            <v>2470.3380000000002</v>
          </cell>
          <cell r="H188">
            <v>1045.06</v>
          </cell>
          <cell r="I188">
            <v>0</v>
          </cell>
          <cell r="J188">
            <v>1045.06</v>
          </cell>
        </row>
        <row r="189">
          <cell r="A189" t="str">
            <v>LU0839535514</v>
          </cell>
          <cell r="B189" t="str">
            <v>AF GLOBAL AGGREGATE BOND</v>
          </cell>
          <cell r="C189" t="str">
            <v>Class I EUR (C)</v>
          </cell>
          <cell r="D189" t="str">
            <v>EUR</v>
          </cell>
          <cell r="E189" t="str">
            <v>03-Jan-2022</v>
          </cell>
          <cell r="F189">
            <v>19465594.109999999</v>
          </cell>
          <cell r="G189">
            <v>12362.643</v>
          </cell>
          <cell r="H189">
            <v>1574.55</v>
          </cell>
          <cell r="I189">
            <v>0</v>
          </cell>
          <cell r="J189">
            <v>1574.55</v>
          </cell>
        </row>
        <row r="190">
          <cell r="A190" t="str">
            <v>LU0319687637</v>
          </cell>
          <cell r="B190" t="str">
            <v>AF GLOBAL AGGREGATE BOND</v>
          </cell>
          <cell r="C190" t="str">
            <v>Class I USD (C)</v>
          </cell>
          <cell r="D190" t="str">
            <v>USD</v>
          </cell>
          <cell r="E190" t="str">
            <v>03-Jan-2022</v>
          </cell>
          <cell r="F190">
            <v>124619279.27</v>
          </cell>
          <cell r="G190">
            <v>50122.771999999997</v>
          </cell>
          <cell r="H190">
            <v>2486.2800000000002</v>
          </cell>
          <cell r="I190">
            <v>0</v>
          </cell>
          <cell r="J190">
            <v>2486.2800000000002</v>
          </cell>
        </row>
        <row r="191">
          <cell r="A191" t="str">
            <v>LU2330497434</v>
          </cell>
          <cell r="B191" t="str">
            <v>AF GLOBAL AGGREGATE BOND</v>
          </cell>
          <cell r="C191" t="str">
            <v>Class I2 USD MD (D)</v>
          </cell>
          <cell r="D191" t="str">
            <v>USD</v>
          </cell>
          <cell r="E191" t="str">
            <v>03-Jan-2022</v>
          </cell>
          <cell r="F191">
            <v>4976.42</v>
          </cell>
          <cell r="G191">
            <v>5</v>
          </cell>
          <cell r="H191">
            <v>995.28</v>
          </cell>
          <cell r="I191">
            <v>1.25</v>
          </cell>
          <cell r="J191">
            <v>995.28</v>
          </cell>
        </row>
        <row r="192">
          <cell r="A192" t="str">
            <v>LU1103162241</v>
          </cell>
          <cell r="B192" t="str">
            <v>AF GLOBAL AGGREGATE BOND</v>
          </cell>
          <cell r="C192" t="str">
            <v>Class Q-I11 USD (C)</v>
          </cell>
          <cell r="D192" t="str">
            <v>USD</v>
          </cell>
          <cell r="E192" t="str">
            <v>03-Jan-2022</v>
          </cell>
          <cell r="F192">
            <v>473698.69</v>
          </cell>
          <cell r="G192">
            <v>393.62700000000001</v>
          </cell>
          <cell r="H192">
            <v>1203.42</v>
          </cell>
          <cell r="I192">
            <v>0</v>
          </cell>
          <cell r="J192">
            <v>1203.42</v>
          </cell>
        </row>
        <row r="193">
          <cell r="A193" t="str">
            <v>LU1049752915</v>
          </cell>
          <cell r="B193" t="str">
            <v>AF GLOBAL AGGREGATE BOND</v>
          </cell>
          <cell r="C193" t="str">
            <v>Class Q-I0 GBP Hgd (C)</v>
          </cell>
          <cell r="D193" t="str">
            <v>GBP</v>
          </cell>
          <cell r="E193" t="str">
            <v>03-Jan-2022</v>
          </cell>
          <cell r="F193">
            <v>1175.8599999999999</v>
          </cell>
          <cell r="G193">
            <v>1</v>
          </cell>
          <cell r="H193">
            <v>1175.8599999999999</v>
          </cell>
          <cell r="I193">
            <v>0</v>
          </cell>
          <cell r="J193">
            <v>1175.8599999999999</v>
          </cell>
        </row>
        <row r="194">
          <cell r="A194" t="str">
            <v>LU2330497350</v>
          </cell>
          <cell r="B194" t="str">
            <v>AF GLOBAL AGGREGATE BOND</v>
          </cell>
          <cell r="C194" t="str">
            <v>Class I2 USD AD (D)</v>
          </cell>
          <cell r="D194" t="str">
            <v>USD</v>
          </cell>
          <cell r="E194" t="str">
            <v>03-Jan-2022</v>
          </cell>
          <cell r="F194">
            <v>5014.7</v>
          </cell>
          <cell r="G194">
            <v>5</v>
          </cell>
          <cell r="H194">
            <v>1002.94</v>
          </cell>
          <cell r="I194">
            <v>0</v>
          </cell>
          <cell r="J194">
            <v>1002.94</v>
          </cell>
        </row>
        <row r="195">
          <cell r="A195" t="str">
            <v>LU0906524789</v>
          </cell>
          <cell r="B195" t="str">
            <v>AF GLOBAL AGGREGATE BOND</v>
          </cell>
          <cell r="C195" t="str">
            <v>Class I CAD Hgd AD (D)</v>
          </cell>
          <cell r="D195" t="str">
            <v>CAD</v>
          </cell>
          <cell r="E195" t="str">
            <v>03-Jan-2022</v>
          </cell>
          <cell r="F195">
            <v>813422.01</v>
          </cell>
          <cell r="G195">
            <v>739</v>
          </cell>
          <cell r="H195">
            <v>1100.71</v>
          </cell>
          <cell r="I195">
            <v>0</v>
          </cell>
          <cell r="J195">
            <v>1100.71</v>
          </cell>
        </row>
        <row r="196">
          <cell r="A196" t="str">
            <v>LU0945157690</v>
          </cell>
          <cell r="B196" t="str">
            <v>AF GLOBAL AGGREGATE BOND</v>
          </cell>
          <cell r="C196" t="str">
            <v>Class I CHF Hgd (C)</v>
          </cell>
          <cell r="D196" t="str">
            <v>CHF</v>
          </cell>
          <cell r="E196" t="str">
            <v>03-Jan-2022</v>
          </cell>
          <cell r="F196">
            <v>19801623.850000001</v>
          </cell>
          <cell r="G196">
            <v>17725</v>
          </cell>
          <cell r="H196">
            <v>1117.1600000000001</v>
          </cell>
          <cell r="I196">
            <v>0</v>
          </cell>
          <cell r="J196">
            <v>1117.1600000000001</v>
          </cell>
        </row>
        <row r="197">
          <cell r="A197" t="str">
            <v>LU1883317346</v>
          </cell>
          <cell r="B197" t="str">
            <v>AF GLOBAL AGGREGATE BOND</v>
          </cell>
          <cell r="C197" t="str">
            <v>Class E2 EUR QTD (D)</v>
          </cell>
          <cell r="D197" t="str">
            <v>EUR</v>
          </cell>
          <cell r="E197" t="str">
            <v>03-Jan-2022</v>
          </cell>
          <cell r="F197">
            <v>1941853.26</v>
          </cell>
          <cell r="G197">
            <v>373975.696</v>
          </cell>
          <cell r="H197">
            <v>5.1920000000000002</v>
          </cell>
          <cell r="I197">
            <v>1.8700000000000001E-2</v>
          </cell>
          <cell r="J197">
            <v>5.1920000000000002</v>
          </cell>
        </row>
        <row r="198">
          <cell r="A198" t="str">
            <v>LU0839535357</v>
          </cell>
          <cell r="B198" t="str">
            <v>AF GLOBAL AGGREGATE BOND</v>
          </cell>
          <cell r="C198" t="str">
            <v>Class I EUR Hgd (C)</v>
          </cell>
          <cell r="D198" t="str">
            <v>EUR</v>
          </cell>
          <cell r="E198" t="str">
            <v>03-Jan-2022</v>
          </cell>
          <cell r="F198">
            <v>126620233.23</v>
          </cell>
          <cell r="G198">
            <v>103884.678</v>
          </cell>
          <cell r="H198">
            <v>1218.8499999999999</v>
          </cell>
          <cell r="I198">
            <v>0</v>
          </cell>
          <cell r="J198">
            <v>1218.8499999999999</v>
          </cell>
        </row>
        <row r="199">
          <cell r="A199" t="str">
            <v>LU0987191565</v>
          </cell>
          <cell r="B199" t="str">
            <v>AF GLOBAL AGGREGATE BOND</v>
          </cell>
          <cell r="C199" t="str">
            <v>Class I GBP Hgd (C)</v>
          </cell>
          <cell r="D199" t="str">
            <v>GBP</v>
          </cell>
          <cell r="E199" t="str">
            <v>03-Jan-2022</v>
          </cell>
          <cell r="F199">
            <v>6025980.9699999997</v>
          </cell>
          <cell r="G199">
            <v>5202.741</v>
          </cell>
          <cell r="H199">
            <v>1158.23</v>
          </cell>
          <cell r="I199">
            <v>0</v>
          </cell>
          <cell r="J199">
            <v>1158.23</v>
          </cell>
        </row>
        <row r="200">
          <cell r="A200" t="str">
            <v>LU0987191722</v>
          </cell>
          <cell r="B200" t="str">
            <v>AF GLOBAL AGGREGATE BOND</v>
          </cell>
          <cell r="C200" t="str">
            <v>Class I EUR Hgd AD (D)</v>
          </cell>
          <cell r="D200" t="str">
            <v>EUR</v>
          </cell>
          <cell r="E200" t="str">
            <v>03-Jan-2022</v>
          </cell>
          <cell r="F200">
            <v>79964758.680000007</v>
          </cell>
          <cell r="G200">
            <v>83829.350000000006</v>
          </cell>
          <cell r="H200">
            <v>953.9</v>
          </cell>
          <cell r="I200">
            <v>0</v>
          </cell>
          <cell r="J200">
            <v>953.9</v>
          </cell>
        </row>
        <row r="201">
          <cell r="A201" t="str">
            <v>LU1883317692</v>
          </cell>
          <cell r="B201" t="str">
            <v>AF GLOBAL AGGREGATE BOND</v>
          </cell>
          <cell r="C201" t="str">
            <v>Class I2 EUR (C)</v>
          </cell>
          <cell r="D201" t="str">
            <v>EUR</v>
          </cell>
          <cell r="E201" t="str">
            <v>03-Jan-2022</v>
          </cell>
          <cell r="F201">
            <v>44294794.689999998</v>
          </cell>
          <cell r="G201">
            <v>40666.540999999997</v>
          </cell>
          <cell r="H201">
            <v>1089.22</v>
          </cell>
          <cell r="I201">
            <v>0</v>
          </cell>
          <cell r="J201">
            <v>1089.22</v>
          </cell>
        </row>
        <row r="202">
          <cell r="A202" t="str">
            <v>LU1897299365</v>
          </cell>
          <cell r="B202" t="str">
            <v>AF GLOBAL AGGREGATE BOND</v>
          </cell>
          <cell r="C202" t="str">
            <v>Class I2 GBP (C)</v>
          </cell>
          <cell r="D202" t="str">
            <v>GBP</v>
          </cell>
          <cell r="E202" t="str">
            <v>03-Jan-2022</v>
          </cell>
          <cell r="F202">
            <v>4786.55</v>
          </cell>
          <cell r="G202">
            <v>5</v>
          </cell>
          <cell r="H202">
            <v>957.31</v>
          </cell>
          <cell r="I202">
            <v>0</v>
          </cell>
          <cell r="J202">
            <v>957.31</v>
          </cell>
        </row>
        <row r="203">
          <cell r="A203" t="str">
            <v>LU2031983880</v>
          </cell>
          <cell r="B203" t="str">
            <v>AF GLOBAL AGGREGATE BOND</v>
          </cell>
          <cell r="C203" t="str">
            <v>Class I2 GBP QD (D)</v>
          </cell>
          <cell r="D203" t="str">
            <v>GBP</v>
          </cell>
          <cell r="E203" t="str">
            <v>03-Jan-2022</v>
          </cell>
          <cell r="F203">
            <v>4554.79</v>
          </cell>
          <cell r="G203">
            <v>5</v>
          </cell>
          <cell r="H203">
            <v>910.96</v>
          </cell>
          <cell r="I203">
            <v>0</v>
          </cell>
          <cell r="J203">
            <v>910.96</v>
          </cell>
        </row>
        <row r="204">
          <cell r="A204" t="str">
            <v>LU1883317858</v>
          </cell>
          <cell r="B204" t="str">
            <v>AF GLOBAL AGGREGATE BOND</v>
          </cell>
          <cell r="C204" t="str">
            <v>Class I2 USD (C)</v>
          </cell>
          <cell r="D204" t="str">
            <v>USD</v>
          </cell>
          <cell r="E204" t="str">
            <v>03-Jan-2022</v>
          </cell>
          <cell r="F204">
            <v>55494805.950000003</v>
          </cell>
          <cell r="G204">
            <v>53694</v>
          </cell>
          <cell r="H204">
            <v>1033.54</v>
          </cell>
          <cell r="I204">
            <v>0</v>
          </cell>
          <cell r="J204">
            <v>1033.54</v>
          </cell>
        </row>
        <row r="205">
          <cell r="A205" t="str">
            <v>LU0839535860</v>
          </cell>
          <cell r="B205" t="str">
            <v>AF GLOBAL AGGREGATE BOND</v>
          </cell>
          <cell r="C205" t="str">
            <v>Class I EUR AD (D)</v>
          </cell>
          <cell r="D205" t="str">
            <v>EUR</v>
          </cell>
          <cell r="E205" t="str">
            <v>03-Jan-2022</v>
          </cell>
          <cell r="F205">
            <v>4366547.3899999997</v>
          </cell>
          <cell r="G205">
            <v>3882.4560000000001</v>
          </cell>
          <cell r="H205">
            <v>1124.69</v>
          </cell>
          <cell r="I205">
            <v>0</v>
          </cell>
          <cell r="J205">
            <v>1124.69</v>
          </cell>
        </row>
        <row r="206">
          <cell r="A206" t="str">
            <v>LU0319687710</v>
          </cell>
          <cell r="B206" t="str">
            <v>AF GLOBAL AGGREGATE BOND</v>
          </cell>
          <cell r="C206" t="str">
            <v>Class I USD AD (D)</v>
          </cell>
          <cell r="D206" t="str">
            <v>USD</v>
          </cell>
          <cell r="E206" t="str">
            <v>03-Jan-2022</v>
          </cell>
          <cell r="F206">
            <v>10818359.970000001</v>
          </cell>
          <cell r="G206">
            <v>9430.0859999999993</v>
          </cell>
          <cell r="H206">
            <v>1147.22</v>
          </cell>
          <cell r="I206">
            <v>0</v>
          </cell>
          <cell r="J206">
            <v>1147.22</v>
          </cell>
        </row>
        <row r="207">
          <cell r="A207" t="str">
            <v>LU0329444938</v>
          </cell>
          <cell r="B207" t="str">
            <v>AF GLOBAL AGGREGATE BOND</v>
          </cell>
          <cell r="C207" t="str">
            <v>Class M USD (C)</v>
          </cell>
          <cell r="D207" t="str">
            <v>USD</v>
          </cell>
          <cell r="E207" t="str">
            <v>03-Jan-2022</v>
          </cell>
          <cell r="F207">
            <v>64103427.219999999</v>
          </cell>
          <cell r="G207">
            <v>392760.71100000001</v>
          </cell>
          <cell r="H207">
            <v>163.21</v>
          </cell>
          <cell r="I207">
            <v>0</v>
          </cell>
          <cell r="J207">
            <v>163.21</v>
          </cell>
        </row>
        <row r="208">
          <cell r="A208" t="str">
            <v>LU1998919796</v>
          </cell>
          <cell r="B208" t="str">
            <v>AF GLOBAL AGGREGATE BOND</v>
          </cell>
          <cell r="C208" t="str">
            <v>Class H EUR Hgd QTD  ( D )</v>
          </cell>
          <cell r="D208" t="str">
            <v>EUR</v>
          </cell>
          <cell r="E208" t="str">
            <v>03-Jan-2022</v>
          </cell>
          <cell r="F208">
            <v>10538040.720000001</v>
          </cell>
          <cell r="G208">
            <v>10803.422</v>
          </cell>
          <cell r="H208">
            <v>975.44</v>
          </cell>
          <cell r="I208">
            <v>3.8144</v>
          </cell>
          <cell r="J208">
            <v>975.44</v>
          </cell>
        </row>
        <row r="209">
          <cell r="A209" t="str">
            <v>LU0613076487</v>
          </cell>
          <cell r="B209" t="str">
            <v>AF GLOBAL AGGREGATE BOND</v>
          </cell>
          <cell r="C209" t="str">
            <v>Class M EUR Hgd (C)</v>
          </cell>
          <cell r="D209" t="str">
            <v>EUR</v>
          </cell>
          <cell r="E209" t="str">
            <v>03-Jan-2022</v>
          </cell>
          <cell r="F209">
            <v>158738591.08000001</v>
          </cell>
          <cell r="G209">
            <v>1211679.7790000001</v>
          </cell>
          <cell r="H209">
            <v>131.01</v>
          </cell>
          <cell r="I209">
            <v>0</v>
          </cell>
          <cell r="J209">
            <v>131.01</v>
          </cell>
        </row>
        <row r="210">
          <cell r="A210" t="str">
            <v>LU2002721707</v>
          </cell>
          <cell r="B210" t="str">
            <v>AF GLOBAL AGGREGATE BOND</v>
          </cell>
          <cell r="C210" t="str">
            <v>Class M2 USD ( C )</v>
          </cell>
          <cell r="D210" t="str">
            <v>USD</v>
          </cell>
          <cell r="E210" t="str">
            <v>03-Jan-2022</v>
          </cell>
          <cell r="F210">
            <v>31755.64</v>
          </cell>
          <cell r="G210">
            <v>30.347000000000001</v>
          </cell>
          <cell r="H210">
            <v>1046.42</v>
          </cell>
          <cell r="I210">
            <v>0</v>
          </cell>
          <cell r="J210">
            <v>1046.42</v>
          </cell>
        </row>
        <row r="211">
          <cell r="A211" t="str">
            <v>LU0557861514</v>
          </cell>
          <cell r="B211" t="str">
            <v>AF GLOBAL AGGREGATE BOND</v>
          </cell>
          <cell r="C211" t="str">
            <v>Class O USD (C)</v>
          </cell>
          <cell r="D211" t="str">
            <v>USD</v>
          </cell>
          <cell r="E211" t="str">
            <v>03-Jan-2022</v>
          </cell>
          <cell r="F211">
            <v>26160951.789999999</v>
          </cell>
          <cell r="G211">
            <v>16871.044999999998</v>
          </cell>
          <cell r="H211">
            <v>1550.64</v>
          </cell>
          <cell r="I211">
            <v>0</v>
          </cell>
          <cell r="J211">
            <v>1550.64</v>
          </cell>
        </row>
        <row r="212">
          <cell r="A212" t="str">
            <v>LU1883318237</v>
          </cell>
          <cell r="B212" t="str">
            <v>AF GLOBAL AGGREGATE BOND</v>
          </cell>
          <cell r="C212" t="str">
            <v>Class P2 USD (C)</v>
          </cell>
          <cell r="D212" t="str">
            <v>USD</v>
          </cell>
          <cell r="E212" t="str">
            <v>03-Jan-2022</v>
          </cell>
          <cell r="F212">
            <v>574825.12</v>
          </cell>
          <cell r="G212">
            <v>10662.734</v>
          </cell>
          <cell r="H212">
            <v>53.91</v>
          </cell>
          <cell r="I212">
            <v>0</v>
          </cell>
          <cell r="J212">
            <v>53.91</v>
          </cell>
        </row>
        <row r="213">
          <cell r="A213" t="str">
            <v>LU0906524946</v>
          </cell>
          <cell r="B213" t="str">
            <v>AF GLOBAL AGGREGATE BOND</v>
          </cell>
          <cell r="C213" t="str">
            <v>Class Q-R GBP Hgd AD (D)</v>
          </cell>
          <cell r="D213" t="str">
            <v>GBP</v>
          </cell>
          <cell r="E213" t="str">
            <v>03-Jan-2022</v>
          </cell>
          <cell r="F213">
            <v>244695.12</v>
          </cell>
          <cell r="G213">
            <v>2330.0239999999999</v>
          </cell>
          <cell r="H213">
            <v>105.02</v>
          </cell>
          <cell r="I213">
            <v>0</v>
          </cell>
          <cell r="J213">
            <v>105.02</v>
          </cell>
        </row>
        <row r="214">
          <cell r="A214" t="str">
            <v>LU1250884738</v>
          </cell>
          <cell r="B214" t="str">
            <v>AF GLOBAL AGGREGATE BOND</v>
          </cell>
          <cell r="C214" t="str">
            <v>Class R CHF Hgd (C)</v>
          </cell>
          <cell r="D214" t="str">
            <v>CHF</v>
          </cell>
          <cell r="E214" t="str">
            <v>03-Jan-2022</v>
          </cell>
          <cell r="F214">
            <v>884243.1</v>
          </cell>
          <cell r="G214">
            <v>8581.8340000000007</v>
          </cell>
          <cell r="H214">
            <v>103.04</v>
          </cell>
          <cell r="I214">
            <v>0</v>
          </cell>
          <cell r="J214">
            <v>103.04</v>
          </cell>
        </row>
        <row r="215">
          <cell r="A215" t="str">
            <v>LU0839533659</v>
          </cell>
          <cell r="B215" t="str">
            <v>AF GLOBAL AGGREGATE BOND</v>
          </cell>
          <cell r="C215" t="str">
            <v>Class Q-R GBP (C)</v>
          </cell>
          <cell r="D215" t="str">
            <v>GBP</v>
          </cell>
          <cell r="E215" t="str">
            <v>03-Jan-2022</v>
          </cell>
          <cell r="F215">
            <v>117079.69</v>
          </cell>
          <cell r="G215">
            <v>1051.9949999999999</v>
          </cell>
          <cell r="H215">
            <v>111.29</v>
          </cell>
          <cell r="I215">
            <v>0</v>
          </cell>
          <cell r="J215">
            <v>111.29</v>
          </cell>
        </row>
        <row r="216">
          <cell r="A216" t="str">
            <v>LU0839534624</v>
          </cell>
          <cell r="B216" t="str">
            <v>AF GLOBAL AGGREGATE BOND</v>
          </cell>
          <cell r="C216" t="str">
            <v>Class R USD (C)</v>
          </cell>
          <cell r="D216" t="str">
            <v>USD</v>
          </cell>
          <cell r="E216" t="str">
            <v>03-Jan-2022</v>
          </cell>
          <cell r="F216">
            <v>6601032.71</v>
          </cell>
          <cell r="G216">
            <v>50232.845000000001</v>
          </cell>
          <cell r="H216">
            <v>131.41</v>
          </cell>
          <cell r="I216">
            <v>0</v>
          </cell>
          <cell r="J216">
            <v>131.41</v>
          </cell>
        </row>
        <row r="217">
          <cell r="A217" t="str">
            <v>LU0839534384</v>
          </cell>
          <cell r="B217" t="str">
            <v>AF GLOBAL AGGREGATE BOND</v>
          </cell>
          <cell r="C217" t="str">
            <v>Class R EUR Hgd AD (D)</v>
          </cell>
          <cell r="D217" t="str">
            <v>EUR</v>
          </cell>
          <cell r="E217" t="str">
            <v>03-Jan-2022</v>
          </cell>
          <cell r="F217">
            <v>1847214.93</v>
          </cell>
          <cell r="G217">
            <v>18484.382000000001</v>
          </cell>
          <cell r="H217">
            <v>99.93</v>
          </cell>
          <cell r="I217">
            <v>0</v>
          </cell>
          <cell r="J217">
            <v>99.93</v>
          </cell>
        </row>
        <row r="218">
          <cell r="A218" t="str">
            <v>LU0839534970</v>
          </cell>
          <cell r="B218" t="str">
            <v>AF GLOBAL AGGREGATE BOND</v>
          </cell>
          <cell r="C218" t="str">
            <v>Class R USD AD (D)</v>
          </cell>
          <cell r="D218" t="str">
            <v>USD</v>
          </cell>
          <cell r="E218" t="str">
            <v>03-Jan-2022</v>
          </cell>
          <cell r="F218">
            <v>10415947.51</v>
          </cell>
          <cell r="G218">
            <v>92602.698999999993</v>
          </cell>
          <cell r="H218">
            <v>112.48</v>
          </cell>
          <cell r="I218">
            <v>0</v>
          </cell>
          <cell r="J218">
            <v>112.48</v>
          </cell>
        </row>
        <row r="219">
          <cell r="A219" t="str">
            <v>LU2259110299</v>
          </cell>
          <cell r="B219" t="str">
            <v>AF GLOBAL AGGREGATE BOND</v>
          </cell>
          <cell r="C219" t="str">
            <v>Class R2 GBP (C)</v>
          </cell>
          <cell r="D219" t="str">
            <v>GBP</v>
          </cell>
          <cell r="E219" t="str">
            <v>03-Jan-2022</v>
          </cell>
          <cell r="F219">
            <v>4921.91</v>
          </cell>
          <cell r="G219">
            <v>100</v>
          </cell>
          <cell r="H219">
            <v>49.22</v>
          </cell>
          <cell r="I219">
            <v>0</v>
          </cell>
          <cell r="J219">
            <v>49.22</v>
          </cell>
        </row>
        <row r="220">
          <cell r="A220" t="str">
            <v>LU0839533816</v>
          </cell>
          <cell r="B220" t="str">
            <v>AF GLOBAL AGGREGATE BOND</v>
          </cell>
          <cell r="C220" t="str">
            <v>Class Q-R GBP AD (D)</v>
          </cell>
          <cell r="D220" t="str">
            <v>GBP</v>
          </cell>
          <cell r="E220" t="str">
            <v>03-Jan-2022</v>
          </cell>
          <cell r="F220">
            <v>231618.61</v>
          </cell>
          <cell r="G220">
            <v>1665</v>
          </cell>
          <cell r="H220">
            <v>139.11000000000001</v>
          </cell>
          <cell r="I220">
            <v>0</v>
          </cell>
          <cell r="J220">
            <v>139.11000000000001</v>
          </cell>
        </row>
        <row r="221">
          <cell r="A221" t="str">
            <v>LU1873222944</v>
          </cell>
          <cell r="B221" t="str">
            <v>AF GLOBAL AGGREGATE BOND</v>
          </cell>
          <cell r="C221" t="str">
            <v>Class R CHF Hgd AD (D)</v>
          </cell>
          <cell r="D221" t="str">
            <v>CHF</v>
          </cell>
          <cell r="E221" t="str">
            <v>03-Jan-2022</v>
          </cell>
          <cell r="F221">
            <v>397852</v>
          </cell>
          <cell r="G221">
            <v>4045.4349999999999</v>
          </cell>
          <cell r="H221">
            <v>98.35</v>
          </cell>
          <cell r="I221">
            <v>0</v>
          </cell>
          <cell r="J221">
            <v>98.35</v>
          </cell>
        </row>
        <row r="222">
          <cell r="A222" t="str">
            <v>LU1327397144</v>
          </cell>
          <cell r="B222" t="str">
            <v>AF GLOBAL AGGREGATE BOND</v>
          </cell>
          <cell r="C222" t="str">
            <v>Class R EUR (C)</v>
          </cell>
          <cell r="D222" t="str">
            <v>EUR</v>
          </cell>
          <cell r="E222" t="str">
            <v>03-Jan-2022</v>
          </cell>
          <cell r="F222">
            <v>5606169.4400000004</v>
          </cell>
          <cell r="G222">
            <v>48554.819000000003</v>
          </cell>
          <cell r="H222">
            <v>115.46</v>
          </cell>
          <cell r="I222">
            <v>0</v>
          </cell>
          <cell r="J222">
            <v>115.46</v>
          </cell>
        </row>
        <row r="223">
          <cell r="A223" t="str">
            <v>LU1327397227</v>
          </cell>
          <cell r="B223" t="str">
            <v>AF GLOBAL AGGREGATE BOND</v>
          </cell>
          <cell r="C223" t="str">
            <v>Class R EUR AD (D)</v>
          </cell>
          <cell r="D223" t="str">
            <v>EUR</v>
          </cell>
          <cell r="E223" t="str">
            <v>03-Jan-2022</v>
          </cell>
          <cell r="F223">
            <v>483206.18</v>
          </cell>
          <cell r="G223">
            <v>4218.3890000000001</v>
          </cell>
          <cell r="H223">
            <v>114.55</v>
          </cell>
          <cell r="I223">
            <v>0</v>
          </cell>
          <cell r="J223">
            <v>114.55</v>
          </cell>
        </row>
        <row r="224">
          <cell r="A224" t="str">
            <v>LU0839534111</v>
          </cell>
          <cell r="B224" t="str">
            <v>AF GLOBAL AGGREGATE BOND</v>
          </cell>
          <cell r="C224" t="str">
            <v>Class R EUR Hgd (C)</v>
          </cell>
          <cell r="D224" t="str">
            <v>EUR</v>
          </cell>
          <cell r="E224" t="str">
            <v>03-Jan-2022</v>
          </cell>
          <cell r="F224">
            <v>7181569.3300000001</v>
          </cell>
          <cell r="G224">
            <v>61476.142</v>
          </cell>
          <cell r="H224">
            <v>116.82</v>
          </cell>
          <cell r="I224">
            <v>0</v>
          </cell>
          <cell r="J224">
            <v>116.82</v>
          </cell>
        </row>
        <row r="225">
          <cell r="A225" t="str">
            <v>LU0906524862</v>
          </cell>
          <cell r="B225" t="str">
            <v>AF GLOBAL AGGREGATE BOND</v>
          </cell>
          <cell r="C225" t="str">
            <v>Class Q-R GBP Hgd (C)</v>
          </cell>
          <cell r="D225" t="str">
            <v>GBP</v>
          </cell>
          <cell r="E225" t="str">
            <v>03-Jan-2022</v>
          </cell>
          <cell r="F225">
            <v>4940950.6100000003</v>
          </cell>
          <cell r="G225">
            <v>39629.097000000002</v>
          </cell>
          <cell r="H225">
            <v>124.68</v>
          </cell>
          <cell r="I225">
            <v>0</v>
          </cell>
          <cell r="J225">
            <v>124.68</v>
          </cell>
        </row>
        <row r="226">
          <cell r="A226" t="str">
            <v>LU1508889729</v>
          </cell>
          <cell r="B226" t="str">
            <v>AF GLOBAL AGGREGATE BOND</v>
          </cell>
          <cell r="C226" t="str">
            <v>Class Q-R2 EUR Hgd (C)</v>
          </cell>
          <cell r="D226" t="str">
            <v>EUR</v>
          </cell>
          <cell r="E226" t="str">
            <v>03-Jan-2022</v>
          </cell>
          <cell r="F226">
            <v>20691478.489999998</v>
          </cell>
          <cell r="G226">
            <v>192115.739</v>
          </cell>
          <cell r="H226">
            <v>107.7</v>
          </cell>
          <cell r="I226">
            <v>0</v>
          </cell>
          <cell r="J226">
            <v>107.7</v>
          </cell>
        </row>
        <row r="227">
          <cell r="A227" t="str">
            <v>LU1883318583</v>
          </cell>
          <cell r="B227" t="str">
            <v>AF GLOBAL AGGREGATE BOND</v>
          </cell>
          <cell r="C227" t="str">
            <v>Class R2 USD (C)</v>
          </cell>
          <cell r="D227" t="str">
            <v>USD</v>
          </cell>
          <cell r="E227" t="str">
            <v>03-Jan-2022</v>
          </cell>
          <cell r="F227">
            <v>15773943.67</v>
          </cell>
          <cell r="G227">
            <v>291882.69300000003</v>
          </cell>
          <cell r="H227">
            <v>54.04</v>
          </cell>
          <cell r="I227">
            <v>0</v>
          </cell>
          <cell r="J227">
            <v>54.04</v>
          </cell>
        </row>
        <row r="228">
          <cell r="A228" t="str">
            <v>LU0319688361</v>
          </cell>
          <cell r="B228" t="str">
            <v>AF GLOBAL AGGREGATE BOND</v>
          </cell>
          <cell r="C228" t="str">
            <v>Class G USD (C)</v>
          </cell>
          <cell r="D228" t="str">
            <v>USD</v>
          </cell>
          <cell r="E228" t="str">
            <v>03-Jan-2022</v>
          </cell>
          <cell r="F228">
            <v>146575419.5</v>
          </cell>
          <cell r="G228">
            <v>598008.83499999996</v>
          </cell>
          <cell r="H228">
            <v>245.11</v>
          </cell>
          <cell r="I228">
            <v>0</v>
          </cell>
          <cell r="J228">
            <v>252.46</v>
          </cell>
        </row>
        <row r="229">
          <cell r="A229" t="str">
            <v>LU0797053575</v>
          </cell>
          <cell r="B229" t="str">
            <v>AF GLOBAL AGGREGATE BOND</v>
          </cell>
          <cell r="C229" t="str">
            <v>Class G GBP Hgd AD (D)</v>
          </cell>
          <cell r="D229" t="str">
            <v>GBP</v>
          </cell>
          <cell r="E229" t="str">
            <v>03-Jan-2022</v>
          </cell>
          <cell r="F229">
            <v>1262584.48</v>
          </cell>
          <cell r="G229">
            <v>12260.233</v>
          </cell>
          <cell r="H229">
            <v>102.98</v>
          </cell>
          <cell r="I229">
            <v>0</v>
          </cell>
          <cell r="J229">
            <v>106.07</v>
          </cell>
        </row>
        <row r="230">
          <cell r="A230" t="str">
            <v>LU0613076990</v>
          </cell>
          <cell r="B230" t="str">
            <v>AF GLOBAL AGGREGATE BOND</v>
          </cell>
          <cell r="C230" t="str">
            <v>Class G EUR Hgd (C)</v>
          </cell>
          <cell r="D230" t="str">
            <v>EUR</v>
          </cell>
          <cell r="E230" t="str">
            <v>03-Jan-2022</v>
          </cell>
          <cell r="F230">
            <v>152278085.38</v>
          </cell>
          <cell r="G230">
            <v>1244691.398</v>
          </cell>
          <cell r="H230">
            <v>122.34</v>
          </cell>
          <cell r="I230">
            <v>0</v>
          </cell>
          <cell r="J230">
            <v>126.01</v>
          </cell>
        </row>
        <row r="231">
          <cell r="A231" t="str">
            <v>LU1327397060</v>
          </cell>
          <cell r="B231" t="str">
            <v>AF GLOBAL AGGREGATE BOND</v>
          </cell>
          <cell r="C231" t="str">
            <v>Class G USD MD (D)</v>
          </cell>
          <cell r="D231" t="str">
            <v>USD</v>
          </cell>
          <cell r="E231" t="str">
            <v>03-Jan-2022</v>
          </cell>
          <cell r="F231">
            <v>935461.6</v>
          </cell>
          <cell r="G231">
            <v>9337.9529999999995</v>
          </cell>
          <cell r="H231">
            <v>100.18</v>
          </cell>
          <cell r="I231">
            <v>0.13039999999999999</v>
          </cell>
          <cell r="J231">
            <v>100.18</v>
          </cell>
        </row>
        <row r="232">
          <cell r="A232" t="str">
            <v>LU1854487383</v>
          </cell>
          <cell r="B232" t="str">
            <v>AF GLOBAL AGGREGATE BOND</v>
          </cell>
          <cell r="C232" t="str">
            <v>Class Q-I19 EUR</v>
          </cell>
          <cell r="D232" t="str">
            <v>EUR</v>
          </cell>
          <cell r="E232" t="str">
            <v>03-Jan-2022</v>
          </cell>
          <cell r="F232">
            <v>5809.57</v>
          </cell>
          <cell r="G232">
            <v>5</v>
          </cell>
          <cell r="H232">
            <v>1161.9100000000001</v>
          </cell>
          <cell r="I232">
            <v>0</v>
          </cell>
          <cell r="J232">
            <v>1161.9100000000001</v>
          </cell>
        </row>
        <row r="233">
          <cell r="A233" t="str">
            <v>LU2085676323</v>
          </cell>
          <cell r="B233" t="str">
            <v>AF GLOBAL AGGREGATE BOND</v>
          </cell>
          <cell r="C233" t="str">
            <v>Class X EUR Hgd AD  ( D )</v>
          </cell>
          <cell r="D233" t="str">
            <v>EUR</v>
          </cell>
          <cell r="E233" t="str">
            <v>03-Jan-2022</v>
          </cell>
          <cell r="F233">
            <v>774993162.53999996</v>
          </cell>
          <cell r="G233">
            <v>799597.35400000005</v>
          </cell>
          <cell r="H233">
            <v>969.23</v>
          </cell>
          <cell r="I233">
            <v>0</v>
          </cell>
          <cell r="J233">
            <v>969.23</v>
          </cell>
        </row>
        <row r="234">
          <cell r="A234" t="str">
            <v>LU1327396419</v>
          </cell>
          <cell r="B234" t="str">
            <v>AF GLOBAL AGGREGATE BOND</v>
          </cell>
          <cell r="C234" t="str">
            <v>Class I USD MD (D)</v>
          </cell>
          <cell r="D234" t="str">
            <v>USD</v>
          </cell>
          <cell r="E234" t="str">
            <v>03-Jan-2022</v>
          </cell>
          <cell r="F234">
            <v>5789785.5800000001</v>
          </cell>
          <cell r="G234">
            <v>5399.9340000000002</v>
          </cell>
          <cell r="H234">
            <v>1072.2</v>
          </cell>
          <cell r="I234">
            <v>1.3853</v>
          </cell>
          <cell r="J234">
            <v>1072.2</v>
          </cell>
        </row>
        <row r="235">
          <cell r="A235" t="str">
            <v>LU1327396849</v>
          </cell>
          <cell r="B235" t="str">
            <v>AF GLOBAL AGGREGATE BOND</v>
          </cell>
          <cell r="C235" t="str">
            <v>Class A2 SGD (C)</v>
          </cell>
          <cell r="D235" t="str">
            <v>SGD</v>
          </cell>
          <cell r="E235" t="str">
            <v>03-Jan-2022</v>
          </cell>
          <cell r="F235">
            <v>10975.11</v>
          </cell>
          <cell r="G235">
            <v>93.016000000000005</v>
          </cell>
          <cell r="H235">
            <v>117.99</v>
          </cell>
          <cell r="I235">
            <v>0</v>
          </cell>
          <cell r="J235">
            <v>117.99</v>
          </cell>
        </row>
        <row r="236">
          <cell r="A236" t="str">
            <v>LU1327396922</v>
          </cell>
          <cell r="B236" t="str">
            <v>AF GLOBAL AGGREGATE BOND</v>
          </cell>
          <cell r="C236" t="str">
            <v>Class A2 SGD MD (D)</v>
          </cell>
          <cell r="D236" t="str">
            <v>SGD</v>
          </cell>
          <cell r="E236" t="str">
            <v>03-Jan-2022</v>
          </cell>
          <cell r="F236">
            <v>28199.279999999999</v>
          </cell>
          <cell r="G236">
            <v>281.05700000000002</v>
          </cell>
          <cell r="H236">
            <v>100.33</v>
          </cell>
          <cell r="I236">
            <v>0.1273</v>
          </cell>
          <cell r="J236">
            <v>100.33</v>
          </cell>
        </row>
        <row r="237">
          <cell r="A237" t="str">
            <v>LU1998919440</v>
          </cell>
          <cell r="B237" t="str">
            <v>AF GLOBAL AGGREGATE BOND</v>
          </cell>
          <cell r="C237" t="str">
            <v>Class H EUR Hgd  ( C )</v>
          </cell>
          <cell r="D237" t="str">
            <v>EUR</v>
          </cell>
          <cell r="E237" t="str">
            <v>03-Jan-2022</v>
          </cell>
          <cell r="F237">
            <v>837778.44</v>
          </cell>
          <cell r="G237">
            <v>824.94500000000005</v>
          </cell>
          <cell r="H237">
            <v>1015.56</v>
          </cell>
          <cell r="I237">
            <v>0</v>
          </cell>
          <cell r="J237">
            <v>1015.56</v>
          </cell>
        </row>
        <row r="238">
          <cell r="A238" t="str">
            <v>LU0557863056</v>
          </cell>
          <cell r="B238" t="str">
            <v>AF GLOBAL CORPORATE BOND</v>
          </cell>
          <cell r="C238" t="str">
            <v>Class A EUR (C)</v>
          </cell>
          <cell r="D238" t="str">
            <v>EUR</v>
          </cell>
          <cell r="E238" t="str">
            <v>03-Jan-2022</v>
          </cell>
          <cell r="F238">
            <v>8670232.4000000004</v>
          </cell>
          <cell r="G238">
            <v>42230.341999999997</v>
          </cell>
          <cell r="H238">
            <v>205.31</v>
          </cell>
          <cell r="I238">
            <v>0</v>
          </cell>
          <cell r="J238">
            <v>211.47</v>
          </cell>
        </row>
        <row r="239">
          <cell r="A239" t="str">
            <v>LU0319688791</v>
          </cell>
          <cell r="B239" t="str">
            <v>AF GLOBAL CORPORATE BOND</v>
          </cell>
          <cell r="C239" t="str">
            <v>Class A USD (C)</v>
          </cell>
          <cell r="D239" t="str">
            <v>USD</v>
          </cell>
          <cell r="E239" t="str">
            <v>03-Jan-2022</v>
          </cell>
          <cell r="F239">
            <v>13010986.369999999</v>
          </cell>
          <cell r="G239">
            <v>65902.987999999998</v>
          </cell>
          <cell r="H239">
            <v>197.43</v>
          </cell>
          <cell r="I239">
            <v>0</v>
          </cell>
          <cell r="J239">
            <v>203.35</v>
          </cell>
        </row>
        <row r="240">
          <cell r="A240" t="str">
            <v>LU2070307835</v>
          </cell>
          <cell r="B240" t="str">
            <v>AF GLOBAL CORPORATE BOND</v>
          </cell>
          <cell r="C240" t="str">
            <v>Class A5 EUR (C)</v>
          </cell>
          <cell r="D240" t="str">
            <v>EUR</v>
          </cell>
          <cell r="E240" t="str">
            <v>03-Jan-2022</v>
          </cell>
          <cell r="F240">
            <v>5310.1</v>
          </cell>
          <cell r="G240">
            <v>100</v>
          </cell>
          <cell r="H240">
            <v>53.1</v>
          </cell>
          <cell r="I240">
            <v>0</v>
          </cell>
          <cell r="J240">
            <v>53.1</v>
          </cell>
        </row>
        <row r="241">
          <cell r="A241" t="str">
            <v>LU0906525240</v>
          </cell>
          <cell r="B241" t="str">
            <v>AF GLOBAL CORPORATE BOND</v>
          </cell>
          <cell r="C241" t="str">
            <v>Class A EUR Hgd MD (D)</v>
          </cell>
          <cell r="D241" t="str">
            <v>EUR</v>
          </cell>
          <cell r="E241" t="str">
            <v>03-Jan-2022</v>
          </cell>
          <cell r="F241">
            <v>579519.81999999995</v>
          </cell>
          <cell r="G241">
            <v>6397.7129999999997</v>
          </cell>
          <cell r="H241">
            <v>90.58</v>
          </cell>
          <cell r="I241">
            <v>0.1178</v>
          </cell>
          <cell r="J241">
            <v>90.58</v>
          </cell>
        </row>
        <row r="242">
          <cell r="A242" t="str">
            <v>LU0839536322</v>
          </cell>
          <cell r="B242" t="str">
            <v>AF GLOBAL CORPORATE BOND</v>
          </cell>
          <cell r="C242" t="str">
            <v>Class A EUR Hgd (C)</v>
          </cell>
          <cell r="D242" t="str">
            <v>EUR</v>
          </cell>
          <cell r="E242" t="str">
            <v>03-Jan-2022</v>
          </cell>
          <cell r="F242">
            <v>3142235.43</v>
          </cell>
          <cell r="G242">
            <v>24991.502</v>
          </cell>
          <cell r="H242">
            <v>125.73</v>
          </cell>
          <cell r="I242">
            <v>0</v>
          </cell>
          <cell r="J242">
            <v>129.5</v>
          </cell>
        </row>
        <row r="243">
          <cell r="A243" t="str">
            <v>LU0557863130</v>
          </cell>
          <cell r="B243" t="str">
            <v>AF GLOBAL CORPORATE BOND</v>
          </cell>
          <cell r="C243" t="str">
            <v>Class A EUR AD (D)</v>
          </cell>
          <cell r="D243" t="str">
            <v>EUR</v>
          </cell>
          <cell r="E243" t="str">
            <v>03-Jan-2022</v>
          </cell>
          <cell r="F243">
            <v>1045413.83</v>
          </cell>
          <cell r="G243">
            <v>6651.3440000000001</v>
          </cell>
          <cell r="H243">
            <v>157.16999999999999</v>
          </cell>
          <cell r="I243">
            <v>0</v>
          </cell>
          <cell r="J243">
            <v>161.88999999999999</v>
          </cell>
        </row>
        <row r="244">
          <cell r="A244" t="str">
            <v>LU0319688874</v>
          </cell>
          <cell r="B244" t="str">
            <v>AF GLOBAL CORPORATE BOND</v>
          </cell>
          <cell r="C244" t="str">
            <v>Class A USD AD (D)</v>
          </cell>
          <cell r="D244" t="str">
            <v>USD</v>
          </cell>
          <cell r="E244" t="str">
            <v>03-Jan-2022</v>
          </cell>
          <cell r="F244">
            <v>3462665.87</v>
          </cell>
          <cell r="G244">
            <v>25161.035</v>
          </cell>
          <cell r="H244">
            <v>137.62</v>
          </cell>
          <cell r="I244">
            <v>0</v>
          </cell>
          <cell r="J244">
            <v>141.75</v>
          </cell>
        </row>
        <row r="245">
          <cell r="A245" t="str">
            <v>LU2002722002</v>
          </cell>
          <cell r="B245" t="str">
            <v>AF GLOBAL CORPORATE BOND</v>
          </cell>
          <cell r="C245" t="str">
            <v>Class M2 EUR Hgd ( C )</v>
          </cell>
          <cell r="D245" t="str">
            <v>EUR</v>
          </cell>
          <cell r="E245" t="str">
            <v>03-Jan-2022</v>
          </cell>
          <cell r="F245">
            <v>162368742.27000001</v>
          </cell>
          <cell r="G245">
            <v>152072.666</v>
          </cell>
          <cell r="H245">
            <v>1067.7</v>
          </cell>
          <cell r="I245">
            <v>0</v>
          </cell>
          <cell r="J245">
            <v>1067.7</v>
          </cell>
        </row>
        <row r="246">
          <cell r="A246" t="str">
            <v>LU2110861221</v>
          </cell>
          <cell r="B246" t="str">
            <v>AF GLOBAL CORPORATE BOND</v>
          </cell>
          <cell r="C246" t="str">
            <v>Class M2 EUR Hgd QTD (D)</v>
          </cell>
          <cell r="D246" t="str">
            <v>EUR</v>
          </cell>
          <cell r="E246" t="str">
            <v>03-Jan-2022</v>
          </cell>
          <cell r="F246">
            <v>175030018.88</v>
          </cell>
          <cell r="G246">
            <v>178696.383</v>
          </cell>
          <cell r="H246">
            <v>979.48</v>
          </cell>
          <cell r="I246">
            <v>3.8197999999999999</v>
          </cell>
          <cell r="J246">
            <v>979.48</v>
          </cell>
        </row>
        <row r="247">
          <cell r="A247" t="str">
            <v>LU1327397573</v>
          </cell>
          <cell r="B247" t="str">
            <v>AF GLOBAL CORPORATE BOND</v>
          </cell>
          <cell r="C247" t="str">
            <v>Class Q-I4 USD (C)</v>
          </cell>
          <cell r="D247" t="str">
            <v>USD</v>
          </cell>
          <cell r="E247" t="str">
            <v>03-Jan-2022</v>
          </cell>
          <cell r="F247">
            <v>3937603.09</v>
          </cell>
          <cell r="G247">
            <v>3093.2689999999998</v>
          </cell>
          <cell r="H247">
            <v>1272.96</v>
          </cell>
          <cell r="I247">
            <v>0</v>
          </cell>
          <cell r="J247">
            <v>1272.96</v>
          </cell>
        </row>
        <row r="248">
          <cell r="A248" t="str">
            <v>LU1103153331</v>
          </cell>
          <cell r="B248" t="str">
            <v>AF GLOBAL CORPORATE BOND</v>
          </cell>
          <cell r="C248" t="str">
            <v>Class A2 USD (C)</v>
          </cell>
          <cell r="D248" t="str">
            <v>USD</v>
          </cell>
          <cell r="E248" t="str">
            <v>03-Jan-2022</v>
          </cell>
          <cell r="F248">
            <v>4127.47</v>
          </cell>
          <cell r="G248">
            <v>40.655000000000001</v>
          </cell>
          <cell r="H248">
            <v>101.52</v>
          </cell>
          <cell r="I248">
            <v>0</v>
          </cell>
          <cell r="J248">
            <v>101.52</v>
          </cell>
        </row>
        <row r="249">
          <cell r="A249" t="str">
            <v>LU2018722780</v>
          </cell>
          <cell r="B249" t="str">
            <v>AF GLOBAL CORPORATE BOND</v>
          </cell>
          <cell r="C249" t="str">
            <v>Class F EUR Hgd MD (D)</v>
          </cell>
          <cell r="D249" t="str">
            <v>EUR</v>
          </cell>
          <cell r="E249" t="str">
            <v>03-Jan-2022</v>
          </cell>
          <cell r="F249">
            <v>136544.07</v>
          </cell>
          <cell r="G249">
            <v>28049.531999999999</v>
          </cell>
          <cell r="H249">
            <v>4.8680000000000003</v>
          </cell>
          <cell r="I249">
            <v>6.4000000000000003E-3</v>
          </cell>
          <cell r="J249">
            <v>4.8680000000000003</v>
          </cell>
        </row>
        <row r="250">
          <cell r="A250" t="str">
            <v>LU0557863213</v>
          </cell>
          <cell r="B250" t="str">
            <v>AF GLOBAL CORPORATE BOND</v>
          </cell>
          <cell r="C250" t="str">
            <v>Class F2 USD (C)</v>
          </cell>
          <cell r="D250" t="str">
            <v>USD</v>
          </cell>
          <cell r="E250" t="str">
            <v>03-Jan-2022</v>
          </cell>
          <cell r="F250">
            <v>1401275.4</v>
          </cell>
          <cell r="G250">
            <v>9368.3050000000003</v>
          </cell>
          <cell r="H250">
            <v>149.58000000000001</v>
          </cell>
          <cell r="I250">
            <v>0</v>
          </cell>
          <cell r="J250">
            <v>149.58000000000001</v>
          </cell>
        </row>
        <row r="251">
          <cell r="A251" t="str">
            <v>LU1103153091</v>
          </cell>
          <cell r="B251" t="str">
            <v>AF GLOBAL CORPORATE BOND</v>
          </cell>
          <cell r="C251" t="str">
            <v>Class F2 EUR Hgd MD (D)</v>
          </cell>
          <cell r="D251" t="str">
            <v>EUR</v>
          </cell>
          <cell r="E251" t="str">
            <v>03-Jan-2022</v>
          </cell>
          <cell r="F251">
            <v>1935478.78</v>
          </cell>
          <cell r="G251">
            <v>22530.955000000002</v>
          </cell>
          <cell r="H251">
            <v>85.9</v>
          </cell>
          <cell r="I251">
            <v>0.1123</v>
          </cell>
          <cell r="J251">
            <v>85.9</v>
          </cell>
        </row>
        <row r="252">
          <cell r="A252" t="str">
            <v>LU1103152879</v>
          </cell>
          <cell r="B252" t="str">
            <v>AF GLOBAL CORPORATE BOND</v>
          </cell>
          <cell r="C252" t="str">
            <v>Class G EUR Hgd MD (D)</v>
          </cell>
          <cell r="D252" t="str">
            <v>EUR</v>
          </cell>
          <cell r="E252" t="str">
            <v>03-Jan-2022</v>
          </cell>
          <cell r="F252">
            <v>13327072</v>
          </cell>
          <cell r="G252">
            <v>149473.91200000001</v>
          </cell>
          <cell r="H252">
            <v>89.16</v>
          </cell>
          <cell r="I252">
            <v>0.11609999999999999</v>
          </cell>
          <cell r="J252">
            <v>89.16</v>
          </cell>
        </row>
        <row r="253">
          <cell r="A253" t="str">
            <v>LU2002722184</v>
          </cell>
          <cell r="B253" t="str">
            <v>AF GLOBAL CORPORATE BOND</v>
          </cell>
          <cell r="C253" t="str">
            <v>Class M2 USD ( C )</v>
          </cell>
          <cell r="D253" t="str">
            <v>USD</v>
          </cell>
          <cell r="E253" t="str">
            <v>03-Jan-2022</v>
          </cell>
          <cell r="F253">
            <v>5550.04</v>
          </cell>
          <cell r="G253">
            <v>5</v>
          </cell>
          <cell r="H253">
            <v>1110.01</v>
          </cell>
          <cell r="I253">
            <v>0</v>
          </cell>
          <cell r="J253">
            <v>1110.01</v>
          </cell>
        </row>
        <row r="254">
          <cell r="A254" t="str">
            <v>LU2183143416</v>
          </cell>
          <cell r="B254" t="str">
            <v>AF GLOBAL CORPORATE BOND</v>
          </cell>
          <cell r="C254" t="str">
            <v>Class I2 USD (C)</v>
          </cell>
          <cell r="D254" t="str">
            <v>USD</v>
          </cell>
          <cell r="E254" t="str">
            <v>03-Jan-2022</v>
          </cell>
          <cell r="F254">
            <v>5240.82</v>
          </cell>
          <cell r="G254">
            <v>5</v>
          </cell>
          <cell r="H254">
            <v>1048.1600000000001</v>
          </cell>
          <cell r="I254">
            <v>0</v>
          </cell>
          <cell r="J254">
            <v>1048.1600000000001</v>
          </cell>
        </row>
        <row r="255">
          <cell r="A255" t="str">
            <v>LU0319688445</v>
          </cell>
          <cell r="B255" t="str">
            <v>AF GLOBAL CORPORATE BOND</v>
          </cell>
          <cell r="C255" t="str">
            <v>Class I USD (C)</v>
          </cell>
          <cell r="D255" t="str">
            <v>USD</v>
          </cell>
          <cell r="E255" t="str">
            <v>03-Jan-2022</v>
          </cell>
          <cell r="F255">
            <v>16464748.42</v>
          </cell>
          <cell r="G255">
            <v>7811.2129999999997</v>
          </cell>
          <cell r="H255">
            <v>2107.84</v>
          </cell>
          <cell r="I255">
            <v>0</v>
          </cell>
          <cell r="J255">
            <v>2107.84</v>
          </cell>
        </row>
        <row r="256">
          <cell r="A256" t="str">
            <v>LU1732799140</v>
          </cell>
          <cell r="B256" t="str">
            <v>AF GLOBAL CORPORATE BOND</v>
          </cell>
          <cell r="C256" t="str">
            <v>Class Q-I12 EUR Hgd (C)</v>
          </cell>
          <cell r="D256" t="str">
            <v>EUR</v>
          </cell>
          <cell r="E256" t="str">
            <v>03-Jan-2022</v>
          </cell>
          <cell r="F256">
            <v>77049992.069999993</v>
          </cell>
          <cell r="G256">
            <v>67557.010999999999</v>
          </cell>
          <cell r="H256">
            <v>1140.52</v>
          </cell>
          <cell r="I256">
            <v>0</v>
          </cell>
          <cell r="J256">
            <v>1140.52</v>
          </cell>
        </row>
        <row r="257">
          <cell r="A257" t="str">
            <v>LU0839536082</v>
          </cell>
          <cell r="B257" t="str">
            <v>AF GLOBAL CORPORATE BOND</v>
          </cell>
          <cell r="C257" t="str">
            <v>Class I EUR Hgd (C)</v>
          </cell>
          <cell r="D257" t="str">
            <v>EUR</v>
          </cell>
          <cell r="E257" t="str">
            <v>03-Jan-2022</v>
          </cell>
          <cell r="F257">
            <v>572529.81999999995</v>
          </cell>
          <cell r="G257">
            <v>432.709</v>
          </cell>
          <cell r="H257">
            <v>1323.13</v>
          </cell>
          <cell r="I257">
            <v>0</v>
          </cell>
          <cell r="J257">
            <v>1323.13</v>
          </cell>
        </row>
        <row r="258">
          <cell r="A258" t="str">
            <v>LU0329445315</v>
          </cell>
          <cell r="B258" t="str">
            <v>AF GLOBAL CORPORATE BOND</v>
          </cell>
          <cell r="C258" t="str">
            <v>Class M USD (C)</v>
          </cell>
          <cell r="D258" t="str">
            <v>USD</v>
          </cell>
          <cell r="E258" t="str">
            <v>03-Jan-2022</v>
          </cell>
          <cell r="F258">
            <v>187733.96</v>
          </cell>
          <cell r="G258">
            <v>1187.048</v>
          </cell>
          <cell r="H258">
            <v>158.15</v>
          </cell>
          <cell r="I258">
            <v>0</v>
          </cell>
          <cell r="J258">
            <v>158.15</v>
          </cell>
        </row>
        <row r="259">
          <cell r="A259" t="str">
            <v>LU2110861148</v>
          </cell>
          <cell r="B259" t="str">
            <v>AF GLOBAL CORPORATE BOND</v>
          </cell>
          <cell r="C259" t="str">
            <v>Class H EUR Hgd QTD  ( D )</v>
          </cell>
          <cell r="D259" t="str">
            <v>EUR</v>
          </cell>
          <cell r="E259" t="str">
            <v>03-Jan-2022</v>
          </cell>
          <cell r="F259">
            <v>26761718.420000002</v>
          </cell>
          <cell r="G259">
            <v>27203.056</v>
          </cell>
          <cell r="H259">
            <v>983.78</v>
          </cell>
          <cell r="I259">
            <v>3.831</v>
          </cell>
          <cell r="J259">
            <v>983.78</v>
          </cell>
        </row>
        <row r="260">
          <cell r="A260" t="str">
            <v>LU1971433120</v>
          </cell>
          <cell r="B260" t="str">
            <v>AF GLOBAL CORPORATE BOND</v>
          </cell>
          <cell r="C260" t="str">
            <v>Class M EUR HGD (C)</v>
          </cell>
          <cell r="D260" t="str">
            <v>EUR</v>
          </cell>
          <cell r="E260" t="str">
            <v>03-Jan-2022</v>
          </cell>
          <cell r="F260">
            <v>8994429.3200000003</v>
          </cell>
          <cell r="G260">
            <v>80985.77</v>
          </cell>
          <cell r="H260">
            <v>111.06</v>
          </cell>
          <cell r="I260">
            <v>0</v>
          </cell>
          <cell r="J260">
            <v>0</v>
          </cell>
        </row>
        <row r="261">
          <cell r="A261" t="str">
            <v>LU0557863304</v>
          </cell>
          <cell r="B261" t="str">
            <v>AF GLOBAL CORPORATE BOND</v>
          </cell>
          <cell r="C261" t="str">
            <v>Class O USD (C)</v>
          </cell>
          <cell r="D261" t="str">
            <v>USD</v>
          </cell>
          <cell r="E261" t="str">
            <v>03-Jan-2022</v>
          </cell>
          <cell r="F261">
            <v>286247182.47000003</v>
          </cell>
          <cell r="G261">
            <v>172949.236</v>
          </cell>
          <cell r="H261">
            <v>1655.09</v>
          </cell>
          <cell r="I261">
            <v>0</v>
          </cell>
          <cell r="J261">
            <v>1655.09</v>
          </cell>
        </row>
        <row r="262">
          <cell r="A262" t="str">
            <v>LU1103153174</v>
          </cell>
          <cell r="B262" t="str">
            <v>AF GLOBAL CORPORATE BOND</v>
          </cell>
          <cell r="C262" t="str">
            <v>Class O EUR Hgd (C)</v>
          </cell>
          <cell r="D262" t="str">
            <v>EUR</v>
          </cell>
          <cell r="E262" t="str">
            <v>03-Jan-2022</v>
          </cell>
          <cell r="F262">
            <v>14969656.449999999</v>
          </cell>
          <cell r="G262">
            <v>12422.026</v>
          </cell>
          <cell r="H262">
            <v>1205.0899999999999</v>
          </cell>
          <cell r="I262">
            <v>0</v>
          </cell>
          <cell r="J262">
            <v>1205.0899999999999</v>
          </cell>
        </row>
        <row r="263">
          <cell r="A263" t="str">
            <v>LU0906525679</v>
          </cell>
          <cell r="B263" t="str">
            <v>AF GLOBAL CORPORATE BOND</v>
          </cell>
          <cell r="C263" t="str">
            <v>Class R EUR Hgd AD (D)</v>
          </cell>
          <cell r="D263" t="str">
            <v>EUR</v>
          </cell>
          <cell r="E263" t="str">
            <v>03-Jan-2022</v>
          </cell>
          <cell r="F263">
            <v>51202.98</v>
          </cell>
          <cell r="G263">
            <v>500</v>
          </cell>
          <cell r="H263">
            <v>102.41</v>
          </cell>
          <cell r="I263">
            <v>0</v>
          </cell>
          <cell r="J263">
            <v>102.41</v>
          </cell>
        </row>
        <row r="264">
          <cell r="A264" t="str">
            <v>LU0906525596</v>
          </cell>
          <cell r="B264" t="str">
            <v>AF GLOBAL CORPORATE BOND</v>
          </cell>
          <cell r="C264" t="str">
            <v>Class R EUR Hgd (C)</v>
          </cell>
          <cell r="D264" t="str">
            <v>EUR</v>
          </cell>
          <cell r="E264" t="str">
            <v>03-Jan-2022</v>
          </cell>
          <cell r="F264">
            <v>534294.78</v>
          </cell>
          <cell r="G264">
            <v>4836.1679999999997</v>
          </cell>
          <cell r="H264">
            <v>110.48</v>
          </cell>
          <cell r="I264">
            <v>0</v>
          </cell>
          <cell r="J264">
            <v>110.48</v>
          </cell>
        </row>
        <row r="265">
          <cell r="A265" t="str">
            <v>LU0906525752</v>
          </cell>
          <cell r="B265" t="str">
            <v>AF GLOBAL CORPORATE BOND</v>
          </cell>
          <cell r="C265" t="str">
            <v>Class Q-R GBP Hgd (C)</v>
          </cell>
          <cell r="D265" t="str">
            <v>GBP</v>
          </cell>
          <cell r="E265" t="str">
            <v>03-Jan-2022</v>
          </cell>
          <cell r="F265">
            <v>1216.1099999999999</v>
          </cell>
          <cell r="G265">
            <v>10</v>
          </cell>
          <cell r="H265">
            <v>121.61</v>
          </cell>
          <cell r="I265">
            <v>0</v>
          </cell>
          <cell r="J265">
            <v>121.61</v>
          </cell>
        </row>
        <row r="266">
          <cell r="A266" t="str">
            <v>LU0319688957</v>
          </cell>
          <cell r="B266" t="str">
            <v>AF GLOBAL CORPORATE BOND</v>
          </cell>
          <cell r="C266" t="str">
            <v>Class G USD (C)</v>
          </cell>
          <cell r="D266" t="str">
            <v>USD</v>
          </cell>
          <cell r="E266" t="str">
            <v>03-Jan-2022</v>
          </cell>
          <cell r="F266">
            <v>11874808.76</v>
          </cell>
          <cell r="G266">
            <v>61635.610999999997</v>
          </cell>
          <cell r="H266">
            <v>192.66</v>
          </cell>
          <cell r="I266">
            <v>0</v>
          </cell>
          <cell r="J266">
            <v>198.44</v>
          </cell>
        </row>
        <row r="267">
          <cell r="A267" t="str">
            <v>LU1998921693</v>
          </cell>
          <cell r="B267" t="str">
            <v>AF GLOBAL CORPORATE BOND</v>
          </cell>
          <cell r="C267" t="str">
            <v>Class X EUR Hgd  ( C )</v>
          </cell>
          <cell r="D267" t="str">
            <v>EUR</v>
          </cell>
          <cell r="E267" t="str">
            <v>03-Jan-2022</v>
          </cell>
          <cell r="F267">
            <v>18025688.969999999</v>
          </cell>
          <cell r="G267">
            <v>16633</v>
          </cell>
          <cell r="H267">
            <v>1083.73</v>
          </cell>
          <cell r="I267">
            <v>0</v>
          </cell>
          <cell r="J267">
            <v>1083.73</v>
          </cell>
        </row>
        <row r="268">
          <cell r="A268" t="str">
            <v>LU1998919879</v>
          </cell>
          <cell r="B268" t="str">
            <v>AF GLOBAL CORPORATE BOND</v>
          </cell>
          <cell r="C268" t="str">
            <v>Class H EUR Hgd  ( C )</v>
          </cell>
          <cell r="D268" t="str">
            <v>EUR</v>
          </cell>
          <cell r="E268" t="str">
            <v>03-Jan-2022</v>
          </cell>
          <cell r="F268">
            <v>107515.95</v>
          </cell>
          <cell r="G268">
            <v>100</v>
          </cell>
          <cell r="H268">
            <v>1075.1600000000001</v>
          </cell>
          <cell r="I268">
            <v>0</v>
          </cell>
          <cell r="J268">
            <v>1075.1600000000001</v>
          </cell>
        </row>
        <row r="269">
          <cell r="A269" t="str">
            <v>LU0442405998</v>
          </cell>
          <cell r="B269" t="str">
            <v>AF GLOBAL INFLATION BOND</v>
          </cell>
          <cell r="C269" t="str">
            <v>Class A EUR (C)</v>
          </cell>
          <cell r="D269" t="str">
            <v>EUR</v>
          </cell>
          <cell r="E269" t="str">
            <v>03-Jan-2022</v>
          </cell>
          <cell r="F269">
            <v>10551748.640000001</v>
          </cell>
          <cell r="G269">
            <v>82151.370999999999</v>
          </cell>
          <cell r="H269">
            <v>128.44</v>
          </cell>
          <cell r="I269">
            <v>0</v>
          </cell>
          <cell r="J269">
            <v>132.29</v>
          </cell>
        </row>
        <row r="270">
          <cell r="A270" t="str">
            <v>LU2070308056</v>
          </cell>
          <cell r="B270" t="str">
            <v>AF GLOBAL INFLATION BOND</v>
          </cell>
          <cell r="C270" t="str">
            <v>Class A5 EUR (C)</v>
          </cell>
          <cell r="D270" t="str">
            <v>EUR</v>
          </cell>
          <cell r="E270" t="str">
            <v>03-Jan-2022</v>
          </cell>
          <cell r="F270">
            <v>53808775.409999996</v>
          </cell>
          <cell r="G270">
            <v>1009311</v>
          </cell>
          <cell r="H270">
            <v>53.31</v>
          </cell>
          <cell r="I270">
            <v>0</v>
          </cell>
          <cell r="J270">
            <v>53.31</v>
          </cell>
        </row>
        <row r="271">
          <cell r="A271" t="str">
            <v>LU0906528699</v>
          </cell>
          <cell r="B271" t="str">
            <v>AF GLOBAL INFLATION BOND</v>
          </cell>
          <cell r="C271" t="str">
            <v>Class A EUR MD (D)</v>
          </cell>
          <cell r="D271" t="str">
            <v>EUR</v>
          </cell>
          <cell r="E271" t="str">
            <v>03-Jan-2022</v>
          </cell>
          <cell r="F271">
            <v>103128.09</v>
          </cell>
          <cell r="G271">
            <v>1067.4829999999999</v>
          </cell>
          <cell r="H271">
            <v>96.61</v>
          </cell>
          <cell r="I271">
            <v>0.02</v>
          </cell>
          <cell r="J271">
            <v>96.61</v>
          </cell>
        </row>
        <row r="272">
          <cell r="A272" t="str">
            <v>LU0752742972</v>
          </cell>
          <cell r="B272" t="str">
            <v>AF GLOBAL INFLATION BOND</v>
          </cell>
          <cell r="C272" t="str">
            <v>Class A USD Hgd (C)</v>
          </cell>
          <cell r="D272" t="str">
            <v>USD</v>
          </cell>
          <cell r="E272" t="str">
            <v>03-Jan-2022</v>
          </cell>
          <cell r="F272">
            <v>98216.24</v>
          </cell>
          <cell r="G272">
            <v>830.93700000000001</v>
          </cell>
          <cell r="H272">
            <v>118.2</v>
          </cell>
          <cell r="I272">
            <v>0</v>
          </cell>
          <cell r="J272">
            <v>121.75</v>
          </cell>
        </row>
        <row r="273">
          <cell r="A273" t="str">
            <v>LU0442406376</v>
          </cell>
          <cell r="B273" t="str">
            <v>AF GLOBAL INFLATION BOND</v>
          </cell>
          <cell r="C273" t="str">
            <v>Class A EUR AD (D)</v>
          </cell>
          <cell r="D273" t="str">
            <v>EUR</v>
          </cell>
          <cell r="E273" t="str">
            <v>03-Jan-2022</v>
          </cell>
          <cell r="F273">
            <v>1705222.83</v>
          </cell>
          <cell r="G273">
            <v>15191.65</v>
          </cell>
          <cell r="H273">
            <v>112.25</v>
          </cell>
          <cell r="I273">
            <v>0</v>
          </cell>
          <cell r="J273">
            <v>115.62</v>
          </cell>
        </row>
        <row r="274">
          <cell r="A274" t="str">
            <v>LU1883325109</v>
          </cell>
          <cell r="B274" t="str">
            <v>AF GLOBAL INFLATION BOND</v>
          </cell>
          <cell r="C274" t="str">
            <v>Class M2 EUR (C)</v>
          </cell>
          <cell r="D274" t="str">
            <v>EUR</v>
          </cell>
          <cell r="E274" t="str">
            <v>03-Jan-2022</v>
          </cell>
          <cell r="F274">
            <v>6611527.2800000003</v>
          </cell>
          <cell r="G274">
            <v>6055.9780000000001</v>
          </cell>
          <cell r="H274">
            <v>1091.74</v>
          </cell>
          <cell r="I274">
            <v>0</v>
          </cell>
          <cell r="J274">
            <v>1091.74</v>
          </cell>
        </row>
        <row r="275">
          <cell r="A275" t="str">
            <v>LU1883324805</v>
          </cell>
          <cell r="B275" t="str">
            <v>AF GLOBAL INFLATION BOND</v>
          </cell>
          <cell r="C275" t="str">
            <v>Class A2 EUR (C)</v>
          </cell>
          <cell r="D275" t="str">
            <v>EUR</v>
          </cell>
          <cell r="E275" t="str">
            <v>03-Jan-2022</v>
          </cell>
          <cell r="F275">
            <v>327568.34999999998</v>
          </cell>
          <cell r="G275">
            <v>6106.1220000000003</v>
          </cell>
          <cell r="H275">
            <v>53.65</v>
          </cell>
          <cell r="I275">
            <v>0</v>
          </cell>
          <cell r="J275">
            <v>55.26</v>
          </cell>
        </row>
        <row r="276">
          <cell r="A276" t="str">
            <v>LU1883324987</v>
          </cell>
          <cell r="B276" t="str">
            <v>AF GLOBAL INFLATION BOND</v>
          </cell>
          <cell r="C276" t="str">
            <v>Class E2 EUR (C)</v>
          </cell>
          <cell r="D276" t="str">
            <v>EUR</v>
          </cell>
          <cell r="E276" t="str">
            <v>03-Jan-2022</v>
          </cell>
          <cell r="F276">
            <v>1755741.6</v>
          </cell>
          <cell r="G276">
            <v>325162.72200000001</v>
          </cell>
          <cell r="H276">
            <v>5.4</v>
          </cell>
          <cell r="I276">
            <v>0</v>
          </cell>
          <cell r="J276">
            <v>5.4</v>
          </cell>
        </row>
        <row r="277">
          <cell r="A277" t="str">
            <v>LU2018722277</v>
          </cell>
          <cell r="B277" t="str">
            <v>AF GLOBAL INFLATION BOND</v>
          </cell>
          <cell r="C277" t="str">
            <v>Class F EUR (C)</v>
          </cell>
          <cell r="D277" t="str">
            <v>EUR</v>
          </cell>
          <cell r="E277" t="str">
            <v>03-Jan-2022</v>
          </cell>
          <cell r="F277">
            <v>394541.68</v>
          </cell>
          <cell r="G277">
            <v>75613.644</v>
          </cell>
          <cell r="H277">
            <v>5.218</v>
          </cell>
          <cell r="I277">
            <v>0</v>
          </cell>
          <cell r="J277">
            <v>5.218</v>
          </cell>
        </row>
        <row r="278">
          <cell r="A278" t="str">
            <v>LU0557864377</v>
          </cell>
          <cell r="B278" t="str">
            <v>AF GLOBAL INFLATION BOND</v>
          </cell>
          <cell r="C278" t="str">
            <v>Class F2 EUR (C)</v>
          </cell>
          <cell r="D278" t="str">
            <v>EUR</v>
          </cell>
          <cell r="E278" t="str">
            <v>03-Jan-2022</v>
          </cell>
          <cell r="F278">
            <v>1493121.02</v>
          </cell>
          <cell r="G278">
            <v>13697.228999999999</v>
          </cell>
          <cell r="H278">
            <v>109.01</v>
          </cell>
          <cell r="I278">
            <v>0</v>
          </cell>
          <cell r="J278">
            <v>109.01</v>
          </cell>
        </row>
        <row r="279">
          <cell r="A279" t="str">
            <v>LU1998920299</v>
          </cell>
          <cell r="B279" t="str">
            <v>AF GLOBAL INFLATION BOND</v>
          </cell>
          <cell r="C279" t="str">
            <v>Class H EUR (C)</v>
          </cell>
          <cell r="D279" t="str">
            <v>EUR</v>
          </cell>
          <cell r="E279" t="str">
            <v>03-Jan-2022</v>
          </cell>
          <cell r="F279">
            <v>5286.28</v>
          </cell>
          <cell r="G279">
            <v>5</v>
          </cell>
          <cell r="H279">
            <v>1057.26</v>
          </cell>
          <cell r="I279">
            <v>0</v>
          </cell>
          <cell r="J279">
            <v>1057.26</v>
          </cell>
        </row>
        <row r="280">
          <cell r="A280" t="str">
            <v>LU0442406616</v>
          </cell>
          <cell r="B280" t="str">
            <v>AF GLOBAL INFLATION BOND</v>
          </cell>
          <cell r="C280" t="str">
            <v>Class I EUR (C)</v>
          </cell>
          <cell r="D280" t="str">
            <v>EUR</v>
          </cell>
          <cell r="E280" t="str">
            <v>03-Jan-2022</v>
          </cell>
          <cell r="F280">
            <v>31959365.530000001</v>
          </cell>
          <cell r="G280">
            <v>23207.664000000001</v>
          </cell>
          <cell r="H280">
            <v>1377.1</v>
          </cell>
          <cell r="I280">
            <v>0</v>
          </cell>
          <cell r="J280">
            <v>1377.1</v>
          </cell>
        </row>
        <row r="281">
          <cell r="A281" t="str">
            <v>LU0752743194</v>
          </cell>
          <cell r="B281" t="str">
            <v>AF GLOBAL INFLATION BOND</v>
          </cell>
          <cell r="C281" t="str">
            <v>Class I USD Hgd (C)</v>
          </cell>
          <cell r="D281" t="str">
            <v>USD</v>
          </cell>
          <cell r="E281" t="str">
            <v>03-Jan-2022</v>
          </cell>
          <cell r="F281">
            <v>1386045.26</v>
          </cell>
          <cell r="G281">
            <v>1138.8320000000001</v>
          </cell>
          <cell r="H281">
            <v>1217.08</v>
          </cell>
          <cell r="I281">
            <v>0</v>
          </cell>
          <cell r="J281">
            <v>1217.08</v>
          </cell>
        </row>
        <row r="282">
          <cell r="A282" t="str">
            <v>LU1272326791</v>
          </cell>
          <cell r="B282" t="str">
            <v>AF GLOBAL INFLATION BOND</v>
          </cell>
          <cell r="C282" t="str">
            <v>Class Q-I13 GBP Hgd (C)</v>
          </cell>
          <cell r="D282" t="str">
            <v>GBP</v>
          </cell>
          <cell r="E282" t="str">
            <v>03-Jan-2022</v>
          </cell>
          <cell r="F282">
            <v>1195.0899999999999</v>
          </cell>
          <cell r="G282">
            <v>1</v>
          </cell>
          <cell r="H282">
            <v>1195.0899999999999</v>
          </cell>
          <cell r="I282">
            <v>0</v>
          </cell>
          <cell r="J282">
            <v>1195.0899999999999</v>
          </cell>
        </row>
        <row r="283">
          <cell r="A283" t="str">
            <v>LU1272326445</v>
          </cell>
          <cell r="B283" t="str">
            <v>AF GLOBAL INFLATION BOND</v>
          </cell>
          <cell r="C283" t="str">
            <v>Class Q-I13 USD Hgd (C)</v>
          </cell>
          <cell r="D283" t="str">
            <v>USD</v>
          </cell>
          <cell r="E283" t="str">
            <v>03-Jan-2022</v>
          </cell>
          <cell r="F283">
            <v>507916.37</v>
          </cell>
          <cell r="G283">
            <v>399.92200000000003</v>
          </cell>
          <cell r="H283">
            <v>1270.04</v>
          </cell>
          <cell r="I283">
            <v>0</v>
          </cell>
          <cell r="J283">
            <v>1270.04</v>
          </cell>
        </row>
        <row r="284">
          <cell r="A284" t="str">
            <v>LU1272328227</v>
          </cell>
          <cell r="B284" t="str">
            <v>AF GLOBAL INFLATION BOND</v>
          </cell>
          <cell r="C284" t="str">
            <v>Class Q-I13 EUR (C)</v>
          </cell>
          <cell r="D284" t="str">
            <v>EUR</v>
          </cell>
          <cell r="E284" t="str">
            <v>03-Jan-2022</v>
          </cell>
          <cell r="F284">
            <v>736542.23</v>
          </cell>
          <cell r="G284">
            <v>650.76900000000001</v>
          </cell>
          <cell r="H284">
            <v>1131.8</v>
          </cell>
          <cell r="I284">
            <v>0</v>
          </cell>
          <cell r="J284">
            <v>1131.8</v>
          </cell>
        </row>
        <row r="285">
          <cell r="A285" t="str">
            <v>LU0442406533</v>
          </cell>
          <cell r="B285" t="str">
            <v>AF GLOBAL INFLATION BOND</v>
          </cell>
          <cell r="C285" t="str">
            <v>Class M EUR (C)</v>
          </cell>
          <cell r="D285" t="str">
            <v>EUR</v>
          </cell>
          <cell r="E285" t="str">
            <v>03-Jan-2022</v>
          </cell>
          <cell r="F285">
            <v>26487752.100000001</v>
          </cell>
          <cell r="G285">
            <v>205898.69500000001</v>
          </cell>
          <cell r="H285">
            <v>128.63999999999999</v>
          </cell>
          <cell r="I285">
            <v>0</v>
          </cell>
          <cell r="J285">
            <v>128.63999999999999</v>
          </cell>
        </row>
        <row r="286">
          <cell r="A286" t="str">
            <v>LU1883325281</v>
          </cell>
          <cell r="B286" t="str">
            <v>AF GLOBAL INFLATION BOND</v>
          </cell>
          <cell r="C286" t="str">
            <v>Class R2 EUR (C)</v>
          </cell>
          <cell r="D286" t="str">
            <v>EUR</v>
          </cell>
          <cell r="E286" t="str">
            <v>03-Jan-2022</v>
          </cell>
          <cell r="F286">
            <v>5154.33</v>
          </cell>
          <cell r="G286">
            <v>94.988</v>
          </cell>
          <cell r="H286">
            <v>54.26</v>
          </cell>
          <cell r="I286">
            <v>0</v>
          </cell>
          <cell r="J286">
            <v>54.26</v>
          </cell>
        </row>
        <row r="287">
          <cell r="A287" t="str">
            <v>LU0557864534</v>
          </cell>
          <cell r="B287" t="str">
            <v>AF GLOBAL INFLATION BOND</v>
          </cell>
          <cell r="C287" t="str">
            <v>Class O EUR (C)</v>
          </cell>
          <cell r="D287" t="str">
            <v>EUR</v>
          </cell>
          <cell r="E287" t="str">
            <v>03-Jan-2022</v>
          </cell>
          <cell r="F287">
            <v>35008739.880000003</v>
          </cell>
          <cell r="G287">
            <v>28744.018</v>
          </cell>
          <cell r="H287">
            <v>1217.95</v>
          </cell>
          <cell r="I287">
            <v>0</v>
          </cell>
          <cell r="J287">
            <v>1217.95</v>
          </cell>
        </row>
        <row r="288">
          <cell r="A288" t="str">
            <v>LU0839539771</v>
          </cell>
          <cell r="B288" t="str">
            <v>AF GLOBAL INFLATION BOND</v>
          </cell>
          <cell r="C288" t="str">
            <v>Class R EUR (C)</v>
          </cell>
          <cell r="D288" t="str">
            <v>EUR</v>
          </cell>
          <cell r="E288" t="str">
            <v>03-Jan-2022</v>
          </cell>
          <cell r="F288">
            <v>876963.81</v>
          </cell>
          <cell r="G288">
            <v>7627</v>
          </cell>
          <cell r="H288">
            <v>114.98</v>
          </cell>
          <cell r="I288">
            <v>0</v>
          </cell>
          <cell r="J288">
            <v>114.98</v>
          </cell>
        </row>
        <row r="289">
          <cell r="A289" t="str">
            <v>LU0839539938</v>
          </cell>
          <cell r="B289" t="str">
            <v>AF GLOBAL INFLATION BOND</v>
          </cell>
          <cell r="C289" t="str">
            <v>Class R EUR AD (D)</v>
          </cell>
          <cell r="D289" t="str">
            <v>EUR</v>
          </cell>
          <cell r="E289" t="str">
            <v>03-Jan-2022</v>
          </cell>
          <cell r="F289">
            <v>184609.17</v>
          </cell>
          <cell r="G289">
            <v>1648</v>
          </cell>
          <cell r="H289">
            <v>112.02</v>
          </cell>
          <cell r="I289">
            <v>0</v>
          </cell>
          <cell r="J289">
            <v>112.02</v>
          </cell>
        </row>
        <row r="290">
          <cell r="A290" t="str">
            <v>LU0442406459</v>
          </cell>
          <cell r="B290" t="str">
            <v>AF GLOBAL INFLATION BOND</v>
          </cell>
          <cell r="C290" t="str">
            <v>Class G EUR (C)</v>
          </cell>
          <cell r="D290" t="str">
            <v>EUR</v>
          </cell>
          <cell r="E290" t="str">
            <v>03-Jan-2022</v>
          </cell>
          <cell r="F290">
            <v>22584018.16</v>
          </cell>
          <cell r="G290">
            <v>179094.09899999999</v>
          </cell>
          <cell r="H290">
            <v>126.1</v>
          </cell>
          <cell r="I290">
            <v>0</v>
          </cell>
          <cell r="J290">
            <v>129.88</v>
          </cell>
        </row>
        <row r="291">
          <cell r="A291" t="str">
            <v>LU0752743277</v>
          </cell>
          <cell r="B291" t="str">
            <v>AF GLOBAL INFLATION BOND</v>
          </cell>
          <cell r="C291" t="str">
            <v>Class G USD Hgd (C)</v>
          </cell>
          <cell r="D291" t="str">
            <v>USD</v>
          </cell>
          <cell r="E291" t="str">
            <v>03-Jan-2022</v>
          </cell>
          <cell r="F291">
            <v>37287.300000000003</v>
          </cell>
          <cell r="G291">
            <v>302.51</v>
          </cell>
          <cell r="H291">
            <v>123.26</v>
          </cell>
          <cell r="I291">
            <v>0</v>
          </cell>
          <cell r="J291">
            <v>126.96</v>
          </cell>
        </row>
        <row r="292">
          <cell r="A292" t="str">
            <v>LU2347636107</v>
          </cell>
          <cell r="B292" t="str">
            <v>AF GLOBAL INFLATION BOND</v>
          </cell>
          <cell r="C292" t="str">
            <v>Class Z EUR (C)</v>
          </cell>
          <cell r="D292" t="str">
            <v>EUR</v>
          </cell>
          <cell r="E292" t="str">
            <v>03-Jan-2022</v>
          </cell>
          <cell r="F292">
            <v>1126856.76</v>
          </cell>
          <cell r="G292">
            <v>1108.5</v>
          </cell>
          <cell r="H292">
            <v>1016.56</v>
          </cell>
          <cell r="I292">
            <v>0</v>
          </cell>
          <cell r="J292">
            <v>1016.56</v>
          </cell>
        </row>
        <row r="293">
          <cell r="A293" t="str">
            <v>LU0568615057</v>
          </cell>
          <cell r="B293" t="str">
            <v>AF EUROPEAN CONVERTIBLE BOND</v>
          </cell>
          <cell r="C293" t="str">
            <v>Class A EUR (C)</v>
          </cell>
          <cell r="D293" t="str">
            <v>EUR</v>
          </cell>
          <cell r="E293" t="str">
            <v>03-Jan-2022</v>
          </cell>
          <cell r="F293">
            <v>15236736.449999999</v>
          </cell>
          <cell r="G293">
            <v>124972.41899999999</v>
          </cell>
          <cell r="H293">
            <v>121.92</v>
          </cell>
          <cell r="I293">
            <v>0</v>
          </cell>
          <cell r="J293">
            <v>126.8</v>
          </cell>
        </row>
        <row r="294">
          <cell r="A294" t="str">
            <v>LU2070307082</v>
          </cell>
          <cell r="B294" t="str">
            <v>AF EUROPEAN CONVERTIBLE BOND</v>
          </cell>
          <cell r="C294" t="str">
            <v>Class A5 EUR (C)</v>
          </cell>
          <cell r="D294" t="str">
            <v>EUR</v>
          </cell>
          <cell r="E294" t="str">
            <v>03-Jan-2022</v>
          </cell>
          <cell r="F294">
            <v>5349.59</v>
          </cell>
          <cell r="G294">
            <v>100</v>
          </cell>
          <cell r="H294">
            <v>53.5</v>
          </cell>
          <cell r="I294">
            <v>0</v>
          </cell>
          <cell r="J294">
            <v>53.5</v>
          </cell>
        </row>
        <row r="295">
          <cell r="A295" t="str">
            <v>LU0568615214</v>
          </cell>
          <cell r="B295" t="str">
            <v>AF EUROPEAN CONVERTIBLE BOND</v>
          </cell>
          <cell r="C295" t="str">
            <v>Class A EUR AD (D)</v>
          </cell>
          <cell r="D295" t="str">
            <v>EUR</v>
          </cell>
          <cell r="E295" t="str">
            <v>03-Jan-2022</v>
          </cell>
          <cell r="F295">
            <v>2766490.04</v>
          </cell>
          <cell r="G295">
            <v>23931.649000000001</v>
          </cell>
          <cell r="H295">
            <v>115.6</v>
          </cell>
          <cell r="I295">
            <v>0</v>
          </cell>
          <cell r="J295">
            <v>0</v>
          </cell>
        </row>
        <row r="296">
          <cell r="A296" t="str">
            <v>LU2002721459</v>
          </cell>
          <cell r="B296" t="str">
            <v>AF EUROPEAN CONVERTIBLE BOND</v>
          </cell>
          <cell r="C296" t="str">
            <v>Class M2 EUR AD ( D )</v>
          </cell>
          <cell r="D296" t="str">
            <v>EUR</v>
          </cell>
          <cell r="E296" t="str">
            <v>03-Jan-2022</v>
          </cell>
          <cell r="F296">
            <v>5480.56</v>
          </cell>
          <cell r="G296">
            <v>5</v>
          </cell>
          <cell r="H296">
            <v>1096.1099999999999</v>
          </cell>
          <cell r="I296">
            <v>0</v>
          </cell>
          <cell r="J296">
            <v>1096.1099999999999</v>
          </cell>
        </row>
        <row r="297">
          <cell r="A297" t="str">
            <v>LU2018721899</v>
          </cell>
          <cell r="B297" t="str">
            <v>AF EUROPEAN CONVERTIBLE BOND</v>
          </cell>
          <cell r="C297" t="str">
            <v>Class F EUR (C)</v>
          </cell>
          <cell r="D297" t="str">
            <v>EUR</v>
          </cell>
          <cell r="E297" t="str">
            <v>03-Jan-2022</v>
          </cell>
          <cell r="F297">
            <v>52992.12</v>
          </cell>
          <cell r="G297">
            <v>9992.1650000000009</v>
          </cell>
          <cell r="H297">
            <v>5.3029999999999999</v>
          </cell>
          <cell r="I297">
            <v>0</v>
          </cell>
          <cell r="J297">
            <v>5.3029999999999999</v>
          </cell>
        </row>
        <row r="298">
          <cell r="A298" t="str">
            <v>LU0568615487</v>
          </cell>
          <cell r="B298" t="str">
            <v>AF EUROPEAN CONVERTIBLE BOND</v>
          </cell>
          <cell r="C298" t="str">
            <v>Class F2 EUR (C)</v>
          </cell>
          <cell r="D298" t="str">
            <v>EUR</v>
          </cell>
          <cell r="E298" t="str">
            <v>03-Jan-2022</v>
          </cell>
          <cell r="F298">
            <v>1784934.42</v>
          </cell>
          <cell r="G298">
            <v>15566.914000000001</v>
          </cell>
          <cell r="H298">
            <v>114.66</v>
          </cell>
          <cell r="I298">
            <v>0</v>
          </cell>
          <cell r="J298">
            <v>0</v>
          </cell>
        </row>
        <row r="299">
          <cell r="A299" t="str">
            <v>LU0568614670</v>
          </cell>
          <cell r="B299" t="str">
            <v>AF EUROPEAN CONVERTIBLE BOND</v>
          </cell>
          <cell r="C299" t="str">
            <v>Class I EUR (C)</v>
          </cell>
          <cell r="D299" t="str">
            <v>EUR</v>
          </cell>
          <cell r="E299" t="str">
            <v>03-Jan-2022</v>
          </cell>
          <cell r="F299">
            <v>32457649.539999999</v>
          </cell>
          <cell r="G299">
            <v>24515.245999999999</v>
          </cell>
          <cell r="H299">
            <v>1323.98</v>
          </cell>
          <cell r="I299">
            <v>0</v>
          </cell>
          <cell r="J299">
            <v>1323.98</v>
          </cell>
        </row>
        <row r="300">
          <cell r="A300" t="str">
            <v>LU0568614837</v>
          </cell>
          <cell r="B300" t="str">
            <v>AF EUROPEAN CONVERTIBLE BOND</v>
          </cell>
          <cell r="C300" t="str">
            <v>Class M EUR (C)</v>
          </cell>
          <cell r="D300" t="str">
            <v>EUR</v>
          </cell>
          <cell r="E300" t="str">
            <v>03-Jan-2022</v>
          </cell>
          <cell r="F300">
            <v>7935089.9100000001</v>
          </cell>
          <cell r="G300">
            <v>60110.714999999997</v>
          </cell>
          <cell r="H300">
            <v>132.01</v>
          </cell>
          <cell r="I300">
            <v>0</v>
          </cell>
          <cell r="J300">
            <v>0</v>
          </cell>
        </row>
        <row r="301">
          <cell r="A301" t="str">
            <v>LU0987194742</v>
          </cell>
          <cell r="B301" t="str">
            <v>AF EUROPEAN CONVERTIBLE BOND</v>
          </cell>
          <cell r="C301" t="str">
            <v>Class R EUR (C)</v>
          </cell>
          <cell r="D301" t="str">
            <v>EUR</v>
          </cell>
          <cell r="E301" t="str">
            <v>03-Jan-2022</v>
          </cell>
          <cell r="F301">
            <v>972158.22</v>
          </cell>
          <cell r="G301">
            <v>9168.5239999999994</v>
          </cell>
          <cell r="H301">
            <v>106.03</v>
          </cell>
          <cell r="I301">
            <v>0</v>
          </cell>
          <cell r="J301">
            <v>0</v>
          </cell>
        </row>
        <row r="302">
          <cell r="A302" t="str">
            <v>LU0987194825</v>
          </cell>
          <cell r="B302" t="str">
            <v>AF EUROPEAN CONVERTIBLE BOND</v>
          </cell>
          <cell r="C302" t="str">
            <v>Class R EUR AD (D)</v>
          </cell>
          <cell r="D302" t="str">
            <v>EUR</v>
          </cell>
          <cell r="E302" t="str">
            <v>03-Jan-2022</v>
          </cell>
          <cell r="F302">
            <v>440584.1</v>
          </cell>
          <cell r="G302">
            <v>4111.6080000000002</v>
          </cell>
          <cell r="H302">
            <v>107.16</v>
          </cell>
          <cell r="I302">
            <v>0</v>
          </cell>
          <cell r="J302">
            <v>0</v>
          </cell>
        </row>
        <row r="303">
          <cell r="A303" t="str">
            <v>LU0568615305</v>
          </cell>
          <cell r="B303" t="str">
            <v>AF EUROPEAN CONVERTIBLE BOND</v>
          </cell>
          <cell r="C303" t="str">
            <v>Class G EUR (C)</v>
          </cell>
          <cell r="D303" t="str">
            <v>EUR</v>
          </cell>
          <cell r="E303" t="str">
            <v>03-Jan-2022</v>
          </cell>
          <cell r="F303">
            <v>8234734.6799999997</v>
          </cell>
          <cell r="G303">
            <v>69838.183999999994</v>
          </cell>
          <cell r="H303">
            <v>117.91</v>
          </cell>
          <cell r="I303">
            <v>0</v>
          </cell>
          <cell r="J303">
            <v>0</v>
          </cell>
        </row>
        <row r="304">
          <cell r="A304" t="str">
            <v>LU2132231197</v>
          </cell>
          <cell r="B304" t="str">
            <v>AF EUROPEAN CONVERTIBLE BOND</v>
          </cell>
          <cell r="C304" t="str">
            <v>Class Z EUR (C)</v>
          </cell>
          <cell r="D304" t="str">
            <v>EUR</v>
          </cell>
          <cell r="E304" t="str">
            <v>03-Jan-2022</v>
          </cell>
          <cell r="F304">
            <v>4952773.92</v>
          </cell>
          <cell r="G304">
            <v>4999.12</v>
          </cell>
          <cell r="H304">
            <v>990.73</v>
          </cell>
          <cell r="I304">
            <v>0</v>
          </cell>
          <cell r="J304">
            <v>990.73</v>
          </cell>
        </row>
        <row r="305">
          <cell r="A305" t="str">
            <v>LU0119108826</v>
          </cell>
          <cell r="B305" t="str">
            <v>AF GLOBAL CONVERTIBLE BOND</v>
          </cell>
          <cell r="C305" t="str">
            <v>Class A EUR (C)</v>
          </cell>
          <cell r="D305" t="str">
            <v>EUR</v>
          </cell>
          <cell r="E305" t="str">
            <v>03-Jan-2022</v>
          </cell>
          <cell r="F305">
            <v>47645806.200000003</v>
          </cell>
          <cell r="G305">
            <v>3068740.7829999998</v>
          </cell>
          <cell r="H305">
            <v>15.53</v>
          </cell>
          <cell r="I305">
            <v>0</v>
          </cell>
          <cell r="J305">
            <v>16.149999999999999</v>
          </cell>
        </row>
        <row r="306">
          <cell r="A306" t="str">
            <v>LU2070307751</v>
          </cell>
          <cell r="B306" t="str">
            <v>AF GLOBAL CONVERTIBLE BOND</v>
          </cell>
          <cell r="C306" t="str">
            <v>Class A5 EUR (C)</v>
          </cell>
          <cell r="D306" t="str">
            <v>EUR</v>
          </cell>
          <cell r="E306" t="str">
            <v>03-Jan-2022</v>
          </cell>
          <cell r="F306">
            <v>6169.6</v>
          </cell>
          <cell r="G306">
            <v>100</v>
          </cell>
          <cell r="H306">
            <v>61.7</v>
          </cell>
          <cell r="I306">
            <v>0</v>
          </cell>
          <cell r="J306">
            <v>61.7</v>
          </cell>
        </row>
        <row r="307">
          <cell r="A307" t="str">
            <v>LU0119109048</v>
          </cell>
          <cell r="B307" t="str">
            <v>AF GLOBAL CONVERTIBLE BOND</v>
          </cell>
          <cell r="C307" t="str">
            <v>Class A EUR AD (D)</v>
          </cell>
          <cell r="D307" t="str">
            <v>EUR</v>
          </cell>
          <cell r="E307" t="str">
            <v>03-Jan-2022</v>
          </cell>
          <cell r="F307">
            <v>3204773.55</v>
          </cell>
          <cell r="G307">
            <v>213597.481</v>
          </cell>
          <cell r="H307">
            <v>15</v>
          </cell>
          <cell r="I307">
            <v>0</v>
          </cell>
          <cell r="J307">
            <v>15.6</v>
          </cell>
        </row>
        <row r="308">
          <cell r="A308" t="str">
            <v>LU2002721962</v>
          </cell>
          <cell r="B308" t="str">
            <v>AF GLOBAL CONVERTIBLE BOND</v>
          </cell>
          <cell r="C308" t="str">
            <v>Class M2 EUR AD ( D )</v>
          </cell>
          <cell r="D308" t="str">
            <v>EUR</v>
          </cell>
          <cell r="E308" t="str">
            <v>03-Jan-2022</v>
          </cell>
          <cell r="F308">
            <v>6266.45</v>
          </cell>
          <cell r="G308">
            <v>5</v>
          </cell>
          <cell r="H308">
            <v>1253.29</v>
          </cell>
          <cell r="I308">
            <v>0</v>
          </cell>
          <cell r="J308">
            <v>1253.29</v>
          </cell>
        </row>
        <row r="309">
          <cell r="A309" t="str">
            <v>LU0557862835</v>
          </cell>
          <cell r="B309" t="str">
            <v>AF GLOBAL CONVERTIBLE BOND</v>
          </cell>
          <cell r="C309" t="str">
            <v>Class F2 EUR (C)</v>
          </cell>
          <cell r="D309" t="str">
            <v>EUR</v>
          </cell>
          <cell r="E309" t="str">
            <v>03-Jan-2022</v>
          </cell>
          <cell r="F309">
            <v>1773350.73</v>
          </cell>
          <cell r="G309">
            <v>12969.041999999999</v>
          </cell>
          <cell r="H309">
            <v>136.74</v>
          </cell>
          <cell r="I309">
            <v>0</v>
          </cell>
          <cell r="J309">
            <v>136.74</v>
          </cell>
        </row>
        <row r="310">
          <cell r="A310" t="str">
            <v>LU2036674344</v>
          </cell>
          <cell r="B310" t="str">
            <v>AF GLOBAL CONVERTIBLE BOND</v>
          </cell>
          <cell r="C310" t="str">
            <v>Class H EUR (C)</v>
          </cell>
          <cell r="D310" t="str">
            <v>EUR</v>
          </cell>
          <cell r="E310" t="str">
            <v>03-Jan-2022</v>
          </cell>
          <cell r="F310">
            <v>6394.15</v>
          </cell>
          <cell r="G310">
            <v>5</v>
          </cell>
          <cell r="H310">
            <v>1278.83</v>
          </cell>
          <cell r="I310">
            <v>0</v>
          </cell>
          <cell r="J310">
            <v>1278.83</v>
          </cell>
        </row>
        <row r="311">
          <cell r="A311" t="str">
            <v>LU0119108156</v>
          </cell>
          <cell r="B311" t="str">
            <v>AF GLOBAL CONVERTIBLE BOND</v>
          </cell>
          <cell r="C311" t="str">
            <v>Class I EUR (C)</v>
          </cell>
          <cell r="D311" t="str">
            <v>EUR</v>
          </cell>
          <cell r="E311" t="str">
            <v>03-Jan-2022</v>
          </cell>
          <cell r="F311">
            <v>18209678.530000001</v>
          </cell>
          <cell r="G311">
            <v>9111.0010000000002</v>
          </cell>
          <cell r="H311">
            <v>1998.65</v>
          </cell>
          <cell r="I311">
            <v>0</v>
          </cell>
          <cell r="J311">
            <v>1998.65</v>
          </cell>
        </row>
        <row r="312">
          <cell r="A312" t="str">
            <v>LU2259109796</v>
          </cell>
          <cell r="B312" t="str">
            <v>AF GLOBAL CONVERTIBLE BOND</v>
          </cell>
          <cell r="C312" t="str">
            <v>Class I2 GBP (C)</v>
          </cell>
          <cell r="D312" t="str">
            <v>GBP</v>
          </cell>
          <cell r="E312" t="str">
            <v>03-Jan-2022</v>
          </cell>
          <cell r="F312">
            <v>4631.3500000000004</v>
          </cell>
          <cell r="G312">
            <v>5</v>
          </cell>
          <cell r="H312">
            <v>926.27</v>
          </cell>
          <cell r="I312">
            <v>0</v>
          </cell>
          <cell r="J312">
            <v>926.27</v>
          </cell>
        </row>
        <row r="313">
          <cell r="A313" t="str">
            <v>LU0613078699</v>
          </cell>
          <cell r="B313" t="str">
            <v>AF GLOBAL CONVERTIBLE BOND</v>
          </cell>
          <cell r="C313" t="str">
            <v>Class I USD Hgd (C)</v>
          </cell>
          <cell r="D313" t="str">
            <v>USD</v>
          </cell>
          <cell r="E313" t="str">
            <v>03-Jan-2022</v>
          </cell>
          <cell r="F313">
            <v>509543.79</v>
          </cell>
          <cell r="G313">
            <v>500</v>
          </cell>
          <cell r="H313">
            <v>1019.09</v>
          </cell>
          <cell r="I313">
            <v>0</v>
          </cell>
          <cell r="J313">
            <v>1019.09</v>
          </cell>
        </row>
        <row r="314">
          <cell r="A314" t="str">
            <v>LU0194910997</v>
          </cell>
          <cell r="B314" t="str">
            <v>AF GLOBAL CONVERTIBLE BOND</v>
          </cell>
          <cell r="C314" t="str">
            <v>Class I EUR AD (D)</v>
          </cell>
          <cell r="D314" t="str">
            <v>EUR</v>
          </cell>
          <cell r="E314" t="str">
            <v>03-Jan-2022</v>
          </cell>
          <cell r="F314">
            <v>9856072.4600000009</v>
          </cell>
          <cell r="G314">
            <v>7391</v>
          </cell>
          <cell r="H314">
            <v>1333.52</v>
          </cell>
          <cell r="I314">
            <v>0</v>
          </cell>
          <cell r="J314">
            <v>1333.52</v>
          </cell>
        </row>
        <row r="315">
          <cell r="A315" t="str">
            <v>LU0557862918</v>
          </cell>
          <cell r="B315" t="str">
            <v>AF GLOBAL CONVERTIBLE BOND</v>
          </cell>
          <cell r="C315" t="str">
            <v>Class O EUR (C)</v>
          </cell>
          <cell r="D315" t="str">
            <v>EUR</v>
          </cell>
          <cell r="E315" t="str">
            <v>03-Jan-2022</v>
          </cell>
          <cell r="F315">
            <v>10996539.82</v>
          </cell>
          <cell r="G315">
            <v>9837.0130000000008</v>
          </cell>
          <cell r="H315">
            <v>1117.8699999999999</v>
          </cell>
          <cell r="I315">
            <v>0</v>
          </cell>
          <cell r="J315">
            <v>1117.8699999999999</v>
          </cell>
        </row>
        <row r="316">
          <cell r="A316" t="str">
            <v>LU2259110455</v>
          </cell>
          <cell r="B316" t="str">
            <v>AF GLOBAL CONVERTIBLE BOND</v>
          </cell>
          <cell r="C316" t="str">
            <v>Class R2 GBP (C)</v>
          </cell>
          <cell r="D316" t="str">
            <v>GBP</v>
          </cell>
          <cell r="E316" t="str">
            <v>03-Jan-2022</v>
          </cell>
          <cell r="F316">
            <v>4625.1899999999996</v>
          </cell>
          <cell r="G316">
            <v>100</v>
          </cell>
          <cell r="H316">
            <v>46.25</v>
          </cell>
          <cell r="I316">
            <v>0</v>
          </cell>
          <cell r="J316">
            <v>46.25</v>
          </cell>
        </row>
        <row r="317">
          <cell r="A317" t="str">
            <v>LU0839541918</v>
          </cell>
          <cell r="B317" t="str">
            <v>AF GLOBAL CONVERTIBLE BOND</v>
          </cell>
          <cell r="C317" t="str">
            <v>Class R EUR (C)</v>
          </cell>
          <cell r="D317" t="str">
            <v>EUR</v>
          </cell>
          <cell r="E317" t="str">
            <v>03-Jan-2022</v>
          </cell>
          <cell r="F317">
            <v>56781.9</v>
          </cell>
          <cell r="G317">
            <v>423.86</v>
          </cell>
          <cell r="H317">
            <v>133.96</v>
          </cell>
          <cell r="I317">
            <v>0</v>
          </cell>
          <cell r="J317">
            <v>133.96</v>
          </cell>
        </row>
        <row r="318">
          <cell r="A318" t="str">
            <v>LU0119109550</v>
          </cell>
          <cell r="B318" t="str">
            <v>AF GLOBAL CONVERTIBLE BOND</v>
          </cell>
          <cell r="C318" t="str">
            <v>Class G EUR (C)</v>
          </cell>
          <cell r="D318" t="str">
            <v>EUR</v>
          </cell>
          <cell r="E318" t="str">
            <v>03-Jan-2022</v>
          </cell>
          <cell r="F318">
            <v>5574783.6600000001</v>
          </cell>
          <cell r="G318">
            <v>341475.45299999998</v>
          </cell>
          <cell r="H318">
            <v>16.329999999999998</v>
          </cell>
          <cell r="I318">
            <v>0</v>
          </cell>
          <cell r="J318">
            <v>16.82</v>
          </cell>
        </row>
        <row r="319">
          <cell r="A319" t="str">
            <v>LU2224462015</v>
          </cell>
          <cell r="B319" t="str">
            <v>AF GLOBAL CONVERTIBLE BOND</v>
          </cell>
          <cell r="C319" t="str">
            <v>Class Z EUR (C)</v>
          </cell>
          <cell r="D319" t="str">
            <v>EUR</v>
          </cell>
          <cell r="E319" t="str">
            <v>03-Jan-2022</v>
          </cell>
          <cell r="F319">
            <v>3261690.4</v>
          </cell>
          <cell r="G319">
            <v>3345.7779999999998</v>
          </cell>
          <cell r="H319">
            <v>974.87</v>
          </cell>
          <cell r="I319">
            <v>0</v>
          </cell>
          <cell r="J319">
            <v>974.87</v>
          </cell>
        </row>
        <row r="320">
          <cell r="A320" t="str">
            <v>LU0557854147</v>
          </cell>
          <cell r="B320" t="str">
            <v>AF ASIA EQUITY CONCENTRATED</v>
          </cell>
          <cell r="C320" t="str">
            <v>Class A EUR (C)</v>
          </cell>
          <cell r="D320" t="str">
            <v>EUR</v>
          </cell>
          <cell r="E320" t="str">
            <v>03-Jan-2022</v>
          </cell>
          <cell r="F320">
            <v>37682291.32</v>
          </cell>
          <cell r="G320">
            <v>209708.13200000001</v>
          </cell>
          <cell r="H320">
            <v>179.69</v>
          </cell>
          <cell r="I320">
            <v>0</v>
          </cell>
          <cell r="J320">
            <v>187.78</v>
          </cell>
        </row>
        <row r="321">
          <cell r="A321" t="str">
            <v>LU0119085271</v>
          </cell>
          <cell r="B321" t="str">
            <v>AF ASIA EQUITY CONCENTRATED</v>
          </cell>
          <cell r="C321" t="str">
            <v>Class A USD (C)</v>
          </cell>
          <cell r="D321" t="str">
            <v>USD</v>
          </cell>
          <cell r="E321" t="str">
            <v>03-Jan-2022</v>
          </cell>
          <cell r="F321">
            <v>45700814.789999999</v>
          </cell>
          <cell r="G321">
            <v>1147603.9280000001</v>
          </cell>
          <cell r="H321">
            <v>39.82</v>
          </cell>
          <cell r="I321">
            <v>0</v>
          </cell>
          <cell r="J321">
            <v>41.61</v>
          </cell>
        </row>
        <row r="322">
          <cell r="A322" t="str">
            <v>LU2032055381</v>
          </cell>
          <cell r="B322" t="str">
            <v>AF ASIA EQUITY CONCENTRATED</v>
          </cell>
          <cell r="C322" t="str">
            <v>Class A5 EUR (C)</v>
          </cell>
          <cell r="D322" t="str">
            <v>EUR</v>
          </cell>
          <cell r="E322" t="str">
            <v>03-Jan-2022</v>
          </cell>
          <cell r="F322">
            <v>6596.93</v>
          </cell>
          <cell r="G322">
            <v>100</v>
          </cell>
          <cell r="H322">
            <v>65.97</v>
          </cell>
          <cell r="I322">
            <v>0</v>
          </cell>
          <cell r="J322">
            <v>65.97</v>
          </cell>
        </row>
        <row r="323">
          <cell r="A323" t="str">
            <v>LU0119085867</v>
          </cell>
          <cell r="B323" t="str">
            <v>AF ASIA EQUITY CONCENTRATED</v>
          </cell>
          <cell r="C323" t="str">
            <v>Class A USD AD (D)</v>
          </cell>
          <cell r="D323" t="str">
            <v>USD</v>
          </cell>
          <cell r="E323" t="str">
            <v>03-Jan-2022</v>
          </cell>
          <cell r="F323">
            <v>4514798.28</v>
          </cell>
          <cell r="G323">
            <v>116070.769</v>
          </cell>
          <cell r="H323">
            <v>38.9</v>
          </cell>
          <cell r="I323">
            <v>0</v>
          </cell>
          <cell r="J323">
            <v>40.65</v>
          </cell>
        </row>
        <row r="324">
          <cell r="A324" t="str">
            <v>LU1882444919</v>
          </cell>
          <cell r="B324" t="str">
            <v>AF ASIA EQUITY CONCENTRATED</v>
          </cell>
          <cell r="C324" t="str">
            <v>Class M2 EUR (C)</v>
          </cell>
          <cell r="D324" t="str">
            <v>EUR</v>
          </cell>
          <cell r="E324" t="str">
            <v>03-Jan-2022</v>
          </cell>
          <cell r="F324">
            <v>7987409.6900000004</v>
          </cell>
          <cell r="G324">
            <v>5719.6859999999997</v>
          </cell>
          <cell r="H324">
            <v>1396.48</v>
          </cell>
          <cell r="I324">
            <v>0</v>
          </cell>
          <cell r="J324">
            <v>1396.48</v>
          </cell>
        </row>
        <row r="325">
          <cell r="A325" t="str">
            <v>LU1882445056</v>
          </cell>
          <cell r="B325" t="str">
            <v>AF ASIA EQUITY CONCENTRATED</v>
          </cell>
          <cell r="C325" t="str">
            <v>Class M2 EUR AD (D)</v>
          </cell>
          <cell r="D325" t="str">
            <v>EUR</v>
          </cell>
          <cell r="E325" t="str">
            <v>03-Jan-2022</v>
          </cell>
          <cell r="F325">
            <v>16101.71</v>
          </cell>
          <cell r="G325">
            <v>11.686</v>
          </cell>
          <cell r="H325">
            <v>1377.86</v>
          </cell>
          <cell r="I325">
            <v>0</v>
          </cell>
          <cell r="J325">
            <v>1377.86</v>
          </cell>
        </row>
        <row r="326">
          <cell r="A326" t="str">
            <v>LU1882444166</v>
          </cell>
          <cell r="B326" t="str">
            <v>AF ASIA EQUITY CONCENTRATED</v>
          </cell>
          <cell r="C326" t="str">
            <v>Class C EUR (C)</v>
          </cell>
          <cell r="D326" t="str">
            <v>EUR</v>
          </cell>
          <cell r="E326" t="str">
            <v>03-Jan-2022</v>
          </cell>
          <cell r="F326">
            <v>462846.11</v>
          </cell>
          <cell r="G326">
            <v>7016.4629999999997</v>
          </cell>
          <cell r="H326">
            <v>65.97</v>
          </cell>
          <cell r="I326">
            <v>0</v>
          </cell>
          <cell r="J326">
            <v>65.97</v>
          </cell>
        </row>
        <row r="327">
          <cell r="A327" t="str">
            <v>LU1882444240</v>
          </cell>
          <cell r="B327" t="str">
            <v>AF ASIA EQUITY CONCENTRATED</v>
          </cell>
          <cell r="C327" t="str">
            <v>Class C USD (C)</v>
          </cell>
          <cell r="D327" t="str">
            <v>USD</v>
          </cell>
          <cell r="E327" t="str">
            <v>03-Jan-2022</v>
          </cell>
          <cell r="F327">
            <v>851142.92</v>
          </cell>
          <cell r="G327">
            <v>12734.277</v>
          </cell>
          <cell r="H327">
            <v>66.84</v>
          </cell>
          <cell r="I327">
            <v>0</v>
          </cell>
          <cell r="J327">
            <v>66.84</v>
          </cell>
        </row>
        <row r="328">
          <cell r="A328" t="str">
            <v>LU1882444323</v>
          </cell>
          <cell r="B328" t="str">
            <v>AF ASIA EQUITY CONCENTRATED</v>
          </cell>
          <cell r="C328" t="str">
            <v>Class E2 EUR (C)</v>
          </cell>
          <cell r="D328" t="str">
            <v>EUR</v>
          </cell>
          <cell r="E328" t="str">
            <v>03-Jan-2022</v>
          </cell>
          <cell r="F328">
            <v>20767767.399999999</v>
          </cell>
          <cell r="G328">
            <v>3039675.8849999998</v>
          </cell>
          <cell r="H328">
            <v>6.8319999999999999</v>
          </cell>
          <cell r="I328">
            <v>0</v>
          </cell>
          <cell r="J328">
            <v>6.8319999999999999</v>
          </cell>
        </row>
        <row r="329">
          <cell r="A329" t="str">
            <v>LU0823038988</v>
          </cell>
          <cell r="B329" t="str">
            <v>AF ASIA EQUITY CONCENTRATED</v>
          </cell>
          <cell r="C329" t="str">
            <v>Class A2 USD (C)</v>
          </cell>
          <cell r="D329" t="str">
            <v>USD</v>
          </cell>
          <cell r="E329" t="str">
            <v>03-Jan-2022</v>
          </cell>
          <cell r="F329">
            <v>19538020.890000001</v>
          </cell>
          <cell r="G329">
            <v>495689.68300000002</v>
          </cell>
          <cell r="H329">
            <v>39.42</v>
          </cell>
          <cell r="I329">
            <v>0</v>
          </cell>
          <cell r="J329">
            <v>39.42</v>
          </cell>
        </row>
        <row r="330">
          <cell r="A330" t="str">
            <v>LU0823039010</v>
          </cell>
          <cell r="B330" t="str">
            <v>AF ASIA EQUITY CONCENTRATED</v>
          </cell>
          <cell r="C330" t="str">
            <v>Class A2 USD AD (D)</v>
          </cell>
          <cell r="D330" t="str">
            <v>USD</v>
          </cell>
          <cell r="E330" t="str">
            <v>03-Jan-2022</v>
          </cell>
          <cell r="F330">
            <v>1096863.55</v>
          </cell>
          <cell r="G330">
            <v>28363.684000000001</v>
          </cell>
          <cell r="H330">
            <v>38.67</v>
          </cell>
          <cell r="I330">
            <v>0</v>
          </cell>
          <cell r="J330">
            <v>38.67</v>
          </cell>
        </row>
        <row r="331">
          <cell r="A331" t="str">
            <v>LU1882444596</v>
          </cell>
          <cell r="B331" t="str">
            <v>AF ASIA EQUITY CONCENTRATED</v>
          </cell>
          <cell r="C331" t="str">
            <v>Class F EUR (C)</v>
          </cell>
          <cell r="D331" t="str">
            <v>EUR</v>
          </cell>
          <cell r="E331" t="str">
            <v>03-Jan-2022</v>
          </cell>
          <cell r="F331">
            <v>17888625.07</v>
          </cell>
          <cell r="G331">
            <v>2697095.9210000001</v>
          </cell>
          <cell r="H331">
            <v>6.633</v>
          </cell>
          <cell r="I331">
            <v>0</v>
          </cell>
          <cell r="J331">
            <v>6.633</v>
          </cell>
        </row>
        <row r="332">
          <cell r="A332" t="str">
            <v>LU0557854493</v>
          </cell>
          <cell r="B332" t="str">
            <v>AF ASIA EQUITY CONCENTRATED</v>
          </cell>
          <cell r="C332" t="str">
            <v>Class F2 USD (C)</v>
          </cell>
          <cell r="D332" t="str">
            <v>USD</v>
          </cell>
          <cell r="E332" t="str">
            <v>03-Jan-2022</v>
          </cell>
          <cell r="F332">
            <v>784537.32</v>
          </cell>
          <cell r="G332">
            <v>6167.7929999999997</v>
          </cell>
          <cell r="H332">
            <v>127.2</v>
          </cell>
          <cell r="I332">
            <v>0</v>
          </cell>
          <cell r="J332">
            <v>127.2</v>
          </cell>
        </row>
        <row r="333">
          <cell r="A333" t="str">
            <v>LU1882444836</v>
          </cell>
          <cell r="B333" t="str">
            <v>AF ASIA EQUITY CONCENTRATED</v>
          </cell>
          <cell r="C333" t="str">
            <v>Class I2 USD (C)</v>
          </cell>
          <cell r="D333" t="str">
            <v>USD</v>
          </cell>
          <cell r="E333" t="str">
            <v>03-Jan-2022</v>
          </cell>
          <cell r="F333">
            <v>52983085.609999999</v>
          </cell>
          <cell r="G333">
            <v>37489.970999999998</v>
          </cell>
          <cell r="H333">
            <v>1413.26</v>
          </cell>
          <cell r="I333">
            <v>0</v>
          </cell>
          <cell r="J333">
            <v>1413.26</v>
          </cell>
        </row>
        <row r="334">
          <cell r="A334" t="str">
            <v>LU0119082419</v>
          </cell>
          <cell r="B334" t="str">
            <v>AF ASIA EQUITY CONCENTRATED</v>
          </cell>
          <cell r="C334" t="str">
            <v>Class I USD (C)</v>
          </cell>
          <cell r="D334" t="str">
            <v>USD</v>
          </cell>
          <cell r="E334" t="str">
            <v>03-Jan-2022</v>
          </cell>
          <cell r="F334">
            <v>570500.77</v>
          </cell>
          <cell r="G334">
            <v>125.995</v>
          </cell>
          <cell r="H334">
            <v>4527.96</v>
          </cell>
          <cell r="I334">
            <v>0</v>
          </cell>
          <cell r="J334">
            <v>4527.96</v>
          </cell>
        </row>
        <row r="335">
          <cell r="A335" t="str">
            <v>LU1880382806</v>
          </cell>
          <cell r="B335" t="str">
            <v>AF ASIA EQUITY CONCENTRATED</v>
          </cell>
          <cell r="C335" t="str">
            <v>Class I2 USD AD (D)</v>
          </cell>
          <cell r="D335" t="str">
            <v>USD</v>
          </cell>
          <cell r="E335" t="str">
            <v>03-Jan-2022</v>
          </cell>
          <cell r="F335">
            <v>6722.45</v>
          </cell>
          <cell r="G335">
            <v>5</v>
          </cell>
          <cell r="H335">
            <v>1344.49</v>
          </cell>
          <cell r="I335">
            <v>0</v>
          </cell>
          <cell r="J335">
            <v>1344.49</v>
          </cell>
        </row>
        <row r="336">
          <cell r="A336" t="str">
            <v>LU1882444679</v>
          </cell>
          <cell r="B336" t="str">
            <v>AF ASIA EQUITY CONCENTRATED</v>
          </cell>
          <cell r="C336" t="str">
            <v>Class G EUR (C)</v>
          </cell>
          <cell r="D336" t="str">
            <v>EUR</v>
          </cell>
          <cell r="E336" t="str">
            <v>03-Jan-2022</v>
          </cell>
          <cell r="F336">
            <v>283334.5</v>
          </cell>
          <cell r="G336">
            <v>42322.767999999996</v>
          </cell>
          <cell r="H336">
            <v>6.6950000000000003</v>
          </cell>
          <cell r="I336">
            <v>0</v>
          </cell>
          <cell r="J336">
            <v>6.6950000000000003</v>
          </cell>
        </row>
        <row r="337">
          <cell r="A337" t="str">
            <v>LU0329440605</v>
          </cell>
          <cell r="B337" t="str">
            <v>AF ASIA EQUITY CONCENTRATED</v>
          </cell>
          <cell r="C337" t="str">
            <v>Class M USD (C)</v>
          </cell>
          <cell r="D337" t="str">
            <v>USD</v>
          </cell>
          <cell r="E337" t="str">
            <v>03-Jan-2022</v>
          </cell>
          <cell r="F337">
            <v>3187.77</v>
          </cell>
          <cell r="G337">
            <v>22.707999999999998</v>
          </cell>
          <cell r="H337">
            <v>140.38</v>
          </cell>
          <cell r="I337">
            <v>0</v>
          </cell>
          <cell r="J337">
            <v>140.38</v>
          </cell>
        </row>
        <row r="338">
          <cell r="A338" t="str">
            <v>LU1882445130</v>
          </cell>
          <cell r="B338" t="str">
            <v>AF ASIA EQUITY CONCENTRATED</v>
          </cell>
          <cell r="C338" t="str">
            <v>Class R2 EUR (C)</v>
          </cell>
          <cell r="D338" t="str">
            <v>EUR</v>
          </cell>
          <cell r="E338" t="str">
            <v>03-Jan-2022</v>
          </cell>
          <cell r="F338">
            <v>6032.44</v>
          </cell>
          <cell r="G338">
            <v>87.054000000000002</v>
          </cell>
          <cell r="H338">
            <v>69.3</v>
          </cell>
          <cell r="I338">
            <v>0</v>
          </cell>
          <cell r="J338">
            <v>69.3</v>
          </cell>
        </row>
        <row r="339">
          <cell r="A339" t="str">
            <v>LU1882445213</v>
          </cell>
          <cell r="B339" t="str">
            <v>AF ASIA EQUITY CONCENTRATED</v>
          </cell>
          <cell r="C339" t="str">
            <v>Class R2 USD (C)</v>
          </cell>
          <cell r="D339" t="str">
            <v>USD</v>
          </cell>
          <cell r="E339" t="str">
            <v>03-Jan-2022</v>
          </cell>
          <cell r="F339">
            <v>6853.76</v>
          </cell>
          <cell r="G339">
            <v>100</v>
          </cell>
          <cell r="H339">
            <v>68.540000000000006</v>
          </cell>
          <cell r="I339">
            <v>0</v>
          </cell>
          <cell r="J339">
            <v>68.540000000000006</v>
          </cell>
        </row>
        <row r="340">
          <cell r="A340" t="str">
            <v>LU0119086162</v>
          </cell>
          <cell r="B340" t="str">
            <v>AF ASIA EQUITY CONCENTRATED</v>
          </cell>
          <cell r="C340" t="str">
            <v>Class G USD (C)</v>
          </cell>
          <cell r="D340" t="str">
            <v>USD</v>
          </cell>
          <cell r="E340" t="str">
            <v>03-Jan-2022</v>
          </cell>
          <cell r="F340">
            <v>7910721.7699999996</v>
          </cell>
          <cell r="G340">
            <v>216888.77799999999</v>
          </cell>
          <cell r="H340">
            <v>36.47</v>
          </cell>
          <cell r="I340">
            <v>0</v>
          </cell>
          <cell r="J340">
            <v>37.56</v>
          </cell>
        </row>
        <row r="341">
          <cell r="A341" t="str">
            <v>LU1103154735</v>
          </cell>
          <cell r="B341" t="str">
            <v>AF ASIA EQUITY CONCENTRATED</v>
          </cell>
          <cell r="C341" t="str">
            <v>Class G EUR Hgd (C)</v>
          </cell>
          <cell r="D341" t="str">
            <v>EUR</v>
          </cell>
          <cell r="E341" t="str">
            <v>03-Jan-2022</v>
          </cell>
          <cell r="F341">
            <v>1270055.77</v>
          </cell>
          <cell r="G341">
            <v>10341.459000000001</v>
          </cell>
          <cell r="H341">
            <v>122.81</v>
          </cell>
          <cell r="I341">
            <v>0</v>
          </cell>
          <cell r="J341">
            <v>126.49</v>
          </cell>
        </row>
        <row r="342">
          <cell r="A342" t="str">
            <v>LU2040439908</v>
          </cell>
          <cell r="B342" t="str">
            <v>AF ASIA EQUITY CONCENTRATED</v>
          </cell>
          <cell r="C342" t="str">
            <v>Class Z EUR (C)</v>
          </cell>
          <cell r="D342" t="str">
            <v>EUR</v>
          </cell>
          <cell r="E342" t="str">
            <v>03-Jan-2022</v>
          </cell>
          <cell r="F342">
            <v>223519.85</v>
          </cell>
          <cell r="G342">
            <v>166.53299999999999</v>
          </cell>
          <cell r="H342">
            <v>1342.2</v>
          </cell>
          <cell r="I342">
            <v>0</v>
          </cell>
          <cell r="J342">
            <v>1342.2</v>
          </cell>
        </row>
        <row r="343">
          <cell r="A343" t="str">
            <v>LU1706528780</v>
          </cell>
          <cell r="B343" t="str">
            <v>AF EMERGING MARKETS EQUITY FOCUS</v>
          </cell>
          <cell r="C343" t="str">
            <v>Class Q-A5 CZK (C)</v>
          </cell>
          <cell r="D343" t="str">
            <v>CZK</v>
          </cell>
          <cell r="E343" t="str">
            <v>03-Jan-2022</v>
          </cell>
          <cell r="F343">
            <v>37668.39</v>
          </cell>
          <cell r="G343">
            <v>11.63</v>
          </cell>
          <cell r="H343">
            <v>3238.9</v>
          </cell>
          <cell r="I343">
            <v>0</v>
          </cell>
          <cell r="J343">
            <v>3238.9</v>
          </cell>
        </row>
        <row r="344">
          <cell r="A344" t="str">
            <v>LU1706528947</v>
          </cell>
          <cell r="B344" t="str">
            <v>AF EMERGING MARKETS EQUITY FOCUS</v>
          </cell>
          <cell r="C344" t="str">
            <v>Class Q-A5 USD (C)</v>
          </cell>
          <cell r="D344" t="str">
            <v>USD</v>
          </cell>
          <cell r="E344" t="str">
            <v>03-Jan-2022</v>
          </cell>
          <cell r="F344">
            <v>116.3</v>
          </cell>
          <cell r="G344">
            <v>1</v>
          </cell>
          <cell r="H344">
            <v>116.3</v>
          </cell>
          <cell r="I344">
            <v>0</v>
          </cell>
          <cell r="J344">
            <v>116.3</v>
          </cell>
        </row>
        <row r="345">
          <cell r="A345" t="str">
            <v>LU0552028184</v>
          </cell>
          <cell r="B345" t="str">
            <v>AF EMERGING MARKETS EQUITY FOCUS</v>
          </cell>
          <cell r="C345" t="str">
            <v>Class A EUR (C)</v>
          </cell>
          <cell r="D345" t="str">
            <v>EUR</v>
          </cell>
          <cell r="E345" t="str">
            <v>03-Jan-2022</v>
          </cell>
          <cell r="F345">
            <v>346822067.20999998</v>
          </cell>
          <cell r="G345">
            <v>2006689.51</v>
          </cell>
          <cell r="H345">
            <v>172.83</v>
          </cell>
          <cell r="I345">
            <v>0</v>
          </cell>
          <cell r="J345">
            <v>180.61</v>
          </cell>
        </row>
        <row r="346">
          <cell r="A346" t="str">
            <v>LU0319685854</v>
          </cell>
          <cell r="B346" t="str">
            <v>AF EMERGING MARKETS EQUITY FOCUS</v>
          </cell>
          <cell r="C346" t="str">
            <v>Class A USD (C)</v>
          </cell>
          <cell r="D346" t="str">
            <v>USD</v>
          </cell>
          <cell r="E346" t="str">
            <v>03-Jan-2022</v>
          </cell>
          <cell r="F346">
            <v>81998831.629999995</v>
          </cell>
          <cell r="G346">
            <v>574065.20299999998</v>
          </cell>
          <cell r="H346">
            <v>142.84</v>
          </cell>
          <cell r="I346">
            <v>0</v>
          </cell>
          <cell r="J346">
            <v>149.27000000000001</v>
          </cell>
        </row>
        <row r="347">
          <cell r="A347" t="str">
            <v>LU2032055209</v>
          </cell>
          <cell r="B347" t="str">
            <v>AF EMERGING MARKETS EQUITY FOCUS</v>
          </cell>
          <cell r="C347" t="str">
            <v>Class A5 EUR (C)</v>
          </cell>
          <cell r="D347" t="str">
            <v>EUR</v>
          </cell>
          <cell r="E347" t="str">
            <v>03-Jan-2022</v>
          </cell>
          <cell r="F347">
            <v>89484342.280000001</v>
          </cell>
          <cell r="G347">
            <v>1361761.943</v>
          </cell>
          <cell r="H347">
            <v>65.709999999999994</v>
          </cell>
          <cell r="I347">
            <v>0</v>
          </cell>
          <cell r="J347">
            <v>65.709999999999994</v>
          </cell>
        </row>
        <row r="348">
          <cell r="A348" t="str">
            <v>LU2032055464</v>
          </cell>
          <cell r="B348" t="str">
            <v>AF EMERGING MARKETS EQUITY FOCUS</v>
          </cell>
          <cell r="C348" t="str">
            <v>Class A6 EUR (C)</v>
          </cell>
          <cell r="D348" t="str">
            <v>EUR</v>
          </cell>
          <cell r="E348" t="str">
            <v>03-Jan-2022</v>
          </cell>
          <cell r="F348">
            <v>842891.45</v>
          </cell>
          <cell r="G348">
            <v>12986.929</v>
          </cell>
          <cell r="H348">
            <v>64.900000000000006</v>
          </cell>
          <cell r="I348">
            <v>0</v>
          </cell>
          <cell r="J348">
            <v>64.900000000000006</v>
          </cell>
        </row>
        <row r="349">
          <cell r="A349" t="str">
            <v>LU1808314444</v>
          </cell>
          <cell r="B349" t="str">
            <v>AF EMERGING MARKETS EQUITY FOCUS</v>
          </cell>
          <cell r="C349" t="str">
            <v>Class A CHF Hgd (C)</v>
          </cell>
          <cell r="D349" t="str">
            <v>CHF</v>
          </cell>
          <cell r="E349" t="str">
            <v>03-Jan-2022</v>
          </cell>
          <cell r="F349">
            <v>1637205.94</v>
          </cell>
          <cell r="G349">
            <v>15434.464</v>
          </cell>
          <cell r="H349">
            <v>106.07</v>
          </cell>
          <cell r="I349">
            <v>0</v>
          </cell>
          <cell r="J349">
            <v>106.07</v>
          </cell>
        </row>
        <row r="350">
          <cell r="A350" t="str">
            <v>LU0613075240</v>
          </cell>
          <cell r="B350" t="str">
            <v>AF EMERGING MARKETS EQUITY FOCUS</v>
          </cell>
          <cell r="C350" t="str">
            <v>Class A EUR Hgd (C)</v>
          </cell>
          <cell r="D350" t="str">
            <v>EUR</v>
          </cell>
          <cell r="E350" t="str">
            <v>03-Jan-2022</v>
          </cell>
          <cell r="F350">
            <v>59008325.829999998</v>
          </cell>
          <cell r="G350">
            <v>479515.82500000001</v>
          </cell>
          <cell r="H350">
            <v>123.06</v>
          </cell>
          <cell r="I350">
            <v>0</v>
          </cell>
          <cell r="J350">
            <v>128.6</v>
          </cell>
        </row>
        <row r="351">
          <cell r="A351" t="str">
            <v>LU1706531222</v>
          </cell>
          <cell r="B351" t="str">
            <v>AF EMERGING MARKETS EQUITY FOCUS</v>
          </cell>
          <cell r="C351" t="str">
            <v>Class Q-A5 PLN Hgd (C)</v>
          </cell>
          <cell r="D351" t="str">
            <v>PLN</v>
          </cell>
          <cell r="E351" t="str">
            <v>03-Jan-2022</v>
          </cell>
          <cell r="F351">
            <v>466.33</v>
          </cell>
          <cell r="G351">
            <v>1</v>
          </cell>
          <cell r="H351">
            <v>466.33</v>
          </cell>
          <cell r="I351">
            <v>0</v>
          </cell>
          <cell r="J351">
            <v>466.33</v>
          </cell>
        </row>
        <row r="352">
          <cell r="A352" t="str">
            <v>LU0552028341</v>
          </cell>
          <cell r="B352" t="str">
            <v>AF EMERGING MARKETS EQUITY FOCUS</v>
          </cell>
          <cell r="C352" t="str">
            <v>Class A EUR AD (D)</v>
          </cell>
          <cell r="D352" t="str">
            <v>EUR</v>
          </cell>
          <cell r="E352" t="str">
            <v>03-Jan-2022</v>
          </cell>
          <cell r="F352">
            <v>19230104.66</v>
          </cell>
          <cell r="G352">
            <v>111977.16</v>
          </cell>
          <cell r="H352">
            <v>171.73</v>
          </cell>
          <cell r="I352">
            <v>0</v>
          </cell>
          <cell r="J352">
            <v>179.46</v>
          </cell>
        </row>
        <row r="353">
          <cell r="A353" t="str">
            <v>LU0319686076</v>
          </cell>
          <cell r="B353" t="str">
            <v>AF EMERGING MARKETS EQUITY FOCUS</v>
          </cell>
          <cell r="C353" t="str">
            <v>Class A USD AD (D)</v>
          </cell>
          <cell r="D353" t="str">
            <v>USD</v>
          </cell>
          <cell r="E353" t="str">
            <v>03-Jan-2022</v>
          </cell>
          <cell r="F353">
            <v>15819668.92</v>
          </cell>
          <cell r="G353">
            <v>77014.834000000003</v>
          </cell>
          <cell r="H353">
            <v>205.41</v>
          </cell>
          <cell r="I353">
            <v>0</v>
          </cell>
          <cell r="J353">
            <v>214.65</v>
          </cell>
        </row>
        <row r="354">
          <cell r="A354" t="str">
            <v>LU0729060128</v>
          </cell>
          <cell r="B354" t="str">
            <v>AF EMERGING MARKETS EQUITY FOCUS</v>
          </cell>
          <cell r="C354" t="str">
            <v>Class Q-I4 USD (C)</v>
          </cell>
          <cell r="D354" t="str">
            <v>USD</v>
          </cell>
          <cell r="E354" t="str">
            <v>03-Jan-2022</v>
          </cell>
          <cell r="F354">
            <v>105724518.37</v>
          </cell>
          <cell r="G354">
            <v>51303.669000000002</v>
          </cell>
          <cell r="H354">
            <v>2060.7600000000002</v>
          </cell>
          <cell r="I354">
            <v>0</v>
          </cell>
          <cell r="J354">
            <v>2060.7600000000002</v>
          </cell>
        </row>
        <row r="355">
          <cell r="A355" t="str">
            <v>LU2070309880</v>
          </cell>
          <cell r="B355" t="str">
            <v>AF EMERGING MARKETS EQUITY FOCUS</v>
          </cell>
          <cell r="C355" t="str">
            <v>Class A2 EUR (C)</v>
          </cell>
          <cell r="D355" t="str">
            <v>EUR</v>
          </cell>
          <cell r="E355" t="str">
            <v>03-Jan-2022</v>
          </cell>
          <cell r="F355">
            <v>12786248.48</v>
          </cell>
          <cell r="G355">
            <v>207283.171</v>
          </cell>
          <cell r="H355">
            <v>61.68</v>
          </cell>
          <cell r="I355">
            <v>0</v>
          </cell>
          <cell r="J355">
            <v>64.459999999999994</v>
          </cell>
        </row>
        <row r="356">
          <cell r="A356" t="str">
            <v>LU2036674005</v>
          </cell>
          <cell r="B356" t="str">
            <v>AF EMERGING MARKETS EQUITY FOCUS</v>
          </cell>
          <cell r="C356" t="str">
            <v>Class E2 EUR (C)</v>
          </cell>
          <cell r="D356" t="str">
            <v>EUR</v>
          </cell>
          <cell r="E356" t="str">
            <v>03-Jan-2022</v>
          </cell>
          <cell r="F356">
            <v>24588672.370000001</v>
          </cell>
          <cell r="G356">
            <v>3808494.702</v>
          </cell>
          <cell r="H356">
            <v>6.4560000000000004</v>
          </cell>
          <cell r="I356">
            <v>0</v>
          </cell>
          <cell r="J356">
            <v>6.4560000000000004</v>
          </cell>
        </row>
        <row r="357">
          <cell r="A357" t="str">
            <v>LU0823040885</v>
          </cell>
          <cell r="B357" t="str">
            <v>AF EMERGING MARKETS EQUITY FOCUS</v>
          </cell>
          <cell r="C357" t="str">
            <v>Class A2 USD (C)</v>
          </cell>
          <cell r="D357" t="str">
            <v>USD</v>
          </cell>
          <cell r="E357" t="str">
            <v>03-Jan-2022</v>
          </cell>
          <cell r="F357">
            <v>7074923.3700000001</v>
          </cell>
          <cell r="G357">
            <v>48923.603000000003</v>
          </cell>
          <cell r="H357">
            <v>144.61000000000001</v>
          </cell>
          <cell r="I357">
            <v>0</v>
          </cell>
          <cell r="J357">
            <v>144.61000000000001</v>
          </cell>
        </row>
        <row r="358">
          <cell r="A358" t="str">
            <v>LU0557857595</v>
          </cell>
          <cell r="B358" t="str">
            <v>AF EMERGING MARKETS EQUITY FOCUS</v>
          </cell>
          <cell r="C358" t="str">
            <v>Class F2 USD (C)</v>
          </cell>
          <cell r="D358" t="str">
            <v>USD</v>
          </cell>
          <cell r="E358" t="str">
            <v>03-Jan-2022</v>
          </cell>
          <cell r="F358">
            <v>2063610.64</v>
          </cell>
          <cell r="G358">
            <v>16268.924000000001</v>
          </cell>
          <cell r="H358">
            <v>126.84</v>
          </cell>
          <cell r="I358">
            <v>0</v>
          </cell>
          <cell r="J358">
            <v>126.84</v>
          </cell>
        </row>
        <row r="359">
          <cell r="A359" t="str">
            <v>LU2018721543</v>
          </cell>
          <cell r="B359" t="str">
            <v>AF EMERGING MARKETS EQUITY FOCUS</v>
          </cell>
          <cell r="C359" t="str">
            <v>Class F USD (C)</v>
          </cell>
          <cell r="D359" t="str">
            <v>USD</v>
          </cell>
          <cell r="E359" t="str">
            <v>03-Jan-2022</v>
          </cell>
          <cell r="F359">
            <v>330501.78999999998</v>
          </cell>
          <cell r="G359">
            <v>51321.574999999997</v>
          </cell>
          <cell r="H359">
            <v>6.44</v>
          </cell>
          <cell r="I359">
            <v>0</v>
          </cell>
          <cell r="J359">
            <v>6.44</v>
          </cell>
        </row>
        <row r="360">
          <cell r="A360" t="str">
            <v>LU2002720568</v>
          </cell>
          <cell r="B360" t="str">
            <v>AF EMERGING MARKETS EQUITY FOCUS</v>
          </cell>
          <cell r="C360" t="str">
            <v>Class M2 USD ( C )</v>
          </cell>
          <cell r="D360" t="str">
            <v>USD</v>
          </cell>
          <cell r="E360" t="str">
            <v>03-Jan-2022</v>
          </cell>
          <cell r="F360">
            <v>236673780.34</v>
          </cell>
          <cell r="G360">
            <v>166996.625</v>
          </cell>
          <cell r="H360">
            <v>1417.24</v>
          </cell>
          <cell r="I360">
            <v>0</v>
          </cell>
          <cell r="J360">
            <v>1417.24</v>
          </cell>
        </row>
        <row r="361">
          <cell r="A361" t="str">
            <v>LU2098275659</v>
          </cell>
          <cell r="B361" t="str">
            <v>AF EMERGING MARKETS EQUITY FOCUS</v>
          </cell>
          <cell r="C361" t="str">
            <v>Class I2 EUR (C)</v>
          </cell>
          <cell r="D361" t="str">
            <v>EUR</v>
          </cell>
          <cell r="E361" t="str">
            <v>03-Jan-2022</v>
          </cell>
          <cell r="F361">
            <v>142189420.62</v>
          </cell>
          <cell r="G361">
            <v>122679.166</v>
          </cell>
          <cell r="H361">
            <v>1159.03</v>
          </cell>
          <cell r="I361">
            <v>0</v>
          </cell>
          <cell r="J361">
            <v>1159.03</v>
          </cell>
        </row>
        <row r="362">
          <cell r="A362" t="str">
            <v>LU0319685342</v>
          </cell>
          <cell r="B362" t="str">
            <v>AF EMERGING MARKETS EQUITY FOCUS</v>
          </cell>
          <cell r="C362" t="str">
            <v>Class I USD (C)</v>
          </cell>
          <cell r="D362" t="str">
            <v>USD</v>
          </cell>
          <cell r="E362" t="str">
            <v>03-Jan-2022</v>
          </cell>
          <cell r="F362">
            <v>192792380.19999999</v>
          </cell>
          <cell r="G362">
            <v>122589.05100000001</v>
          </cell>
          <cell r="H362">
            <v>1572.67</v>
          </cell>
          <cell r="I362">
            <v>0</v>
          </cell>
          <cell r="J362">
            <v>1572.67</v>
          </cell>
        </row>
        <row r="363">
          <cell r="A363" t="str">
            <v>LU1897303738</v>
          </cell>
          <cell r="B363" t="str">
            <v>AF EMERGING MARKETS EQUITY FOCUS</v>
          </cell>
          <cell r="C363" t="str">
            <v>Class I2 GBP (C)</v>
          </cell>
          <cell r="D363" t="str">
            <v>GBP</v>
          </cell>
          <cell r="E363" t="str">
            <v>03-Jan-2022</v>
          </cell>
          <cell r="F363">
            <v>6225.98</v>
          </cell>
          <cell r="G363">
            <v>5</v>
          </cell>
          <cell r="H363">
            <v>1245.2</v>
          </cell>
          <cell r="I363">
            <v>0</v>
          </cell>
          <cell r="J363">
            <v>1245.2</v>
          </cell>
        </row>
        <row r="364">
          <cell r="A364" t="str">
            <v>LU1534104887</v>
          </cell>
          <cell r="B364" t="str">
            <v>AF EMERGING MARKETS EQUITY FOCUS</v>
          </cell>
          <cell r="C364" t="str">
            <v>Class I EUR Hgd (C)</v>
          </cell>
          <cell r="D364" t="str">
            <v>EUR</v>
          </cell>
          <cell r="E364" t="str">
            <v>03-Jan-2022</v>
          </cell>
          <cell r="F364">
            <v>3965550.8</v>
          </cell>
          <cell r="G364">
            <v>2893</v>
          </cell>
          <cell r="H364">
            <v>1370.74</v>
          </cell>
          <cell r="I364">
            <v>0</v>
          </cell>
          <cell r="J364">
            <v>1370.74</v>
          </cell>
        </row>
        <row r="365">
          <cell r="A365" t="str">
            <v>LU2085675788</v>
          </cell>
          <cell r="B365" t="str">
            <v>AF EMERGING MARKETS EQUITY FOCUS</v>
          </cell>
          <cell r="C365" t="str">
            <v>Class J2 USD (C)</v>
          </cell>
          <cell r="D365" t="str">
            <v>USD</v>
          </cell>
          <cell r="E365" t="str">
            <v>03-Jan-2022</v>
          </cell>
          <cell r="F365">
            <v>130943022.11</v>
          </cell>
          <cell r="G365">
            <v>106415.01</v>
          </cell>
          <cell r="H365">
            <v>1230.49</v>
          </cell>
          <cell r="I365">
            <v>0</v>
          </cell>
          <cell r="J365">
            <v>1230.49</v>
          </cell>
        </row>
        <row r="366">
          <cell r="A366" t="str">
            <v>LU2237439190</v>
          </cell>
          <cell r="B366" t="str">
            <v>AF EMERGING MARKETS EQUITY FOCUS</v>
          </cell>
          <cell r="C366" t="str">
            <v>Class M2 EUR (C)</v>
          </cell>
          <cell r="D366" t="str">
            <v>EUR</v>
          </cell>
          <cell r="E366" t="str">
            <v>03-Jan-2022</v>
          </cell>
          <cell r="F366">
            <v>5912.63</v>
          </cell>
          <cell r="G366">
            <v>5</v>
          </cell>
          <cell r="H366">
            <v>1182.53</v>
          </cell>
          <cell r="I366">
            <v>0</v>
          </cell>
          <cell r="J366">
            <v>1182.53</v>
          </cell>
        </row>
        <row r="367">
          <cell r="A367" t="str">
            <v>LU0329442304</v>
          </cell>
          <cell r="B367" t="str">
            <v>AF EMERGING MARKETS EQUITY FOCUS</v>
          </cell>
          <cell r="C367" t="str">
            <v>Class M USD (C)</v>
          </cell>
          <cell r="D367" t="str">
            <v>USD</v>
          </cell>
          <cell r="E367" t="str">
            <v>03-Jan-2022</v>
          </cell>
          <cell r="F367">
            <v>70582724.959999993</v>
          </cell>
          <cell r="G367">
            <v>424416.57900000003</v>
          </cell>
          <cell r="H367">
            <v>166.31</v>
          </cell>
          <cell r="I367">
            <v>0</v>
          </cell>
          <cell r="J367">
            <v>166.31</v>
          </cell>
        </row>
        <row r="368">
          <cell r="A368" t="str">
            <v>LU1600318916</v>
          </cell>
          <cell r="B368" t="str">
            <v>AF EMERGING MARKETS EQUITY FOCUS</v>
          </cell>
          <cell r="C368" t="str">
            <v>Class Q-OF EUR (C)</v>
          </cell>
          <cell r="D368" t="str">
            <v>EUR</v>
          </cell>
          <cell r="E368" t="str">
            <v>03-Jan-2022</v>
          </cell>
          <cell r="F368">
            <v>5992745.0599999996</v>
          </cell>
          <cell r="G368">
            <v>4429</v>
          </cell>
          <cell r="H368">
            <v>1353.07</v>
          </cell>
          <cell r="I368">
            <v>0</v>
          </cell>
          <cell r="J368">
            <v>1353.07</v>
          </cell>
        </row>
        <row r="369">
          <cell r="A369" t="str">
            <v>LU2052289340</v>
          </cell>
          <cell r="B369" t="str">
            <v>AF EMERGING MARKETS EQUITY FOCUS</v>
          </cell>
          <cell r="C369" t="str">
            <v>Class P2 USD (C)</v>
          </cell>
          <cell r="D369" t="str">
            <v>USD</v>
          </cell>
          <cell r="E369" t="str">
            <v>03-Jan-2022</v>
          </cell>
          <cell r="F369">
            <v>6579.71</v>
          </cell>
          <cell r="G369">
            <v>100</v>
          </cell>
          <cell r="H369">
            <v>65.8</v>
          </cell>
          <cell r="I369">
            <v>0</v>
          </cell>
          <cell r="J369">
            <v>65.8</v>
          </cell>
        </row>
        <row r="370">
          <cell r="A370" t="str">
            <v>LU1661675402</v>
          </cell>
          <cell r="B370" t="str">
            <v>AF EMERGING MARKETS EQUITY FOCUS</v>
          </cell>
          <cell r="C370" t="str">
            <v>Class R USD (C)</v>
          </cell>
          <cell r="D370" t="str">
            <v>USD</v>
          </cell>
          <cell r="E370" t="str">
            <v>03-Jan-2022</v>
          </cell>
          <cell r="F370">
            <v>512489.49</v>
          </cell>
          <cell r="G370">
            <v>3923.067</v>
          </cell>
          <cell r="H370">
            <v>130.63</v>
          </cell>
          <cell r="I370">
            <v>0</v>
          </cell>
          <cell r="J370">
            <v>130.63</v>
          </cell>
        </row>
        <row r="371">
          <cell r="A371" t="str">
            <v>LU0823040539</v>
          </cell>
          <cell r="B371" t="str">
            <v>AF EMERGING MARKETS EQUITY FOCUS</v>
          </cell>
          <cell r="C371" t="str">
            <v>Class R EUR Hgd AD (D)</v>
          </cell>
          <cell r="D371" t="str">
            <v>EUR</v>
          </cell>
          <cell r="E371" t="str">
            <v>03-Jan-2022</v>
          </cell>
          <cell r="F371">
            <v>580892.12</v>
          </cell>
          <cell r="G371">
            <v>12669.877</v>
          </cell>
          <cell r="H371">
            <v>45.85</v>
          </cell>
          <cell r="I371">
            <v>0</v>
          </cell>
          <cell r="J371">
            <v>45.85</v>
          </cell>
        </row>
        <row r="372">
          <cell r="A372" t="str">
            <v>LU0823040455</v>
          </cell>
          <cell r="B372" t="str">
            <v>AF EMERGING MARKETS EQUITY FOCUS</v>
          </cell>
          <cell r="C372" t="str">
            <v>Class R EUR Hgd (C)</v>
          </cell>
          <cell r="D372" t="str">
            <v>EUR</v>
          </cell>
          <cell r="E372" t="str">
            <v>03-Jan-2022</v>
          </cell>
          <cell r="F372">
            <v>369147.31</v>
          </cell>
          <cell r="G372">
            <v>3255.6219999999998</v>
          </cell>
          <cell r="H372">
            <v>113.39</v>
          </cell>
          <cell r="I372">
            <v>0</v>
          </cell>
          <cell r="J372">
            <v>113.39</v>
          </cell>
        </row>
        <row r="373">
          <cell r="A373" t="str">
            <v>LU0987197331</v>
          </cell>
          <cell r="B373" t="str">
            <v>AF EMERGING MARKETS EQUITY FOCUS</v>
          </cell>
          <cell r="C373" t="str">
            <v>Class R GBP Hgd (C)</v>
          </cell>
          <cell r="D373" t="str">
            <v>GBP</v>
          </cell>
          <cell r="E373" t="str">
            <v>03-Jan-2022</v>
          </cell>
          <cell r="F373">
            <v>22858.080000000002</v>
          </cell>
          <cell r="G373">
            <v>168</v>
          </cell>
          <cell r="H373">
            <v>136.06</v>
          </cell>
          <cell r="I373">
            <v>0</v>
          </cell>
          <cell r="J373">
            <v>136.06</v>
          </cell>
        </row>
        <row r="374">
          <cell r="A374" t="str">
            <v>LU0552028770</v>
          </cell>
          <cell r="B374" t="str">
            <v>AF EMERGING MARKETS EQUITY FOCUS</v>
          </cell>
          <cell r="C374" t="str">
            <v>Class G EUR (C)</v>
          </cell>
          <cell r="D374" t="str">
            <v>EUR</v>
          </cell>
          <cell r="E374" t="str">
            <v>03-Jan-2022</v>
          </cell>
          <cell r="F374">
            <v>123467164.92</v>
          </cell>
          <cell r="G374">
            <v>722752.27300000004</v>
          </cell>
          <cell r="H374">
            <v>170.83</v>
          </cell>
          <cell r="I374">
            <v>0</v>
          </cell>
          <cell r="J374">
            <v>175.95</v>
          </cell>
        </row>
        <row r="375">
          <cell r="A375" t="str">
            <v>LU0319686159</v>
          </cell>
          <cell r="B375" t="str">
            <v>AF EMERGING MARKETS EQUITY FOCUS</v>
          </cell>
          <cell r="C375" t="str">
            <v>Class G USD (C)</v>
          </cell>
          <cell r="D375" t="str">
            <v>USD</v>
          </cell>
          <cell r="E375" t="str">
            <v>03-Jan-2022</v>
          </cell>
          <cell r="F375">
            <v>22677159.59</v>
          </cell>
          <cell r="G375">
            <v>168819.30600000001</v>
          </cell>
          <cell r="H375">
            <v>134.33000000000001</v>
          </cell>
          <cell r="I375">
            <v>0</v>
          </cell>
          <cell r="J375">
            <v>138.36000000000001</v>
          </cell>
        </row>
        <row r="376">
          <cell r="A376" t="str">
            <v>LU2384576026</v>
          </cell>
          <cell r="B376" t="str">
            <v>AF EMERGING MARKETS EQUITY FOCUS</v>
          </cell>
          <cell r="C376" t="str">
            <v>Class I2 SEK (C)</v>
          </cell>
          <cell r="D376" t="str">
            <v>SEK</v>
          </cell>
          <cell r="E376" t="str">
            <v>03-Jan-2022</v>
          </cell>
          <cell r="F376">
            <v>365874313.47000003</v>
          </cell>
          <cell r="G376">
            <v>35878.737000000001</v>
          </cell>
          <cell r="H376">
            <v>10197.52</v>
          </cell>
          <cell r="I376">
            <v>0</v>
          </cell>
          <cell r="J376">
            <v>10197.52</v>
          </cell>
        </row>
        <row r="377">
          <cell r="A377" t="str">
            <v>LU0906530919</v>
          </cell>
          <cell r="B377" t="str">
            <v>AF EMERGING MARKETS EQUITY FOCUS</v>
          </cell>
          <cell r="C377" t="str">
            <v>Class Q-I8 USD (C)</v>
          </cell>
          <cell r="D377" t="str">
            <v>USD</v>
          </cell>
          <cell r="E377" t="str">
            <v>03-Jan-2022</v>
          </cell>
          <cell r="F377">
            <v>93537348.719999999</v>
          </cell>
          <cell r="G377">
            <v>66933.428</v>
          </cell>
          <cell r="H377">
            <v>1397.47</v>
          </cell>
          <cell r="I377">
            <v>0</v>
          </cell>
          <cell r="J377">
            <v>1397.47</v>
          </cell>
        </row>
        <row r="378">
          <cell r="A378" t="str">
            <v>LU1998920885</v>
          </cell>
          <cell r="B378" t="str">
            <v>AF EMERGING MARKETS EQUITY FOCUS</v>
          </cell>
          <cell r="C378" t="str">
            <v>Class X USD ( C )</v>
          </cell>
          <cell r="D378" t="str">
            <v>USD</v>
          </cell>
          <cell r="E378" t="str">
            <v>03-Jan-2022</v>
          </cell>
          <cell r="F378">
            <v>13616731.32</v>
          </cell>
          <cell r="G378">
            <v>9400.76</v>
          </cell>
          <cell r="H378">
            <v>1448.47</v>
          </cell>
          <cell r="I378">
            <v>0</v>
          </cell>
          <cell r="J378">
            <v>1448.47</v>
          </cell>
        </row>
        <row r="379">
          <cell r="A379" t="str">
            <v>LU0319685698</v>
          </cell>
          <cell r="B379" t="str">
            <v>AF EMERGING MARKETS EQUITY FOCUS</v>
          </cell>
          <cell r="C379" t="str">
            <v>Class Q-X USD (C)</v>
          </cell>
          <cell r="D379" t="str">
            <v>USD</v>
          </cell>
          <cell r="E379" t="str">
            <v>03-Jan-2022</v>
          </cell>
          <cell r="F379">
            <v>12947213.68</v>
          </cell>
          <cell r="G379">
            <v>7692.1559999999999</v>
          </cell>
          <cell r="H379">
            <v>1683.17</v>
          </cell>
          <cell r="I379">
            <v>0</v>
          </cell>
          <cell r="J379">
            <v>1683.17</v>
          </cell>
        </row>
        <row r="380">
          <cell r="A380" t="str">
            <v>LU1998918046</v>
          </cell>
          <cell r="B380" t="str">
            <v>AF EMERGING MARKETS EQUITY FOCUS</v>
          </cell>
          <cell r="C380" t="str">
            <v>Class H USD ( C )</v>
          </cell>
          <cell r="D380" t="str">
            <v>USD</v>
          </cell>
          <cell r="E380" t="str">
            <v>03-Jan-2022</v>
          </cell>
          <cell r="F380">
            <v>21218492.690000001</v>
          </cell>
          <cell r="G380">
            <v>14792.111999999999</v>
          </cell>
          <cell r="H380">
            <v>1434.45</v>
          </cell>
          <cell r="I380">
            <v>0</v>
          </cell>
          <cell r="J380">
            <v>1434.45</v>
          </cell>
        </row>
        <row r="381">
          <cell r="A381" t="str">
            <v>LU1891089317</v>
          </cell>
          <cell r="B381" t="str">
            <v>AF EMERGING MARKETS EQUITY FOCUS</v>
          </cell>
          <cell r="C381" t="str">
            <v>Class Q-I GBP (C)</v>
          </cell>
          <cell r="D381" t="str">
            <v>GBP</v>
          </cell>
          <cell r="E381" t="str">
            <v>03-Jan-2022</v>
          </cell>
          <cell r="F381">
            <v>247524254.62</v>
          </cell>
          <cell r="G381">
            <v>201592.2</v>
          </cell>
          <cell r="H381">
            <v>1227.8499999999999</v>
          </cell>
          <cell r="I381">
            <v>0</v>
          </cell>
          <cell r="J381">
            <v>1227.8499999999999</v>
          </cell>
        </row>
        <row r="382">
          <cell r="A382" t="str">
            <v>LU0557858130</v>
          </cell>
          <cell r="B382" t="str">
            <v>AF EMERGING WORLD EQUITY</v>
          </cell>
          <cell r="C382" t="str">
            <v>Class A EUR (C)</v>
          </cell>
          <cell r="D382" t="str">
            <v>EUR</v>
          </cell>
          <cell r="E382" t="str">
            <v>03-Jan-2022</v>
          </cell>
          <cell r="F382">
            <v>165033955.81</v>
          </cell>
          <cell r="G382">
            <v>1009637.2340000001</v>
          </cell>
          <cell r="H382">
            <v>163.46</v>
          </cell>
          <cell r="I382">
            <v>0</v>
          </cell>
          <cell r="J382">
            <v>170.82</v>
          </cell>
        </row>
        <row r="383">
          <cell r="A383" t="str">
            <v>LU0347592197</v>
          </cell>
          <cell r="B383" t="str">
            <v>AF EMERGING WORLD EQUITY</v>
          </cell>
          <cell r="C383" t="str">
            <v>Class A USD (C)</v>
          </cell>
          <cell r="D383" t="str">
            <v>USD</v>
          </cell>
          <cell r="E383" t="str">
            <v>03-Jan-2022</v>
          </cell>
          <cell r="F383">
            <v>57083306.82</v>
          </cell>
          <cell r="G383">
            <v>427797.67700000003</v>
          </cell>
          <cell r="H383">
            <v>133.44</v>
          </cell>
          <cell r="I383">
            <v>0</v>
          </cell>
          <cell r="J383">
            <v>139.44</v>
          </cell>
        </row>
        <row r="384">
          <cell r="A384" t="str">
            <v>LU1049754457</v>
          </cell>
          <cell r="B384" t="str">
            <v>AF EMERGING WORLD EQUITY</v>
          </cell>
          <cell r="C384" t="str">
            <v>Class A CZK Hgd (C)</v>
          </cell>
          <cell r="D384" t="str">
            <v>CZK</v>
          </cell>
          <cell r="E384" t="str">
            <v>03-Jan-2022</v>
          </cell>
          <cell r="F384">
            <v>177862432.47</v>
          </cell>
          <cell r="G384">
            <v>60470.286</v>
          </cell>
          <cell r="H384">
            <v>2941.32</v>
          </cell>
          <cell r="I384">
            <v>0</v>
          </cell>
          <cell r="J384">
            <v>2941.32</v>
          </cell>
        </row>
        <row r="385">
          <cell r="A385" t="str">
            <v>LU0557858213</v>
          </cell>
          <cell r="B385" t="str">
            <v>AF EMERGING WORLD EQUITY</v>
          </cell>
          <cell r="C385" t="str">
            <v>Class A EUR AD (D)</v>
          </cell>
          <cell r="D385" t="str">
            <v>EUR</v>
          </cell>
          <cell r="E385" t="str">
            <v>03-Jan-2022</v>
          </cell>
          <cell r="F385">
            <v>3398061.88</v>
          </cell>
          <cell r="G385">
            <v>21508.248</v>
          </cell>
          <cell r="H385">
            <v>157.99</v>
          </cell>
          <cell r="I385">
            <v>0</v>
          </cell>
          <cell r="J385">
            <v>165.1</v>
          </cell>
        </row>
        <row r="386">
          <cell r="A386" t="str">
            <v>LU0347592270</v>
          </cell>
          <cell r="B386" t="str">
            <v>AF EMERGING WORLD EQUITY</v>
          </cell>
          <cell r="C386" t="str">
            <v>Class A USD AD (D)</v>
          </cell>
          <cell r="D386" t="str">
            <v>USD</v>
          </cell>
          <cell r="E386" t="str">
            <v>03-Jan-2022</v>
          </cell>
          <cell r="F386">
            <v>4612823.38</v>
          </cell>
          <cell r="G386">
            <v>35707.423999999999</v>
          </cell>
          <cell r="H386">
            <v>129.18</v>
          </cell>
          <cell r="I386">
            <v>0</v>
          </cell>
          <cell r="J386">
            <v>134.99</v>
          </cell>
        </row>
        <row r="387">
          <cell r="A387" t="str">
            <v>LU1882466482</v>
          </cell>
          <cell r="B387" t="str">
            <v>AF EMERGING WORLD EQUITY</v>
          </cell>
          <cell r="C387" t="str">
            <v>Class M2 EUR (C)</v>
          </cell>
          <cell r="D387" t="str">
            <v>EUR</v>
          </cell>
          <cell r="E387" t="str">
            <v>03-Jan-2022</v>
          </cell>
          <cell r="F387">
            <v>11477615.98</v>
          </cell>
          <cell r="G387">
            <v>8619.152</v>
          </cell>
          <cell r="H387">
            <v>1331.64</v>
          </cell>
          <cell r="I387">
            <v>0</v>
          </cell>
          <cell r="J387">
            <v>1331.64</v>
          </cell>
        </row>
        <row r="388">
          <cell r="A388" t="str">
            <v>LU1882465674</v>
          </cell>
          <cell r="B388" t="str">
            <v>AF EMERGING WORLD EQUITY</v>
          </cell>
          <cell r="C388" t="str">
            <v>Class B USD (C)</v>
          </cell>
          <cell r="D388" t="str">
            <v>USD</v>
          </cell>
          <cell r="E388" t="str">
            <v>03-Jan-2022</v>
          </cell>
          <cell r="F388">
            <v>32136.86</v>
          </cell>
          <cell r="G388">
            <v>504.01799999999997</v>
          </cell>
          <cell r="H388">
            <v>63.76</v>
          </cell>
          <cell r="I388">
            <v>0</v>
          </cell>
          <cell r="J388">
            <v>63.76</v>
          </cell>
        </row>
        <row r="389">
          <cell r="A389" t="str">
            <v>LU1882465757</v>
          </cell>
          <cell r="B389" t="str">
            <v>AF EMERGING WORLD EQUITY</v>
          </cell>
          <cell r="C389" t="str">
            <v>Class C EUR (C)</v>
          </cell>
          <cell r="D389" t="str">
            <v>EUR</v>
          </cell>
          <cell r="E389" t="str">
            <v>03-Jan-2022</v>
          </cell>
          <cell r="F389">
            <v>900945.56</v>
          </cell>
          <cell r="G389">
            <v>14318.48</v>
          </cell>
          <cell r="H389">
            <v>62.92</v>
          </cell>
          <cell r="I389">
            <v>0</v>
          </cell>
          <cell r="J389">
            <v>62.92</v>
          </cell>
        </row>
        <row r="390">
          <cell r="A390" t="str">
            <v>LU1882465831</v>
          </cell>
          <cell r="B390" t="str">
            <v>AF EMERGING WORLD EQUITY</v>
          </cell>
          <cell r="C390" t="str">
            <v>Class C USD (C)</v>
          </cell>
          <cell r="D390" t="str">
            <v>USD</v>
          </cell>
          <cell r="E390" t="str">
            <v>03-Jan-2022</v>
          </cell>
          <cell r="F390">
            <v>1839816.81</v>
          </cell>
          <cell r="G390">
            <v>28857.984</v>
          </cell>
          <cell r="H390">
            <v>63.75</v>
          </cell>
          <cell r="I390">
            <v>0</v>
          </cell>
          <cell r="J390">
            <v>63.75</v>
          </cell>
        </row>
        <row r="391">
          <cell r="A391" t="str">
            <v>LU1882465914</v>
          </cell>
          <cell r="B391" t="str">
            <v>AF EMERGING WORLD EQUITY</v>
          </cell>
          <cell r="C391" t="str">
            <v>Class E2 EUR (C)</v>
          </cell>
          <cell r="D391" t="str">
            <v>EUR</v>
          </cell>
          <cell r="E391" t="str">
            <v>03-Jan-2022</v>
          </cell>
          <cell r="F391">
            <v>25872966.239999998</v>
          </cell>
          <cell r="G391">
            <v>3971359.8020000001</v>
          </cell>
          <cell r="H391">
            <v>6.5149999999999997</v>
          </cell>
          <cell r="I391">
            <v>0</v>
          </cell>
          <cell r="J391">
            <v>6.5149999999999997</v>
          </cell>
        </row>
        <row r="392">
          <cell r="A392" t="str">
            <v>LU1882466052</v>
          </cell>
          <cell r="B392" t="str">
            <v>AF EMERGING WORLD EQUITY</v>
          </cell>
          <cell r="C392" t="str">
            <v>Class F EUR (C)</v>
          </cell>
          <cell r="D392" t="str">
            <v>EUR</v>
          </cell>
          <cell r="E392" t="str">
            <v>03-Jan-2022</v>
          </cell>
          <cell r="F392">
            <v>21443094.449999999</v>
          </cell>
          <cell r="G392">
            <v>3381022.273</v>
          </cell>
          <cell r="H392">
            <v>6.3419999999999996</v>
          </cell>
          <cell r="I392">
            <v>0</v>
          </cell>
          <cell r="J392">
            <v>6.3419999999999996</v>
          </cell>
        </row>
        <row r="393">
          <cell r="A393" t="str">
            <v>LU0557858304</v>
          </cell>
          <cell r="B393" t="str">
            <v>AF EMERGING WORLD EQUITY</v>
          </cell>
          <cell r="C393" t="str">
            <v>Class F2 USD (C)</v>
          </cell>
          <cell r="D393" t="str">
            <v>USD</v>
          </cell>
          <cell r="E393" t="str">
            <v>03-Jan-2022</v>
          </cell>
          <cell r="F393">
            <v>1473041.72</v>
          </cell>
          <cell r="G393">
            <v>13101.355</v>
          </cell>
          <cell r="H393">
            <v>112.43</v>
          </cell>
          <cell r="I393">
            <v>0</v>
          </cell>
          <cell r="J393">
            <v>112.43</v>
          </cell>
        </row>
        <row r="394">
          <cell r="A394" t="str">
            <v>LU1998918392</v>
          </cell>
          <cell r="B394" t="str">
            <v>AF EMERGING WORLD EQUITY</v>
          </cell>
          <cell r="C394" t="str">
            <v>Class H EUR (C)</v>
          </cell>
          <cell r="D394" t="str">
            <v>EUR</v>
          </cell>
          <cell r="E394" t="str">
            <v>03-Jan-2022</v>
          </cell>
          <cell r="F394">
            <v>6842.47</v>
          </cell>
          <cell r="G394">
            <v>5</v>
          </cell>
          <cell r="H394">
            <v>1368.49</v>
          </cell>
          <cell r="I394">
            <v>0</v>
          </cell>
          <cell r="J394">
            <v>1368.49</v>
          </cell>
        </row>
        <row r="395">
          <cell r="A395" t="str">
            <v>LU1882466300</v>
          </cell>
          <cell r="B395" t="str">
            <v>AF EMERGING WORLD EQUITY</v>
          </cell>
          <cell r="C395" t="str">
            <v>Class I2 USD (C)</v>
          </cell>
          <cell r="D395" t="str">
            <v>USD</v>
          </cell>
          <cell r="E395" t="str">
            <v>03-Jan-2022</v>
          </cell>
          <cell r="F395">
            <v>28791116.34</v>
          </cell>
          <cell r="G395">
            <v>21357.962</v>
          </cell>
          <cell r="H395">
            <v>1348.03</v>
          </cell>
          <cell r="I395">
            <v>0</v>
          </cell>
          <cell r="J395">
            <v>1348.03</v>
          </cell>
        </row>
        <row r="396">
          <cell r="A396" t="str">
            <v>LU0906531487</v>
          </cell>
          <cell r="B396" t="str">
            <v>AF EMERGING WORLD EQUITY</v>
          </cell>
          <cell r="C396" t="str">
            <v>Class I EUR (C)</v>
          </cell>
          <cell r="D396" t="str">
            <v>EUR</v>
          </cell>
          <cell r="E396" t="str">
            <v>03-Jan-2022</v>
          </cell>
          <cell r="F396">
            <v>95948581.079999998</v>
          </cell>
          <cell r="G396">
            <v>56160.493000000002</v>
          </cell>
          <cell r="H396">
            <v>1708.47</v>
          </cell>
          <cell r="I396">
            <v>0</v>
          </cell>
          <cell r="J396">
            <v>1708.47</v>
          </cell>
        </row>
        <row r="397">
          <cell r="A397" t="str">
            <v>LU0347592437</v>
          </cell>
          <cell r="B397" t="str">
            <v>AF EMERGING WORLD EQUITY</v>
          </cell>
          <cell r="C397" t="str">
            <v>Class I USD (C)</v>
          </cell>
          <cell r="D397" t="str">
            <v>USD</v>
          </cell>
          <cell r="E397" t="str">
            <v>03-Jan-2022</v>
          </cell>
          <cell r="F397">
            <v>29445214.629999999</v>
          </cell>
          <cell r="G397">
            <v>19748.136999999999</v>
          </cell>
          <cell r="H397">
            <v>1491.04</v>
          </cell>
          <cell r="I397">
            <v>0</v>
          </cell>
          <cell r="J397">
            <v>1491.04</v>
          </cell>
        </row>
        <row r="398">
          <cell r="A398" t="str">
            <v>LU2052289266</v>
          </cell>
          <cell r="B398" t="str">
            <v>AF EMERGING WORLD EQUITY</v>
          </cell>
          <cell r="C398" t="str">
            <v>Class I2 GBP (C)</v>
          </cell>
          <cell r="D398" t="str">
            <v>GBP</v>
          </cell>
          <cell r="E398" t="str">
            <v>03-Jan-2022</v>
          </cell>
          <cell r="F398">
            <v>6111.12</v>
          </cell>
          <cell r="G398">
            <v>5</v>
          </cell>
          <cell r="H398">
            <v>1222.22</v>
          </cell>
          <cell r="I398">
            <v>0</v>
          </cell>
          <cell r="J398">
            <v>1222.22</v>
          </cell>
        </row>
        <row r="399">
          <cell r="A399" t="str">
            <v>LU1882466219</v>
          </cell>
          <cell r="B399" t="str">
            <v>AF EMERGING WORLD EQUITY</v>
          </cell>
          <cell r="C399" t="str">
            <v>Class I2 EUR (C)</v>
          </cell>
          <cell r="D399" t="str">
            <v>EUR</v>
          </cell>
          <cell r="E399" t="str">
            <v>03-Jan-2022</v>
          </cell>
          <cell r="F399">
            <v>1707062.86</v>
          </cell>
          <cell r="G399">
            <v>1283.443</v>
          </cell>
          <cell r="H399">
            <v>1330.07</v>
          </cell>
          <cell r="I399">
            <v>0</v>
          </cell>
          <cell r="J399">
            <v>1330.07</v>
          </cell>
        </row>
        <row r="400">
          <cell r="A400" t="str">
            <v>LU1882466136</v>
          </cell>
          <cell r="B400" t="str">
            <v>AF EMERGING WORLD EQUITY</v>
          </cell>
          <cell r="C400" t="str">
            <v>Class G EUR (C)</v>
          </cell>
          <cell r="D400" t="str">
            <v>EUR</v>
          </cell>
          <cell r="E400" t="str">
            <v>03-Jan-2022</v>
          </cell>
          <cell r="F400">
            <v>545918.76</v>
          </cell>
          <cell r="G400">
            <v>85203.199999999997</v>
          </cell>
          <cell r="H400">
            <v>6.407</v>
          </cell>
          <cell r="I400">
            <v>0</v>
          </cell>
          <cell r="J400">
            <v>6.407</v>
          </cell>
        </row>
        <row r="401">
          <cell r="A401" t="str">
            <v>LU0347591975</v>
          </cell>
          <cell r="B401" t="str">
            <v>AF EMERGING WORLD EQUITY</v>
          </cell>
          <cell r="C401" t="str">
            <v>Class M USD (C)</v>
          </cell>
          <cell r="D401" t="str">
            <v>USD</v>
          </cell>
          <cell r="E401" t="str">
            <v>03-Jan-2022</v>
          </cell>
          <cell r="F401">
            <v>14179829.560000001</v>
          </cell>
          <cell r="G401">
            <v>86631.134999999995</v>
          </cell>
          <cell r="H401">
            <v>163.68</v>
          </cell>
          <cell r="I401">
            <v>0</v>
          </cell>
          <cell r="J401">
            <v>163.68</v>
          </cell>
        </row>
        <row r="402">
          <cell r="A402" t="str">
            <v>LU1882466649</v>
          </cell>
          <cell r="B402" t="str">
            <v>AF EMERGING WORLD EQUITY</v>
          </cell>
          <cell r="C402" t="str">
            <v>Class R2 EUR (C)</v>
          </cell>
          <cell r="D402" t="str">
            <v>EUR</v>
          </cell>
          <cell r="E402" t="str">
            <v>03-Jan-2022</v>
          </cell>
          <cell r="F402">
            <v>5270.06</v>
          </cell>
          <cell r="G402">
            <v>79.742000000000004</v>
          </cell>
          <cell r="H402">
            <v>66.09</v>
          </cell>
          <cell r="I402">
            <v>0</v>
          </cell>
          <cell r="J402">
            <v>66.09</v>
          </cell>
        </row>
        <row r="403">
          <cell r="A403" t="str">
            <v>LU1327395288</v>
          </cell>
          <cell r="B403" t="str">
            <v>AF EMERGING WORLD EQUITY</v>
          </cell>
          <cell r="C403" t="str">
            <v>Class O EUR (C)</v>
          </cell>
          <cell r="D403" t="str">
            <v>EUR</v>
          </cell>
          <cell r="E403" t="str">
            <v>03-Jan-2022</v>
          </cell>
          <cell r="F403">
            <v>294641987</v>
          </cell>
          <cell r="G403">
            <v>163755.69899999999</v>
          </cell>
          <cell r="H403">
            <v>1799.28</v>
          </cell>
          <cell r="I403">
            <v>0</v>
          </cell>
          <cell r="J403">
            <v>1799.28</v>
          </cell>
        </row>
        <row r="404">
          <cell r="A404" t="str">
            <v>LU0552028853</v>
          </cell>
          <cell r="B404" t="str">
            <v>AF EMERGING WORLD EQUITY</v>
          </cell>
          <cell r="C404" t="str">
            <v>Class Q-O1 USD (C)</v>
          </cell>
          <cell r="D404" t="str">
            <v>USD</v>
          </cell>
          <cell r="E404" t="str">
            <v>03-Jan-2022</v>
          </cell>
          <cell r="F404">
            <v>366053653.07999998</v>
          </cell>
          <cell r="G404">
            <v>204702.38399999999</v>
          </cell>
          <cell r="H404">
            <v>1788.22</v>
          </cell>
          <cell r="I404">
            <v>0</v>
          </cell>
          <cell r="J404">
            <v>1788.22</v>
          </cell>
        </row>
        <row r="405">
          <cell r="A405" t="str">
            <v>LU1882466565</v>
          </cell>
          <cell r="B405" t="str">
            <v>AF EMERGING WORLD EQUITY</v>
          </cell>
          <cell r="C405" t="str">
            <v>Class P2 USD (C)</v>
          </cell>
          <cell r="D405" t="str">
            <v>USD</v>
          </cell>
          <cell r="E405" t="str">
            <v>03-Jan-2022</v>
          </cell>
          <cell r="F405">
            <v>30813.52</v>
          </cell>
          <cell r="G405">
            <v>461.32</v>
          </cell>
          <cell r="H405">
            <v>66.790000000000006</v>
          </cell>
          <cell r="I405">
            <v>0</v>
          </cell>
          <cell r="J405">
            <v>66.790000000000006</v>
          </cell>
        </row>
        <row r="406">
          <cell r="A406" t="str">
            <v>LU0823041859</v>
          </cell>
          <cell r="B406" t="str">
            <v>AF EMERGING WORLD EQUITY</v>
          </cell>
          <cell r="C406" t="str">
            <v>Class R USD (C)</v>
          </cell>
          <cell r="D406" t="str">
            <v>USD</v>
          </cell>
          <cell r="E406" t="str">
            <v>03-Jan-2022</v>
          </cell>
          <cell r="F406">
            <v>792907.42</v>
          </cell>
          <cell r="G406">
            <v>4824.0860000000002</v>
          </cell>
          <cell r="H406">
            <v>164.36</v>
          </cell>
          <cell r="I406">
            <v>0</v>
          </cell>
          <cell r="J406">
            <v>164.36</v>
          </cell>
        </row>
        <row r="407">
          <cell r="A407" t="str">
            <v>LU0823041933</v>
          </cell>
          <cell r="B407" t="str">
            <v>AF EMERGING WORLD EQUITY</v>
          </cell>
          <cell r="C407" t="str">
            <v>Class R USD AD (D)</v>
          </cell>
          <cell r="D407" t="str">
            <v>USD</v>
          </cell>
          <cell r="E407" t="str">
            <v>03-Jan-2022</v>
          </cell>
          <cell r="F407">
            <v>108321.46</v>
          </cell>
          <cell r="G407">
            <v>712</v>
          </cell>
          <cell r="H407">
            <v>152.13999999999999</v>
          </cell>
          <cell r="I407">
            <v>0</v>
          </cell>
          <cell r="J407">
            <v>152.13999999999999</v>
          </cell>
        </row>
        <row r="408">
          <cell r="A408" t="str">
            <v>LU1737510872</v>
          </cell>
          <cell r="B408" t="str">
            <v>AF EMERGING WORLD EQUITY</v>
          </cell>
          <cell r="C408" t="str">
            <v>Class R EUR (C)</v>
          </cell>
          <cell r="D408" t="str">
            <v>EUR</v>
          </cell>
          <cell r="E408" t="str">
            <v>03-Jan-2022</v>
          </cell>
          <cell r="F408">
            <v>33772.699999999997</v>
          </cell>
          <cell r="G408">
            <v>261</v>
          </cell>
          <cell r="H408">
            <v>129.4</v>
          </cell>
          <cell r="I408">
            <v>0</v>
          </cell>
          <cell r="J408">
            <v>129.4</v>
          </cell>
        </row>
        <row r="409">
          <cell r="A409" t="str">
            <v>LU1882466722</v>
          </cell>
          <cell r="B409" t="str">
            <v>AF EMERGING WORLD EQUITY</v>
          </cell>
          <cell r="C409" t="str">
            <v>Class R2 USD (C)</v>
          </cell>
          <cell r="D409" t="str">
            <v>USD</v>
          </cell>
          <cell r="E409" t="str">
            <v>03-Jan-2022</v>
          </cell>
          <cell r="F409">
            <v>6530.35</v>
          </cell>
          <cell r="G409">
            <v>100</v>
          </cell>
          <cell r="H409">
            <v>65.3</v>
          </cell>
          <cell r="I409">
            <v>0</v>
          </cell>
          <cell r="J409">
            <v>65.3</v>
          </cell>
        </row>
        <row r="410">
          <cell r="A410" t="str">
            <v>LU0347592353</v>
          </cell>
          <cell r="B410" t="str">
            <v>AF EMERGING WORLD EQUITY</v>
          </cell>
          <cell r="C410" t="str">
            <v>Class G USD (C)</v>
          </cell>
          <cell r="D410" t="str">
            <v>USD</v>
          </cell>
          <cell r="E410" t="str">
            <v>03-Jan-2022</v>
          </cell>
          <cell r="F410">
            <v>5205518.3</v>
          </cell>
          <cell r="G410">
            <v>41223.464</v>
          </cell>
          <cell r="H410">
            <v>126.28</v>
          </cell>
          <cell r="I410">
            <v>0</v>
          </cell>
          <cell r="J410">
            <v>130.07</v>
          </cell>
        </row>
        <row r="411">
          <cell r="A411" t="str">
            <v>LU1882467456</v>
          </cell>
          <cell r="B411" t="str">
            <v>AF EMERGING WORLD EQUITY</v>
          </cell>
          <cell r="C411" t="str">
            <v>Class X EUR (C)</v>
          </cell>
          <cell r="D411" t="str">
            <v>EUR</v>
          </cell>
          <cell r="E411" t="str">
            <v>03-Jan-2022</v>
          </cell>
          <cell r="F411">
            <v>52098079.359999999</v>
          </cell>
          <cell r="G411">
            <v>38216.699000000001</v>
          </cell>
          <cell r="H411">
            <v>1363.23</v>
          </cell>
          <cell r="I411">
            <v>0</v>
          </cell>
          <cell r="J411">
            <v>1363.23</v>
          </cell>
        </row>
        <row r="412">
          <cell r="A412" t="str">
            <v>LU2031984854</v>
          </cell>
          <cell r="B412" t="str">
            <v>AF EMERGING WORLD EQUITY</v>
          </cell>
          <cell r="C412" t="str">
            <v>Class Z USD (C)</v>
          </cell>
          <cell r="D412" t="str">
            <v>USD</v>
          </cell>
          <cell r="E412" t="str">
            <v>03-Jan-2022</v>
          </cell>
          <cell r="F412">
            <v>2572338.84</v>
          </cell>
          <cell r="G412">
            <v>2031.8620000000001</v>
          </cell>
          <cell r="H412">
            <v>1266</v>
          </cell>
          <cell r="I412">
            <v>0</v>
          </cell>
          <cell r="J412">
            <v>1266</v>
          </cell>
        </row>
        <row r="413">
          <cell r="A413" t="str">
            <v>LU0568607203</v>
          </cell>
          <cell r="B413" t="str">
            <v>AF EUROLAND EQUITY SMALL CAP</v>
          </cell>
          <cell r="C413" t="str">
            <v>Class A EUR (C)</v>
          </cell>
          <cell r="D413" t="str">
            <v>EUR</v>
          </cell>
          <cell r="E413" t="str">
            <v>03-Jan-2022</v>
          </cell>
          <cell r="F413">
            <v>157074405.41999999</v>
          </cell>
          <cell r="G413">
            <v>662947.05700000003</v>
          </cell>
          <cell r="H413">
            <v>236.93</v>
          </cell>
          <cell r="I413">
            <v>0</v>
          </cell>
          <cell r="J413">
            <v>247.59</v>
          </cell>
        </row>
        <row r="414">
          <cell r="A414" t="str">
            <v>LU2032055894</v>
          </cell>
          <cell r="B414" t="str">
            <v>AF EUROLAND EQUITY SMALL CAP</v>
          </cell>
          <cell r="C414" t="str">
            <v>Class A5 EUR (C)</v>
          </cell>
          <cell r="D414" t="str">
            <v>EUR</v>
          </cell>
          <cell r="E414" t="str">
            <v>03-Jan-2022</v>
          </cell>
          <cell r="F414">
            <v>6162.27</v>
          </cell>
          <cell r="G414">
            <v>100</v>
          </cell>
          <cell r="H414">
            <v>61.62</v>
          </cell>
          <cell r="I414">
            <v>0</v>
          </cell>
          <cell r="J414">
            <v>61.62</v>
          </cell>
        </row>
        <row r="415">
          <cell r="A415" t="str">
            <v>LU0568607385</v>
          </cell>
          <cell r="B415" t="str">
            <v>AF EUROLAND EQUITY SMALL CAP</v>
          </cell>
          <cell r="C415" t="str">
            <v>Class A EUR AD (D)</v>
          </cell>
          <cell r="D415" t="str">
            <v>EUR</v>
          </cell>
          <cell r="E415" t="str">
            <v>03-Jan-2022</v>
          </cell>
          <cell r="F415">
            <v>10561190.92</v>
          </cell>
          <cell r="G415">
            <v>44685.601000000002</v>
          </cell>
          <cell r="H415">
            <v>236.34</v>
          </cell>
          <cell r="I415">
            <v>0</v>
          </cell>
          <cell r="J415">
            <v>246.98</v>
          </cell>
        </row>
        <row r="416">
          <cell r="A416" t="str">
            <v>LU1049754531</v>
          </cell>
          <cell r="B416" t="str">
            <v>AF EUROLAND EQUITY SMALL CAP</v>
          </cell>
          <cell r="C416" t="str">
            <v>Class A2 USD (C)</v>
          </cell>
          <cell r="D416" t="str">
            <v>USD</v>
          </cell>
          <cell r="E416" t="str">
            <v>03-Jan-2022</v>
          </cell>
          <cell r="F416">
            <v>24868.82</v>
          </cell>
          <cell r="G416">
            <v>157.249</v>
          </cell>
          <cell r="H416">
            <v>158.15</v>
          </cell>
          <cell r="I416">
            <v>0</v>
          </cell>
          <cell r="J416">
            <v>158.15</v>
          </cell>
        </row>
        <row r="417">
          <cell r="A417" t="str">
            <v>LU2018720578</v>
          </cell>
          <cell r="B417" t="str">
            <v>AF EUROLAND EQUITY SMALL CAP</v>
          </cell>
          <cell r="C417" t="str">
            <v>Class F EUR (C)</v>
          </cell>
          <cell r="D417" t="str">
            <v>EUR</v>
          </cell>
          <cell r="E417" t="str">
            <v>03-Jan-2022</v>
          </cell>
          <cell r="F417">
            <v>123380.26</v>
          </cell>
          <cell r="G417">
            <v>20796.580999999998</v>
          </cell>
          <cell r="H417">
            <v>5.9329999999999998</v>
          </cell>
          <cell r="I417">
            <v>0</v>
          </cell>
          <cell r="J417">
            <v>5.9329999999999998</v>
          </cell>
        </row>
        <row r="418">
          <cell r="A418" t="str">
            <v>LU0568607542</v>
          </cell>
          <cell r="B418" t="str">
            <v>AF EUROLAND EQUITY SMALL CAP</v>
          </cell>
          <cell r="C418" t="str">
            <v>Class F2 EUR (C)</v>
          </cell>
          <cell r="D418" t="str">
            <v>EUR</v>
          </cell>
          <cell r="E418" t="str">
            <v>03-Jan-2022</v>
          </cell>
          <cell r="F418">
            <v>3804455.42</v>
          </cell>
          <cell r="G418">
            <v>18267.259999999998</v>
          </cell>
          <cell r="H418">
            <v>208.27</v>
          </cell>
          <cell r="I418">
            <v>0</v>
          </cell>
          <cell r="J418">
            <v>208.27</v>
          </cell>
        </row>
        <row r="419">
          <cell r="A419" t="str">
            <v>LU2031984771</v>
          </cell>
          <cell r="B419" t="str">
            <v>AF EUROLAND EQUITY SMALL CAP</v>
          </cell>
          <cell r="C419" t="str">
            <v>Class I2 EUR (C)</v>
          </cell>
          <cell r="D419" t="str">
            <v>EUR</v>
          </cell>
          <cell r="E419" t="str">
            <v>03-Jan-2022</v>
          </cell>
          <cell r="F419">
            <v>2022674.72</v>
          </cell>
          <cell r="G419">
            <v>1601.2739999999999</v>
          </cell>
          <cell r="H419">
            <v>1263.17</v>
          </cell>
          <cell r="I419">
            <v>0</v>
          </cell>
          <cell r="J419">
            <v>1263.17</v>
          </cell>
        </row>
        <row r="420">
          <cell r="A420" t="str">
            <v>LU0568606817</v>
          </cell>
          <cell r="B420" t="str">
            <v>AF EUROLAND EQUITY SMALL CAP</v>
          </cell>
          <cell r="C420" t="str">
            <v>Class I EUR (C)</v>
          </cell>
          <cell r="D420" t="str">
            <v>EUR</v>
          </cell>
          <cell r="E420" t="str">
            <v>03-Jan-2022</v>
          </cell>
          <cell r="F420">
            <v>43445300.140000001</v>
          </cell>
          <cell r="G420">
            <v>16530.749</v>
          </cell>
          <cell r="H420">
            <v>2628.15</v>
          </cell>
          <cell r="I420">
            <v>0</v>
          </cell>
          <cell r="J420">
            <v>2628.15</v>
          </cell>
        </row>
        <row r="421">
          <cell r="A421" t="str">
            <v>LU1103154818</v>
          </cell>
          <cell r="B421" t="str">
            <v>AF EUROLAND EQUITY SMALL CAP</v>
          </cell>
          <cell r="C421" t="str">
            <v>Class I USD (C)</v>
          </cell>
          <cell r="D421" t="str">
            <v>USD</v>
          </cell>
          <cell r="E421" t="str">
            <v>03-Jan-2022</v>
          </cell>
          <cell r="F421">
            <v>1410357.04</v>
          </cell>
          <cell r="G421">
            <v>836.30600000000004</v>
          </cell>
          <cell r="H421">
            <v>1686.41</v>
          </cell>
          <cell r="I421">
            <v>0</v>
          </cell>
          <cell r="J421">
            <v>1686.41</v>
          </cell>
        </row>
        <row r="422">
          <cell r="A422" t="str">
            <v>LU2330497194</v>
          </cell>
          <cell r="B422" t="str">
            <v>AF EUROLAND EQUITY SMALL CAP</v>
          </cell>
          <cell r="C422" t="str">
            <v>Class I2 USD (C)</v>
          </cell>
          <cell r="D422" t="str">
            <v>USD</v>
          </cell>
          <cell r="E422" t="str">
            <v>03-Jan-2022</v>
          </cell>
          <cell r="F422">
            <v>4908.3500000000004</v>
          </cell>
          <cell r="G422">
            <v>5</v>
          </cell>
          <cell r="H422">
            <v>981.67</v>
          </cell>
          <cell r="I422">
            <v>0</v>
          </cell>
          <cell r="J422">
            <v>981.67</v>
          </cell>
        </row>
        <row r="423">
          <cell r="A423" t="str">
            <v>LU0568606908</v>
          </cell>
          <cell r="B423" t="str">
            <v>AF EUROLAND EQUITY SMALL CAP</v>
          </cell>
          <cell r="C423" t="str">
            <v>Class I EUR AD (D)</v>
          </cell>
          <cell r="D423" t="str">
            <v>EUR</v>
          </cell>
          <cell r="E423" t="str">
            <v>03-Jan-2022</v>
          </cell>
          <cell r="F423">
            <v>2844594.73</v>
          </cell>
          <cell r="G423">
            <v>1883.902</v>
          </cell>
          <cell r="H423">
            <v>1509.95</v>
          </cell>
          <cell r="I423">
            <v>0</v>
          </cell>
          <cell r="J423">
            <v>1509.95</v>
          </cell>
        </row>
        <row r="424">
          <cell r="A424" t="str">
            <v>LU0568607039</v>
          </cell>
          <cell r="B424" t="str">
            <v>AF EUROLAND EQUITY SMALL CAP</v>
          </cell>
          <cell r="C424" t="str">
            <v>Class M EUR (C)</v>
          </cell>
          <cell r="D424" t="str">
            <v>EUR</v>
          </cell>
          <cell r="E424" t="str">
            <v>03-Jan-2022</v>
          </cell>
          <cell r="F424">
            <v>31990473.25</v>
          </cell>
          <cell r="G424">
            <v>121031.523</v>
          </cell>
          <cell r="H424">
            <v>264.32</v>
          </cell>
          <cell r="I424">
            <v>0</v>
          </cell>
          <cell r="J424">
            <v>264.32</v>
          </cell>
        </row>
        <row r="425">
          <cell r="A425" t="str">
            <v>LU0906532022</v>
          </cell>
          <cell r="B425" t="str">
            <v>AF EUROLAND EQUITY SMALL CAP</v>
          </cell>
          <cell r="C425" t="str">
            <v>Class OR EUR (C)</v>
          </cell>
          <cell r="D425" t="str">
            <v>EUR</v>
          </cell>
          <cell r="E425" t="str">
            <v>03-Jan-2022</v>
          </cell>
          <cell r="F425">
            <v>151056832.83000001</v>
          </cell>
          <cell r="G425">
            <v>124169.735</v>
          </cell>
          <cell r="H425">
            <v>1216.54</v>
          </cell>
          <cell r="I425">
            <v>0</v>
          </cell>
          <cell r="J425">
            <v>1216.54</v>
          </cell>
        </row>
        <row r="426">
          <cell r="A426" t="str">
            <v>LU0945156379</v>
          </cell>
          <cell r="B426" t="str">
            <v>AF EUROLAND EQUITY SMALL CAP</v>
          </cell>
          <cell r="C426" t="str">
            <v>Class R EUR (C)</v>
          </cell>
          <cell r="D426" t="str">
            <v>EUR</v>
          </cell>
          <cell r="E426" t="str">
            <v>03-Jan-2022</v>
          </cell>
          <cell r="F426">
            <v>205594.74</v>
          </cell>
          <cell r="G426">
            <v>1719.854</v>
          </cell>
          <cell r="H426">
            <v>119.54</v>
          </cell>
          <cell r="I426">
            <v>0</v>
          </cell>
          <cell r="J426">
            <v>119.54</v>
          </cell>
        </row>
        <row r="427">
          <cell r="A427" t="str">
            <v>LU0568607468</v>
          </cell>
          <cell r="B427" t="str">
            <v>AF EUROLAND EQUITY SMALL CAP</v>
          </cell>
          <cell r="C427" t="str">
            <v>Class G EUR (C)</v>
          </cell>
          <cell r="D427" t="str">
            <v>EUR</v>
          </cell>
          <cell r="E427" t="str">
            <v>03-Jan-2022</v>
          </cell>
          <cell r="F427">
            <v>13311845.73</v>
          </cell>
          <cell r="G427">
            <v>58176.908000000003</v>
          </cell>
          <cell r="H427">
            <v>228.82</v>
          </cell>
          <cell r="I427">
            <v>0</v>
          </cell>
          <cell r="J427">
            <v>235.68</v>
          </cell>
        </row>
        <row r="428">
          <cell r="A428" t="str">
            <v>LU1103155112</v>
          </cell>
          <cell r="B428" t="str">
            <v>AF EUROLAND EQUITY SMALL CAP</v>
          </cell>
          <cell r="C428" t="str">
            <v>Class G USD (C)</v>
          </cell>
          <cell r="D428" t="str">
            <v>USD</v>
          </cell>
          <cell r="E428" t="str">
            <v>03-Jan-2022</v>
          </cell>
          <cell r="F428">
            <v>203582.64</v>
          </cell>
          <cell r="G428">
            <v>1637.3720000000001</v>
          </cell>
          <cell r="H428">
            <v>124.33</v>
          </cell>
          <cell r="I428">
            <v>0</v>
          </cell>
          <cell r="J428">
            <v>124.33</v>
          </cell>
        </row>
        <row r="429">
          <cell r="A429" t="str">
            <v>LU2034728209</v>
          </cell>
          <cell r="B429" t="str">
            <v>AF EUROLAND EQUITY SMALL CAP</v>
          </cell>
          <cell r="C429" t="str">
            <v>Class X EUR (C)</v>
          </cell>
          <cell r="D429" t="str">
            <v>EUR</v>
          </cell>
          <cell r="E429" t="str">
            <v>03-Jan-2022</v>
          </cell>
          <cell r="F429">
            <v>6578.8</v>
          </cell>
          <cell r="G429">
            <v>5</v>
          </cell>
          <cell r="H429">
            <v>1315.76</v>
          </cell>
          <cell r="I429">
            <v>0</v>
          </cell>
          <cell r="J429">
            <v>1315.76</v>
          </cell>
        </row>
        <row r="430">
          <cell r="A430" t="str">
            <v>LU1600319138</v>
          </cell>
          <cell r="B430" t="str">
            <v>AF EUROLAND EQUITY SMALL CAP</v>
          </cell>
          <cell r="C430" t="str">
            <v>Class Z EUR (C)</v>
          </cell>
          <cell r="D430" t="str">
            <v>EUR</v>
          </cell>
          <cell r="E430" t="str">
            <v>03-Jan-2022</v>
          </cell>
          <cell r="F430">
            <v>84027809.370000005</v>
          </cell>
          <cell r="G430">
            <v>64492.482000000004</v>
          </cell>
          <cell r="H430">
            <v>1302.9100000000001</v>
          </cell>
          <cell r="I430">
            <v>0</v>
          </cell>
          <cell r="J430">
            <v>1302.9100000000001</v>
          </cell>
        </row>
        <row r="431">
          <cell r="A431" t="str">
            <v>LU1638831393</v>
          </cell>
          <cell r="B431" t="str">
            <v>AF EUROLAND EQUITY SMALL CAP</v>
          </cell>
          <cell r="C431" t="str">
            <v>Class Z EUR AD (D)</v>
          </cell>
          <cell r="D431" t="str">
            <v>EUR</v>
          </cell>
          <cell r="E431" t="str">
            <v>03-Jan-2022</v>
          </cell>
          <cell r="F431">
            <v>54008257.920000002</v>
          </cell>
          <cell r="G431">
            <v>46035.421000000002</v>
          </cell>
          <cell r="H431">
            <v>1173.19</v>
          </cell>
          <cell r="I431">
            <v>0</v>
          </cell>
          <cell r="J431">
            <v>1173.19</v>
          </cell>
        </row>
        <row r="432">
          <cell r="A432" t="str">
            <v>LU0552029232</v>
          </cell>
          <cell r="B432" t="str">
            <v>AF SBI FM INDIA EQUITY</v>
          </cell>
          <cell r="C432" t="str">
            <v>Class A EUR (C)</v>
          </cell>
          <cell r="D432" t="str">
            <v>EUR</v>
          </cell>
          <cell r="E432" t="str">
            <v>03-Jan-2022</v>
          </cell>
          <cell r="F432">
            <v>51939993.579999998</v>
          </cell>
          <cell r="G432">
            <v>232704.3</v>
          </cell>
          <cell r="H432">
            <v>223.2</v>
          </cell>
          <cell r="I432">
            <v>0</v>
          </cell>
          <cell r="J432">
            <v>233.24</v>
          </cell>
        </row>
        <row r="433">
          <cell r="A433" t="str">
            <v>LU0236501697</v>
          </cell>
          <cell r="B433" t="str">
            <v>AF SBI FM INDIA EQUITY</v>
          </cell>
          <cell r="C433" t="str">
            <v>Class A USD (C)</v>
          </cell>
          <cell r="D433" t="str">
            <v>USD</v>
          </cell>
          <cell r="E433" t="str">
            <v>03-Jan-2022</v>
          </cell>
          <cell r="F433">
            <v>38617217.140000001</v>
          </cell>
          <cell r="G433">
            <v>108724.868</v>
          </cell>
          <cell r="H433">
            <v>355.18</v>
          </cell>
          <cell r="I433">
            <v>0</v>
          </cell>
          <cell r="J433">
            <v>371.16</v>
          </cell>
        </row>
        <row r="434">
          <cell r="A434" t="str">
            <v>LU2032056785</v>
          </cell>
          <cell r="B434" t="str">
            <v>AF SBI FM INDIA EQUITY</v>
          </cell>
          <cell r="C434" t="str">
            <v>Class A5 EUR (C)</v>
          </cell>
          <cell r="D434" t="str">
            <v>EUR</v>
          </cell>
          <cell r="E434" t="str">
            <v>03-Jan-2022</v>
          </cell>
          <cell r="F434">
            <v>7548.69</v>
          </cell>
          <cell r="G434">
            <v>100</v>
          </cell>
          <cell r="H434">
            <v>75.489999999999995</v>
          </cell>
          <cell r="I434">
            <v>0</v>
          </cell>
          <cell r="J434">
            <v>75.489999999999995</v>
          </cell>
        </row>
        <row r="435">
          <cell r="A435" t="str">
            <v>LU0552029315</v>
          </cell>
          <cell r="B435" t="str">
            <v>AF SBI FM INDIA EQUITY</v>
          </cell>
          <cell r="C435" t="str">
            <v>Class A EUR AD (D)</v>
          </cell>
          <cell r="D435" t="str">
            <v>EUR</v>
          </cell>
          <cell r="E435" t="str">
            <v>03-Jan-2022</v>
          </cell>
          <cell r="F435">
            <v>2384806.81</v>
          </cell>
          <cell r="G435">
            <v>10642.632</v>
          </cell>
          <cell r="H435">
            <v>224.08</v>
          </cell>
          <cell r="I435">
            <v>0</v>
          </cell>
          <cell r="J435">
            <v>234.16</v>
          </cell>
        </row>
        <row r="436">
          <cell r="A436" t="str">
            <v>LU0236502158</v>
          </cell>
          <cell r="B436" t="str">
            <v>AF SBI FM INDIA EQUITY</v>
          </cell>
          <cell r="C436" t="str">
            <v>Class A USD AD (D)</v>
          </cell>
          <cell r="D436" t="str">
            <v>USD</v>
          </cell>
          <cell r="E436" t="str">
            <v>03-Jan-2022</v>
          </cell>
          <cell r="F436">
            <v>3528006.96</v>
          </cell>
          <cell r="G436">
            <v>12241.786</v>
          </cell>
          <cell r="H436">
            <v>288.19</v>
          </cell>
          <cell r="I436">
            <v>0</v>
          </cell>
          <cell r="J436">
            <v>301.16000000000003</v>
          </cell>
        </row>
        <row r="437">
          <cell r="A437" t="str">
            <v>LU0236503040</v>
          </cell>
          <cell r="B437" t="str">
            <v>AF SBI FM INDIA EQUITY</v>
          </cell>
          <cell r="C437" t="str">
            <v>Class Q-I4 USD (C)</v>
          </cell>
          <cell r="D437" t="str">
            <v>USD</v>
          </cell>
          <cell r="E437" t="str">
            <v>03-Jan-2022</v>
          </cell>
          <cell r="F437">
            <v>304561726.95999998</v>
          </cell>
          <cell r="G437">
            <v>709897.75300000003</v>
          </cell>
          <cell r="H437">
            <v>429.02</v>
          </cell>
          <cell r="I437">
            <v>0</v>
          </cell>
          <cell r="J437">
            <v>429.02</v>
          </cell>
        </row>
        <row r="438">
          <cell r="A438" t="str">
            <v>LU0351777106</v>
          </cell>
          <cell r="B438" t="str">
            <v>AF SBI FM INDIA EQUITY</v>
          </cell>
          <cell r="C438" t="str">
            <v>Class Q-I9 USD (C)</v>
          </cell>
          <cell r="D438" t="str">
            <v>USD</v>
          </cell>
          <cell r="E438" t="str">
            <v>03-Jan-2022</v>
          </cell>
          <cell r="F438">
            <v>124514.82</v>
          </cell>
          <cell r="G438">
            <v>451</v>
          </cell>
          <cell r="H438">
            <v>276.08999999999997</v>
          </cell>
          <cell r="I438">
            <v>0</v>
          </cell>
          <cell r="J438">
            <v>276.08999999999997</v>
          </cell>
        </row>
        <row r="439">
          <cell r="A439" t="str">
            <v>LU0276940391</v>
          </cell>
          <cell r="B439" t="str">
            <v>AF SBI FM INDIA EQUITY</v>
          </cell>
          <cell r="C439" t="str">
            <v>Class I2 USD MD (D)</v>
          </cell>
          <cell r="D439" t="str">
            <v>USD</v>
          </cell>
          <cell r="E439" t="str">
            <v>03-Jan-2022</v>
          </cell>
          <cell r="F439">
            <v>994847.14</v>
          </cell>
          <cell r="G439">
            <v>695.41099999999994</v>
          </cell>
          <cell r="H439">
            <v>1430.59</v>
          </cell>
          <cell r="I439">
            <v>0.1</v>
          </cell>
          <cell r="J439">
            <v>1430.59</v>
          </cell>
        </row>
        <row r="440">
          <cell r="A440" t="str">
            <v>LU0823045413</v>
          </cell>
          <cell r="B440" t="str">
            <v>AF SBI FM INDIA EQUITY</v>
          </cell>
          <cell r="C440" t="str">
            <v>Class A2 USD (C)</v>
          </cell>
          <cell r="D440" t="str">
            <v>USD</v>
          </cell>
          <cell r="E440" t="str">
            <v>03-Jan-2022</v>
          </cell>
          <cell r="F440">
            <v>17047890.699999999</v>
          </cell>
          <cell r="G440">
            <v>46447.262000000002</v>
          </cell>
          <cell r="H440">
            <v>367.04</v>
          </cell>
          <cell r="I440">
            <v>0</v>
          </cell>
          <cell r="J440">
            <v>367.04</v>
          </cell>
        </row>
        <row r="441">
          <cell r="A441" t="str">
            <v>LU0557865937</v>
          </cell>
          <cell r="B441" t="str">
            <v>AF SBI FM INDIA EQUITY</v>
          </cell>
          <cell r="C441" t="str">
            <v>Class F2 USD (C)</v>
          </cell>
          <cell r="D441" t="str">
            <v>USD</v>
          </cell>
          <cell r="E441" t="str">
            <v>03-Jan-2022</v>
          </cell>
          <cell r="F441">
            <v>4083063.58</v>
          </cell>
          <cell r="G441">
            <v>21789.527999999998</v>
          </cell>
          <cell r="H441">
            <v>187.39</v>
          </cell>
          <cell r="I441">
            <v>0</v>
          </cell>
          <cell r="J441">
            <v>187.39</v>
          </cell>
        </row>
        <row r="442">
          <cell r="A442" t="str">
            <v>LU2002724123</v>
          </cell>
          <cell r="B442" t="str">
            <v>AF SBI FM INDIA EQUITY</v>
          </cell>
          <cell r="C442" t="str">
            <v>Class M2 USD ( C )</v>
          </cell>
          <cell r="D442" t="str">
            <v>USD</v>
          </cell>
          <cell r="E442" t="str">
            <v>03-Jan-2022</v>
          </cell>
          <cell r="F442">
            <v>5519354.5099999998</v>
          </cell>
          <cell r="G442">
            <v>3632.915</v>
          </cell>
          <cell r="H442">
            <v>1519.26</v>
          </cell>
          <cell r="I442">
            <v>0</v>
          </cell>
          <cell r="J442">
            <v>1519.26</v>
          </cell>
        </row>
        <row r="443">
          <cell r="A443" t="str">
            <v>LU2052289183</v>
          </cell>
          <cell r="B443" t="str">
            <v>AF SBI FM INDIA EQUITY</v>
          </cell>
          <cell r="C443" t="str">
            <v>Class I2 GBP (C)</v>
          </cell>
          <cell r="D443" t="str">
            <v>GBP</v>
          </cell>
          <cell r="E443" t="str">
            <v>03-Jan-2022</v>
          </cell>
          <cell r="F443">
            <v>55148.800000000003</v>
          </cell>
          <cell r="G443">
            <v>39.225999999999999</v>
          </cell>
          <cell r="H443">
            <v>1405.92</v>
          </cell>
          <cell r="I443">
            <v>0</v>
          </cell>
          <cell r="J443">
            <v>1405.92</v>
          </cell>
        </row>
        <row r="444">
          <cell r="A444" t="str">
            <v>LU0236502588</v>
          </cell>
          <cell r="B444" t="str">
            <v>AF SBI FM INDIA EQUITY</v>
          </cell>
          <cell r="C444" t="str">
            <v>Class I USD (C)</v>
          </cell>
          <cell r="D444" t="str">
            <v>USD</v>
          </cell>
          <cell r="E444" t="str">
            <v>03-Jan-2022</v>
          </cell>
          <cell r="F444">
            <v>5435381.29</v>
          </cell>
          <cell r="G444">
            <v>1357.875</v>
          </cell>
          <cell r="H444">
            <v>4002.86</v>
          </cell>
          <cell r="I444">
            <v>0</v>
          </cell>
          <cell r="J444">
            <v>4002.86</v>
          </cell>
        </row>
        <row r="445">
          <cell r="A445" t="str">
            <v>LU2330498754</v>
          </cell>
          <cell r="B445" t="str">
            <v>AF SBI FM INDIA EQUITY</v>
          </cell>
          <cell r="C445" t="str">
            <v>Class I2 USD (C)</v>
          </cell>
          <cell r="D445" t="str">
            <v>USD</v>
          </cell>
          <cell r="E445" t="str">
            <v>03-Jan-2022</v>
          </cell>
          <cell r="F445">
            <v>6171.43</v>
          </cell>
          <cell r="G445">
            <v>5</v>
          </cell>
          <cell r="H445">
            <v>1234.29</v>
          </cell>
          <cell r="I445">
            <v>0</v>
          </cell>
          <cell r="J445">
            <v>1234.29</v>
          </cell>
        </row>
        <row r="446">
          <cell r="A446" t="str">
            <v>LU0236502661</v>
          </cell>
          <cell r="B446" t="str">
            <v>AF SBI FM INDIA EQUITY</v>
          </cell>
          <cell r="C446" t="str">
            <v>Class I USD AD (D)</v>
          </cell>
          <cell r="D446" t="str">
            <v>USD</v>
          </cell>
          <cell r="E446" t="str">
            <v>03-Jan-2022</v>
          </cell>
          <cell r="F446">
            <v>26710.99</v>
          </cell>
          <cell r="G446">
            <v>18.841000000000001</v>
          </cell>
          <cell r="H446">
            <v>1417.71</v>
          </cell>
          <cell r="I446">
            <v>0</v>
          </cell>
          <cell r="J446">
            <v>1417.71</v>
          </cell>
        </row>
        <row r="447">
          <cell r="A447" t="str">
            <v>LU0329446719</v>
          </cell>
          <cell r="B447" t="str">
            <v>AF SBI FM INDIA EQUITY</v>
          </cell>
          <cell r="C447" t="str">
            <v>Class M USD (C)</v>
          </cell>
          <cell r="D447" t="str">
            <v>USD</v>
          </cell>
          <cell r="E447" t="str">
            <v>03-Jan-2022</v>
          </cell>
          <cell r="F447">
            <v>9041061.6199999992</v>
          </cell>
          <cell r="G447">
            <v>46097.745000000003</v>
          </cell>
          <cell r="H447">
            <v>196.13</v>
          </cell>
          <cell r="I447">
            <v>0</v>
          </cell>
          <cell r="J447">
            <v>196.13</v>
          </cell>
        </row>
        <row r="448">
          <cell r="A448" t="str">
            <v>LU0557866406</v>
          </cell>
          <cell r="B448" t="str">
            <v>AF SBI FM INDIA EQUITY</v>
          </cell>
          <cell r="C448" t="str">
            <v>Class O USD (C)</v>
          </cell>
          <cell r="D448" t="str">
            <v>USD</v>
          </cell>
          <cell r="E448" t="str">
            <v>03-Jan-2022</v>
          </cell>
          <cell r="F448">
            <v>7762.59</v>
          </cell>
          <cell r="G448">
            <v>5.27</v>
          </cell>
          <cell r="H448">
            <v>1472.98</v>
          </cell>
          <cell r="I448">
            <v>0</v>
          </cell>
          <cell r="J448">
            <v>1472.98</v>
          </cell>
        </row>
        <row r="449">
          <cell r="A449" t="str">
            <v>LU2052289852</v>
          </cell>
          <cell r="B449" t="str">
            <v>AF SBI FM INDIA EQUITY</v>
          </cell>
          <cell r="C449" t="str">
            <v>Class P2 USD (C)</v>
          </cell>
          <cell r="D449" t="str">
            <v>USD</v>
          </cell>
          <cell r="E449" t="str">
            <v>03-Jan-2022</v>
          </cell>
          <cell r="F449">
            <v>7355.37</v>
          </cell>
          <cell r="G449">
            <v>100</v>
          </cell>
          <cell r="H449">
            <v>73.55</v>
          </cell>
          <cell r="I449">
            <v>0</v>
          </cell>
          <cell r="J449">
            <v>73.55</v>
          </cell>
        </row>
        <row r="450">
          <cell r="A450" t="str">
            <v>LU2259110612</v>
          </cell>
          <cell r="B450" t="str">
            <v>AF SBI FM INDIA EQUITY</v>
          </cell>
          <cell r="C450" t="str">
            <v>Class R2 GBP (C)</v>
          </cell>
          <cell r="D450" t="str">
            <v>GBP</v>
          </cell>
          <cell r="E450" t="str">
            <v>03-Jan-2022</v>
          </cell>
          <cell r="F450">
            <v>6312.18</v>
          </cell>
          <cell r="G450">
            <v>100</v>
          </cell>
          <cell r="H450">
            <v>63.12</v>
          </cell>
          <cell r="I450">
            <v>0</v>
          </cell>
          <cell r="J450">
            <v>63.12</v>
          </cell>
        </row>
        <row r="451">
          <cell r="A451" t="str">
            <v>LU0236502315</v>
          </cell>
          <cell r="B451" t="str">
            <v>AF SBI FM INDIA EQUITY</v>
          </cell>
          <cell r="C451" t="str">
            <v>Class G USD (C)</v>
          </cell>
          <cell r="D451" t="str">
            <v>USD</v>
          </cell>
          <cell r="E451" t="str">
            <v>03-Jan-2022</v>
          </cell>
          <cell r="F451">
            <v>42101627.310000002</v>
          </cell>
          <cell r="G451">
            <v>126123.969</v>
          </cell>
          <cell r="H451">
            <v>333.81</v>
          </cell>
          <cell r="I451">
            <v>0</v>
          </cell>
          <cell r="J451">
            <v>343.82</v>
          </cell>
        </row>
        <row r="452">
          <cell r="A452" t="str">
            <v>LU1880406837</v>
          </cell>
          <cell r="B452" t="str">
            <v>AF SBI FM INDIA EQUITY</v>
          </cell>
          <cell r="C452" t="str">
            <v>Class Q-I6 USD (C)</v>
          </cell>
          <cell r="D452" t="str">
            <v>USD</v>
          </cell>
          <cell r="E452" t="str">
            <v>03-Jan-2022</v>
          </cell>
          <cell r="F452">
            <v>14347100.59</v>
          </cell>
          <cell r="G452">
            <v>10023.701999999999</v>
          </cell>
          <cell r="H452">
            <v>1431.32</v>
          </cell>
          <cell r="I452">
            <v>0</v>
          </cell>
          <cell r="J452">
            <v>1431.32</v>
          </cell>
        </row>
        <row r="453">
          <cell r="A453" t="str">
            <v>LU2034728548</v>
          </cell>
          <cell r="B453" t="str">
            <v>AF SBI FM INDIA EQUITY</v>
          </cell>
          <cell r="C453" t="str">
            <v>Class X USD (C)</v>
          </cell>
          <cell r="D453" t="str">
            <v>USD</v>
          </cell>
          <cell r="E453" t="str">
            <v>03-Jan-2022</v>
          </cell>
          <cell r="F453">
            <v>8014.58</v>
          </cell>
          <cell r="G453">
            <v>5</v>
          </cell>
          <cell r="H453">
            <v>1602.92</v>
          </cell>
          <cell r="I453">
            <v>0</v>
          </cell>
          <cell r="J453">
            <v>1602.92</v>
          </cell>
        </row>
        <row r="454">
          <cell r="A454" t="str">
            <v>LU0552029406</v>
          </cell>
          <cell r="B454" t="str">
            <v>AF LATIN AMERICA EQUITY</v>
          </cell>
          <cell r="C454" t="str">
            <v>Class A EUR (C)</v>
          </cell>
          <cell r="D454" t="str">
            <v>EUR</v>
          </cell>
          <cell r="E454" t="str">
            <v>03-Jan-2022</v>
          </cell>
          <cell r="F454">
            <v>5245735.13</v>
          </cell>
          <cell r="G454">
            <v>80112.774999999994</v>
          </cell>
          <cell r="H454">
            <v>65.48</v>
          </cell>
          <cell r="I454">
            <v>0</v>
          </cell>
          <cell r="J454">
            <v>68.430000000000007</v>
          </cell>
        </row>
        <row r="455">
          <cell r="A455" t="str">
            <v>LU0201575346</v>
          </cell>
          <cell r="B455" t="str">
            <v>AF LATIN AMERICA EQUITY</v>
          </cell>
          <cell r="C455" t="str">
            <v>Class A USD (C)</v>
          </cell>
          <cell r="D455" t="str">
            <v>USD</v>
          </cell>
          <cell r="E455" t="str">
            <v>03-Jan-2022</v>
          </cell>
          <cell r="F455">
            <v>32010927.079999998</v>
          </cell>
          <cell r="G455">
            <v>79165.539999999994</v>
          </cell>
          <cell r="H455">
            <v>404.35</v>
          </cell>
          <cell r="I455">
            <v>0</v>
          </cell>
          <cell r="J455">
            <v>422.55</v>
          </cell>
        </row>
        <row r="456">
          <cell r="A456" t="str">
            <v>LU2070308213</v>
          </cell>
          <cell r="B456" t="str">
            <v>AF LATIN AMERICA EQUITY</v>
          </cell>
          <cell r="C456" t="str">
            <v>Class A5 EUR (C)</v>
          </cell>
          <cell r="D456" t="str">
            <v>EUR</v>
          </cell>
          <cell r="E456" t="str">
            <v>03-Jan-2022</v>
          </cell>
          <cell r="F456">
            <v>4186.2299999999996</v>
          </cell>
          <cell r="G456">
            <v>100</v>
          </cell>
          <cell r="H456">
            <v>41.86</v>
          </cell>
          <cell r="I456">
            <v>0</v>
          </cell>
          <cell r="J456">
            <v>41.86</v>
          </cell>
        </row>
        <row r="457">
          <cell r="A457" t="str">
            <v>LU0201602173</v>
          </cell>
          <cell r="B457" t="str">
            <v>AF LATIN AMERICA EQUITY</v>
          </cell>
          <cell r="C457" t="str">
            <v>Class A USD AD (D)</v>
          </cell>
          <cell r="D457" t="str">
            <v>USD</v>
          </cell>
          <cell r="E457" t="str">
            <v>03-Jan-2022</v>
          </cell>
          <cell r="F457">
            <v>2009811.92</v>
          </cell>
          <cell r="G457">
            <v>5889.8779999999997</v>
          </cell>
          <cell r="H457">
            <v>341.23</v>
          </cell>
          <cell r="I457">
            <v>0</v>
          </cell>
          <cell r="J457">
            <v>356.59</v>
          </cell>
        </row>
        <row r="458">
          <cell r="A458" t="str">
            <v>LU0823046494</v>
          </cell>
          <cell r="B458" t="str">
            <v>AF LATIN AMERICA EQUITY</v>
          </cell>
          <cell r="C458" t="str">
            <v>Class A2 USD (C)</v>
          </cell>
          <cell r="D458" t="str">
            <v>USD</v>
          </cell>
          <cell r="E458" t="str">
            <v>03-Jan-2022</v>
          </cell>
          <cell r="F458">
            <v>8096174.9299999997</v>
          </cell>
          <cell r="G458">
            <v>20041.424999999999</v>
          </cell>
          <cell r="H458">
            <v>403.97</v>
          </cell>
          <cell r="I458">
            <v>0</v>
          </cell>
          <cell r="J458">
            <v>403.97</v>
          </cell>
        </row>
        <row r="459">
          <cell r="A459" t="str">
            <v>LU0823046577</v>
          </cell>
          <cell r="B459" t="str">
            <v>AF LATIN AMERICA EQUITY</v>
          </cell>
          <cell r="C459" t="str">
            <v>Class A2 USD AD (D)</v>
          </cell>
          <cell r="D459" t="str">
            <v>USD</v>
          </cell>
          <cell r="E459" t="str">
            <v>03-Jan-2022</v>
          </cell>
          <cell r="F459">
            <v>21622.51</v>
          </cell>
          <cell r="G459">
            <v>62.804000000000002</v>
          </cell>
          <cell r="H459">
            <v>344.29</v>
          </cell>
          <cell r="I459">
            <v>0</v>
          </cell>
          <cell r="J459">
            <v>344.29</v>
          </cell>
        </row>
        <row r="460">
          <cell r="A460" t="str">
            <v>LU0557869764</v>
          </cell>
          <cell r="B460" t="str">
            <v>AF LATIN AMERICA EQUITY</v>
          </cell>
          <cell r="C460" t="str">
            <v>Class F2 USD (C)</v>
          </cell>
          <cell r="D460" t="str">
            <v>USD</v>
          </cell>
          <cell r="E460" t="str">
            <v>03-Jan-2022</v>
          </cell>
          <cell r="F460">
            <v>594878.37</v>
          </cell>
          <cell r="G460">
            <v>11885.566000000001</v>
          </cell>
          <cell r="H460">
            <v>50.05</v>
          </cell>
          <cell r="I460">
            <v>0</v>
          </cell>
          <cell r="J460">
            <v>50.05</v>
          </cell>
        </row>
        <row r="461">
          <cell r="A461" t="str">
            <v>LU2052288961</v>
          </cell>
          <cell r="B461" t="str">
            <v>AF LATIN AMERICA EQUITY</v>
          </cell>
          <cell r="C461" t="str">
            <v>Class I2 GBP (C)</v>
          </cell>
          <cell r="D461" t="str">
            <v>GBP</v>
          </cell>
          <cell r="E461" t="str">
            <v>03-Jan-2022</v>
          </cell>
          <cell r="F461">
            <v>4014.07</v>
          </cell>
          <cell r="G461">
            <v>5</v>
          </cell>
          <cell r="H461">
            <v>802.81</v>
          </cell>
          <cell r="I461">
            <v>0</v>
          </cell>
          <cell r="J461">
            <v>802.81</v>
          </cell>
        </row>
        <row r="462">
          <cell r="A462" t="str">
            <v>LU0201576070</v>
          </cell>
          <cell r="B462" t="str">
            <v>AF LATIN AMERICA EQUITY</v>
          </cell>
          <cell r="C462" t="str">
            <v>Class I USD (C)</v>
          </cell>
          <cell r="D462" t="str">
            <v>USD</v>
          </cell>
          <cell r="E462" t="str">
            <v>03-Jan-2022</v>
          </cell>
          <cell r="F462">
            <v>1170859.93</v>
          </cell>
          <cell r="G462">
            <v>265.536</v>
          </cell>
          <cell r="H462">
            <v>4409.42</v>
          </cell>
          <cell r="I462">
            <v>0</v>
          </cell>
          <cell r="J462">
            <v>4409.42</v>
          </cell>
        </row>
        <row r="463">
          <cell r="A463" t="str">
            <v>LU0201602413</v>
          </cell>
          <cell r="B463" t="str">
            <v>AF LATIN AMERICA EQUITY</v>
          </cell>
          <cell r="C463" t="str">
            <v>Class I USD AD (D)</v>
          </cell>
          <cell r="D463" t="str">
            <v>USD</v>
          </cell>
          <cell r="E463" t="str">
            <v>03-Jan-2022</v>
          </cell>
          <cell r="F463">
            <v>25118.13</v>
          </cell>
          <cell r="G463">
            <v>21.3</v>
          </cell>
          <cell r="H463">
            <v>1179.25</v>
          </cell>
          <cell r="I463">
            <v>0</v>
          </cell>
          <cell r="J463">
            <v>1179.25</v>
          </cell>
        </row>
        <row r="464">
          <cell r="A464" t="str">
            <v>LU0329447527</v>
          </cell>
          <cell r="B464" t="str">
            <v>AF LATIN AMERICA EQUITY</v>
          </cell>
          <cell r="C464" t="str">
            <v>Class M USD (C)</v>
          </cell>
          <cell r="D464" t="str">
            <v>USD</v>
          </cell>
          <cell r="E464" t="str">
            <v>03-Jan-2022</v>
          </cell>
          <cell r="F464">
            <v>2473932.4300000002</v>
          </cell>
          <cell r="G464">
            <v>34895.968999999997</v>
          </cell>
          <cell r="H464">
            <v>70.89</v>
          </cell>
          <cell r="I464">
            <v>0</v>
          </cell>
          <cell r="J464">
            <v>70.89</v>
          </cell>
        </row>
        <row r="465">
          <cell r="A465" t="str">
            <v>LU0823047039</v>
          </cell>
          <cell r="B465" t="str">
            <v>AF LATIN AMERICA EQUITY</v>
          </cell>
          <cell r="C465" t="str">
            <v>Class R USD (C)</v>
          </cell>
          <cell r="D465" t="str">
            <v>USD</v>
          </cell>
          <cell r="E465" t="str">
            <v>03-Jan-2022</v>
          </cell>
          <cell r="F465">
            <v>311099.42</v>
          </cell>
          <cell r="G465">
            <v>3750.462</v>
          </cell>
          <cell r="H465">
            <v>82.95</v>
          </cell>
          <cell r="I465">
            <v>0</v>
          </cell>
          <cell r="J465">
            <v>82.95</v>
          </cell>
        </row>
        <row r="466">
          <cell r="A466" t="str">
            <v>LU0823047112</v>
          </cell>
          <cell r="B466" t="str">
            <v>AF LATIN AMERICA EQUITY</v>
          </cell>
          <cell r="C466" t="str">
            <v>Class R USD AD (D)</v>
          </cell>
          <cell r="D466" t="str">
            <v>USD</v>
          </cell>
          <cell r="E466" t="str">
            <v>03-Jan-2022</v>
          </cell>
          <cell r="F466">
            <v>56256.4</v>
          </cell>
          <cell r="G466">
            <v>772.07100000000003</v>
          </cell>
          <cell r="H466">
            <v>72.86</v>
          </cell>
          <cell r="I466">
            <v>0</v>
          </cell>
          <cell r="J466">
            <v>72.86</v>
          </cell>
        </row>
        <row r="467">
          <cell r="A467" t="str">
            <v>LU0552029661</v>
          </cell>
          <cell r="B467" t="str">
            <v>AF LATIN AMERICA EQUITY</v>
          </cell>
          <cell r="C467" t="str">
            <v>Class G EUR (C)</v>
          </cell>
          <cell r="D467" t="str">
            <v>EUR</v>
          </cell>
          <cell r="E467" t="str">
            <v>03-Jan-2022</v>
          </cell>
          <cell r="F467">
            <v>1234372.68</v>
          </cell>
          <cell r="G467">
            <v>19025.816999999999</v>
          </cell>
          <cell r="H467">
            <v>64.88</v>
          </cell>
          <cell r="I467">
            <v>0</v>
          </cell>
          <cell r="J467">
            <v>66.83</v>
          </cell>
        </row>
        <row r="468">
          <cell r="A468" t="str">
            <v>LU0201575858</v>
          </cell>
          <cell r="B468" t="str">
            <v>AF LATIN AMERICA EQUITY</v>
          </cell>
          <cell r="C468" t="str">
            <v>Class G USD (C)</v>
          </cell>
          <cell r="D468" t="str">
            <v>USD</v>
          </cell>
          <cell r="E468" t="str">
            <v>03-Jan-2022</v>
          </cell>
          <cell r="F468">
            <v>4791040.7</v>
          </cell>
          <cell r="G468">
            <v>12648.483</v>
          </cell>
          <cell r="H468">
            <v>378.78</v>
          </cell>
          <cell r="I468">
            <v>0</v>
          </cell>
          <cell r="J468">
            <v>390.14</v>
          </cell>
        </row>
        <row r="469">
          <cell r="A469" t="str">
            <v>LU0276938817</v>
          </cell>
          <cell r="B469" t="str">
            <v>AF LATIN AMERICA EQUITY</v>
          </cell>
          <cell r="C469" t="str">
            <v>Class Q-X USD (C)</v>
          </cell>
          <cell r="D469" t="str">
            <v>USD</v>
          </cell>
          <cell r="E469" t="str">
            <v>03-Jan-2022</v>
          </cell>
          <cell r="F469">
            <v>1277.03</v>
          </cell>
          <cell r="G469">
            <v>0.98599999999999999</v>
          </cell>
          <cell r="H469">
            <v>1295.1600000000001</v>
          </cell>
          <cell r="I469">
            <v>0</v>
          </cell>
          <cell r="J469">
            <v>1295.1600000000001</v>
          </cell>
        </row>
        <row r="470">
          <cell r="A470" t="str">
            <v>LU0569690554</v>
          </cell>
          <cell r="B470" t="str">
            <v>AMUNDI FUNDS EQUITY MENA</v>
          </cell>
          <cell r="C470" t="str">
            <v>Class A EUR (C)</v>
          </cell>
          <cell r="D470" t="str">
            <v>EUR</v>
          </cell>
          <cell r="E470" t="str">
            <v>03-Jan-2022</v>
          </cell>
          <cell r="F470">
            <v>1217454.05</v>
          </cell>
          <cell r="G470">
            <v>4586.2039999999997</v>
          </cell>
          <cell r="H470">
            <v>265.45999999999998</v>
          </cell>
          <cell r="I470">
            <v>0</v>
          </cell>
          <cell r="J470">
            <v>277.41000000000003</v>
          </cell>
        </row>
        <row r="471">
          <cell r="A471" t="str">
            <v>LU0568613946</v>
          </cell>
          <cell r="B471" t="str">
            <v>AMUNDI FUNDS EQUITY MENA</v>
          </cell>
          <cell r="C471" t="str">
            <v>Class A USD (C)</v>
          </cell>
          <cell r="D471" t="str">
            <v>USD</v>
          </cell>
          <cell r="E471" t="str">
            <v>03-Jan-2022</v>
          </cell>
          <cell r="F471">
            <v>3037026.3</v>
          </cell>
          <cell r="G471">
            <v>14577.753000000001</v>
          </cell>
          <cell r="H471">
            <v>208.33</v>
          </cell>
          <cell r="I471">
            <v>0</v>
          </cell>
          <cell r="J471">
            <v>217.7</v>
          </cell>
        </row>
        <row r="472">
          <cell r="A472" t="str">
            <v>LU0569690471</v>
          </cell>
          <cell r="B472" t="str">
            <v>AMUNDI FUNDS EQUITY MENA</v>
          </cell>
          <cell r="C472" t="str">
            <v>Class A EUR Hgd (C)</v>
          </cell>
          <cell r="D472" t="str">
            <v>EUR</v>
          </cell>
          <cell r="E472" t="str">
            <v>03-Jan-2022</v>
          </cell>
          <cell r="F472">
            <v>991141.87</v>
          </cell>
          <cell r="G472">
            <v>5420.8360000000002</v>
          </cell>
          <cell r="H472">
            <v>182.84</v>
          </cell>
          <cell r="I472">
            <v>0</v>
          </cell>
          <cell r="J472">
            <v>191.07</v>
          </cell>
        </row>
        <row r="473">
          <cell r="A473" t="str">
            <v>LU0568614084</v>
          </cell>
          <cell r="B473" t="str">
            <v>AMUNDI FUNDS EQUITY MENA</v>
          </cell>
          <cell r="C473" t="str">
            <v>Class A USD AD (D)</v>
          </cell>
          <cell r="D473" t="str">
            <v>USD</v>
          </cell>
          <cell r="E473" t="str">
            <v>03-Jan-2022</v>
          </cell>
          <cell r="F473">
            <v>191639.86</v>
          </cell>
          <cell r="G473">
            <v>950.12300000000005</v>
          </cell>
          <cell r="H473">
            <v>201.7</v>
          </cell>
          <cell r="I473">
            <v>0</v>
          </cell>
          <cell r="J473">
            <v>210.78</v>
          </cell>
        </row>
        <row r="474">
          <cell r="A474" t="str">
            <v>LU0823047385</v>
          </cell>
          <cell r="B474" t="str">
            <v>AMUNDI FUNDS EQUITY MENA</v>
          </cell>
          <cell r="C474" t="str">
            <v>Class A2 USD (C)</v>
          </cell>
          <cell r="D474" t="str">
            <v>USD</v>
          </cell>
          <cell r="E474" t="str">
            <v>03-Jan-2022</v>
          </cell>
          <cell r="F474">
            <v>10546477.07</v>
          </cell>
          <cell r="G474">
            <v>50404.576000000001</v>
          </cell>
          <cell r="H474">
            <v>209.24</v>
          </cell>
          <cell r="I474">
            <v>0</v>
          </cell>
          <cell r="J474">
            <v>209.24</v>
          </cell>
        </row>
        <row r="475">
          <cell r="A475" t="str">
            <v>LU0568614324</v>
          </cell>
          <cell r="B475" t="str">
            <v>AMUNDI FUNDS EQUITY MENA</v>
          </cell>
          <cell r="C475" t="str">
            <v>Class F2 USD (C)</v>
          </cell>
          <cell r="D475" t="str">
            <v>USD</v>
          </cell>
          <cell r="E475" t="str">
            <v>03-Jan-2022</v>
          </cell>
          <cell r="F475">
            <v>837910.32</v>
          </cell>
          <cell r="G475">
            <v>4590.1760000000004</v>
          </cell>
          <cell r="H475">
            <v>182.54</v>
          </cell>
          <cell r="I475">
            <v>0</v>
          </cell>
          <cell r="J475">
            <v>182.54</v>
          </cell>
        </row>
        <row r="476">
          <cell r="A476" t="str">
            <v>LU0568614597</v>
          </cell>
          <cell r="B476" t="str">
            <v>AMUNDI FUNDS EQUITY MENA</v>
          </cell>
          <cell r="C476" t="str">
            <v>Class F2 EUR Hgd (C)</v>
          </cell>
          <cell r="D476" t="str">
            <v>EUR</v>
          </cell>
          <cell r="E476" t="str">
            <v>03-Jan-2022</v>
          </cell>
          <cell r="F476">
            <v>573091.14</v>
          </cell>
          <cell r="G476">
            <v>3582.5279999999998</v>
          </cell>
          <cell r="H476">
            <v>159.97</v>
          </cell>
          <cell r="I476">
            <v>0</v>
          </cell>
          <cell r="J476">
            <v>159.97</v>
          </cell>
        </row>
        <row r="477">
          <cell r="A477" t="str">
            <v>LU0568613433</v>
          </cell>
          <cell r="B477" t="str">
            <v>AMUNDI FUNDS EQUITY MENA</v>
          </cell>
          <cell r="C477" t="str">
            <v>Class I USD (C)</v>
          </cell>
          <cell r="D477" t="str">
            <v>USD</v>
          </cell>
          <cell r="E477" t="str">
            <v>03-Jan-2022</v>
          </cell>
          <cell r="F477">
            <v>37085504.850000001</v>
          </cell>
          <cell r="G477">
            <v>16662.93</v>
          </cell>
          <cell r="H477">
            <v>2225.63</v>
          </cell>
          <cell r="I477">
            <v>0</v>
          </cell>
          <cell r="J477">
            <v>2225.63</v>
          </cell>
        </row>
        <row r="478">
          <cell r="A478" t="str">
            <v>LU0568613607</v>
          </cell>
          <cell r="B478" t="str">
            <v>AMUNDI FUNDS EQUITY MENA</v>
          </cell>
          <cell r="C478" t="str">
            <v>Class I EUR Hgd (C)</v>
          </cell>
          <cell r="D478" t="str">
            <v>EUR</v>
          </cell>
          <cell r="E478" t="str">
            <v>03-Jan-2022</v>
          </cell>
          <cell r="F478">
            <v>40013.629999999997</v>
          </cell>
          <cell r="G478">
            <v>20.550999999999998</v>
          </cell>
          <cell r="H478">
            <v>1947.04</v>
          </cell>
          <cell r="I478">
            <v>0</v>
          </cell>
          <cell r="J478">
            <v>1947.04</v>
          </cell>
        </row>
        <row r="479">
          <cell r="A479" t="str">
            <v>LU0568613516</v>
          </cell>
          <cell r="B479" t="str">
            <v>AMUNDI FUNDS EQUITY MENA</v>
          </cell>
          <cell r="C479" t="str">
            <v>Class I USD AD (D)</v>
          </cell>
          <cell r="D479" t="str">
            <v>USD</v>
          </cell>
          <cell r="E479" t="str">
            <v>03-Jan-2022</v>
          </cell>
          <cell r="F479">
            <v>20574.259999999998</v>
          </cell>
          <cell r="G479">
            <v>10</v>
          </cell>
          <cell r="H479">
            <v>2057.4299999999998</v>
          </cell>
          <cell r="I479">
            <v>0</v>
          </cell>
          <cell r="J479">
            <v>2057.4299999999998</v>
          </cell>
        </row>
        <row r="480">
          <cell r="A480" t="str">
            <v>LU0568613789</v>
          </cell>
          <cell r="B480" t="str">
            <v>AMUNDI FUNDS EQUITY MENA</v>
          </cell>
          <cell r="C480" t="str">
            <v>Class M USD (C)</v>
          </cell>
          <cell r="D480" t="str">
            <v>USD</v>
          </cell>
          <cell r="E480" t="str">
            <v>03-Jan-2022</v>
          </cell>
          <cell r="F480">
            <v>5281140.32</v>
          </cell>
          <cell r="G480">
            <v>32244.716</v>
          </cell>
          <cell r="H480">
            <v>163.78</v>
          </cell>
          <cell r="I480">
            <v>0</v>
          </cell>
          <cell r="J480">
            <v>163.78</v>
          </cell>
        </row>
        <row r="481">
          <cell r="A481" t="str">
            <v>LU0568614167</v>
          </cell>
          <cell r="B481" t="str">
            <v>AMUNDI FUNDS EQUITY MENA</v>
          </cell>
          <cell r="C481" t="str">
            <v>Class G USD (C)</v>
          </cell>
          <cell r="D481" t="str">
            <v>USD</v>
          </cell>
          <cell r="E481" t="str">
            <v>03-Jan-2022</v>
          </cell>
          <cell r="F481">
            <v>1918884.31</v>
          </cell>
          <cell r="G481">
            <v>9647.1129999999994</v>
          </cell>
          <cell r="H481">
            <v>198.91</v>
          </cell>
          <cell r="I481">
            <v>0</v>
          </cell>
          <cell r="J481">
            <v>204.88</v>
          </cell>
        </row>
        <row r="482">
          <cell r="A482" t="str">
            <v>LU0568614241</v>
          </cell>
          <cell r="B482" t="str">
            <v>AMUNDI FUNDS EQUITY MENA</v>
          </cell>
          <cell r="C482" t="str">
            <v>Class G EUR Hgd (C)</v>
          </cell>
          <cell r="D482" t="str">
            <v>EUR</v>
          </cell>
          <cell r="E482" t="str">
            <v>03-Jan-2022</v>
          </cell>
          <cell r="F482">
            <v>2244002.09</v>
          </cell>
          <cell r="G482">
            <v>13008.447</v>
          </cell>
          <cell r="H482">
            <v>172.5</v>
          </cell>
          <cell r="I482">
            <v>0</v>
          </cell>
          <cell r="J482">
            <v>177.68</v>
          </cell>
        </row>
        <row r="483">
          <cell r="A483" t="str">
            <v>LU0568602824</v>
          </cell>
          <cell r="B483" t="str">
            <v>AF WELLS FARGO US EQUITY MID CAP</v>
          </cell>
          <cell r="C483" t="str">
            <v>Class A EUR (C)</v>
          </cell>
          <cell r="D483" t="str">
            <v>EUR</v>
          </cell>
          <cell r="E483" t="str">
            <v>03-Jan-2022</v>
          </cell>
          <cell r="F483">
            <v>13126626.66</v>
          </cell>
          <cell r="G483">
            <v>38063.966</v>
          </cell>
          <cell r="H483">
            <v>344.86</v>
          </cell>
          <cell r="I483">
            <v>0</v>
          </cell>
          <cell r="J483">
            <v>360.38</v>
          </cell>
        </row>
        <row r="484">
          <cell r="A484" t="str">
            <v>LU0568602667</v>
          </cell>
          <cell r="B484" t="str">
            <v>AF WELLS FARGO US EQUITY MID CAP</v>
          </cell>
          <cell r="C484" t="str">
            <v>Class A USD (C)</v>
          </cell>
          <cell r="D484" t="str">
            <v>USD</v>
          </cell>
          <cell r="E484" t="str">
            <v>03-Jan-2022</v>
          </cell>
          <cell r="F484">
            <v>23880531.879999999</v>
          </cell>
          <cell r="G484">
            <v>88585.521999999997</v>
          </cell>
          <cell r="H484">
            <v>269.58</v>
          </cell>
          <cell r="I484">
            <v>0</v>
          </cell>
          <cell r="J484">
            <v>281.70999999999998</v>
          </cell>
        </row>
        <row r="485">
          <cell r="A485" t="str">
            <v>LU0568603129</v>
          </cell>
          <cell r="B485" t="str">
            <v>AF WELLS FARGO US EQUITY MID CAP</v>
          </cell>
          <cell r="C485" t="str">
            <v>Class A EUR Hgd (C)</v>
          </cell>
          <cell r="D485" t="str">
            <v>EUR</v>
          </cell>
          <cell r="E485" t="str">
            <v>03-Jan-2022</v>
          </cell>
          <cell r="F485">
            <v>1834174.07</v>
          </cell>
          <cell r="G485">
            <v>7930.8890000000001</v>
          </cell>
          <cell r="H485">
            <v>231.27</v>
          </cell>
          <cell r="I485">
            <v>0</v>
          </cell>
          <cell r="J485">
            <v>241.68</v>
          </cell>
        </row>
        <row r="486">
          <cell r="A486" t="str">
            <v>LU0568602741</v>
          </cell>
          <cell r="B486" t="str">
            <v>AF WELLS FARGO US EQUITY MID CAP</v>
          </cell>
          <cell r="C486" t="str">
            <v>Class A USD AD (D)</v>
          </cell>
          <cell r="D486" t="str">
            <v>USD</v>
          </cell>
          <cell r="E486" t="str">
            <v>03-Jan-2022</v>
          </cell>
          <cell r="F486">
            <v>913658.25</v>
          </cell>
          <cell r="G486">
            <v>3390.5349999999999</v>
          </cell>
          <cell r="H486">
            <v>269.47000000000003</v>
          </cell>
          <cell r="I486">
            <v>0</v>
          </cell>
          <cell r="J486">
            <v>281.60000000000002</v>
          </cell>
        </row>
        <row r="487">
          <cell r="A487" t="str">
            <v>LU0568603475</v>
          </cell>
          <cell r="B487" t="str">
            <v>AF WELLS FARGO US EQUITY MID CAP</v>
          </cell>
          <cell r="C487" t="str">
            <v>Class F2 USD (C)</v>
          </cell>
          <cell r="D487" t="str">
            <v>USD</v>
          </cell>
          <cell r="E487" t="str">
            <v>03-Jan-2022</v>
          </cell>
          <cell r="F487">
            <v>810850.08</v>
          </cell>
          <cell r="G487">
            <v>3437.163</v>
          </cell>
          <cell r="H487">
            <v>235.91</v>
          </cell>
          <cell r="I487">
            <v>0</v>
          </cell>
          <cell r="J487">
            <v>235.91</v>
          </cell>
        </row>
        <row r="488">
          <cell r="A488" t="str">
            <v>LU2018723085</v>
          </cell>
          <cell r="B488" t="str">
            <v>AF WELLS FARGO US EQUITY MID CAP</v>
          </cell>
          <cell r="C488" t="str">
            <v>Class F EUR Hgd (C)</v>
          </cell>
          <cell r="D488" t="str">
            <v>EUR</v>
          </cell>
          <cell r="E488" t="str">
            <v>03-Jan-2022</v>
          </cell>
          <cell r="F488">
            <v>317135.64</v>
          </cell>
          <cell r="G488">
            <v>48779.226999999999</v>
          </cell>
          <cell r="H488">
            <v>6.5010000000000003</v>
          </cell>
          <cell r="I488">
            <v>0</v>
          </cell>
          <cell r="J488">
            <v>6.5010000000000003</v>
          </cell>
        </row>
        <row r="489">
          <cell r="A489" t="str">
            <v>LU0568603558</v>
          </cell>
          <cell r="B489" t="str">
            <v>AF WELLS FARGO US EQUITY MID CAP</v>
          </cell>
          <cell r="C489" t="str">
            <v>Class F2 EUR Hgd (C)</v>
          </cell>
          <cell r="D489" t="str">
            <v>EUR</v>
          </cell>
          <cell r="E489" t="str">
            <v>03-Jan-2022</v>
          </cell>
          <cell r="F489">
            <v>1665413.4</v>
          </cell>
          <cell r="G489">
            <v>8280.61</v>
          </cell>
          <cell r="H489">
            <v>201.12</v>
          </cell>
          <cell r="I489">
            <v>0</v>
          </cell>
          <cell r="J489">
            <v>201.12</v>
          </cell>
        </row>
        <row r="490">
          <cell r="A490" t="str">
            <v>LU0568584741</v>
          </cell>
          <cell r="B490" t="str">
            <v>AF WELLS FARGO US EQUITY MID CAP</v>
          </cell>
          <cell r="C490" t="str">
            <v>Class I USD (C)</v>
          </cell>
          <cell r="D490" t="str">
            <v>USD</v>
          </cell>
          <cell r="E490" t="str">
            <v>03-Jan-2022</v>
          </cell>
          <cell r="F490">
            <v>84157.26</v>
          </cell>
          <cell r="G490">
            <v>28.15</v>
          </cell>
          <cell r="H490">
            <v>2989.6</v>
          </cell>
          <cell r="I490">
            <v>0</v>
          </cell>
          <cell r="J490">
            <v>2989.6</v>
          </cell>
        </row>
        <row r="491">
          <cell r="A491" t="str">
            <v>LU2330499059</v>
          </cell>
          <cell r="B491" t="str">
            <v>AF WELLS FARGO US EQUITY MID CAP</v>
          </cell>
          <cell r="C491" t="str">
            <v>Class I2 USD (C)</v>
          </cell>
          <cell r="D491" t="str">
            <v>USD</v>
          </cell>
          <cell r="E491" t="str">
            <v>03-Jan-2022</v>
          </cell>
          <cell r="F491">
            <v>5510.26</v>
          </cell>
          <cell r="G491">
            <v>5</v>
          </cell>
          <cell r="H491">
            <v>1102.05</v>
          </cell>
          <cell r="I491">
            <v>0</v>
          </cell>
          <cell r="J491">
            <v>1102.05</v>
          </cell>
        </row>
        <row r="492">
          <cell r="A492" t="str">
            <v>LU0568585391</v>
          </cell>
          <cell r="B492" t="str">
            <v>AF WELLS FARGO US EQUITY MID CAP</v>
          </cell>
          <cell r="C492" t="str">
            <v>Class I EUR Hgd (C)</v>
          </cell>
          <cell r="D492" t="str">
            <v>EUR</v>
          </cell>
          <cell r="E492" t="str">
            <v>03-Jan-2022</v>
          </cell>
          <cell r="F492">
            <v>7358.55</v>
          </cell>
          <cell r="G492">
            <v>2.8769999999999998</v>
          </cell>
          <cell r="H492">
            <v>2557.7199999999998</v>
          </cell>
          <cell r="I492">
            <v>0</v>
          </cell>
          <cell r="J492">
            <v>2557.7199999999998</v>
          </cell>
        </row>
        <row r="493">
          <cell r="A493" t="str">
            <v>LU0568585045</v>
          </cell>
          <cell r="B493" t="str">
            <v>AF WELLS FARGO US EQUITY MID CAP</v>
          </cell>
          <cell r="C493" t="str">
            <v>Class I USD AD (D)</v>
          </cell>
          <cell r="D493" t="str">
            <v>USD</v>
          </cell>
          <cell r="E493" t="str">
            <v>03-Jan-2022</v>
          </cell>
          <cell r="F493">
            <v>10943.51</v>
          </cell>
          <cell r="G493">
            <v>3.6389999999999998</v>
          </cell>
          <cell r="H493">
            <v>3007.28</v>
          </cell>
          <cell r="I493">
            <v>0</v>
          </cell>
          <cell r="J493">
            <v>3007.28</v>
          </cell>
        </row>
        <row r="494">
          <cell r="A494" t="str">
            <v>LU1600319724</v>
          </cell>
          <cell r="B494" t="str">
            <v>AF WELLS FARGO US EQUITY MID CAP</v>
          </cell>
          <cell r="C494" t="str">
            <v>Class Q-I13 USD (C)</v>
          </cell>
          <cell r="D494" t="str">
            <v>USD</v>
          </cell>
          <cell r="E494" t="str">
            <v>03-Jan-2022</v>
          </cell>
          <cell r="F494">
            <v>750422.6</v>
          </cell>
          <cell r="G494">
            <v>495.98899999999998</v>
          </cell>
          <cell r="H494">
            <v>1512.98</v>
          </cell>
          <cell r="I494">
            <v>0</v>
          </cell>
          <cell r="J494">
            <v>1512.98</v>
          </cell>
        </row>
        <row r="495">
          <cell r="A495" t="str">
            <v>LU0568585714</v>
          </cell>
          <cell r="B495" t="str">
            <v>AF WELLS FARGO US EQUITY MID CAP</v>
          </cell>
          <cell r="C495" t="str">
            <v>Class M EUR Hgd (C)</v>
          </cell>
          <cell r="D495" t="str">
            <v>EUR</v>
          </cell>
          <cell r="E495" t="str">
            <v>03-Jan-2022</v>
          </cell>
          <cell r="F495">
            <v>4942.63</v>
          </cell>
          <cell r="G495">
            <v>19.55</v>
          </cell>
          <cell r="H495">
            <v>252.82</v>
          </cell>
          <cell r="I495">
            <v>0</v>
          </cell>
          <cell r="J495">
            <v>252.82</v>
          </cell>
        </row>
        <row r="496">
          <cell r="A496" t="str">
            <v>LU2199618393</v>
          </cell>
          <cell r="B496" t="str">
            <v>AF WELLS FARGO US EQUITY MID CAP</v>
          </cell>
          <cell r="C496" t="str">
            <v>Class P2 USD (C)</v>
          </cell>
          <cell r="D496" t="str">
            <v>USD</v>
          </cell>
          <cell r="E496" t="str">
            <v>03-Jan-2022</v>
          </cell>
          <cell r="F496">
            <v>7794.03</v>
          </cell>
          <cell r="G496">
            <v>100</v>
          </cell>
          <cell r="H496">
            <v>77.94</v>
          </cell>
          <cell r="I496">
            <v>0</v>
          </cell>
          <cell r="J496">
            <v>77.94</v>
          </cell>
        </row>
        <row r="497">
          <cell r="A497" t="str">
            <v>LU0568603392</v>
          </cell>
          <cell r="B497" t="str">
            <v>AF WELLS FARGO US EQUITY MID CAP</v>
          </cell>
          <cell r="C497" t="str">
            <v>Class G USD (C)</v>
          </cell>
          <cell r="D497" t="str">
            <v>USD</v>
          </cell>
          <cell r="E497" t="str">
            <v>03-Jan-2022</v>
          </cell>
          <cell r="F497">
            <v>4234865.87</v>
          </cell>
          <cell r="G497">
            <v>17178.995999999999</v>
          </cell>
          <cell r="H497">
            <v>246.51</v>
          </cell>
          <cell r="I497">
            <v>0</v>
          </cell>
          <cell r="J497">
            <v>253.91</v>
          </cell>
        </row>
        <row r="498">
          <cell r="A498" t="str">
            <v>LU1737509940</v>
          </cell>
          <cell r="B498" t="str">
            <v>AF WELLS FARGO US EQUITY MID CAP</v>
          </cell>
          <cell r="C498" t="str">
            <v>Class Q-S2 USD (C)</v>
          </cell>
          <cell r="D498" t="str">
            <v>USD</v>
          </cell>
          <cell r="E498" t="str">
            <v>03-Jan-2022</v>
          </cell>
          <cell r="F498">
            <v>54235.55</v>
          </cell>
          <cell r="G498">
            <v>388.81</v>
          </cell>
          <cell r="H498">
            <v>139.49</v>
          </cell>
          <cell r="I498">
            <v>0</v>
          </cell>
          <cell r="J498">
            <v>139.49</v>
          </cell>
        </row>
        <row r="499">
          <cell r="A499" t="str">
            <v>LU0797054037</v>
          </cell>
          <cell r="B499" t="str">
            <v>AF WELLS FARGO US EQUITY MID CAP</v>
          </cell>
          <cell r="C499" t="str">
            <v>Class G EUR Hgd (C)</v>
          </cell>
          <cell r="D499" t="str">
            <v>EUR</v>
          </cell>
          <cell r="E499" t="str">
            <v>03-Jan-2022</v>
          </cell>
          <cell r="F499">
            <v>878041.03</v>
          </cell>
          <cell r="G499">
            <v>4342.6369999999997</v>
          </cell>
          <cell r="H499">
            <v>202.19</v>
          </cell>
          <cell r="I499">
            <v>0</v>
          </cell>
          <cell r="J499">
            <v>208.26</v>
          </cell>
        </row>
        <row r="500">
          <cell r="A500" t="str">
            <v>LU0518421895</v>
          </cell>
          <cell r="B500" t="str">
            <v>AF EURO GOVERNMENT BOND</v>
          </cell>
          <cell r="C500" t="str">
            <v>Class A EUR (C)</v>
          </cell>
          <cell r="D500" t="str">
            <v>EUR</v>
          </cell>
          <cell r="E500" t="str">
            <v>03-Jan-2022</v>
          </cell>
          <cell r="F500">
            <v>41706355.32</v>
          </cell>
          <cell r="G500">
            <v>304231.41700000002</v>
          </cell>
          <cell r="H500">
            <v>137.09</v>
          </cell>
          <cell r="I500">
            <v>0</v>
          </cell>
          <cell r="J500">
            <v>141.19999999999999</v>
          </cell>
        </row>
        <row r="501">
          <cell r="A501" t="str">
            <v>LU2070306514</v>
          </cell>
          <cell r="B501" t="str">
            <v>AF EURO GOVERNMENT BOND</v>
          </cell>
          <cell r="C501" t="str">
            <v>Class A5 EUR (C)</v>
          </cell>
          <cell r="D501" t="str">
            <v>EUR</v>
          </cell>
          <cell r="E501" t="str">
            <v>03-Jan-2022</v>
          </cell>
          <cell r="F501">
            <v>4908.5600000000004</v>
          </cell>
          <cell r="G501">
            <v>100</v>
          </cell>
          <cell r="H501">
            <v>49.09</v>
          </cell>
          <cell r="I501">
            <v>0</v>
          </cell>
          <cell r="J501">
            <v>49.09</v>
          </cell>
        </row>
        <row r="502">
          <cell r="A502" t="str">
            <v>LU0518421978</v>
          </cell>
          <cell r="B502" t="str">
            <v>AF EURO GOVERNMENT BOND</v>
          </cell>
          <cell r="C502" t="str">
            <v>Class A EUR AD (D)</v>
          </cell>
          <cell r="D502" t="str">
            <v>EUR</v>
          </cell>
          <cell r="E502" t="str">
            <v>03-Jan-2022</v>
          </cell>
          <cell r="F502">
            <v>3242164.12</v>
          </cell>
          <cell r="G502">
            <v>28221.965</v>
          </cell>
          <cell r="H502">
            <v>114.88</v>
          </cell>
          <cell r="I502">
            <v>0</v>
          </cell>
          <cell r="J502">
            <v>118.33</v>
          </cell>
        </row>
        <row r="503">
          <cell r="A503" t="str">
            <v>LU1882474668</v>
          </cell>
          <cell r="B503" t="str">
            <v>AF EURO GOVERNMENT BOND</v>
          </cell>
          <cell r="C503" t="str">
            <v>Class M2 EUR (C)</v>
          </cell>
          <cell r="D503" t="str">
            <v>EUR</v>
          </cell>
          <cell r="E503" t="str">
            <v>03-Jan-2022</v>
          </cell>
          <cell r="F503">
            <v>140820132.86000001</v>
          </cell>
          <cell r="G503">
            <v>137997.451</v>
          </cell>
          <cell r="H503">
            <v>1020.45</v>
          </cell>
          <cell r="I503">
            <v>0</v>
          </cell>
          <cell r="J503">
            <v>1020.45</v>
          </cell>
        </row>
        <row r="504">
          <cell r="A504" t="str">
            <v>LU1882473850</v>
          </cell>
          <cell r="B504" t="str">
            <v>AF EURO GOVERNMENT BOND</v>
          </cell>
          <cell r="C504" t="str">
            <v>Class C EUR (C)</v>
          </cell>
          <cell r="D504" t="str">
            <v>EUR</v>
          </cell>
          <cell r="E504" t="str">
            <v>03-Jan-2022</v>
          </cell>
          <cell r="F504">
            <v>359007.81</v>
          </cell>
          <cell r="G504">
            <v>7339.3270000000002</v>
          </cell>
          <cell r="H504">
            <v>48.92</v>
          </cell>
          <cell r="I504">
            <v>0</v>
          </cell>
          <cell r="J504">
            <v>48.92</v>
          </cell>
        </row>
        <row r="505">
          <cell r="A505" t="str">
            <v>LU1882473934</v>
          </cell>
          <cell r="B505" t="str">
            <v>AF EURO GOVERNMENT BOND</v>
          </cell>
          <cell r="C505" t="str">
            <v>Class C EUR MD (D)</v>
          </cell>
          <cell r="D505" t="str">
            <v>EUR</v>
          </cell>
          <cell r="E505" t="str">
            <v>03-Jan-2022</v>
          </cell>
          <cell r="F505">
            <v>115836.18</v>
          </cell>
          <cell r="G505">
            <v>2403.1350000000002</v>
          </cell>
          <cell r="H505">
            <v>48.2</v>
          </cell>
          <cell r="I505">
            <v>8.6E-3</v>
          </cell>
          <cell r="J505">
            <v>48.2</v>
          </cell>
        </row>
        <row r="506">
          <cell r="A506" t="str">
            <v>LU1882474072</v>
          </cell>
          <cell r="B506" t="str">
            <v>AF EURO GOVERNMENT BOND</v>
          </cell>
          <cell r="C506" t="str">
            <v>Class C USD (C)</v>
          </cell>
          <cell r="D506" t="str">
            <v>USD</v>
          </cell>
          <cell r="E506" t="str">
            <v>03-Jan-2022</v>
          </cell>
          <cell r="F506">
            <v>16111.05</v>
          </cell>
          <cell r="G506">
            <v>330.721</v>
          </cell>
          <cell r="H506">
            <v>48.71</v>
          </cell>
          <cell r="I506">
            <v>0</v>
          </cell>
          <cell r="J506">
            <v>48.71</v>
          </cell>
        </row>
        <row r="507">
          <cell r="A507" t="str">
            <v>LU1882474155</v>
          </cell>
          <cell r="B507" t="str">
            <v>AF EURO GOVERNMENT BOND</v>
          </cell>
          <cell r="C507" t="str">
            <v>Class C USD MD (D)</v>
          </cell>
          <cell r="D507" t="str">
            <v>USD</v>
          </cell>
          <cell r="E507" t="str">
            <v>03-Jan-2022</v>
          </cell>
          <cell r="F507">
            <v>45620.91</v>
          </cell>
          <cell r="G507">
            <v>940.34400000000005</v>
          </cell>
          <cell r="H507">
            <v>48.52</v>
          </cell>
          <cell r="I507">
            <v>9.2999999999999992E-3</v>
          </cell>
          <cell r="J507">
            <v>48.52</v>
          </cell>
        </row>
        <row r="508">
          <cell r="A508" t="str">
            <v>LU1882474742</v>
          </cell>
          <cell r="B508" t="str">
            <v>AF EURO GOVERNMENT BOND</v>
          </cell>
          <cell r="C508" t="str">
            <v>Class M2 EUR QTD (D)</v>
          </cell>
          <cell r="D508" t="str">
            <v>EUR</v>
          </cell>
          <cell r="E508" t="str">
            <v>03-Jan-2022</v>
          </cell>
          <cell r="F508">
            <v>12437583.27</v>
          </cell>
          <cell r="G508">
            <v>12354.612999999999</v>
          </cell>
          <cell r="H508">
            <v>1006.72</v>
          </cell>
          <cell r="I508">
            <v>0.5282</v>
          </cell>
          <cell r="J508">
            <v>1006.72</v>
          </cell>
        </row>
        <row r="509">
          <cell r="A509" t="str">
            <v>LU1882473777</v>
          </cell>
          <cell r="B509" t="str">
            <v>AF EURO GOVERNMENT BOND</v>
          </cell>
          <cell r="C509" t="str">
            <v>Class A2 USD MD (D)</v>
          </cell>
          <cell r="D509" t="str">
            <v>USD</v>
          </cell>
          <cell r="E509" t="str">
            <v>03-Jan-2022</v>
          </cell>
          <cell r="F509">
            <v>430.79</v>
          </cell>
          <cell r="G509">
            <v>8.6679999999999993</v>
          </cell>
          <cell r="H509">
            <v>49.7</v>
          </cell>
          <cell r="I509">
            <v>9.4999999999999998E-3</v>
          </cell>
          <cell r="J509">
            <v>51.19</v>
          </cell>
        </row>
        <row r="510">
          <cell r="A510" t="str">
            <v>LU1882473264</v>
          </cell>
          <cell r="B510" t="str">
            <v>AF EURO GOVERNMENT BOND</v>
          </cell>
          <cell r="C510" t="str">
            <v>Class A2 EUR (C)</v>
          </cell>
          <cell r="D510" t="str">
            <v>EUR</v>
          </cell>
          <cell r="E510" t="str">
            <v>03-Jan-2022</v>
          </cell>
          <cell r="F510">
            <v>49538307.880000003</v>
          </cell>
          <cell r="G510">
            <v>984561.86499999999</v>
          </cell>
          <cell r="H510">
            <v>50.32</v>
          </cell>
          <cell r="I510">
            <v>0</v>
          </cell>
          <cell r="J510">
            <v>51.83</v>
          </cell>
        </row>
        <row r="511">
          <cell r="A511" t="str">
            <v>LU1882473348</v>
          </cell>
          <cell r="B511" t="str">
            <v>AF EURO GOVERNMENT BOND</v>
          </cell>
          <cell r="C511" t="str">
            <v>Class A2 EUR AD (D)</v>
          </cell>
          <cell r="D511" t="str">
            <v>EUR</v>
          </cell>
          <cell r="E511" t="str">
            <v>03-Jan-2022</v>
          </cell>
          <cell r="F511">
            <v>824801.48</v>
          </cell>
          <cell r="G511">
            <v>16472.571</v>
          </cell>
          <cell r="H511">
            <v>50.07</v>
          </cell>
          <cell r="I511">
            <v>0</v>
          </cell>
          <cell r="J511">
            <v>51.57</v>
          </cell>
        </row>
        <row r="512">
          <cell r="A512" t="str">
            <v>LU1882473421</v>
          </cell>
          <cell r="B512" t="str">
            <v>AF EURO GOVERNMENT BOND</v>
          </cell>
          <cell r="C512" t="str">
            <v>Class A2 EUR MD (D)</v>
          </cell>
          <cell r="D512" t="str">
            <v>EUR</v>
          </cell>
          <cell r="E512" t="str">
            <v>03-Jan-2022</v>
          </cell>
          <cell r="F512">
            <v>218379.21</v>
          </cell>
          <cell r="G512">
            <v>4403.6180000000004</v>
          </cell>
          <cell r="H512">
            <v>49.59</v>
          </cell>
          <cell r="I512">
            <v>8.6999999999999994E-3</v>
          </cell>
          <cell r="J512">
            <v>51.08</v>
          </cell>
        </row>
        <row r="513">
          <cell r="A513" t="str">
            <v>LU1882474239</v>
          </cell>
          <cell r="B513" t="str">
            <v>AF EURO GOVERNMENT BOND</v>
          </cell>
          <cell r="C513" t="str">
            <v>Class E2 EUR (C)</v>
          </cell>
          <cell r="D513" t="str">
            <v>EUR</v>
          </cell>
          <cell r="E513" t="str">
            <v>03-Jan-2022</v>
          </cell>
          <cell r="F513">
            <v>49947199.280000001</v>
          </cell>
          <cell r="G513">
            <v>9874326.9529999997</v>
          </cell>
          <cell r="H513">
            <v>5.0579999999999998</v>
          </cell>
          <cell r="I513">
            <v>0</v>
          </cell>
          <cell r="J513">
            <v>5.0579999999999998</v>
          </cell>
        </row>
        <row r="514">
          <cell r="A514" t="str">
            <v>LU1882474403</v>
          </cell>
          <cell r="B514" t="str">
            <v>AF EURO GOVERNMENT BOND</v>
          </cell>
          <cell r="C514" t="str">
            <v>Class F EUR (C)</v>
          </cell>
          <cell r="D514" t="str">
            <v>EUR</v>
          </cell>
          <cell r="E514" t="str">
            <v>03-Jan-2022</v>
          </cell>
          <cell r="F514">
            <v>10553770.17</v>
          </cell>
          <cell r="G514">
            <v>2113838.8859999999</v>
          </cell>
          <cell r="H514">
            <v>4.9930000000000003</v>
          </cell>
          <cell r="I514">
            <v>0</v>
          </cell>
          <cell r="J514">
            <v>4.9930000000000003</v>
          </cell>
        </row>
        <row r="515">
          <cell r="A515" t="str">
            <v>LU0557859450</v>
          </cell>
          <cell r="B515" t="str">
            <v>AF EURO GOVERNMENT BOND</v>
          </cell>
          <cell r="C515" t="str">
            <v>Class F2 EUR (C)</v>
          </cell>
          <cell r="D515" t="str">
            <v>EUR</v>
          </cell>
          <cell r="E515" t="str">
            <v>03-Jan-2022</v>
          </cell>
          <cell r="F515">
            <v>1571467.38</v>
          </cell>
          <cell r="G515">
            <v>11721.784</v>
          </cell>
          <cell r="H515">
            <v>134.06</v>
          </cell>
          <cell r="I515">
            <v>0</v>
          </cell>
          <cell r="J515">
            <v>134.06</v>
          </cell>
        </row>
        <row r="516">
          <cell r="A516" t="str">
            <v>LU1882474312</v>
          </cell>
          <cell r="B516" t="str">
            <v>AF EURO GOVERNMENT BOND</v>
          </cell>
          <cell r="C516" t="str">
            <v>Class E2 EUR QTD (D)</v>
          </cell>
          <cell r="D516" t="str">
            <v>EUR</v>
          </cell>
          <cell r="E516" t="str">
            <v>03-Jan-2022</v>
          </cell>
          <cell r="F516">
            <v>3259980.27</v>
          </cell>
          <cell r="G516">
            <v>650624.61100000003</v>
          </cell>
          <cell r="H516">
            <v>5.0110000000000001</v>
          </cell>
          <cell r="I516">
            <v>2.5999999999999999E-3</v>
          </cell>
          <cell r="J516">
            <v>5.0110000000000001</v>
          </cell>
        </row>
        <row r="517">
          <cell r="A517" t="str">
            <v>LU1882474585</v>
          </cell>
          <cell r="B517" t="str">
            <v>AF EURO GOVERNMENT BOND</v>
          </cell>
          <cell r="C517" t="str">
            <v>Class I2 EUR (C)</v>
          </cell>
          <cell r="D517" t="str">
            <v>EUR</v>
          </cell>
          <cell r="E517" t="str">
            <v>03-Jan-2022</v>
          </cell>
          <cell r="F517">
            <v>29198579.32</v>
          </cell>
          <cell r="G517">
            <v>28612.313999999998</v>
          </cell>
          <cell r="H517">
            <v>1020.49</v>
          </cell>
          <cell r="I517">
            <v>0</v>
          </cell>
          <cell r="J517">
            <v>1020.49</v>
          </cell>
        </row>
        <row r="518">
          <cell r="A518" t="str">
            <v>LU0557859534</v>
          </cell>
          <cell r="B518" t="str">
            <v>AF EURO GOVERNMENT BOND</v>
          </cell>
          <cell r="C518" t="str">
            <v>Class M EUR (C)</v>
          </cell>
          <cell r="D518" t="str">
            <v>EUR</v>
          </cell>
          <cell r="E518" t="str">
            <v>03-Jan-2022</v>
          </cell>
          <cell r="F518">
            <v>2939244.72</v>
          </cell>
          <cell r="G518">
            <v>19899.189999999999</v>
          </cell>
          <cell r="H518">
            <v>147.71</v>
          </cell>
          <cell r="I518">
            <v>0</v>
          </cell>
          <cell r="J518">
            <v>147.71</v>
          </cell>
        </row>
        <row r="519">
          <cell r="A519" t="str">
            <v>LU1882474825</v>
          </cell>
          <cell r="B519" t="str">
            <v>AF EURO GOVERNMENT BOND</v>
          </cell>
          <cell r="C519" t="str">
            <v>Class R2 EUR (C)</v>
          </cell>
          <cell r="D519" t="str">
            <v>EUR</v>
          </cell>
          <cell r="E519" t="str">
            <v>03-Jan-2022</v>
          </cell>
          <cell r="F519">
            <v>558280.05000000005</v>
          </cell>
          <cell r="G519">
            <v>10985.689</v>
          </cell>
          <cell r="H519">
            <v>50.82</v>
          </cell>
          <cell r="I519">
            <v>0</v>
          </cell>
          <cell r="J519">
            <v>50.82</v>
          </cell>
        </row>
        <row r="520">
          <cell r="A520" t="str">
            <v>LU0557859617</v>
          </cell>
          <cell r="B520" t="str">
            <v>AF EURO GOVERNMENT BOND</v>
          </cell>
          <cell r="C520" t="str">
            <v>Class O EUR (C)</v>
          </cell>
          <cell r="D520" t="str">
            <v>EUR</v>
          </cell>
          <cell r="E520" t="str">
            <v>03-Jan-2022</v>
          </cell>
          <cell r="F520">
            <v>11100801.6</v>
          </cell>
          <cell r="G520">
            <v>7113.8969999999999</v>
          </cell>
          <cell r="H520">
            <v>1560.44</v>
          </cell>
          <cell r="I520">
            <v>0</v>
          </cell>
          <cell r="J520">
            <v>1560.44</v>
          </cell>
        </row>
        <row r="521">
          <cell r="A521" t="str">
            <v>LU1882473694</v>
          </cell>
          <cell r="B521" t="str">
            <v>AF EURO GOVERNMENT BOND</v>
          </cell>
          <cell r="C521" t="str">
            <v>Class A2 USD (C)</v>
          </cell>
          <cell r="D521" t="str">
            <v>USD</v>
          </cell>
          <cell r="E521" t="str">
            <v>03-Jan-2022</v>
          </cell>
          <cell r="F521">
            <v>1315739.8</v>
          </cell>
          <cell r="G521">
            <v>26255.096000000001</v>
          </cell>
          <cell r="H521">
            <v>50.11</v>
          </cell>
          <cell r="I521">
            <v>0</v>
          </cell>
          <cell r="J521">
            <v>51.61</v>
          </cell>
        </row>
        <row r="522">
          <cell r="A522" t="str">
            <v>LU1103151475</v>
          </cell>
          <cell r="B522" t="str">
            <v>AF EURO GOVERNMENT BOND</v>
          </cell>
          <cell r="C522" t="str">
            <v>Class R EUR (C)</v>
          </cell>
          <cell r="D522" t="str">
            <v>EUR</v>
          </cell>
          <cell r="E522" t="str">
            <v>03-Jan-2022</v>
          </cell>
          <cell r="F522">
            <v>390419.17</v>
          </cell>
          <cell r="G522">
            <v>3423.7089999999998</v>
          </cell>
          <cell r="H522">
            <v>114.03</v>
          </cell>
          <cell r="I522">
            <v>0</v>
          </cell>
          <cell r="J522">
            <v>114.03</v>
          </cell>
        </row>
        <row r="523">
          <cell r="A523" t="str">
            <v>LU0557859708</v>
          </cell>
          <cell r="B523" t="str">
            <v>AF EURO GOVERNMENT BOND</v>
          </cell>
          <cell r="C523" t="str">
            <v>Class G EUR (C)</v>
          </cell>
          <cell r="D523" t="str">
            <v>EUR</v>
          </cell>
          <cell r="E523" t="str">
            <v>03-Jan-2022</v>
          </cell>
          <cell r="F523">
            <v>9510871.3399999999</v>
          </cell>
          <cell r="G523">
            <v>71390.835999999996</v>
          </cell>
          <cell r="H523">
            <v>133.22</v>
          </cell>
          <cell r="I523">
            <v>0</v>
          </cell>
          <cell r="J523">
            <v>137.22</v>
          </cell>
        </row>
        <row r="524">
          <cell r="A524" t="str">
            <v>LU1998921263</v>
          </cell>
          <cell r="B524" t="str">
            <v>AF EURO GOVERNMENT BOND</v>
          </cell>
          <cell r="C524" t="str">
            <v>Class X EUR ( C )</v>
          </cell>
          <cell r="D524" t="str">
            <v>EUR</v>
          </cell>
          <cell r="E524" t="str">
            <v>03-Jan-2022</v>
          </cell>
          <cell r="F524">
            <v>1407226.55</v>
          </cell>
          <cell r="G524">
            <v>1418.2670000000001</v>
          </cell>
          <cell r="H524">
            <v>992.22</v>
          </cell>
          <cell r="I524">
            <v>0</v>
          </cell>
          <cell r="J524">
            <v>992.22</v>
          </cell>
        </row>
        <row r="525">
          <cell r="A525" t="str">
            <v>LU0518422273</v>
          </cell>
          <cell r="B525" t="str">
            <v>AF EURO GOVERNMENT BOND</v>
          </cell>
          <cell r="C525" t="str">
            <v>Class I EUR (C)</v>
          </cell>
          <cell r="D525" t="str">
            <v>EUR</v>
          </cell>
          <cell r="E525" t="str">
            <v>03-Jan-2022</v>
          </cell>
          <cell r="F525">
            <v>66648261.840000004</v>
          </cell>
          <cell r="G525">
            <v>44914.250999999997</v>
          </cell>
          <cell r="H525">
            <v>1483.9</v>
          </cell>
          <cell r="I525">
            <v>0</v>
          </cell>
          <cell r="J525">
            <v>1483.9</v>
          </cell>
        </row>
        <row r="526">
          <cell r="A526" t="str">
            <v>LU2085674971</v>
          </cell>
          <cell r="B526" t="str">
            <v>AF EURO GOVERNMENT BOND</v>
          </cell>
          <cell r="C526" t="str">
            <v>Class Z EUR (C)</v>
          </cell>
          <cell r="D526" t="str">
            <v>EUR</v>
          </cell>
          <cell r="E526" t="str">
            <v>03-Jan-2022</v>
          </cell>
          <cell r="F526">
            <v>5531705.4800000004</v>
          </cell>
          <cell r="G526">
            <v>5507</v>
          </cell>
          <cell r="H526">
            <v>1004.49</v>
          </cell>
          <cell r="I526">
            <v>0</v>
          </cell>
          <cell r="J526">
            <v>1004.49</v>
          </cell>
        </row>
        <row r="527">
          <cell r="A527" t="str">
            <v>LU1998918988</v>
          </cell>
          <cell r="B527" t="str">
            <v>AF EURO GOVERNMENT BOND</v>
          </cell>
          <cell r="C527" t="str">
            <v>Class H EUR QTD  ( D )</v>
          </cell>
          <cell r="D527" t="str">
            <v>EUR</v>
          </cell>
          <cell r="E527" t="str">
            <v>03-Jan-2022</v>
          </cell>
          <cell r="F527">
            <v>3657847.33</v>
          </cell>
          <cell r="G527">
            <v>3738.991</v>
          </cell>
          <cell r="H527">
            <v>978.3</v>
          </cell>
          <cell r="I527">
            <v>0.51180000000000003</v>
          </cell>
          <cell r="J527">
            <v>978.3</v>
          </cell>
        </row>
        <row r="528">
          <cell r="A528" t="str">
            <v>LU0568621618</v>
          </cell>
          <cell r="B528" t="str">
            <v>AMUNDI FUNDS CASH USD</v>
          </cell>
          <cell r="C528" t="str">
            <v>Class A2 USD (C)</v>
          </cell>
          <cell r="D528" t="str">
            <v>USD</v>
          </cell>
          <cell r="E528" t="str">
            <v>03-Jan-2022</v>
          </cell>
          <cell r="F528">
            <v>1353540964.3099999</v>
          </cell>
          <cell r="G528">
            <v>12377065.161</v>
          </cell>
          <cell r="H528">
            <v>109.36</v>
          </cell>
          <cell r="I528">
            <v>0</v>
          </cell>
          <cell r="J528">
            <v>109.36</v>
          </cell>
        </row>
        <row r="529">
          <cell r="A529" t="str">
            <v>LU0568621709</v>
          </cell>
          <cell r="B529" t="str">
            <v>AMUNDI FUNDS CASH USD</v>
          </cell>
          <cell r="C529" t="str">
            <v>Class A2 USD AD (D)</v>
          </cell>
          <cell r="D529" t="str">
            <v>USD</v>
          </cell>
          <cell r="E529" t="str">
            <v>03-Jan-2022</v>
          </cell>
          <cell r="F529">
            <v>6555978.7400000002</v>
          </cell>
          <cell r="G529">
            <v>63459.525000000001</v>
          </cell>
          <cell r="H529">
            <v>103.31</v>
          </cell>
          <cell r="I529">
            <v>0</v>
          </cell>
          <cell r="J529">
            <v>103.31</v>
          </cell>
        </row>
        <row r="530">
          <cell r="A530" t="str">
            <v>LU0568622186</v>
          </cell>
          <cell r="B530" t="str">
            <v>AMUNDI FUNDS CASH USD</v>
          </cell>
          <cell r="C530" t="str">
            <v>Class F2 USD (C)</v>
          </cell>
          <cell r="D530" t="str">
            <v>USD</v>
          </cell>
          <cell r="E530" t="str">
            <v>03-Jan-2022</v>
          </cell>
          <cell r="F530">
            <v>98207222.109999999</v>
          </cell>
          <cell r="G530">
            <v>898205.61</v>
          </cell>
          <cell r="H530">
            <v>109.34</v>
          </cell>
          <cell r="I530">
            <v>0</v>
          </cell>
          <cell r="J530">
            <v>109.34</v>
          </cell>
        </row>
        <row r="531">
          <cell r="A531" t="str">
            <v>LU0568621022</v>
          </cell>
          <cell r="B531" t="str">
            <v>AMUNDI FUNDS CASH USD</v>
          </cell>
          <cell r="C531" t="str">
            <v>Class I2 USD (C)</v>
          </cell>
          <cell r="D531" t="str">
            <v>USD</v>
          </cell>
          <cell r="E531" t="str">
            <v>03-Jan-2022</v>
          </cell>
          <cell r="F531">
            <v>206418812.31999999</v>
          </cell>
          <cell r="G531">
            <v>188684.111</v>
          </cell>
          <cell r="H531">
            <v>1093.99</v>
          </cell>
          <cell r="I531">
            <v>0</v>
          </cell>
          <cell r="J531">
            <v>1093.99</v>
          </cell>
        </row>
        <row r="532">
          <cell r="A532" t="str">
            <v>LU0568621295</v>
          </cell>
          <cell r="B532" t="str">
            <v>AMUNDI FUNDS CASH USD</v>
          </cell>
          <cell r="C532" t="str">
            <v>Class I2 USD AD (D)</v>
          </cell>
          <cell r="D532" t="str">
            <v>USD</v>
          </cell>
          <cell r="E532" t="str">
            <v>03-Jan-2022</v>
          </cell>
          <cell r="F532">
            <v>1228713.81</v>
          </cell>
          <cell r="G532">
            <v>1224.665</v>
          </cell>
          <cell r="H532">
            <v>1003.31</v>
          </cell>
          <cell r="I532">
            <v>0</v>
          </cell>
          <cell r="J532">
            <v>1003.31</v>
          </cell>
        </row>
        <row r="533">
          <cell r="A533" t="str">
            <v>LU2009162558</v>
          </cell>
          <cell r="B533" t="str">
            <v>AMUNDI FUNDS CASH USD</v>
          </cell>
          <cell r="C533" t="str">
            <v>Class J2 USD (C)</v>
          </cell>
          <cell r="D533" t="str">
            <v>USD</v>
          </cell>
          <cell r="E533" t="str">
            <v>03-Jan-2022</v>
          </cell>
          <cell r="F533">
            <v>134444343.37</v>
          </cell>
          <cell r="G533">
            <v>131627.70000000001</v>
          </cell>
          <cell r="H533">
            <v>1021.4</v>
          </cell>
          <cell r="I533">
            <v>0</v>
          </cell>
          <cell r="J533">
            <v>1021.4</v>
          </cell>
        </row>
        <row r="534">
          <cell r="A534" t="str">
            <v>LU0568621378</v>
          </cell>
          <cell r="B534" t="str">
            <v>AMUNDI FUNDS CASH USD</v>
          </cell>
          <cell r="C534" t="str">
            <v>Class M2 USD (C)</v>
          </cell>
          <cell r="D534" t="str">
            <v>USD</v>
          </cell>
          <cell r="E534" t="str">
            <v>03-Jan-2022</v>
          </cell>
          <cell r="F534">
            <v>23461851.210000001</v>
          </cell>
          <cell r="G534">
            <v>214469.62599999999</v>
          </cell>
          <cell r="H534">
            <v>109.39</v>
          </cell>
          <cell r="I534">
            <v>0</v>
          </cell>
          <cell r="J534">
            <v>109.39</v>
          </cell>
        </row>
        <row r="535">
          <cell r="A535" t="str">
            <v>LU2110859910</v>
          </cell>
          <cell r="B535" t="str">
            <v>AMUNDI FUNDS CASH USD</v>
          </cell>
          <cell r="C535" t="str">
            <v>Class P2 USD (C)</v>
          </cell>
          <cell r="D535" t="str">
            <v>USD</v>
          </cell>
          <cell r="E535" t="str">
            <v>03-Jan-2022</v>
          </cell>
          <cell r="F535">
            <v>1106791.58</v>
          </cell>
          <cell r="G535">
            <v>22064.965</v>
          </cell>
          <cell r="H535">
            <v>50.16</v>
          </cell>
          <cell r="I535">
            <v>0</v>
          </cell>
          <cell r="J535">
            <v>50.16</v>
          </cell>
        </row>
        <row r="536">
          <cell r="A536" t="str">
            <v>LU0987193777</v>
          </cell>
          <cell r="B536" t="str">
            <v>AMUNDI FUNDS CASH USD</v>
          </cell>
          <cell r="C536" t="str">
            <v>Class R2 USD (C)</v>
          </cell>
          <cell r="D536" t="str">
            <v>USD</v>
          </cell>
          <cell r="E536" t="str">
            <v>03-Jan-2022</v>
          </cell>
          <cell r="F536">
            <v>14337749.4</v>
          </cell>
          <cell r="G536">
            <v>135940.236</v>
          </cell>
          <cell r="H536">
            <v>105.47</v>
          </cell>
          <cell r="I536">
            <v>0</v>
          </cell>
          <cell r="J536">
            <v>105.47</v>
          </cell>
        </row>
        <row r="537">
          <cell r="A537" t="str">
            <v>LU0568622004</v>
          </cell>
          <cell r="B537" t="str">
            <v>AMUNDI FUNDS CASH USD</v>
          </cell>
          <cell r="C537" t="str">
            <v>Class G2 USD (C)</v>
          </cell>
          <cell r="D537" t="str">
            <v>USD</v>
          </cell>
          <cell r="E537" t="str">
            <v>03-Jan-2022</v>
          </cell>
          <cell r="F537">
            <v>18544480.890000001</v>
          </cell>
          <cell r="G537">
            <v>169578.58900000001</v>
          </cell>
          <cell r="H537">
            <v>109.36</v>
          </cell>
          <cell r="I537">
            <v>0</v>
          </cell>
          <cell r="J537">
            <v>109.36</v>
          </cell>
        </row>
        <row r="538">
          <cell r="A538" t="str">
            <v>LU1327400542</v>
          </cell>
          <cell r="B538" t="str">
            <v>AMUNDI FUNDS CASH USD</v>
          </cell>
          <cell r="C538" t="str">
            <v>Class Q-X USD AD (D)</v>
          </cell>
          <cell r="D538" t="str">
            <v>USD</v>
          </cell>
          <cell r="E538" t="str">
            <v>03-Jan-2022</v>
          </cell>
          <cell r="F538">
            <v>1362033.15</v>
          </cell>
          <cell r="G538">
            <v>1361.077</v>
          </cell>
          <cell r="H538">
            <v>1000.7</v>
          </cell>
          <cell r="I538">
            <v>0</v>
          </cell>
          <cell r="J538">
            <v>1000.7</v>
          </cell>
        </row>
        <row r="539">
          <cell r="A539" t="str">
            <v>LU1327400468</v>
          </cell>
          <cell r="B539" t="str">
            <v>AMUNDI FUNDS CASH USD</v>
          </cell>
          <cell r="C539" t="str">
            <v>Class Q-X USD (C)</v>
          </cell>
          <cell r="D539" t="str">
            <v>USD</v>
          </cell>
          <cell r="E539" t="str">
            <v>03-Jan-2022</v>
          </cell>
          <cell r="F539">
            <v>877229269.70000005</v>
          </cell>
          <cell r="G539">
            <v>812009.19799999997</v>
          </cell>
          <cell r="H539">
            <v>1080.32</v>
          </cell>
          <cell r="I539">
            <v>0</v>
          </cell>
          <cell r="J539">
            <v>1080.32</v>
          </cell>
        </row>
        <row r="540">
          <cell r="A540" t="str">
            <v>LU2359308389</v>
          </cell>
          <cell r="B540" t="str">
            <v>AMUNDI FUNDS CASH USD</v>
          </cell>
          <cell r="C540" t="str">
            <v>Class Z USD (C)</v>
          </cell>
          <cell r="D540" t="str">
            <v>USD</v>
          </cell>
          <cell r="E540" t="str">
            <v>03-Jan-2022</v>
          </cell>
          <cell r="F540">
            <v>377620953.19999999</v>
          </cell>
          <cell r="G540">
            <v>377512.27500000002</v>
          </cell>
          <cell r="H540">
            <v>1000.29</v>
          </cell>
          <cell r="I540">
            <v>0</v>
          </cell>
          <cell r="J540">
            <v>1000.29</v>
          </cell>
        </row>
        <row r="541">
          <cell r="A541" t="str">
            <v>LU0755949848</v>
          </cell>
          <cell r="B541" t="str">
            <v>AF EUROPEAN EQUITY CONSERVATIVE</v>
          </cell>
          <cell r="C541" t="str">
            <v>Class A EUR (C)</v>
          </cell>
          <cell r="D541" t="str">
            <v>EUR</v>
          </cell>
          <cell r="E541" t="str">
            <v>03-Jan-2022</v>
          </cell>
          <cell r="F541">
            <v>207841983.78</v>
          </cell>
          <cell r="G541">
            <v>1024469.374</v>
          </cell>
          <cell r="H541">
            <v>202.88</v>
          </cell>
          <cell r="I541">
            <v>0</v>
          </cell>
          <cell r="J541">
            <v>212.01</v>
          </cell>
        </row>
        <row r="542">
          <cell r="A542" t="str">
            <v>LU2032055977</v>
          </cell>
          <cell r="B542" t="str">
            <v>AF EUROPEAN EQUITY CONSERVATIVE</v>
          </cell>
          <cell r="C542" t="str">
            <v>Class A5 EUR (C)</v>
          </cell>
          <cell r="D542" t="str">
            <v>EUR</v>
          </cell>
          <cell r="E542" t="str">
            <v>03-Jan-2022</v>
          </cell>
          <cell r="F542">
            <v>237313.71</v>
          </cell>
          <cell r="G542">
            <v>3876.8580000000002</v>
          </cell>
          <cell r="H542">
            <v>61.21</v>
          </cell>
          <cell r="I542">
            <v>0</v>
          </cell>
          <cell r="J542">
            <v>61.21</v>
          </cell>
        </row>
        <row r="543">
          <cell r="A543" t="str">
            <v>LU1808314287</v>
          </cell>
          <cell r="B543" t="str">
            <v>AF EUROPEAN EQUITY CONSERVATIVE</v>
          </cell>
          <cell r="C543" t="str">
            <v>Class A CHF Hgd (C)</v>
          </cell>
          <cell r="D543" t="str">
            <v>CHF</v>
          </cell>
          <cell r="E543" t="str">
            <v>03-Jan-2022</v>
          </cell>
          <cell r="F543">
            <v>2518200.94</v>
          </cell>
          <cell r="G543">
            <v>19713.968000000001</v>
          </cell>
          <cell r="H543">
            <v>127.74</v>
          </cell>
          <cell r="I543">
            <v>0</v>
          </cell>
          <cell r="J543">
            <v>127.74</v>
          </cell>
        </row>
        <row r="544">
          <cell r="A544" t="str">
            <v>LU0755949921</v>
          </cell>
          <cell r="B544" t="str">
            <v>AF EUROPEAN EQUITY CONSERVATIVE</v>
          </cell>
          <cell r="C544" t="str">
            <v>Class A EUR AD (D)</v>
          </cell>
          <cell r="D544" t="str">
            <v>EUR</v>
          </cell>
          <cell r="E544" t="str">
            <v>03-Jan-2022</v>
          </cell>
          <cell r="F544">
            <v>90824005.780000001</v>
          </cell>
          <cell r="G544">
            <v>511356.80800000002</v>
          </cell>
          <cell r="H544">
            <v>177.61</v>
          </cell>
          <cell r="I544">
            <v>0</v>
          </cell>
          <cell r="J544">
            <v>185.6</v>
          </cell>
        </row>
        <row r="545">
          <cell r="A545" t="str">
            <v>LU2002721533</v>
          </cell>
          <cell r="B545" t="str">
            <v>AF EUROPEAN EQUITY CONSERVATIVE</v>
          </cell>
          <cell r="C545" t="str">
            <v>Class M2 EUR ( C )</v>
          </cell>
          <cell r="D545" t="str">
            <v>EUR</v>
          </cell>
          <cell r="E545" t="str">
            <v>03-Jan-2022</v>
          </cell>
          <cell r="F545">
            <v>67822680.359999999</v>
          </cell>
          <cell r="G545">
            <v>53519.095999999998</v>
          </cell>
          <cell r="H545">
            <v>1267.26</v>
          </cell>
          <cell r="I545">
            <v>0</v>
          </cell>
          <cell r="J545">
            <v>1267.26</v>
          </cell>
        </row>
        <row r="546">
          <cell r="A546" t="str">
            <v>LU1103154495</v>
          </cell>
          <cell r="B546" t="str">
            <v>AF EUROPEAN EQUITY CONSERVATIVE</v>
          </cell>
          <cell r="C546" t="str">
            <v>Class A2 EUR (C)</v>
          </cell>
          <cell r="D546" t="str">
            <v>EUR</v>
          </cell>
          <cell r="E546" t="str">
            <v>03-Jan-2022</v>
          </cell>
          <cell r="F546">
            <v>8914867.9199999999</v>
          </cell>
          <cell r="G546">
            <v>69915.597999999998</v>
          </cell>
          <cell r="H546">
            <v>127.51</v>
          </cell>
          <cell r="I546">
            <v>0</v>
          </cell>
          <cell r="J546">
            <v>127.51</v>
          </cell>
        </row>
        <row r="547">
          <cell r="A547" t="str">
            <v>LU2018720651</v>
          </cell>
          <cell r="B547" t="str">
            <v>AF EUROPEAN EQUITY CONSERVATIVE</v>
          </cell>
          <cell r="C547" t="str">
            <v>Class F EUR (C)</v>
          </cell>
          <cell r="D547" t="str">
            <v>EUR</v>
          </cell>
          <cell r="E547" t="str">
            <v>03-Jan-2022</v>
          </cell>
          <cell r="F547">
            <v>25370.06</v>
          </cell>
          <cell r="G547">
            <v>4220.1229999999996</v>
          </cell>
          <cell r="H547">
            <v>6.0119999999999996</v>
          </cell>
          <cell r="I547">
            <v>0</v>
          </cell>
          <cell r="J547">
            <v>6.0119999999999996</v>
          </cell>
        </row>
        <row r="548">
          <cell r="A548" t="str">
            <v>LU0755950184</v>
          </cell>
          <cell r="B548" t="str">
            <v>AF EUROPEAN EQUITY CONSERVATIVE</v>
          </cell>
          <cell r="C548" t="str">
            <v>Class F2 EUR (C)</v>
          </cell>
          <cell r="D548" t="str">
            <v>EUR</v>
          </cell>
          <cell r="E548" t="str">
            <v>03-Jan-2022</v>
          </cell>
          <cell r="F548">
            <v>3233253.41</v>
          </cell>
          <cell r="G548">
            <v>17593.723000000002</v>
          </cell>
          <cell r="H548">
            <v>183.77</v>
          </cell>
          <cell r="I548">
            <v>0</v>
          </cell>
          <cell r="J548">
            <v>183.77</v>
          </cell>
        </row>
        <row r="549">
          <cell r="A549" t="str">
            <v>LU1998919283</v>
          </cell>
          <cell r="B549" t="str">
            <v>AF EUROPEAN EQUITY CONSERVATIVE</v>
          </cell>
          <cell r="C549" t="str">
            <v>Class H EUR  ( C )</v>
          </cell>
          <cell r="D549" t="str">
            <v>EUR</v>
          </cell>
          <cell r="E549" t="str">
            <v>03-Jan-2022</v>
          </cell>
          <cell r="F549">
            <v>6395.65</v>
          </cell>
          <cell r="G549">
            <v>5</v>
          </cell>
          <cell r="H549">
            <v>1279.1300000000001</v>
          </cell>
          <cell r="I549">
            <v>0</v>
          </cell>
          <cell r="J549">
            <v>1279.1300000000001</v>
          </cell>
        </row>
        <row r="550">
          <cell r="A550" t="str">
            <v>LU2031984698</v>
          </cell>
          <cell r="B550" t="str">
            <v>AF EUROPEAN EQUITY CONSERVATIVE</v>
          </cell>
          <cell r="C550" t="str">
            <v>Class I2 EUR (C)</v>
          </cell>
          <cell r="D550" t="str">
            <v>EUR</v>
          </cell>
          <cell r="E550" t="str">
            <v>03-Jan-2022</v>
          </cell>
          <cell r="F550">
            <v>1174138.6000000001</v>
          </cell>
          <cell r="G550">
            <v>938.98400000000004</v>
          </cell>
          <cell r="H550">
            <v>1250.44</v>
          </cell>
          <cell r="I550">
            <v>0</v>
          </cell>
          <cell r="J550">
            <v>1250.44</v>
          </cell>
        </row>
        <row r="551">
          <cell r="A551" t="str">
            <v>LU0755949418</v>
          </cell>
          <cell r="B551" t="str">
            <v>AF EUROPEAN EQUITY CONSERVATIVE</v>
          </cell>
          <cell r="C551" t="str">
            <v>Class I EUR (C)</v>
          </cell>
          <cell r="D551" t="str">
            <v>EUR</v>
          </cell>
          <cell r="E551" t="str">
            <v>03-Jan-2022</v>
          </cell>
          <cell r="F551">
            <v>189905861.90000001</v>
          </cell>
          <cell r="G551">
            <v>54525.440999999999</v>
          </cell>
          <cell r="H551">
            <v>3482.89</v>
          </cell>
          <cell r="I551">
            <v>0</v>
          </cell>
          <cell r="J551">
            <v>3482.89</v>
          </cell>
        </row>
        <row r="552">
          <cell r="A552" t="str">
            <v>LU1103155468</v>
          </cell>
          <cell r="B552" t="str">
            <v>AF EUROPEAN EQUITY CONSERVATIVE</v>
          </cell>
          <cell r="C552" t="str">
            <v>Class Q-I11 EUR (C)</v>
          </cell>
          <cell r="D552" t="str">
            <v>EUR</v>
          </cell>
          <cell r="E552" t="str">
            <v>03-Jan-2022</v>
          </cell>
          <cell r="F552">
            <v>71445498.579999998</v>
          </cell>
          <cell r="G552">
            <v>43485.517</v>
          </cell>
          <cell r="H552">
            <v>1642.97</v>
          </cell>
          <cell r="I552">
            <v>0</v>
          </cell>
          <cell r="J552">
            <v>1642.97</v>
          </cell>
        </row>
        <row r="553">
          <cell r="A553" t="str">
            <v>LU1737510526</v>
          </cell>
          <cell r="B553" t="str">
            <v>AF EUROPEAN EQUITY CONSERVATIVE</v>
          </cell>
          <cell r="C553" t="str">
            <v>Class Q-I17 EUR (C)</v>
          </cell>
          <cell r="D553" t="str">
            <v>EUR</v>
          </cell>
          <cell r="E553" t="str">
            <v>03-Jan-2022</v>
          </cell>
          <cell r="F553">
            <v>125025752.36</v>
          </cell>
          <cell r="G553">
            <v>933710.35499999998</v>
          </cell>
          <cell r="H553">
            <v>133.9</v>
          </cell>
          <cell r="I553">
            <v>0</v>
          </cell>
          <cell r="J553">
            <v>133.9</v>
          </cell>
        </row>
        <row r="554">
          <cell r="A554" t="str">
            <v>LU0755949509</v>
          </cell>
          <cell r="B554" t="str">
            <v>AF EUROPEAN EQUITY CONSERVATIVE</v>
          </cell>
          <cell r="C554" t="str">
            <v>Class I EUR AD (D)</v>
          </cell>
          <cell r="D554" t="str">
            <v>EUR</v>
          </cell>
          <cell r="E554" t="str">
            <v>03-Jan-2022</v>
          </cell>
          <cell r="F554">
            <v>1028.19</v>
          </cell>
          <cell r="G554">
            <v>1</v>
          </cell>
          <cell r="H554">
            <v>1028.19</v>
          </cell>
          <cell r="I554">
            <v>0</v>
          </cell>
          <cell r="J554">
            <v>1028.19</v>
          </cell>
        </row>
        <row r="555">
          <cell r="A555" t="str">
            <v>LU0755949681</v>
          </cell>
          <cell r="B555" t="str">
            <v>AF EUROPEAN EQUITY CONSERVATIVE</v>
          </cell>
          <cell r="C555" t="str">
            <v>Class M EUR (C)</v>
          </cell>
          <cell r="D555" t="str">
            <v>EUR</v>
          </cell>
          <cell r="E555" t="str">
            <v>03-Jan-2022</v>
          </cell>
          <cell r="F555">
            <v>11600467.99</v>
          </cell>
          <cell r="G555">
            <v>43084.59</v>
          </cell>
          <cell r="H555">
            <v>269.25</v>
          </cell>
          <cell r="I555">
            <v>0</v>
          </cell>
          <cell r="J555">
            <v>269.25</v>
          </cell>
        </row>
        <row r="556">
          <cell r="A556" t="str">
            <v>LU1567497968</v>
          </cell>
          <cell r="B556" t="str">
            <v>AF EUROPEAN EQUITY CONSERVATIVE</v>
          </cell>
          <cell r="C556" t="str">
            <v>Class Q-OF EUR (C)</v>
          </cell>
          <cell r="D556" t="str">
            <v>EUR</v>
          </cell>
          <cell r="E556" t="str">
            <v>03-Jan-2022</v>
          </cell>
          <cell r="F556">
            <v>4141794.27</v>
          </cell>
          <cell r="G556">
            <v>2824</v>
          </cell>
          <cell r="H556">
            <v>1466.64</v>
          </cell>
          <cell r="I556">
            <v>0</v>
          </cell>
          <cell r="J556">
            <v>1466.64</v>
          </cell>
        </row>
        <row r="557">
          <cell r="A557" t="str">
            <v>LU0945156700</v>
          </cell>
          <cell r="B557" t="str">
            <v>AF EUROPEAN EQUITY CONSERVATIVE</v>
          </cell>
          <cell r="C557" t="str">
            <v>Class R EUR (C)</v>
          </cell>
          <cell r="D557" t="str">
            <v>EUR</v>
          </cell>
          <cell r="E557" t="str">
            <v>03-Jan-2022</v>
          </cell>
          <cell r="F557">
            <v>25524156.25</v>
          </cell>
          <cell r="G557">
            <v>185744</v>
          </cell>
          <cell r="H557">
            <v>137.41999999999999</v>
          </cell>
          <cell r="I557">
            <v>0</v>
          </cell>
          <cell r="J557">
            <v>137.41999999999999</v>
          </cell>
        </row>
        <row r="558">
          <cell r="A558" t="str">
            <v>LU0755950002</v>
          </cell>
          <cell r="B558" t="str">
            <v>AF EUROPEAN EQUITY CONSERVATIVE</v>
          </cell>
          <cell r="C558" t="str">
            <v>Class G EUR (C)</v>
          </cell>
          <cell r="D558" t="str">
            <v>EUR</v>
          </cell>
          <cell r="E558" t="str">
            <v>03-Jan-2022</v>
          </cell>
          <cell r="F558">
            <v>39602203.990000002</v>
          </cell>
          <cell r="G558">
            <v>194966.23</v>
          </cell>
          <cell r="H558">
            <v>203.12</v>
          </cell>
          <cell r="I558">
            <v>0</v>
          </cell>
          <cell r="J558">
            <v>209.21</v>
          </cell>
        </row>
        <row r="559">
          <cell r="A559" t="str">
            <v>LU2034727656</v>
          </cell>
          <cell r="B559" t="str">
            <v>AF EUROPEAN EQUITY CONSERVATIVE</v>
          </cell>
          <cell r="C559" t="str">
            <v>Class X EUR (C)</v>
          </cell>
          <cell r="D559" t="str">
            <v>EUR</v>
          </cell>
          <cell r="E559" t="str">
            <v>03-Jan-2022</v>
          </cell>
          <cell r="F559">
            <v>6564.13</v>
          </cell>
          <cell r="G559">
            <v>5</v>
          </cell>
          <cell r="H559">
            <v>1312.83</v>
          </cell>
          <cell r="I559">
            <v>0</v>
          </cell>
          <cell r="J559">
            <v>1312.83</v>
          </cell>
        </row>
        <row r="560">
          <cell r="A560" t="str">
            <v>LU1638831559</v>
          </cell>
          <cell r="B560" t="str">
            <v>AF EUROPEAN EQUITY CONSERVATIVE</v>
          </cell>
          <cell r="C560" t="str">
            <v>Class Z EUR AD (D)</v>
          </cell>
          <cell r="D560" t="str">
            <v>EUR</v>
          </cell>
          <cell r="E560" t="str">
            <v>03-Jan-2022</v>
          </cell>
          <cell r="F560">
            <v>19277959.379999999</v>
          </cell>
          <cell r="G560">
            <v>15543.223</v>
          </cell>
          <cell r="H560">
            <v>1240.28</v>
          </cell>
          <cell r="I560">
            <v>0</v>
          </cell>
          <cell r="J560">
            <v>1240.28</v>
          </cell>
        </row>
        <row r="561">
          <cell r="A561" t="str">
            <v>LU0755948790</v>
          </cell>
          <cell r="B561" t="str">
            <v>AF EMERGING MARKETS CORPORATE BOND</v>
          </cell>
          <cell r="C561" t="str">
            <v>Class A EUR (C)</v>
          </cell>
          <cell r="D561" t="str">
            <v>EUR</v>
          </cell>
          <cell r="E561" t="str">
            <v>03-Jan-2022</v>
          </cell>
          <cell r="F561">
            <v>733689.74</v>
          </cell>
          <cell r="G561">
            <v>4728.8860000000004</v>
          </cell>
          <cell r="H561">
            <v>155.15</v>
          </cell>
          <cell r="I561">
            <v>0</v>
          </cell>
          <cell r="J561">
            <v>161.36000000000001</v>
          </cell>
        </row>
        <row r="562">
          <cell r="A562" t="str">
            <v>LU0755948444</v>
          </cell>
          <cell r="B562" t="str">
            <v>AF EMERGING MARKETS CORPORATE BOND</v>
          </cell>
          <cell r="C562" t="str">
            <v>Class A USD (C)</v>
          </cell>
          <cell r="D562" t="str">
            <v>USD</v>
          </cell>
          <cell r="E562" t="str">
            <v>03-Jan-2022</v>
          </cell>
          <cell r="F562">
            <v>1121868.31</v>
          </cell>
          <cell r="G562">
            <v>8510.8780000000006</v>
          </cell>
          <cell r="H562">
            <v>131.82</v>
          </cell>
          <cell r="I562">
            <v>0</v>
          </cell>
          <cell r="J562">
            <v>137.09</v>
          </cell>
        </row>
        <row r="563">
          <cell r="A563" t="str">
            <v>LU2070305979</v>
          </cell>
          <cell r="B563" t="str">
            <v>AF EMERGING MARKETS CORPORATE BOND</v>
          </cell>
          <cell r="C563" t="str">
            <v>Class A5 EUR (C)</v>
          </cell>
          <cell r="D563" t="str">
            <v>EUR</v>
          </cell>
          <cell r="E563" t="str">
            <v>03-Jan-2022</v>
          </cell>
          <cell r="F563">
            <v>5182.2700000000004</v>
          </cell>
          <cell r="G563">
            <v>100</v>
          </cell>
          <cell r="H563">
            <v>51.82</v>
          </cell>
          <cell r="I563">
            <v>0</v>
          </cell>
          <cell r="J563">
            <v>51.82</v>
          </cell>
        </row>
        <row r="564">
          <cell r="A564" t="str">
            <v>LU0755948956</v>
          </cell>
          <cell r="B564" t="str">
            <v>AF EMERGING MARKETS CORPORATE BOND</v>
          </cell>
          <cell r="C564" t="str">
            <v>Class A EUR Hgd (C)</v>
          </cell>
          <cell r="D564" t="str">
            <v>EUR</v>
          </cell>
          <cell r="E564" t="str">
            <v>03-Jan-2022</v>
          </cell>
          <cell r="F564">
            <v>45310311.619999997</v>
          </cell>
          <cell r="G564">
            <v>388679.61800000002</v>
          </cell>
          <cell r="H564">
            <v>116.57</v>
          </cell>
          <cell r="I564">
            <v>0</v>
          </cell>
          <cell r="J564">
            <v>121.23</v>
          </cell>
        </row>
        <row r="565">
          <cell r="A565" t="str">
            <v>LU0755948873</v>
          </cell>
          <cell r="B565" t="str">
            <v>AF EMERGING MARKETS CORPORATE BOND</v>
          </cell>
          <cell r="C565" t="str">
            <v>Class A EUR AD (D)</v>
          </cell>
          <cell r="D565" t="str">
            <v>EUR</v>
          </cell>
          <cell r="E565" t="str">
            <v>03-Jan-2022</v>
          </cell>
          <cell r="F565">
            <v>714802.03</v>
          </cell>
          <cell r="G565">
            <v>6298.683</v>
          </cell>
          <cell r="H565">
            <v>113.48</v>
          </cell>
          <cell r="I565">
            <v>0</v>
          </cell>
          <cell r="J565">
            <v>118.02</v>
          </cell>
        </row>
        <row r="566">
          <cell r="A566" t="str">
            <v>LU0755948527</v>
          </cell>
          <cell r="B566" t="str">
            <v>AF EMERGING MARKETS CORPORATE BOND</v>
          </cell>
          <cell r="C566" t="str">
            <v>Class A USD AD (D)</v>
          </cell>
          <cell r="D566" t="str">
            <v>USD</v>
          </cell>
          <cell r="E566" t="str">
            <v>03-Jan-2022</v>
          </cell>
          <cell r="F566">
            <v>3388863.98</v>
          </cell>
          <cell r="G566">
            <v>33962.129999999997</v>
          </cell>
          <cell r="H566">
            <v>99.78</v>
          </cell>
          <cell r="I566">
            <v>0</v>
          </cell>
          <cell r="J566">
            <v>103.77</v>
          </cell>
        </row>
        <row r="567">
          <cell r="A567" t="str">
            <v>LU0755949251</v>
          </cell>
          <cell r="B567" t="str">
            <v>AF EMERGING MARKETS CORPORATE BOND</v>
          </cell>
          <cell r="C567" t="str">
            <v>Class F2 USD (C)</v>
          </cell>
          <cell r="D567" t="str">
            <v>USD</v>
          </cell>
          <cell r="E567" t="str">
            <v>03-Jan-2022</v>
          </cell>
          <cell r="F567">
            <v>686549.63</v>
          </cell>
          <cell r="G567">
            <v>5623.4759999999997</v>
          </cell>
          <cell r="H567">
            <v>122.09</v>
          </cell>
          <cell r="I567">
            <v>0</v>
          </cell>
          <cell r="J567">
            <v>122.09</v>
          </cell>
        </row>
        <row r="568">
          <cell r="A568" t="str">
            <v>LU2018722608</v>
          </cell>
          <cell r="B568" t="str">
            <v>AF EMERGING MARKETS CORPORATE BOND</v>
          </cell>
          <cell r="C568" t="str">
            <v>Class F EUR Hgd MD (D)</v>
          </cell>
          <cell r="D568" t="str">
            <v>EUR</v>
          </cell>
          <cell r="E568" t="str">
            <v>03-Jan-2022</v>
          </cell>
          <cell r="F568">
            <v>1048923.8899999999</v>
          </cell>
          <cell r="G568">
            <v>235203.97700000001</v>
          </cell>
          <cell r="H568">
            <v>4.46</v>
          </cell>
          <cell r="I568">
            <v>2.0500000000000001E-2</v>
          </cell>
          <cell r="J568">
            <v>4.46</v>
          </cell>
        </row>
        <row r="569">
          <cell r="A569" t="str">
            <v>LU0755949335</v>
          </cell>
          <cell r="B569" t="str">
            <v>AF EMERGING MARKETS CORPORATE BOND</v>
          </cell>
          <cell r="C569" t="str">
            <v>Class F2 EUR Hgd (C)</v>
          </cell>
          <cell r="D569" t="str">
            <v>EUR</v>
          </cell>
          <cell r="E569" t="str">
            <v>03-Jan-2022</v>
          </cell>
          <cell r="F569">
            <v>296575.28000000003</v>
          </cell>
          <cell r="G569">
            <v>2712.8829999999998</v>
          </cell>
          <cell r="H569">
            <v>109.32</v>
          </cell>
          <cell r="I569">
            <v>0</v>
          </cell>
          <cell r="J569">
            <v>109.32</v>
          </cell>
        </row>
        <row r="570">
          <cell r="A570" t="str">
            <v>LU0945158151</v>
          </cell>
          <cell r="B570" t="str">
            <v>AF EMERGING MARKETS CORPORATE BOND</v>
          </cell>
          <cell r="C570" t="str">
            <v>Class F2 EUR Hgd MD (D)</v>
          </cell>
          <cell r="D570" t="str">
            <v>EUR</v>
          </cell>
          <cell r="E570" t="str">
            <v>03-Jan-2022</v>
          </cell>
          <cell r="F570">
            <v>1117520.72</v>
          </cell>
          <cell r="G570">
            <v>14371.09</v>
          </cell>
          <cell r="H570">
            <v>77.760000000000005</v>
          </cell>
          <cell r="I570">
            <v>0.35880000000000001</v>
          </cell>
          <cell r="J570">
            <v>77.760000000000005</v>
          </cell>
        </row>
        <row r="571">
          <cell r="A571" t="str">
            <v>LU0945158078</v>
          </cell>
          <cell r="B571" t="str">
            <v>AF EMERGING MARKETS CORPORATE BOND</v>
          </cell>
          <cell r="C571" t="str">
            <v>Class G EUR Hgd MD (D)</v>
          </cell>
          <cell r="D571" t="str">
            <v>EUR</v>
          </cell>
          <cell r="E571" t="str">
            <v>03-Jan-2022</v>
          </cell>
          <cell r="F571">
            <v>9479094.5399999991</v>
          </cell>
          <cell r="G571">
            <v>116760.327</v>
          </cell>
          <cell r="H571">
            <v>81.180000000000007</v>
          </cell>
          <cell r="I571">
            <v>0.37259999999999999</v>
          </cell>
          <cell r="J571">
            <v>81.180000000000007</v>
          </cell>
        </row>
        <row r="572">
          <cell r="A572" t="str">
            <v>LU0755947982</v>
          </cell>
          <cell r="B572" t="str">
            <v>AF EMERGING MARKETS CORPORATE BOND</v>
          </cell>
          <cell r="C572" t="str">
            <v>Class I EUR (C)</v>
          </cell>
          <cell r="D572" t="str">
            <v>USD</v>
          </cell>
          <cell r="E572" t="str">
            <v>03-Jan-2022</v>
          </cell>
          <cell r="F572">
            <v>4565979.4800000004</v>
          </cell>
          <cell r="G572">
            <v>3157.2809999999999</v>
          </cell>
          <cell r="H572">
            <v>1446.17</v>
          </cell>
          <cell r="I572">
            <v>0</v>
          </cell>
          <cell r="J572">
            <v>1446.17</v>
          </cell>
        </row>
        <row r="573">
          <cell r="A573" t="str">
            <v>LU0755947636</v>
          </cell>
          <cell r="B573" t="str">
            <v>AF EMERGING MARKETS CORPORATE BOND</v>
          </cell>
          <cell r="C573" t="str">
            <v>Class I USD (C)</v>
          </cell>
          <cell r="D573" t="str">
            <v>USD</v>
          </cell>
          <cell r="E573" t="str">
            <v>03-Jan-2022</v>
          </cell>
          <cell r="F573">
            <v>34136836.5</v>
          </cell>
          <cell r="G573">
            <v>19444.344000000001</v>
          </cell>
          <cell r="H573">
            <v>1755.62</v>
          </cell>
          <cell r="I573">
            <v>0</v>
          </cell>
          <cell r="J573">
            <v>1755.62</v>
          </cell>
        </row>
        <row r="574">
          <cell r="A574" t="str">
            <v>LU0755947800</v>
          </cell>
          <cell r="B574" t="str">
            <v>AF EMERGING MARKETS CORPORATE BOND</v>
          </cell>
          <cell r="C574" t="str">
            <v>Class I EUR Hgd (C)</v>
          </cell>
          <cell r="D574" t="str">
            <v>EUR</v>
          </cell>
          <cell r="E574" t="str">
            <v>03-Jan-2022</v>
          </cell>
          <cell r="F574">
            <v>91520123.459999993</v>
          </cell>
          <cell r="G574">
            <v>93824.212</v>
          </cell>
          <cell r="H574">
            <v>975.44</v>
          </cell>
          <cell r="I574">
            <v>0</v>
          </cell>
          <cell r="J574">
            <v>975.44</v>
          </cell>
        </row>
        <row r="575">
          <cell r="A575" t="str">
            <v>LU2339089083</v>
          </cell>
          <cell r="B575" t="str">
            <v>AF EMERGING MARKETS CORPORATE BOND</v>
          </cell>
          <cell r="C575" t="str">
            <v>Class I EUR Hgd AD (D)</v>
          </cell>
          <cell r="D575" t="str">
            <v>EUR</v>
          </cell>
          <cell r="E575" t="str">
            <v>03-Jan-2022</v>
          </cell>
          <cell r="F575">
            <v>40132160.049999997</v>
          </cell>
          <cell r="G575">
            <v>40980.728999999999</v>
          </cell>
          <cell r="H575">
            <v>979.29</v>
          </cell>
          <cell r="I575">
            <v>0</v>
          </cell>
          <cell r="J575">
            <v>979.29</v>
          </cell>
        </row>
        <row r="576">
          <cell r="A576" t="str">
            <v>LU0755948014</v>
          </cell>
          <cell r="B576" t="str">
            <v>AF EMERGING MARKETS CORPORATE BOND</v>
          </cell>
          <cell r="C576" t="str">
            <v>Class I EUR AD (D)</v>
          </cell>
          <cell r="D576" t="str">
            <v>EUR</v>
          </cell>
          <cell r="E576" t="str">
            <v>03-Jan-2022</v>
          </cell>
          <cell r="F576">
            <v>31402554.449999999</v>
          </cell>
          <cell r="G576">
            <v>31623.931</v>
          </cell>
          <cell r="H576">
            <v>993</v>
          </cell>
          <cell r="I576">
            <v>0</v>
          </cell>
          <cell r="J576">
            <v>993</v>
          </cell>
        </row>
        <row r="577">
          <cell r="A577" t="str">
            <v>LU0755947719</v>
          </cell>
          <cell r="B577" t="str">
            <v>AF EMERGING MARKETS CORPORATE BOND</v>
          </cell>
          <cell r="C577" t="str">
            <v>Class I USD AD (D)</v>
          </cell>
          <cell r="D577" t="str">
            <v>USD</v>
          </cell>
          <cell r="E577" t="str">
            <v>03-Jan-2022</v>
          </cell>
          <cell r="F577">
            <v>724977.89</v>
          </cell>
          <cell r="G577">
            <v>750</v>
          </cell>
          <cell r="H577">
            <v>966.64</v>
          </cell>
          <cell r="I577">
            <v>0</v>
          </cell>
          <cell r="J577">
            <v>966.64</v>
          </cell>
        </row>
        <row r="578">
          <cell r="A578" t="str">
            <v>LU2176992076</v>
          </cell>
          <cell r="B578" t="str">
            <v>AF EMERGING MARKETS CORPORATE BOND</v>
          </cell>
          <cell r="C578" t="str">
            <v>Class J2 EUR AD (D)</v>
          </cell>
          <cell r="D578" t="str">
            <v>EUR</v>
          </cell>
          <cell r="E578" t="str">
            <v>03-Jan-2022</v>
          </cell>
          <cell r="F578">
            <v>55813870.649999999</v>
          </cell>
          <cell r="G578">
            <v>54315</v>
          </cell>
          <cell r="H578">
            <v>1027.5999999999999</v>
          </cell>
          <cell r="I578">
            <v>0</v>
          </cell>
          <cell r="J578">
            <v>1027.5999999999999</v>
          </cell>
        </row>
        <row r="579">
          <cell r="A579" t="str">
            <v>LU1971433047</v>
          </cell>
          <cell r="B579" t="str">
            <v>AF EMERGING MARKETS CORPORATE BOND</v>
          </cell>
          <cell r="C579" t="str">
            <v>Class M EUR (C)</v>
          </cell>
          <cell r="D579" t="str">
            <v>EUR</v>
          </cell>
          <cell r="E579" t="str">
            <v>03-Jan-2022</v>
          </cell>
          <cell r="F579">
            <v>292683.8</v>
          </cell>
          <cell r="G579">
            <v>2633.0880000000002</v>
          </cell>
          <cell r="H579">
            <v>111.16</v>
          </cell>
          <cell r="I579">
            <v>0</v>
          </cell>
          <cell r="J579">
            <v>0</v>
          </cell>
        </row>
        <row r="580">
          <cell r="A580" t="str">
            <v>LU0755948105</v>
          </cell>
          <cell r="B580" t="str">
            <v>AF EMERGING MARKETS CORPORATE BOND</v>
          </cell>
          <cell r="C580" t="str">
            <v>Class M USD (C)</v>
          </cell>
          <cell r="D580" t="str">
            <v>USD</v>
          </cell>
          <cell r="E580" t="str">
            <v>03-Jan-2022</v>
          </cell>
          <cell r="F580">
            <v>2396740.27</v>
          </cell>
          <cell r="G580">
            <v>17431.213</v>
          </cell>
          <cell r="H580">
            <v>137.5</v>
          </cell>
          <cell r="I580">
            <v>0</v>
          </cell>
          <cell r="J580">
            <v>137.5</v>
          </cell>
        </row>
        <row r="581">
          <cell r="A581" t="str">
            <v>LU0755948287</v>
          </cell>
          <cell r="B581" t="str">
            <v>AF EMERGING MARKETS CORPORATE BOND</v>
          </cell>
          <cell r="C581" t="str">
            <v>Class M EUR Hgd (C)</v>
          </cell>
          <cell r="D581" t="str">
            <v>EUR</v>
          </cell>
          <cell r="E581" t="str">
            <v>03-Jan-2022</v>
          </cell>
          <cell r="F581">
            <v>166957.73000000001</v>
          </cell>
          <cell r="G581">
            <v>1648.885</v>
          </cell>
          <cell r="H581">
            <v>101.25</v>
          </cell>
          <cell r="I581">
            <v>0</v>
          </cell>
          <cell r="J581">
            <v>101.25</v>
          </cell>
        </row>
        <row r="582">
          <cell r="A582" t="str">
            <v>LU0755948360</v>
          </cell>
          <cell r="B582" t="str">
            <v>AF EMERGING MARKETS CORPORATE BOND</v>
          </cell>
          <cell r="C582" t="str">
            <v>Class O USD (C)</v>
          </cell>
          <cell r="D582" t="str">
            <v>USD</v>
          </cell>
          <cell r="E582" t="str">
            <v>03-Jan-2022</v>
          </cell>
          <cell r="F582">
            <v>241487513.66999999</v>
          </cell>
          <cell r="G582">
            <v>161991.93799999999</v>
          </cell>
          <cell r="H582">
            <v>1490.74</v>
          </cell>
          <cell r="I582">
            <v>0</v>
          </cell>
          <cell r="J582">
            <v>1490.74</v>
          </cell>
        </row>
        <row r="583">
          <cell r="A583" t="str">
            <v>LU1103155898</v>
          </cell>
          <cell r="B583" t="str">
            <v>AF EMERGING MARKETS CORPORATE BOND</v>
          </cell>
          <cell r="C583" t="str">
            <v>Class O EUR Hgd (C)</v>
          </cell>
          <cell r="D583" t="str">
            <v>EUR</v>
          </cell>
          <cell r="E583" t="str">
            <v>03-Jan-2022</v>
          </cell>
          <cell r="F583">
            <v>6930255.9100000001</v>
          </cell>
          <cell r="G583">
            <v>6014.4459999999999</v>
          </cell>
          <cell r="H583">
            <v>1152.27</v>
          </cell>
          <cell r="I583">
            <v>0</v>
          </cell>
          <cell r="J583">
            <v>1152.27</v>
          </cell>
        </row>
        <row r="584">
          <cell r="A584" t="str">
            <v>LU0755949095</v>
          </cell>
          <cell r="B584" t="str">
            <v>AF EMERGING MARKETS CORPORATE BOND</v>
          </cell>
          <cell r="C584" t="str">
            <v>Class G USD (C)</v>
          </cell>
          <cell r="D584" t="str">
            <v>USD</v>
          </cell>
          <cell r="E584" t="str">
            <v>03-Jan-2022</v>
          </cell>
          <cell r="F584">
            <v>2069866.84</v>
          </cell>
          <cell r="G584">
            <v>16363.008</v>
          </cell>
          <cell r="H584">
            <v>126.5</v>
          </cell>
          <cell r="I584">
            <v>0</v>
          </cell>
          <cell r="J584">
            <v>130.30000000000001</v>
          </cell>
        </row>
        <row r="585">
          <cell r="A585" t="str">
            <v>LU0755949178</v>
          </cell>
          <cell r="B585" t="str">
            <v>AF EMERGING MARKETS CORPORATE BOND</v>
          </cell>
          <cell r="C585" t="str">
            <v>Class G EUR Hgd (C)</v>
          </cell>
          <cell r="D585" t="str">
            <v>EUR</v>
          </cell>
          <cell r="E585" t="str">
            <v>03-Jan-2022</v>
          </cell>
          <cell r="F585">
            <v>4638756.6500000004</v>
          </cell>
          <cell r="G585">
            <v>40634.517</v>
          </cell>
          <cell r="H585">
            <v>114.16</v>
          </cell>
          <cell r="I585">
            <v>0</v>
          </cell>
          <cell r="J585">
            <v>117.58</v>
          </cell>
        </row>
        <row r="586">
          <cell r="A586" t="str">
            <v>LU1998917824</v>
          </cell>
          <cell r="B586" t="str">
            <v>AF EMERGING MARKETS CORPORATE BOND</v>
          </cell>
          <cell r="C586" t="str">
            <v>Class H USD (C)</v>
          </cell>
          <cell r="D586" t="str">
            <v>USD</v>
          </cell>
          <cell r="E586" t="str">
            <v>03-Jan-2022</v>
          </cell>
          <cell r="F586">
            <v>21815677.09</v>
          </cell>
          <cell r="G586">
            <v>19969.932000000001</v>
          </cell>
          <cell r="H586">
            <v>1092.43</v>
          </cell>
          <cell r="I586">
            <v>0</v>
          </cell>
          <cell r="J586">
            <v>1092.43</v>
          </cell>
        </row>
        <row r="587">
          <cell r="A587" t="str">
            <v>LU2052289936</v>
          </cell>
          <cell r="B587" t="str">
            <v>AF EMERGING MARKETS CORPORATE BOND</v>
          </cell>
          <cell r="C587" t="str">
            <v>Class Z USD QD (D)</v>
          </cell>
          <cell r="D587" t="str">
            <v>USD</v>
          </cell>
          <cell r="E587" t="str">
            <v>03-Jan-2022</v>
          </cell>
          <cell r="F587">
            <v>4828.16</v>
          </cell>
          <cell r="G587">
            <v>5</v>
          </cell>
          <cell r="H587">
            <v>965.63</v>
          </cell>
          <cell r="I587">
            <v>0</v>
          </cell>
          <cell r="J587">
            <v>965.63</v>
          </cell>
        </row>
        <row r="588">
          <cell r="A588" t="str">
            <v>LU2036672488</v>
          </cell>
          <cell r="B588" t="str">
            <v>AF EMERGING MARKETS CORPORATE BOND</v>
          </cell>
          <cell r="C588" t="str">
            <v>Class Z USD (C)</v>
          </cell>
          <cell r="D588" t="str">
            <v>USD</v>
          </cell>
          <cell r="E588" t="str">
            <v>03-Jan-2022</v>
          </cell>
          <cell r="F588">
            <v>13662051.720000001</v>
          </cell>
          <cell r="G588">
            <v>12625.025</v>
          </cell>
          <cell r="H588">
            <v>1082.1400000000001</v>
          </cell>
          <cell r="I588">
            <v>0</v>
          </cell>
          <cell r="J588">
            <v>1082.1400000000001</v>
          </cell>
        </row>
        <row r="589">
          <cell r="A589" t="str">
            <v>LU2052290199</v>
          </cell>
          <cell r="B589" t="str">
            <v>AF EMERGING MARKETS CORPORATE BOND</v>
          </cell>
          <cell r="C589" t="str">
            <v>Class Z EUR QD (D)</v>
          </cell>
          <cell r="D589" t="str">
            <v>EUR</v>
          </cell>
          <cell r="E589" t="str">
            <v>03-Jan-2022</v>
          </cell>
          <cell r="F589">
            <v>82635536.989999995</v>
          </cell>
          <cell r="G589">
            <v>87061.663</v>
          </cell>
          <cell r="H589">
            <v>949.16</v>
          </cell>
          <cell r="I589">
            <v>0</v>
          </cell>
          <cell r="J589">
            <v>949.16</v>
          </cell>
        </row>
        <row r="590">
          <cell r="A590" t="str">
            <v>LU0985951127</v>
          </cell>
          <cell r="B590" t="str">
            <v>AF GLOBAL EQUITY CONSERVATIVE</v>
          </cell>
          <cell r="C590" t="str">
            <v>Class A EUR (C)</v>
          </cell>
          <cell r="D590" t="str">
            <v>EUR</v>
          </cell>
          <cell r="E590" t="str">
            <v>03-Jan-2022</v>
          </cell>
          <cell r="F590">
            <v>74382788.5</v>
          </cell>
          <cell r="G590">
            <v>347457.70799999998</v>
          </cell>
          <cell r="H590">
            <v>214.08</v>
          </cell>
          <cell r="I590">
            <v>0</v>
          </cell>
          <cell r="J590">
            <v>223.71</v>
          </cell>
        </row>
        <row r="591">
          <cell r="A591" t="str">
            <v>LU0801842559</v>
          </cell>
          <cell r="B591" t="str">
            <v>AF GLOBAL EQUITY CONSERVATIVE</v>
          </cell>
          <cell r="C591" t="str">
            <v>Class A USD (C)</v>
          </cell>
          <cell r="D591" t="str">
            <v>USD</v>
          </cell>
          <cell r="E591" t="str">
            <v>03-Jan-2022</v>
          </cell>
          <cell r="F591">
            <v>25073161.34</v>
          </cell>
          <cell r="G591">
            <v>112819.111</v>
          </cell>
          <cell r="H591">
            <v>222.24</v>
          </cell>
          <cell r="I591">
            <v>0</v>
          </cell>
          <cell r="J591">
            <v>232.24</v>
          </cell>
        </row>
        <row r="592">
          <cell r="A592" t="str">
            <v>LU0987200739</v>
          </cell>
          <cell r="B592" t="str">
            <v>AF GLOBAL EQUITY CONSERVATIVE</v>
          </cell>
          <cell r="C592" t="str">
            <v>Class A EUR Hgd (C)</v>
          </cell>
          <cell r="D592" t="str">
            <v>EUR</v>
          </cell>
          <cell r="E592" t="str">
            <v>03-Jan-2022</v>
          </cell>
          <cell r="F592">
            <v>3018433.47</v>
          </cell>
          <cell r="G592">
            <v>22067.574000000001</v>
          </cell>
          <cell r="H592">
            <v>136.78</v>
          </cell>
          <cell r="I592">
            <v>0</v>
          </cell>
          <cell r="J592">
            <v>142.94</v>
          </cell>
        </row>
        <row r="593">
          <cell r="A593" t="str">
            <v>LU0985951473</v>
          </cell>
          <cell r="B593" t="str">
            <v>AF GLOBAL EQUITY CONSERVATIVE</v>
          </cell>
          <cell r="C593" t="str">
            <v>Class A EUR AD (D)</v>
          </cell>
          <cell r="D593" t="str">
            <v>EUR</v>
          </cell>
          <cell r="E593" t="str">
            <v>03-Jan-2022</v>
          </cell>
          <cell r="F593">
            <v>17908301.52</v>
          </cell>
          <cell r="G593">
            <v>111666.65300000001</v>
          </cell>
          <cell r="H593">
            <v>160.37</v>
          </cell>
          <cell r="I593">
            <v>0</v>
          </cell>
          <cell r="J593">
            <v>167.59</v>
          </cell>
        </row>
        <row r="594">
          <cell r="A594" t="str">
            <v>LU0801842716</v>
          </cell>
          <cell r="B594" t="str">
            <v>AF GLOBAL EQUITY CONSERVATIVE</v>
          </cell>
          <cell r="C594" t="str">
            <v>Class A USD AD (D)</v>
          </cell>
          <cell r="D594" t="str">
            <v>USD</v>
          </cell>
          <cell r="E594" t="str">
            <v>03-Jan-2022</v>
          </cell>
          <cell r="F594">
            <v>1304952.95</v>
          </cell>
          <cell r="G594">
            <v>6902.6779999999999</v>
          </cell>
          <cell r="H594">
            <v>189.05</v>
          </cell>
          <cell r="I594">
            <v>0</v>
          </cell>
          <cell r="J594">
            <v>197.56</v>
          </cell>
        </row>
        <row r="595">
          <cell r="A595" t="str">
            <v>LU2002722267</v>
          </cell>
          <cell r="B595" t="str">
            <v>AF GLOBAL EQUITY CONSERVATIVE</v>
          </cell>
          <cell r="C595" t="str">
            <v>Class M2 EUR ( C )</v>
          </cell>
          <cell r="D595" t="str">
            <v>EUR</v>
          </cell>
          <cell r="E595" t="str">
            <v>03-Jan-2022</v>
          </cell>
          <cell r="F595">
            <v>6441.02</v>
          </cell>
          <cell r="G595">
            <v>5</v>
          </cell>
          <cell r="H595">
            <v>1288.2</v>
          </cell>
          <cell r="I595">
            <v>0</v>
          </cell>
          <cell r="J595">
            <v>1288.2</v>
          </cell>
        </row>
        <row r="596">
          <cell r="A596" t="str">
            <v>LU1534099194</v>
          </cell>
          <cell r="B596" t="str">
            <v>AF GLOBAL EQUITY CONSERVATIVE</v>
          </cell>
          <cell r="C596" t="str">
            <v>Class A2 USD (C)</v>
          </cell>
          <cell r="D596" t="str">
            <v>USD</v>
          </cell>
          <cell r="E596" t="str">
            <v>03-Jan-2022</v>
          </cell>
          <cell r="F596">
            <v>36532466.25</v>
          </cell>
          <cell r="G596">
            <v>275697.38099999999</v>
          </cell>
          <cell r="H596">
            <v>132.51</v>
          </cell>
          <cell r="I596">
            <v>0</v>
          </cell>
          <cell r="J596">
            <v>132.51</v>
          </cell>
        </row>
        <row r="597">
          <cell r="A597" t="str">
            <v>LU0801842989</v>
          </cell>
          <cell r="B597" t="str">
            <v>AF GLOBAL EQUITY CONSERVATIVE</v>
          </cell>
          <cell r="C597" t="str">
            <v>Class F2 USD (C)</v>
          </cell>
          <cell r="D597" t="str">
            <v>USD</v>
          </cell>
          <cell r="E597" t="str">
            <v>03-Jan-2022</v>
          </cell>
          <cell r="F597">
            <v>590439.41</v>
          </cell>
          <cell r="G597">
            <v>3481.567</v>
          </cell>
          <cell r="H597">
            <v>169.59</v>
          </cell>
          <cell r="I597">
            <v>0</v>
          </cell>
          <cell r="J597">
            <v>169.59</v>
          </cell>
        </row>
        <row r="598">
          <cell r="A598" t="str">
            <v>LU0801841585</v>
          </cell>
          <cell r="B598" t="str">
            <v>AF GLOBAL EQUITY CONSERVATIVE</v>
          </cell>
          <cell r="C598" t="str">
            <v>Class I EUR (C)</v>
          </cell>
          <cell r="D598" t="str">
            <v>EUR</v>
          </cell>
          <cell r="E598" t="str">
            <v>03-Jan-2022</v>
          </cell>
          <cell r="F598">
            <v>23283635.59</v>
          </cell>
          <cell r="G598">
            <v>8845.48</v>
          </cell>
          <cell r="H598">
            <v>2632.26</v>
          </cell>
          <cell r="I598">
            <v>0</v>
          </cell>
          <cell r="J598">
            <v>2632.26</v>
          </cell>
        </row>
        <row r="599">
          <cell r="A599" t="str">
            <v>LU0801841312</v>
          </cell>
          <cell r="B599" t="str">
            <v>AF GLOBAL EQUITY CONSERVATIVE</v>
          </cell>
          <cell r="C599" t="str">
            <v>Class I USD (C)</v>
          </cell>
          <cell r="D599" t="str">
            <v>USD</v>
          </cell>
          <cell r="E599" t="str">
            <v>03-Jan-2022</v>
          </cell>
          <cell r="F599">
            <v>2914.77</v>
          </cell>
          <cell r="G599">
            <v>1.5089999999999999</v>
          </cell>
          <cell r="H599">
            <v>1931.59</v>
          </cell>
          <cell r="I599">
            <v>0</v>
          </cell>
          <cell r="J599">
            <v>1931.59</v>
          </cell>
        </row>
        <row r="600">
          <cell r="A600" t="str">
            <v>LU1650130260</v>
          </cell>
          <cell r="B600" t="str">
            <v>AF GLOBAL EQUITY CONSERVATIVE</v>
          </cell>
          <cell r="C600" t="str">
            <v>Class Q-I13 USD (C)</v>
          </cell>
          <cell r="D600" t="str">
            <v>USD</v>
          </cell>
          <cell r="E600" t="str">
            <v>03-Jan-2022</v>
          </cell>
          <cell r="F600">
            <v>4129415.12</v>
          </cell>
          <cell r="G600">
            <v>2776.6030000000001</v>
          </cell>
          <cell r="H600">
            <v>1487.22</v>
          </cell>
          <cell r="I600">
            <v>0</v>
          </cell>
          <cell r="J600">
            <v>1487.22</v>
          </cell>
        </row>
        <row r="601">
          <cell r="A601" t="str">
            <v>LU0801843102</v>
          </cell>
          <cell r="B601" t="str">
            <v>AF GLOBAL EQUITY CONSERVATIVE</v>
          </cell>
          <cell r="C601" t="str">
            <v>Class O USD (C)</v>
          </cell>
          <cell r="D601" t="str">
            <v>USD</v>
          </cell>
          <cell r="E601" t="str">
            <v>03-Jan-2022</v>
          </cell>
          <cell r="F601">
            <v>50265680.170000002</v>
          </cell>
          <cell r="G601">
            <v>20114.239000000001</v>
          </cell>
          <cell r="H601">
            <v>2499.0100000000002</v>
          </cell>
          <cell r="I601">
            <v>0</v>
          </cell>
          <cell r="J601">
            <v>2499.0100000000002</v>
          </cell>
        </row>
        <row r="602">
          <cell r="A602" t="str">
            <v>LU1638825668</v>
          </cell>
          <cell r="B602" t="str">
            <v>AF GLOBAL EQUITY CONSERVATIVE</v>
          </cell>
          <cell r="C602" t="str">
            <v>Class R EUR (C)</v>
          </cell>
          <cell r="D602" t="str">
            <v>EUR</v>
          </cell>
          <cell r="E602" t="str">
            <v>03-Jan-2022</v>
          </cell>
          <cell r="F602">
            <v>152.11000000000001</v>
          </cell>
          <cell r="G602">
            <v>1</v>
          </cell>
          <cell r="H602">
            <v>152.11000000000001</v>
          </cell>
          <cell r="I602">
            <v>0</v>
          </cell>
          <cell r="J602">
            <v>152.11000000000001</v>
          </cell>
        </row>
        <row r="603">
          <cell r="A603" t="str">
            <v>LU1534099434</v>
          </cell>
          <cell r="B603" t="str">
            <v>AF GLOBAL EQUITY CONSERVATIVE</v>
          </cell>
          <cell r="C603" t="str">
            <v>Class G EUR (C)</v>
          </cell>
          <cell r="D603" t="str">
            <v>EUR</v>
          </cell>
          <cell r="E603" t="str">
            <v>03-Jan-2022</v>
          </cell>
          <cell r="F603">
            <v>972100.5</v>
          </cell>
          <cell r="G603">
            <v>6669.0680000000002</v>
          </cell>
          <cell r="H603">
            <v>145.76</v>
          </cell>
          <cell r="I603">
            <v>0</v>
          </cell>
          <cell r="J603">
            <v>145.76</v>
          </cell>
        </row>
        <row r="604">
          <cell r="A604" t="str">
            <v>LU0801842807</v>
          </cell>
          <cell r="B604" t="str">
            <v>AF GLOBAL EQUITY CONSERVATIVE</v>
          </cell>
          <cell r="C604" t="str">
            <v>Class G USD (C)</v>
          </cell>
          <cell r="D604" t="str">
            <v>USD</v>
          </cell>
          <cell r="E604" t="str">
            <v>03-Jan-2022</v>
          </cell>
          <cell r="F604">
            <v>5920099.3899999997</v>
          </cell>
          <cell r="G604">
            <v>27675.534</v>
          </cell>
          <cell r="H604">
            <v>213.91</v>
          </cell>
          <cell r="I604">
            <v>0</v>
          </cell>
          <cell r="J604">
            <v>220.33</v>
          </cell>
        </row>
        <row r="605">
          <cell r="A605" t="str">
            <v>LU1534098543</v>
          </cell>
          <cell r="B605" t="str">
            <v>AF GLOBAL EQUITY CONSERVATIVE</v>
          </cell>
          <cell r="C605" t="str">
            <v>Class G EUR Hgd (C)</v>
          </cell>
          <cell r="D605" t="str">
            <v>EUR</v>
          </cell>
          <cell r="E605" t="str">
            <v>03-Jan-2022</v>
          </cell>
          <cell r="F605">
            <v>3951587.32</v>
          </cell>
          <cell r="G605">
            <v>30871.081999999999</v>
          </cell>
          <cell r="H605">
            <v>128</v>
          </cell>
          <cell r="I605">
            <v>0</v>
          </cell>
          <cell r="J605">
            <v>128</v>
          </cell>
        </row>
        <row r="606">
          <cell r="A606" t="str">
            <v>LU2034727573</v>
          </cell>
          <cell r="B606" t="str">
            <v>AF GLOBAL EQUITY CONSERVATIVE</v>
          </cell>
          <cell r="C606" t="str">
            <v>Class X USD (C)</v>
          </cell>
          <cell r="D606" t="str">
            <v>USD</v>
          </cell>
          <cell r="E606" t="str">
            <v>03-Jan-2022</v>
          </cell>
          <cell r="F606">
            <v>6709.18</v>
          </cell>
          <cell r="G606">
            <v>5</v>
          </cell>
          <cell r="H606">
            <v>1341.84</v>
          </cell>
          <cell r="I606">
            <v>0</v>
          </cell>
          <cell r="J606">
            <v>1341.84</v>
          </cell>
        </row>
        <row r="607">
          <cell r="A607" t="str">
            <v>LU1743287739</v>
          </cell>
          <cell r="B607" t="str">
            <v>AF GLOBAL EQUITY CONSERVATIVE</v>
          </cell>
          <cell r="C607" t="str">
            <v>Class Z EUR (C)</v>
          </cell>
          <cell r="D607" t="str">
            <v>EUR</v>
          </cell>
          <cell r="E607" t="str">
            <v>03-Jan-2022</v>
          </cell>
          <cell r="F607">
            <v>33869100.789999999</v>
          </cell>
          <cell r="G607">
            <v>22169.871999999999</v>
          </cell>
          <cell r="H607">
            <v>1527.71</v>
          </cell>
          <cell r="I607">
            <v>0</v>
          </cell>
          <cell r="J607">
            <v>1527.71</v>
          </cell>
        </row>
        <row r="608">
          <cell r="A608" t="str">
            <v>LU1998919952</v>
          </cell>
          <cell r="B608" t="str">
            <v>AF GLOBAL EQUITY CONSERVATIVE</v>
          </cell>
          <cell r="C608" t="str">
            <v>Class H USD  ( C )</v>
          </cell>
          <cell r="D608" t="str">
            <v>USD</v>
          </cell>
          <cell r="E608" t="str">
            <v>03-Jan-2022</v>
          </cell>
          <cell r="F608">
            <v>6614.53</v>
          </cell>
          <cell r="G608">
            <v>5</v>
          </cell>
          <cell r="H608">
            <v>1322.91</v>
          </cell>
          <cell r="I608">
            <v>0</v>
          </cell>
          <cell r="J608">
            <v>1322.91</v>
          </cell>
        </row>
        <row r="609">
          <cell r="A609" t="str">
            <v>LU0907331507</v>
          </cell>
          <cell r="B609" t="str">
            <v>AF EURO HIGH YIELD SHORT TERM BOND</v>
          </cell>
          <cell r="C609" t="str">
            <v>Class A EUR (C)</v>
          </cell>
          <cell r="D609" t="str">
            <v>EUR</v>
          </cell>
          <cell r="E609" t="str">
            <v>03-Jan-2022</v>
          </cell>
          <cell r="F609">
            <v>3538804.61</v>
          </cell>
          <cell r="G609">
            <v>32354.61</v>
          </cell>
          <cell r="H609">
            <v>109.38</v>
          </cell>
          <cell r="I609">
            <v>0</v>
          </cell>
          <cell r="J609">
            <v>112.66</v>
          </cell>
        </row>
        <row r="610">
          <cell r="A610" t="str">
            <v>LU2070306787</v>
          </cell>
          <cell r="B610" t="str">
            <v>AF EURO HIGH YIELD SHORT TERM BOND</v>
          </cell>
          <cell r="C610" t="str">
            <v>Class A5 EUR (C)</v>
          </cell>
          <cell r="D610" t="str">
            <v>EUR</v>
          </cell>
          <cell r="E610" t="str">
            <v>03-Jan-2022</v>
          </cell>
          <cell r="F610">
            <v>5124.75</v>
          </cell>
          <cell r="G610">
            <v>100</v>
          </cell>
          <cell r="H610">
            <v>51.25</v>
          </cell>
          <cell r="I610">
            <v>0</v>
          </cell>
          <cell r="J610">
            <v>51.25</v>
          </cell>
        </row>
        <row r="611">
          <cell r="A611" t="str">
            <v>LU1049751941</v>
          </cell>
          <cell r="B611" t="str">
            <v>AF EURO HIGH YIELD SHORT TERM BOND</v>
          </cell>
          <cell r="C611" t="str">
            <v>Class A CZK Hgd (C)</v>
          </cell>
          <cell r="D611" t="str">
            <v>CZK</v>
          </cell>
          <cell r="E611" t="str">
            <v>03-Jan-2022</v>
          </cell>
          <cell r="F611">
            <v>63707196.700000003</v>
          </cell>
          <cell r="G611">
            <v>24494.49</v>
          </cell>
          <cell r="H611">
            <v>2600.88</v>
          </cell>
          <cell r="I611">
            <v>0</v>
          </cell>
          <cell r="J611">
            <v>2600.88</v>
          </cell>
        </row>
        <row r="612">
          <cell r="A612" t="str">
            <v>LU2002721293</v>
          </cell>
          <cell r="B612" t="str">
            <v>AF EURO HIGH YIELD SHORT TERM BOND</v>
          </cell>
          <cell r="C612" t="str">
            <v>Class M2 EUR ( C )</v>
          </cell>
          <cell r="D612" t="str">
            <v>EUR</v>
          </cell>
          <cell r="E612" t="str">
            <v>03-Jan-2022</v>
          </cell>
          <cell r="F612">
            <v>111932.87</v>
          </cell>
          <cell r="G612">
            <v>108.09399999999999</v>
          </cell>
          <cell r="H612">
            <v>1035.51</v>
          </cell>
          <cell r="I612">
            <v>0</v>
          </cell>
          <cell r="J612">
            <v>1035.51</v>
          </cell>
        </row>
        <row r="613">
          <cell r="A613" t="str">
            <v>LU0907331689</v>
          </cell>
          <cell r="B613" t="str">
            <v>AF EURO HIGH YIELD SHORT TERM BOND</v>
          </cell>
          <cell r="C613" t="str">
            <v>Class A EUR AD (D)</v>
          </cell>
          <cell r="D613" t="str">
            <v>EUR</v>
          </cell>
          <cell r="E613" t="str">
            <v>03-Jan-2022</v>
          </cell>
          <cell r="F613">
            <v>314427.43</v>
          </cell>
          <cell r="G613">
            <v>3630.261</v>
          </cell>
          <cell r="H613">
            <v>86.61</v>
          </cell>
          <cell r="I613">
            <v>0</v>
          </cell>
          <cell r="J613">
            <v>89.21</v>
          </cell>
        </row>
        <row r="614">
          <cell r="A614" t="str">
            <v>LU2002721376</v>
          </cell>
          <cell r="B614" t="str">
            <v>AF EURO HIGH YIELD SHORT TERM BOND</v>
          </cell>
          <cell r="C614" t="str">
            <v>Class M2 EUR AD ( D )</v>
          </cell>
          <cell r="D614" t="str">
            <v>EUR</v>
          </cell>
          <cell r="E614" t="str">
            <v>03-Jan-2022</v>
          </cell>
          <cell r="F614">
            <v>4882.91</v>
          </cell>
          <cell r="G614">
            <v>5</v>
          </cell>
          <cell r="H614">
            <v>976.58</v>
          </cell>
          <cell r="I614">
            <v>0</v>
          </cell>
          <cell r="J614">
            <v>976.58</v>
          </cell>
        </row>
        <row r="615">
          <cell r="A615" t="str">
            <v>LU0945157427</v>
          </cell>
          <cell r="B615" t="str">
            <v>AF EURO HIGH YIELD SHORT TERM BOND</v>
          </cell>
          <cell r="C615" t="str">
            <v>Class F2 EUR MD (D)</v>
          </cell>
          <cell r="D615" t="str">
            <v>EUR</v>
          </cell>
          <cell r="E615" t="str">
            <v>03-Jan-2022</v>
          </cell>
          <cell r="F615">
            <v>1614188.74</v>
          </cell>
          <cell r="G615">
            <v>18132.170999999998</v>
          </cell>
          <cell r="H615">
            <v>89.02</v>
          </cell>
          <cell r="I615">
            <v>0.1124</v>
          </cell>
          <cell r="J615">
            <v>89.02</v>
          </cell>
        </row>
        <row r="616">
          <cell r="A616" t="str">
            <v>LU0907331929</v>
          </cell>
          <cell r="B616" t="str">
            <v>AF EURO HIGH YIELD SHORT TERM BOND</v>
          </cell>
          <cell r="C616" t="str">
            <v>Class F2 EUR (C)</v>
          </cell>
          <cell r="D616" t="str">
            <v>EUR</v>
          </cell>
          <cell r="E616" t="str">
            <v>03-Jan-2022</v>
          </cell>
          <cell r="F616">
            <v>7702153.9800000004</v>
          </cell>
          <cell r="G616">
            <v>73875.304000000004</v>
          </cell>
          <cell r="H616">
            <v>104.26</v>
          </cell>
          <cell r="I616">
            <v>0</v>
          </cell>
          <cell r="J616">
            <v>104.26</v>
          </cell>
        </row>
        <row r="617">
          <cell r="A617" t="str">
            <v>LU2018720065</v>
          </cell>
          <cell r="B617" t="str">
            <v>AF EURO HIGH YIELD SHORT TERM BOND</v>
          </cell>
          <cell r="C617" t="str">
            <v>Class F EUR (C)</v>
          </cell>
          <cell r="D617" t="str">
            <v>EUR</v>
          </cell>
          <cell r="E617" t="str">
            <v>03-Jan-2022</v>
          </cell>
          <cell r="F617">
            <v>77929.45</v>
          </cell>
          <cell r="G617">
            <v>15579.137000000001</v>
          </cell>
          <cell r="H617">
            <v>5.0019999999999998</v>
          </cell>
          <cell r="I617">
            <v>0</v>
          </cell>
          <cell r="J617">
            <v>5.0019999999999998</v>
          </cell>
        </row>
        <row r="618">
          <cell r="A618" t="str">
            <v>LU2018720222</v>
          </cell>
          <cell r="B618" t="str">
            <v>AF EURO HIGH YIELD SHORT TERM BOND</v>
          </cell>
          <cell r="C618" t="str">
            <v>Class F EUR MD (D)</v>
          </cell>
          <cell r="D618" t="str">
            <v>EUR</v>
          </cell>
          <cell r="E618" t="str">
            <v>03-Jan-2022</v>
          </cell>
          <cell r="F618">
            <v>11400.11</v>
          </cell>
          <cell r="G618">
            <v>2343.2919999999999</v>
          </cell>
          <cell r="H618">
            <v>4.8650000000000002</v>
          </cell>
          <cell r="I618">
            <v>6.1000000000000004E-3</v>
          </cell>
          <cell r="J618">
            <v>4.8650000000000002</v>
          </cell>
        </row>
        <row r="619">
          <cell r="A619" t="str">
            <v>LU0907330798</v>
          </cell>
          <cell r="B619" t="str">
            <v>AF EURO HIGH YIELD SHORT TERM BOND</v>
          </cell>
          <cell r="C619" t="str">
            <v>Class I EUR (C)</v>
          </cell>
          <cell r="D619" t="str">
            <v>EUR</v>
          </cell>
          <cell r="E619" t="str">
            <v>03-Jan-2022</v>
          </cell>
          <cell r="F619">
            <v>80694289.75</v>
          </cell>
          <cell r="G619">
            <v>67709.165999999997</v>
          </cell>
          <cell r="H619">
            <v>1191.78</v>
          </cell>
          <cell r="I619">
            <v>0</v>
          </cell>
          <cell r="J619">
            <v>1191.78</v>
          </cell>
        </row>
        <row r="620">
          <cell r="A620" t="str">
            <v>LU0907330871</v>
          </cell>
          <cell r="B620" t="str">
            <v>AF EURO HIGH YIELD SHORT TERM BOND</v>
          </cell>
          <cell r="C620" t="str">
            <v>Class I EUR AD (D)</v>
          </cell>
          <cell r="D620" t="str">
            <v>EUR</v>
          </cell>
          <cell r="E620" t="str">
            <v>03-Jan-2022</v>
          </cell>
          <cell r="F620">
            <v>17275555.489999998</v>
          </cell>
          <cell r="G620">
            <v>20004.401999999998</v>
          </cell>
          <cell r="H620">
            <v>863.59</v>
          </cell>
          <cell r="I620">
            <v>0</v>
          </cell>
          <cell r="J620">
            <v>863.59</v>
          </cell>
        </row>
        <row r="621">
          <cell r="A621" t="str">
            <v>LU0907331176</v>
          </cell>
          <cell r="B621" t="str">
            <v>AF EURO HIGH YIELD SHORT TERM BOND</v>
          </cell>
          <cell r="C621" t="str">
            <v>Class M EUR (C)</v>
          </cell>
          <cell r="D621" t="str">
            <v>EUR</v>
          </cell>
          <cell r="E621" t="str">
            <v>03-Jan-2022</v>
          </cell>
          <cell r="F621">
            <v>2522578.39</v>
          </cell>
          <cell r="G621">
            <v>21486.067999999999</v>
          </cell>
          <cell r="H621">
            <v>117.41</v>
          </cell>
          <cell r="I621">
            <v>0</v>
          </cell>
          <cell r="J621">
            <v>117.41</v>
          </cell>
        </row>
        <row r="622">
          <cell r="A622" t="str">
            <v>LU0907331259</v>
          </cell>
          <cell r="B622" t="str">
            <v>AF EURO HIGH YIELD SHORT TERM BOND</v>
          </cell>
          <cell r="C622" t="str">
            <v>Class O EUR (C)</v>
          </cell>
          <cell r="D622" t="str">
            <v>EUR</v>
          </cell>
          <cell r="E622" t="str">
            <v>03-Jan-2022</v>
          </cell>
          <cell r="F622">
            <v>6546490.9800000004</v>
          </cell>
          <cell r="G622">
            <v>5400</v>
          </cell>
          <cell r="H622">
            <v>1212.31</v>
          </cell>
          <cell r="I622">
            <v>0</v>
          </cell>
          <cell r="J622">
            <v>1212.31</v>
          </cell>
        </row>
        <row r="623">
          <cell r="A623" t="str">
            <v>LU0987189072</v>
          </cell>
          <cell r="B623" t="str">
            <v>AF EURO HIGH YIELD SHORT TERM BOND</v>
          </cell>
          <cell r="C623" t="str">
            <v>Class R EUR (C)</v>
          </cell>
          <cell r="D623" t="str">
            <v>EUR</v>
          </cell>
          <cell r="E623" t="str">
            <v>03-Jan-2022</v>
          </cell>
          <cell r="F623">
            <v>126092.85</v>
          </cell>
          <cell r="G623">
            <v>2500</v>
          </cell>
          <cell r="H623">
            <v>50.44</v>
          </cell>
          <cell r="I623">
            <v>0</v>
          </cell>
          <cell r="J623">
            <v>50.44</v>
          </cell>
        </row>
        <row r="624">
          <cell r="A624" t="str">
            <v>LU0907331846</v>
          </cell>
          <cell r="B624" t="str">
            <v>AF EURO HIGH YIELD SHORT TERM BOND</v>
          </cell>
          <cell r="C624" t="str">
            <v>Class G EUR (C)</v>
          </cell>
          <cell r="D624" t="str">
            <v>EUR</v>
          </cell>
          <cell r="E624" t="str">
            <v>03-Jan-2022</v>
          </cell>
          <cell r="F624">
            <v>69328280.219999999</v>
          </cell>
          <cell r="G624">
            <v>636141.951</v>
          </cell>
          <cell r="H624">
            <v>108.98</v>
          </cell>
          <cell r="I624">
            <v>0</v>
          </cell>
          <cell r="J624">
            <v>112.25</v>
          </cell>
        </row>
        <row r="625">
          <cell r="A625" t="str">
            <v>LU0945157344</v>
          </cell>
          <cell r="B625" t="str">
            <v>AF EURO HIGH YIELD SHORT TERM BOND</v>
          </cell>
          <cell r="C625" t="str">
            <v>Class G EUR MD (D)</v>
          </cell>
          <cell r="D625" t="str">
            <v>EUR</v>
          </cell>
          <cell r="E625" t="str">
            <v>03-Jan-2022</v>
          </cell>
          <cell r="F625">
            <v>9911000.9299999997</v>
          </cell>
          <cell r="G625">
            <v>108802.679</v>
          </cell>
          <cell r="H625">
            <v>91.09</v>
          </cell>
          <cell r="I625">
            <v>0.1145</v>
          </cell>
          <cell r="J625">
            <v>91.09</v>
          </cell>
        </row>
        <row r="626">
          <cell r="A626" t="str">
            <v>LU2036674187</v>
          </cell>
          <cell r="B626" t="str">
            <v>AF EURO HIGH YIELD SHORT TERM BOND</v>
          </cell>
          <cell r="C626" t="str">
            <v>Class X EUR (C)</v>
          </cell>
          <cell r="D626" t="str">
            <v>EUR</v>
          </cell>
          <cell r="E626" t="str">
            <v>03-Jan-2022</v>
          </cell>
          <cell r="F626">
            <v>40496758.009999998</v>
          </cell>
          <cell r="G626">
            <v>38773.097000000002</v>
          </cell>
          <cell r="H626">
            <v>1044.46</v>
          </cell>
          <cell r="I626">
            <v>0</v>
          </cell>
          <cell r="J626">
            <v>1044.46</v>
          </cell>
        </row>
        <row r="627">
          <cell r="A627" t="str">
            <v>LU0907913460</v>
          </cell>
          <cell r="B627" t="str">
            <v>AF EMERGING MARKETS HARD CURRENCY BOND</v>
          </cell>
          <cell r="C627" t="str">
            <v>Class A EUR (C)</v>
          </cell>
          <cell r="D627" t="str">
            <v>EUR</v>
          </cell>
          <cell r="E627" t="str">
            <v>03-Jan-2022</v>
          </cell>
          <cell r="F627">
            <v>74106177.189999998</v>
          </cell>
          <cell r="G627">
            <v>102443.648</v>
          </cell>
          <cell r="H627">
            <v>723.38</v>
          </cell>
          <cell r="I627">
            <v>0</v>
          </cell>
          <cell r="J627">
            <v>752.32</v>
          </cell>
        </row>
        <row r="628">
          <cell r="A628" t="str">
            <v>LU2070306191</v>
          </cell>
          <cell r="B628" t="str">
            <v>AF EMERGING MARKETS HARD CURRENCY BOND</v>
          </cell>
          <cell r="C628" t="str">
            <v>Class A5 EUR (C)</v>
          </cell>
          <cell r="D628" t="str">
            <v>EUR</v>
          </cell>
          <cell r="E628" t="str">
            <v>03-Jan-2022</v>
          </cell>
          <cell r="F628">
            <v>5116.92</v>
          </cell>
          <cell r="G628">
            <v>100</v>
          </cell>
          <cell r="H628">
            <v>51.17</v>
          </cell>
          <cell r="I628">
            <v>0</v>
          </cell>
          <cell r="J628">
            <v>51.17</v>
          </cell>
        </row>
        <row r="629">
          <cell r="A629" t="str">
            <v>LU1534104291</v>
          </cell>
          <cell r="B629" t="str">
            <v>AF EMERGING MARKETS HARD CURRENCY BOND</v>
          </cell>
          <cell r="C629" t="str">
            <v>Class A2 SGD Hgd MD (D)</v>
          </cell>
          <cell r="D629" t="str">
            <v>SGD</v>
          </cell>
          <cell r="E629" t="str">
            <v>03-Jan-2022</v>
          </cell>
          <cell r="F629">
            <v>1012.93</v>
          </cell>
          <cell r="G629">
            <v>11.566000000000001</v>
          </cell>
          <cell r="H629">
            <v>87.58</v>
          </cell>
          <cell r="I629">
            <v>0.35920000000000002</v>
          </cell>
          <cell r="J629">
            <v>87.58</v>
          </cell>
        </row>
        <row r="630">
          <cell r="A630" t="str">
            <v>LU1706539126</v>
          </cell>
          <cell r="B630" t="str">
            <v>AF EMERGING MARKETS HARD CURRENCY BOND</v>
          </cell>
          <cell r="C630" t="str">
            <v>Class Q-A5 EUR (C)</v>
          </cell>
          <cell r="D630" t="str">
            <v>EUR</v>
          </cell>
          <cell r="E630" t="str">
            <v>03-Jan-2022</v>
          </cell>
          <cell r="F630">
            <v>102.81</v>
          </cell>
          <cell r="G630">
            <v>1</v>
          </cell>
          <cell r="H630">
            <v>102.81</v>
          </cell>
          <cell r="I630">
            <v>0</v>
          </cell>
          <cell r="J630">
            <v>102.81</v>
          </cell>
        </row>
        <row r="631">
          <cell r="A631" t="str">
            <v>LU1534103723</v>
          </cell>
          <cell r="B631" t="str">
            <v>AF EMERGING MARKETS HARD CURRENCY BOND</v>
          </cell>
          <cell r="C631" t="str">
            <v>Class A2 SGD Hgd (C)</v>
          </cell>
          <cell r="D631" t="str">
            <v>SGD</v>
          </cell>
          <cell r="E631" t="str">
            <v>03-Jan-2022</v>
          </cell>
          <cell r="F631">
            <v>21195.54</v>
          </cell>
          <cell r="G631">
            <v>189.869</v>
          </cell>
          <cell r="H631">
            <v>111.63</v>
          </cell>
          <cell r="I631">
            <v>0</v>
          </cell>
          <cell r="J631">
            <v>111.63</v>
          </cell>
        </row>
        <row r="632">
          <cell r="A632" t="str">
            <v>LU1534102592</v>
          </cell>
          <cell r="B632" t="str">
            <v>AF EMERGING MARKETS HARD CURRENCY BOND</v>
          </cell>
          <cell r="C632" t="str">
            <v>Class A2 USD Hgd MD (D)</v>
          </cell>
          <cell r="D632" t="str">
            <v>USD</v>
          </cell>
          <cell r="E632" t="str">
            <v>03-Jan-2022</v>
          </cell>
          <cell r="F632">
            <v>133418.39000000001</v>
          </cell>
          <cell r="G632">
            <v>1504.3050000000001</v>
          </cell>
          <cell r="H632">
            <v>88.69</v>
          </cell>
          <cell r="I632">
            <v>0.3639</v>
          </cell>
          <cell r="J632">
            <v>88.69</v>
          </cell>
        </row>
        <row r="633">
          <cell r="A633" t="str">
            <v>LU0907913544</v>
          </cell>
          <cell r="B633" t="str">
            <v>AF EMERGING MARKETS HARD CURRENCY BOND</v>
          </cell>
          <cell r="C633" t="str">
            <v>Class A EUR AD (D)</v>
          </cell>
          <cell r="D633" t="str">
            <v>EUR</v>
          </cell>
          <cell r="E633" t="str">
            <v>03-Jan-2022</v>
          </cell>
          <cell r="F633">
            <v>472080.07</v>
          </cell>
          <cell r="G633">
            <v>1935.502</v>
          </cell>
          <cell r="H633">
            <v>243.91</v>
          </cell>
          <cell r="I633">
            <v>0</v>
          </cell>
          <cell r="J633">
            <v>253.67</v>
          </cell>
        </row>
        <row r="634">
          <cell r="A634" t="str">
            <v>LU2002720642</v>
          </cell>
          <cell r="B634" t="str">
            <v>AF EMERGING MARKETS HARD CURRENCY BOND</v>
          </cell>
          <cell r="C634" t="str">
            <v>Class M2 EUR ( C )</v>
          </cell>
          <cell r="D634" t="str">
            <v>EUR</v>
          </cell>
          <cell r="E634" t="str">
            <v>03-Jan-2022</v>
          </cell>
          <cell r="F634">
            <v>39091236.969999999</v>
          </cell>
          <cell r="G634">
            <v>38488.597999999998</v>
          </cell>
          <cell r="H634">
            <v>1015.66</v>
          </cell>
          <cell r="I634">
            <v>0</v>
          </cell>
          <cell r="J634">
            <v>1015.66</v>
          </cell>
        </row>
        <row r="635">
          <cell r="A635" t="str">
            <v>LU2002720725</v>
          </cell>
          <cell r="B635" t="str">
            <v>AF EMERGING MARKETS HARD CURRENCY BOND</v>
          </cell>
          <cell r="C635" t="str">
            <v>Class M2 EUR AD ( D )</v>
          </cell>
          <cell r="D635" t="str">
            <v>EUR</v>
          </cell>
          <cell r="E635" t="str">
            <v>03-Jan-2022</v>
          </cell>
          <cell r="F635">
            <v>4726.09</v>
          </cell>
          <cell r="G635">
            <v>5</v>
          </cell>
          <cell r="H635">
            <v>945.22</v>
          </cell>
          <cell r="I635">
            <v>0</v>
          </cell>
          <cell r="J635">
            <v>945.22</v>
          </cell>
        </row>
        <row r="636">
          <cell r="A636" t="str">
            <v>LU1534103137</v>
          </cell>
          <cell r="B636" t="str">
            <v>AF EMERGING MARKETS HARD CURRENCY BOND</v>
          </cell>
          <cell r="C636" t="str">
            <v>Class A2 EUR MD (D)</v>
          </cell>
          <cell r="D636" t="str">
            <v>EUR</v>
          </cell>
          <cell r="E636" t="str">
            <v>03-Jan-2022</v>
          </cell>
          <cell r="F636">
            <v>92434.77</v>
          </cell>
          <cell r="G636">
            <v>995</v>
          </cell>
          <cell r="H636">
            <v>92.9</v>
          </cell>
          <cell r="I636">
            <v>0.38379999999999997</v>
          </cell>
          <cell r="J636">
            <v>92.9</v>
          </cell>
        </row>
        <row r="637">
          <cell r="A637" t="str">
            <v>LU1778762168</v>
          </cell>
          <cell r="B637" t="str">
            <v>AF EMERGING MARKETS HARD CURRENCY BOND</v>
          </cell>
          <cell r="C637" t="str">
            <v>Class Q-A5 USD Hgd (C)</v>
          </cell>
          <cell r="D637" t="str">
            <v>USD</v>
          </cell>
          <cell r="E637" t="str">
            <v>03-Jan-2022</v>
          </cell>
          <cell r="F637">
            <v>112.77</v>
          </cell>
          <cell r="G637">
            <v>1</v>
          </cell>
          <cell r="H637">
            <v>112.77</v>
          </cell>
          <cell r="I637">
            <v>0</v>
          </cell>
          <cell r="J637">
            <v>112.77</v>
          </cell>
        </row>
        <row r="638">
          <cell r="A638" t="str">
            <v>LU1534102832</v>
          </cell>
          <cell r="B638" t="str">
            <v>AF EMERGING MARKETS HARD CURRENCY BOND</v>
          </cell>
          <cell r="C638" t="str">
            <v>Class A2 EUR (C)</v>
          </cell>
          <cell r="D638" t="str">
            <v>EUR</v>
          </cell>
          <cell r="E638" t="str">
            <v>03-Jan-2022</v>
          </cell>
          <cell r="F638">
            <v>8215.81</v>
          </cell>
          <cell r="G638">
            <v>83.122</v>
          </cell>
          <cell r="H638">
            <v>98.84</v>
          </cell>
          <cell r="I638">
            <v>0</v>
          </cell>
          <cell r="J638">
            <v>98.84</v>
          </cell>
        </row>
        <row r="639">
          <cell r="A639" t="str">
            <v>LU0907913890</v>
          </cell>
          <cell r="B639" t="str">
            <v>AF EMERGING MARKETS HARD CURRENCY BOND</v>
          </cell>
          <cell r="C639" t="str">
            <v>Class F2 EUR (C)</v>
          </cell>
          <cell r="D639" t="str">
            <v>EUR</v>
          </cell>
          <cell r="E639" t="str">
            <v>03-Jan-2022</v>
          </cell>
          <cell r="F639">
            <v>146938.22</v>
          </cell>
          <cell r="G639">
            <v>1377.5920000000001</v>
          </cell>
          <cell r="H639">
            <v>106.66</v>
          </cell>
          <cell r="I639">
            <v>0</v>
          </cell>
          <cell r="J639">
            <v>106.66</v>
          </cell>
        </row>
        <row r="640">
          <cell r="A640" t="str">
            <v>LU1191004966</v>
          </cell>
          <cell r="B640" t="str">
            <v>AF EMERGING MARKETS HARD CURRENCY BOND</v>
          </cell>
          <cell r="C640" t="str">
            <v>Class Q-I0 USD Hgd (C)</v>
          </cell>
          <cell r="D640" t="str">
            <v>USD</v>
          </cell>
          <cell r="E640" t="str">
            <v>03-Jan-2022</v>
          </cell>
          <cell r="F640">
            <v>384607989.54000002</v>
          </cell>
          <cell r="G640">
            <v>276845</v>
          </cell>
          <cell r="H640">
            <v>1389.25</v>
          </cell>
          <cell r="I640">
            <v>0</v>
          </cell>
          <cell r="J640">
            <v>1389.25</v>
          </cell>
        </row>
        <row r="641">
          <cell r="A641" t="str">
            <v>LU0907912579</v>
          </cell>
          <cell r="B641" t="str">
            <v>AF EMERGING MARKETS HARD CURRENCY BOND</v>
          </cell>
          <cell r="C641" t="str">
            <v>Class I EUR (C)</v>
          </cell>
          <cell r="D641" t="str">
            <v>EUR</v>
          </cell>
          <cell r="E641" t="str">
            <v>03-Jan-2022</v>
          </cell>
          <cell r="F641">
            <v>186118191.58000001</v>
          </cell>
          <cell r="G641">
            <v>4036.145</v>
          </cell>
          <cell r="H641">
            <v>46112.86</v>
          </cell>
          <cell r="I641">
            <v>0</v>
          </cell>
          <cell r="J641">
            <v>46112.86</v>
          </cell>
        </row>
        <row r="642">
          <cell r="A642" t="str">
            <v>LU1543737727</v>
          </cell>
          <cell r="B642" t="str">
            <v>AF EMERGING MARKETS HARD CURRENCY BOND</v>
          </cell>
          <cell r="C642" t="str">
            <v>Class I USD (C)</v>
          </cell>
          <cell r="D642" t="str">
            <v>USD</v>
          </cell>
          <cell r="E642" t="str">
            <v>03-Jan-2022</v>
          </cell>
          <cell r="F642">
            <v>29852.720000000001</v>
          </cell>
          <cell r="G642">
            <v>25</v>
          </cell>
          <cell r="H642">
            <v>1194.1099999999999</v>
          </cell>
          <cell r="I642">
            <v>0</v>
          </cell>
          <cell r="J642">
            <v>1194.1099999999999</v>
          </cell>
        </row>
        <row r="643">
          <cell r="A643" t="str">
            <v>LU2052288706</v>
          </cell>
          <cell r="B643" t="str">
            <v>AF EMERGING MARKETS HARD CURRENCY BOND</v>
          </cell>
          <cell r="C643" t="str">
            <v>Class I2 GBP (C)</v>
          </cell>
          <cell r="D643" t="str">
            <v>GBP</v>
          </cell>
          <cell r="E643" t="str">
            <v>03-Jan-2022</v>
          </cell>
          <cell r="F643">
            <v>4974</v>
          </cell>
          <cell r="G643">
            <v>5</v>
          </cell>
          <cell r="H643">
            <v>994.8</v>
          </cell>
          <cell r="I643">
            <v>0</v>
          </cell>
          <cell r="J643">
            <v>994.8</v>
          </cell>
        </row>
        <row r="644">
          <cell r="A644" t="str">
            <v>LU2070304659</v>
          </cell>
          <cell r="B644" t="str">
            <v>AF EMERGING MARKETS HARD CURRENCY BOND</v>
          </cell>
          <cell r="C644" t="str">
            <v>Class I2 CHF Hgd (C)</v>
          </cell>
          <cell r="D644" t="str">
            <v>CHF</v>
          </cell>
          <cell r="E644" t="str">
            <v>03-Jan-2022</v>
          </cell>
          <cell r="F644">
            <v>28301739.850000001</v>
          </cell>
          <cell r="G644">
            <v>27714.901999999998</v>
          </cell>
          <cell r="H644">
            <v>1021.17</v>
          </cell>
          <cell r="I644">
            <v>0</v>
          </cell>
          <cell r="J644">
            <v>1021.17</v>
          </cell>
        </row>
        <row r="645">
          <cell r="A645" t="str">
            <v>LU0907912736</v>
          </cell>
          <cell r="B645" t="str">
            <v>AF EMERGING MARKETS HARD CURRENCY BOND</v>
          </cell>
          <cell r="C645" t="str">
            <v>Class I USD Hgd (C)</v>
          </cell>
          <cell r="D645" t="str">
            <v>USD</v>
          </cell>
          <cell r="E645" t="str">
            <v>03-Jan-2022</v>
          </cell>
          <cell r="F645">
            <v>1337413.67</v>
          </cell>
          <cell r="G645">
            <v>1132.7850000000001</v>
          </cell>
          <cell r="H645">
            <v>1180.6400000000001</v>
          </cell>
          <cell r="I645">
            <v>0</v>
          </cell>
          <cell r="J645">
            <v>1180.6400000000001</v>
          </cell>
        </row>
        <row r="646">
          <cell r="A646" t="str">
            <v>LU0907912652</v>
          </cell>
          <cell r="B646" t="str">
            <v>AF EMERGING MARKETS HARD CURRENCY BOND</v>
          </cell>
          <cell r="C646" t="str">
            <v>Class I EUR AD (D)</v>
          </cell>
          <cell r="D646" t="str">
            <v>EUR</v>
          </cell>
          <cell r="E646" t="str">
            <v>03-Jan-2022</v>
          </cell>
          <cell r="F646">
            <v>82957832.930000007</v>
          </cell>
          <cell r="G646">
            <v>88688.163</v>
          </cell>
          <cell r="H646">
            <v>935.39</v>
          </cell>
          <cell r="I646">
            <v>0</v>
          </cell>
          <cell r="J646">
            <v>935.39</v>
          </cell>
        </row>
        <row r="647">
          <cell r="A647" t="str">
            <v>LU1543738535</v>
          </cell>
          <cell r="B647" t="str">
            <v>AF EMERGING MARKETS HARD CURRENCY BOND</v>
          </cell>
          <cell r="C647" t="str">
            <v>Class Q-I13 USD Hgd (C)</v>
          </cell>
          <cell r="D647" t="str">
            <v>USD</v>
          </cell>
          <cell r="E647" t="str">
            <v>03-Jan-2022</v>
          </cell>
          <cell r="F647">
            <v>1199.9100000000001</v>
          </cell>
          <cell r="G647">
            <v>1</v>
          </cell>
          <cell r="H647">
            <v>1199.9100000000001</v>
          </cell>
          <cell r="I647">
            <v>0</v>
          </cell>
          <cell r="J647">
            <v>1199.9100000000001</v>
          </cell>
        </row>
        <row r="648">
          <cell r="A648" t="str">
            <v>LU0907913031</v>
          </cell>
          <cell r="B648" t="str">
            <v>AF EMERGING MARKETS HARD CURRENCY BOND</v>
          </cell>
          <cell r="C648" t="str">
            <v>Class M EUR (C)</v>
          </cell>
          <cell r="D648" t="str">
            <v>EUR</v>
          </cell>
          <cell r="E648" t="str">
            <v>03-Jan-2022</v>
          </cell>
          <cell r="F648">
            <v>760479.56</v>
          </cell>
          <cell r="G648">
            <v>6403.0910000000003</v>
          </cell>
          <cell r="H648">
            <v>118.77</v>
          </cell>
          <cell r="I648">
            <v>0</v>
          </cell>
          <cell r="J648">
            <v>118.77</v>
          </cell>
        </row>
        <row r="649">
          <cell r="A649" t="str">
            <v>LU0907913114</v>
          </cell>
          <cell r="B649" t="str">
            <v>AF EMERGING MARKETS HARD CURRENCY BOND</v>
          </cell>
          <cell r="C649" t="str">
            <v>Class O EUR (C)</v>
          </cell>
          <cell r="D649" t="str">
            <v>EUR</v>
          </cell>
          <cell r="E649" t="str">
            <v>03-Jan-2022</v>
          </cell>
          <cell r="F649">
            <v>18551632.260000002</v>
          </cell>
          <cell r="G649">
            <v>14419.857</v>
          </cell>
          <cell r="H649">
            <v>1286.53</v>
          </cell>
          <cell r="I649">
            <v>0</v>
          </cell>
          <cell r="J649">
            <v>1286.53</v>
          </cell>
        </row>
        <row r="650">
          <cell r="A650" t="str">
            <v>LU1756691595</v>
          </cell>
          <cell r="B650" t="str">
            <v>AF EMERGING MARKETS HARD CURRENCY BOND</v>
          </cell>
          <cell r="C650" t="str">
            <v>Class R EUR (C)</v>
          </cell>
          <cell r="D650" t="str">
            <v>EUR</v>
          </cell>
          <cell r="E650" t="str">
            <v>03-Jan-2022</v>
          </cell>
          <cell r="F650">
            <v>2431892.4500000002</v>
          </cell>
          <cell r="G650">
            <v>23397.053</v>
          </cell>
          <cell r="H650">
            <v>103.94</v>
          </cell>
          <cell r="I650">
            <v>0</v>
          </cell>
          <cell r="J650">
            <v>103.94</v>
          </cell>
        </row>
        <row r="651">
          <cell r="A651" t="str">
            <v>LU0907913627</v>
          </cell>
          <cell r="B651" t="str">
            <v>AF EMERGING MARKETS HARD CURRENCY BOND</v>
          </cell>
          <cell r="C651" t="str">
            <v>Class G EUR (C)</v>
          </cell>
          <cell r="D651" t="str">
            <v>EUR</v>
          </cell>
          <cell r="E651" t="str">
            <v>03-Jan-2022</v>
          </cell>
          <cell r="F651">
            <v>3825079.83</v>
          </cell>
          <cell r="G651">
            <v>33592.589</v>
          </cell>
          <cell r="H651">
            <v>113.87</v>
          </cell>
          <cell r="I651">
            <v>0</v>
          </cell>
          <cell r="J651">
            <v>117.29</v>
          </cell>
        </row>
        <row r="652">
          <cell r="A652" t="str">
            <v>LU1602583905</v>
          </cell>
          <cell r="B652" t="str">
            <v>AF EMERGING MARKETS HARD CURRENCY BOND</v>
          </cell>
          <cell r="C652" t="str">
            <v>Class Q-I14 USD Hgd (C)</v>
          </cell>
          <cell r="D652" t="str">
            <v>USD</v>
          </cell>
          <cell r="E652" t="str">
            <v>03-Jan-2022</v>
          </cell>
          <cell r="F652">
            <v>1641308.23</v>
          </cell>
          <cell r="G652">
            <v>1427.654</v>
          </cell>
          <cell r="H652">
            <v>1149.6500000000001</v>
          </cell>
          <cell r="I652">
            <v>0</v>
          </cell>
          <cell r="J652">
            <v>1149.6500000000001</v>
          </cell>
        </row>
        <row r="653">
          <cell r="A653" t="str">
            <v>LU1998920968</v>
          </cell>
          <cell r="B653" t="str">
            <v>AF EMERGING MARKETS HARD CURRENCY BOND</v>
          </cell>
          <cell r="C653" t="str">
            <v>Class X EUR  ( C )</v>
          </cell>
          <cell r="D653" t="str">
            <v>EUR</v>
          </cell>
          <cell r="E653" t="str">
            <v>03-Jan-2022</v>
          </cell>
          <cell r="F653">
            <v>35687928.350000001</v>
          </cell>
          <cell r="G653">
            <v>34630.464</v>
          </cell>
          <cell r="H653">
            <v>1030.54</v>
          </cell>
          <cell r="I653">
            <v>0</v>
          </cell>
          <cell r="J653">
            <v>1030.54</v>
          </cell>
        </row>
        <row r="654">
          <cell r="A654" t="str">
            <v>LU0907915168</v>
          </cell>
          <cell r="B654" t="str">
            <v>AMUNDI FUNDS SUSTAINABLE GLOBAL PERSPECTIVES</v>
          </cell>
          <cell r="C654" t="str">
            <v>Class A EUR (C)</v>
          </cell>
          <cell r="D654" t="str">
            <v>EUR</v>
          </cell>
          <cell r="E654" t="str">
            <v>03-Jan-2022</v>
          </cell>
          <cell r="F654">
            <v>110124379.06999999</v>
          </cell>
          <cell r="G654">
            <v>866250.22199999995</v>
          </cell>
          <cell r="H654">
            <v>127.13</v>
          </cell>
          <cell r="I654">
            <v>0</v>
          </cell>
          <cell r="J654">
            <v>132.85</v>
          </cell>
        </row>
        <row r="655">
          <cell r="A655" t="str">
            <v>LU1327398548</v>
          </cell>
          <cell r="B655" t="str">
            <v>AMUNDI FUNDS SUSTAINABLE GLOBAL PERSPECTIVES</v>
          </cell>
          <cell r="C655" t="str">
            <v>Class A CZK Hgd (C)</v>
          </cell>
          <cell r="D655" t="str">
            <v>CZK</v>
          </cell>
          <cell r="E655" t="str">
            <v>03-Jan-2022</v>
          </cell>
          <cell r="F655">
            <v>645390881.96000004</v>
          </cell>
          <cell r="G655">
            <v>214711.867</v>
          </cell>
          <cell r="H655">
            <v>3005.85</v>
          </cell>
          <cell r="I655">
            <v>0</v>
          </cell>
          <cell r="J655">
            <v>3005.85</v>
          </cell>
        </row>
        <row r="656">
          <cell r="A656" t="str">
            <v>LU0907915242</v>
          </cell>
          <cell r="B656" t="str">
            <v>AMUNDI FUNDS SUSTAINABLE GLOBAL PERSPECTIVES</v>
          </cell>
          <cell r="C656" t="str">
            <v>Class A EUR AD (D)</v>
          </cell>
          <cell r="D656" t="str">
            <v>EUR</v>
          </cell>
          <cell r="E656" t="str">
            <v>03-Jan-2022</v>
          </cell>
          <cell r="F656">
            <v>28817041.559999999</v>
          </cell>
          <cell r="G656">
            <v>241990.27799999999</v>
          </cell>
          <cell r="H656">
            <v>119.08</v>
          </cell>
          <cell r="I656">
            <v>0</v>
          </cell>
          <cell r="J656">
            <v>124.44</v>
          </cell>
        </row>
        <row r="657">
          <cell r="A657" t="str">
            <v>LU2002722770</v>
          </cell>
          <cell r="B657" t="str">
            <v>AMUNDI FUNDS SUSTAINABLE GLOBAL PERSPECTIVES</v>
          </cell>
          <cell r="C657" t="str">
            <v>Class M2 EUR ( C )</v>
          </cell>
          <cell r="D657" t="str">
            <v>EUR</v>
          </cell>
          <cell r="E657" t="str">
            <v>03-Jan-2022</v>
          </cell>
          <cell r="F657">
            <v>6202.2</v>
          </cell>
          <cell r="G657">
            <v>5</v>
          </cell>
          <cell r="H657">
            <v>1240.44</v>
          </cell>
          <cell r="I657">
            <v>0</v>
          </cell>
          <cell r="J657">
            <v>1240.44</v>
          </cell>
        </row>
        <row r="658">
          <cell r="A658" t="str">
            <v>LU2199618716</v>
          </cell>
          <cell r="B658" t="str">
            <v>AMUNDI FUNDS SUSTAINABLE GLOBAL PERSPECTIVES</v>
          </cell>
          <cell r="C658" t="str">
            <v>Class I2 CZK Hgd (C)</v>
          </cell>
          <cell r="D658" t="str">
            <v>CZK</v>
          </cell>
          <cell r="E658" t="str">
            <v>03-Jan-2022</v>
          </cell>
          <cell r="F658">
            <v>18919177.359999999</v>
          </cell>
          <cell r="G658">
            <v>1724.098</v>
          </cell>
          <cell r="H658">
            <v>10973.38</v>
          </cell>
          <cell r="I658">
            <v>0</v>
          </cell>
          <cell r="J658">
            <v>10973.38</v>
          </cell>
        </row>
        <row r="659">
          <cell r="A659" t="str">
            <v>LU2018720735</v>
          </cell>
          <cell r="B659" t="str">
            <v>AMUNDI FUNDS SUSTAINABLE GLOBAL PERSPECTIVES</v>
          </cell>
          <cell r="C659" t="str">
            <v>Class F EUR (C)</v>
          </cell>
          <cell r="D659" t="str">
            <v>EUR</v>
          </cell>
          <cell r="E659" t="str">
            <v>03-Jan-2022</v>
          </cell>
          <cell r="F659">
            <v>1695248.31</v>
          </cell>
          <cell r="G659">
            <v>289521.451</v>
          </cell>
          <cell r="H659">
            <v>5.8550000000000004</v>
          </cell>
          <cell r="I659">
            <v>0</v>
          </cell>
          <cell r="J659">
            <v>5.8550000000000004</v>
          </cell>
        </row>
        <row r="660">
          <cell r="A660" t="str">
            <v>LU0907915598</v>
          </cell>
          <cell r="B660" t="str">
            <v>AMUNDI FUNDS SUSTAINABLE GLOBAL PERSPECTIVES</v>
          </cell>
          <cell r="C660" t="str">
            <v>Class F2 EUR (C)</v>
          </cell>
          <cell r="D660" t="str">
            <v>EUR</v>
          </cell>
          <cell r="E660" t="str">
            <v>03-Jan-2022</v>
          </cell>
          <cell r="F660">
            <v>16079493.24</v>
          </cell>
          <cell r="G660">
            <v>130363.836</v>
          </cell>
          <cell r="H660">
            <v>123.34</v>
          </cell>
          <cell r="I660">
            <v>0</v>
          </cell>
          <cell r="J660">
            <v>123.34</v>
          </cell>
        </row>
        <row r="661">
          <cell r="A661" t="str">
            <v>LU0907914518</v>
          </cell>
          <cell r="B661" t="str">
            <v>AMUNDI FUNDS SUSTAINABLE GLOBAL PERSPECTIVES</v>
          </cell>
          <cell r="C661" t="str">
            <v>Class I EUR (C)</v>
          </cell>
          <cell r="D661" t="str">
            <v>EUR</v>
          </cell>
          <cell r="E661" t="str">
            <v>03-Jan-2022</v>
          </cell>
          <cell r="F661">
            <v>4124881.12</v>
          </cell>
          <cell r="G661">
            <v>3080.12</v>
          </cell>
          <cell r="H661">
            <v>1339.19</v>
          </cell>
          <cell r="I661">
            <v>0</v>
          </cell>
          <cell r="J661">
            <v>1339.19</v>
          </cell>
        </row>
        <row r="662">
          <cell r="A662" t="str">
            <v>LU2330498168</v>
          </cell>
          <cell r="B662" t="str">
            <v>AMUNDI FUNDS SUSTAINABLE GLOBAL PERSPECTIVES</v>
          </cell>
          <cell r="C662" t="str">
            <v>Class I USD (C)</v>
          </cell>
          <cell r="D662" t="str">
            <v>USD</v>
          </cell>
          <cell r="E662" t="str">
            <v>03-Jan-2022</v>
          </cell>
          <cell r="F662">
            <v>77535.679999999993</v>
          </cell>
          <cell r="G662">
            <v>77.944000000000003</v>
          </cell>
          <cell r="H662">
            <v>994.76</v>
          </cell>
          <cell r="I662">
            <v>0</v>
          </cell>
          <cell r="J662">
            <v>994.76</v>
          </cell>
        </row>
        <row r="663">
          <cell r="A663" t="str">
            <v>LU0907914609</v>
          </cell>
          <cell r="B663" t="str">
            <v>AMUNDI FUNDS SUSTAINABLE GLOBAL PERSPECTIVES</v>
          </cell>
          <cell r="C663" t="str">
            <v>Class I EUR AD (D)</v>
          </cell>
          <cell r="D663" t="str">
            <v>EUR</v>
          </cell>
          <cell r="E663" t="str">
            <v>03-Jan-2022</v>
          </cell>
          <cell r="F663">
            <v>252153.33</v>
          </cell>
          <cell r="G663">
            <v>200</v>
          </cell>
          <cell r="H663">
            <v>1260.77</v>
          </cell>
          <cell r="I663">
            <v>0</v>
          </cell>
          <cell r="J663">
            <v>1260.77</v>
          </cell>
        </row>
        <row r="664">
          <cell r="A664" t="str">
            <v>LU0907914781</v>
          </cell>
          <cell r="B664" t="str">
            <v>AMUNDI FUNDS SUSTAINABLE GLOBAL PERSPECTIVES</v>
          </cell>
          <cell r="C664" t="str">
            <v>Class M EUR (C)</v>
          </cell>
          <cell r="D664" t="str">
            <v>EUR</v>
          </cell>
          <cell r="E664" t="str">
            <v>03-Jan-2022</v>
          </cell>
          <cell r="F664">
            <v>6818793.9500000002</v>
          </cell>
          <cell r="G664">
            <v>51118.36</v>
          </cell>
          <cell r="H664">
            <v>133.38999999999999</v>
          </cell>
          <cell r="I664">
            <v>0</v>
          </cell>
          <cell r="J664">
            <v>133.38999999999999</v>
          </cell>
        </row>
        <row r="665">
          <cell r="A665" t="str">
            <v>LU1049757476</v>
          </cell>
          <cell r="B665" t="str">
            <v>AMUNDI FUNDS SUSTAINABLE GLOBAL PERSPECTIVES</v>
          </cell>
          <cell r="C665" t="str">
            <v>Class R EUR (C)</v>
          </cell>
          <cell r="D665" t="str">
            <v>EUR</v>
          </cell>
          <cell r="E665" t="str">
            <v>03-Jan-2022</v>
          </cell>
          <cell r="F665">
            <v>722690.08</v>
          </cell>
          <cell r="G665">
            <v>5428.3159999999998</v>
          </cell>
          <cell r="H665">
            <v>133.13</v>
          </cell>
          <cell r="I665">
            <v>0</v>
          </cell>
          <cell r="J665">
            <v>133.13</v>
          </cell>
        </row>
        <row r="666">
          <cell r="A666" t="str">
            <v>LU1049757559</v>
          </cell>
          <cell r="B666" t="str">
            <v>AMUNDI FUNDS SUSTAINABLE GLOBAL PERSPECTIVES</v>
          </cell>
          <cell r="C666" t="str">
            <v>Class R EUR AD (D)</v>
          </cell>
          <cell r="D666" t="str">
            <v>EUR</v>
          </cell>
          <cell r="E666" t="str">
            <v>03-Jan-2022</v>
          </cell>
          <cell r="F666">
            <v>1258.58</v>
          </cell>
          <cell r="G666">
            <v>10</v>
          </cell>
          <cell r="H666">
            <v>125.86</v>
          </cell>
          <cell r="I666">
            <v>0</v>
          </cell>
          <cell r="J666">
            <v>125.86</v>
          </cell>
        </row>
        <row r="667">
          <cell r="A667" t="str">
            <v>LU0907915325</v>
          </cell>
          <cell r="B667" t="str">
            <v>AMUNDI FUNDS SUSTAINABLE GLOBAL PERSPECTIVES</v>
          </cell>
          <cell r="C667" t="str">
            <v>Class G EUR (C)</v>
          </cell>
          <cell r="D667" t="str">
            <v>EUR</v>
          </cell>
          <cell r="E667" t="str">
            <v>03-Jan-2022</v>
          </cell>
          <cell r="F667">
            <v>113868218.11</v>
          </cell>
          <cell r="G667">
            <v>915981.15899999999</v>
          </cell>
          <cell r="H667">
            <v>124.31</v>
          </cell>
          <cell r="I667">
            <v>0</v>
          </cell>
          <cell r="J667">
            <v>128.04</v>
          </cell>
        </row>
        <row r="668">
          <cell r="A668" t="str">
            <v>LU0945151578</v>
          </cell>
          <cell r="B668" t="str">
            <v>AF EURO CORPORATE SHORT TERM BOND</v>
          </cell>
          <cell r="C668" t="str">
            <v>Class A EUR (C)</v>
          </cell>
          <cell r="D668" t="str">
            <v>EUR</v>
          </cell>
          <cell r="E668" t="str">
            <v>03-Jan-2022</v>
          </cell>
          <cell r="F668">
            <v>1646860.25</v>
          </cell>
          <cell r="G668">
            <v>16563.004000000001</v>
          </cell>
          <cell r="H668">
            <v>99.43</v>
          </cell>
          <cell r="I668">
            <v>0</v>
          </cell>
          <cell r="J668">
            <v>102.41</v>
          </cell>
        </row>
        <row r="669">
          <cell r="A669" t="str">
            <v>LU2002721020</v>
          </cell>
          <cell r="B669" t="str">
            <v>AF EURO CORPORATE SHORT TERM BOND</v>
          </cell>
          <cell r="C669" t="str">
            <v>Class M2 EUR ( C )</v>
          </cell>
          <cell r="D669" t="str">
            <v>EUR</v>
          </cell>
          <cell r="E669" t="str">
            <v>03-Jan-2022</v>
          </cell>
          <cell r="F669">
            <v>14688489.93</v>
          </cell>
          <cell r="G669">
            <v>14639.334999999999</v>
          </cell>
          <cell r="H669">
            <v>1003.36</v>
          </cell>
          <cell r="I669">
            <v>0</v>
          </cell>
          <cell r="J669">
            <v>1003.36</v>
          </cell>
        </row>
        <row r="670">
          <cell r="A670" t="str">
            <v>LU0945151818</v>
          </cell>
          <cell r="B670" t="str">
            <v>AF EURO CORPORATE SHORT TERM BOND</v>
          </cell>
          <cell r="C670" t="str">
            <v>Class F2 EUR (C)</v>
          </cell>
          <cell r="D670" t="str">
            <v>EUR</v>
          </cell>
          <cell r="E670" t="str">
            <v>03-Jan-2022</v>
          </cell>
          <cell r="F670">
            <v>637248.06999999995</v>
          </cell>
          <cell r="G670">
            <v>6628.76</v>
          </cell>
          <cell r="H670">
            <v>96.13</v>
          </cell>
          <cell r="I670">
            <v>0</v>
          </cell>
          <cell r="J670">
            <v>96.13</v>
          </cell>
        </row>
        <row r="671">
          <cell r="A671" t="str">
            <v>LU2036674260</v>
          </cell>
          <cell r="B671" t="str">
            <v>AF EURO CORPORATE SHORT TERM BOND</v>
          </cell>
          <cell r="C671" t="str">
            <v>Class H EUR (C)</v>
          </cell>
          <cell r="D671" t="str">
            <v>EUR</v>
          </cell>
          <cell r="E671" t="str">
            <v>03-Jan-2022</v>
          </cell>
          <cell r="F671">
            <v>5058.25</v>
          </cell>
          <cell r="G671">
            <v>5</v>
          </cell>
          <cell r="H671">
            <v>1011.65</v>
          </cell>
          <cell r="I671">
            <v>0</v>
          </cell>
          <cell r="J671">
            <v>1011.65</v>
          </cell>
        </row>
        <row r="672">
          <cell r="A672" t="str">
            <v>LU0945150927</v>
          </cell>
          <cell r="B672" t="str">
            <v>AF EURO CORPORATE SHORT TERM BOND</v>
          </cell>
          <cell r="C672" t="str">
            <v>Class I EUR (C)</v>
          </cell>
          <cell r="D672" t="str">
            <v>EUR</v>
          </cell>
          <cell r="E672" t="str">
            <v>03-Jan-2022</v>
          </cell>
          <cell r="F672">
            <v>40579555.640000001</v>
          </cell>
          <cell r="G672">
            <v>39441.012999999999</v>
          </cell>
          <cell r="H672">
            <v>1028.8699999999999</v>
          </cell>
          <cell r="I672">
            <v>0</v>
          </cell>
          <cell r="J672">
            <v>1028.8699999999999</v>
          </cell>
        </row>
        <row r="673">
          <cell r="A673" t="str">
            <v>LU0945151065</v>
          </cell>
          <cell r="B673" t="str">
            <v>AF EURO CORPORATE SHORT TERM BOND</v>
          </cell>
          <cell r="C673" t="str">
            <v>Class I EUR AD (D)</v>
          </cell>
          <cell r="D673" t="str">
            <v>EUR</v>
          </cell>
          <cell r="E673" t="str">
            <v>03-Jan-2022</v>
          </cell>
          <cell r="F673">
            <v>34814988.189999998</v>
          </cell>
          <cell r="G673">
            <v>36128.627999999997</v>
          </cell>
          <cell r="H673">
            <v>963.64</v>
          </cell>
          <cell r="I673">
            <v>0</v>
          </cell>
          <cell r="J673">
            <v>963.64</v>
          </cell>
        </row>
        <row r="674">
          <cell r="A674" t="str">
            <v>LU0945151149</v>
          </cell>
          <cell r="B674" t="str">
            <v>AF EURO CORPORATE SHORT TERM BOND</v>
          </cell>
          <cell r="C674" t="str">
            <v>Class M EUR (C)</v>
          </cell>
          <cell r="D674" t="str">
            <v>EUR</v>
          </cell>
          <cell r="E674" t="str">
            <v>03-Jan-2022</v>
          </cell>
          <cell r="F674">
            <v>1420329.06</v>
          </cell>
          <cell r="G674">
            <v>14016.81</v>
          </cell>
          <cell r="H674">
            <v>101.33</v>
          </cell>
          <cell r="I674">
            <v>0</v>
          </cell>
          <cell r="J674">
            <v>101.33</v>
          </cell>
        </row>
        <row r="675">
          <cell r="A675" t="str">
            <v>LU0945151495</v>
          </cell>
          <cell r="B675" t="str">
            <v>AF EURO CORPORATE SHORT TERM BOND</v>
          </cell>
          <cell r="C675" t="str">
            <v>Class OR EUR (C)</v>
          </cell>
          <cell r="D675" t="str">
            <v>EUR</v>
          </cell>
          <cell r="E675" t="str">
            <v>03-Jan-2022</v>
          </cell>
          <cell r="F675">
            <v>30692042.620000001</v>
          </cell>
          <cell r="G675">
            <v>962.25599999999997</v>
          </cell>
          <cell r="H675">
            <v>31895.919999999998</v>
          </cell>
          <cell r="I675">
            <v>0</v>
          </cell>
          <cell r="J675">
            <v>31895.919999999998</v>
          </cell>
        </row>
        <row r="676">
          <cell r="A676" t="str">
            <v>LU0987188264</v>
          </cell>
          <cell r="B676" t="str">
            <v>AF EURO CORPORATE SHORT TERM BOND</v>
          </cell>
          <cell r="C676" t="str">
            <v>Class R EUR (C)</v>
          </cell>
          <cell r="D676" t="str">
            <v>EUR</v>
          </cell>
          <cell r="E676" t="str">
            <v>03-Jan-2022</v>
          </cell>
          <cell r="F676">
            <v>2464418.0099999998</v>
          </cell>
          <cell r="G676">
            <v>24903.856</v>
          </cell>
          <cell r="H676">
            <v>98.96</v>
          </cell>
          <cell r="I676">
            <v>0</v>
          </cell>
          <cell r="J676">
            <v>98.96</v>
          </cell>
        </row>
        <row r="677">
          <cell r="A677" t="str">
            <v>LU0945151735</v>
          </cell>
          <cell r="B677" t="str">
            <v>AF EURO CORPORATE SHORT TERM BOND</v>
          </cell>
          <cell r="C677" t="str">
            <v>Class G EUR (C)</v>
          </cell>
          <cell r="D677" t="str">
            <v>EUR</v>
          </cell>
          <cell r="E677" t="str">
            <v>03-Jan-2022</v>
          </cell>
          <cell r="F677">
            <v>4483902.3</v>
          </cell>
          <cell r="G677">
            <v>45647.682000000001</v>
          </cell>
          <cell r="H677">
            <v>98.23</v>
          </cell>
          <cell r="I677">
            <v>0</v>
          </cell>
          <cell r="J677">
            <v>101.18</v>
          </cell>
        </row>
        <row r="678">
          <cell r="A678" t="str">
            <v>LU1998921180</v>
          </cell>
          <cell r="B678" t="str">
            <v>AF EURO CORPORATE SHORT TERM BOND</v>
          </cell>
          <cell r="C678" t="str">
            <v>Class X EUR  ( C )</v>
          </cell>
          <cell r="D678" t="str">
            <v>EUR</v>
          </cell>
          <cell r="E678" t="str">
            <v>03-Jan-2022</v>
          </cell>
          <cell r="F678">
            <v>2025807.72</v>
          </cell>
          <cell r="G678">
            <v>2000</v>
          </cell>
          <cell r="H678">
            <v>1012.9</v>
          </cell>
          <cell r="I678">
            <v>0</v>
          </cell>
          <cell r="J678">
            <v>1012.9</v>
          </cell>
        </row>
        <row r="679">
          <cell r="A679" t="str">
            <v>LU1162497827</v>
          </cell>
          <cell r="B679" t="str">
            <v>AF PIONEER US CORPORATE BOND</v>
          </cell>
          <cell r="C679" t="str">
            <v>Class A USD (C)</v>
          </cell>
          <cell r="D679" t="str">
            <v>USD</v>
          </cell>
          <cell r="E679" t="str">
            <v>03-Jan-2022</v>
          </cell>
          <cell r="F679">
            <v>1482481.24</v>
          </cell>
          <cell r="G679">
            <v>10704.450999999999</v>
          </cell>
          <cell r="H679">
            <v>138.49</v>
          </cell>
          <cell r="I679">
            <v>0</v>
          </cell>
          <cell r="J679">
            <v>144.03</v>
          </cell>
        </row>
        <row r="680">
          <cell r="A680" t="str">
            <v>LU1162498122</v>
          </cell>
          <cell r="B680" t="str">
            <v>AF PIONEER US CORPORATE BOND</v>
          </cell>
          <cell r="C680" t="str">
            <v>Class A EUR Hgd (C)</v>
          </cell>
          <cell r="D680" t="str">
            <v>EUR</v>
          </cell>
          <cell r="E680" t="str">
            <v>03-Jan-2022</v>
          </cell>
          <cell r="F680">
            <v>3597772.72</v>
          </cell>
          <cell r="G680">
            <v>31259.77</v>
          </cell>
          <cell r="H680">
            <v>115.09</v>
          </cell>
          <cell r="I680">
            <v>0</v>
          </cell>
          <cell r="J680">
            <v>119.69</v>
          </cell>
        </row>
        <row r="681">
          <cell r="A681" t="str">
            <v>LU1408339320</v>
          </cell>
          <cell r="B681" t="str">
            <v>AF PIONEER US CORPORATE BOND</v>
          </cell>
          <cell r="C681" t="str">
            <v>Class Q-A3 SEK Hgd (C)</v>
          </cell>
          <cell r="D681" t="str">
            <v>SEK</v>
          </cell>
          <cell r="E681" t="str">
            <v>03-Jan-2022</v>
          </cell>
          <cell r="F681">
            <v>667922.17000000004</v>
          </cell>
          <cell r="G681">
            <v>5662.2820000000002</v>
          </cell>
          <cell r="H681">
            <v>117.96</v>
          </cell>
          <cell r="I681">
            <v>0</v>
          </cell>
          <cell r="J681">
            <v>117.96</v>
          </cell>
        </row>
        <row r="682">
          <cell r="A682" t="str">
            <v>LU1162498049</v>
          </cell>
          <cell r="B682" t="str">
            <v>AF PIONEER US CORPORATE BOND</v>
          </cell>
          <cell r="C682" t="str">
            <v>Class A USD AD (D)</v>
          </cell>
          <cell r="D682" t="str">
            <v>USD</v>
          </cell>
          <cell r="E682" t="str">
            <v>03-Jan-2022</v>
          </cell>
          <cell r="F682">
            <v>279119.37</v>
          </cell>
          <cell r="G682">
            <v>2665.5949999999998</v>
          </cell>
          <cell r="H682">
            <v>104.71</v>
          </cell>
          <cell r="I682">
            <v>0</v>
          </cell>
          <cell r="J682">
            <v>108.9</v>
          </cell>
        </row>
        <row r="683">
          <cell r="A683" t="str">
            <v>LU2002723588</v>
          </cell>
          <cell r="B683" t="str">
            <v>AF PIONEER US CORPORATE BOND</v>
          </cell>
          <cell r="C683" t="str">
            <v>Class M2 EUR Hgd (C)</v>
          </cell>
          <cell r="D683" t="str">
            <v>EUR</v>
          </cell>
          <cell r="E683" t="str">
            <v>03-Jan-2022</v>
          </cell>
          <cell r="F683">
            <v>109937.09</v>
          </cell>
          <cell r="G683">
            <v>100</v>
          </cell>
          <cell r="H683">
            <v>1099.3699999999999</v>
          </cell>
          <cell r="I683">
            <v>0</v>
          </cell>
          <cell r="J683">
            <v>1099.3699999999999</v>
          </cell>
        </row>
        <row r="684">
          <cell r="A684" t="str">
            <v>LU1162498551</v>
          </cell>
          <cell r="B684" t="str">
            <v>AF PIONEER US CORPORATE BOND</v>
          </cell>
          <cell r="C684" t="str">
            <v>Class F2 USD (C)</v>
          </cell>
          <cell r="D684" t="str">
            <v>USD</v>
          </cell>
          <cell r="E684" t="str">
            <v>03-Jan-2022</v>
          </cell>
          <cell r="F684">
            <v>479449.93</v>
          </cell>
          <cell r="G684">
            <v>3716.2530000000002</v>
          </cell>
          <cell r="H684">
            <v>129.01</v>
          </cell>
          <cell r="I684">
            <v>0</v>
          </cell>
          <cell r="J684">
            <v>129.01</v>
          </cell>
        </row>
        <row r="685">
          <cell r="A685" t="str">
            <v>LU1162498635</v>
          </cell>
          <cell r="B685" t="str">
            <v>AF PIONEER US CORPORATE BOND</v>
          </cell>
          <cell r="C685" t="str">
            <v>Class F2 EUR Hgd (C)</v>
          </cell>
          <cell r="D685" t="str">
            <v>EUR</v>
          </cell>
          <cell r="E685" t="str">
            <v>03-Jan-2022</v>
          </cell>
          <cell r="F685">
            <v>80365.59</v>
          </cell>
          <cell r="G685">
            <v>703.52599999999995</v>
          </cell>
          <cell r="H685">
            <v>114.23</v>
          </cell>
          <cell r="I685">
            <v>0</v>
          </cell>
          <cell r="J685">
            <v>114.23</v>
          </cell>
        </row>
        <row r="686">
          <cell r="A686" t="str">
            <v>LU1162497157</v>
          </cell>
          <cell r="B686" t="str">
            <v>AF PIONEER US CORPORATE BOND</v>
          </cell>
          <cell r="C686" t="str">
            <v>Class I USD (C)</v>
          </cell>
          <cell r="D686" t="str">
            <v>USD</v>
          </cell>
          <cell r="E686" t="str">
            <v>03-Jan-2022</v>
          </cell>
          <cell r="F686">
            <v>201032864.09</v>
          </cell>
          <cell r="G686">
            <v>142833.144</v>
          </cell>
          <cell r="H686">
            <v>1407.47</v>
          </cell>
          <cell r="I686">
            <v>0</v>
          </cell>
          <cell r="J686">
            <v>1407.47</v>
          </cell>
        </row>
        <row r="687">
          <cell r="A687" t="str">
            <v>LU1162497314</v>
          </cell>
          <cell r="B687" t="str">
            <v>AF PIONEER US CORPORATE BOND</v>
          </cell>
          <cell r="C687" t="str">
            <v>Class I EUR Hgd (C)</v>
          </cell>
          <cell r="D687" t="str">
            <v>EUR</v>
          </cell>
          <cell r="E687" t="str">
            <v>03-Jan-2022</v>
          </cell>
          <cell r="F687">
            <v>19217013.960000001</v>
          </cell>
          <cell r="G687">
            <v>15565.869000000001</v>
          </cell>
          <cell r="H687">
            <v>1234.56</v>
          </cell>
          <cell r="I687">
            <v>0</v>
          </cell>
          <cell r="J687">
            <v>1234.56</v>
          </cell>
        </row>
        <row r="688">
          <cell r="A688" t="str">
            <v>LU2162036078</v>
          </cell>
          <cell r="B688" t="str">
            <v>AF PIONEER US CORPORATE BOND</v>
          </cell>
          <cell r="C688" t="str">
            <v>Class I2 EUR Hgd (C)</v>
          </cell>
          <cell r="D688" t="str">
            <v>EUR</v>
          </cell>
          <cell r="E688" t="str">
            <v>03-Jan-2022</v>
          </cell>
          <cell r="F688">
            <v>9962443.8300000001</v>
          </cell>
          <cell r="G688">
            <v>10000</v>
          </cell>
          <cell r="H688">
            <v>996.24</v>
          </cell>
          <cell r="I688">
            <v>0</v>
          </cell>
          <cell r="J688">
            <v>996.24</v>
          </cell>
        </row>
        <row r="689">
          <cell r="A689" t="str">
            <v>LU2085676166</v>
          </cell>
          <cell r="B689" t="str">
            <v>AF PIONEER US CORPORATE BOND</v>
          </cell>
          <cell r="C689" t="str">
            <v>Class M2 EUR (C)</v>
          </cell>
          <cell r="D689" t="str">
            <v>EUR</v>
          </cell>
          <cell r="E689" t="str">
            <v>03-Jan-2022</v>
          </cell>
          <cell r="F689">
            <v>5511.8</v>
          </cell>
          <cell r="G689">
            <v>5</v>
          </cell>
          <cell r="H689">
            <v>1102.3599999999999</v>
          </cell>
          <cell r="I689">
            <v>0</v>
          </cell>
          <cell r="J689">
            <v>1102.3599999999999</v>
          </cell>
        </row>
        <row r="690">
          <cell r="A690" t="str">
            <v>LU1162497587</v>
          </cell>
          <cell r="B690" t="str">
            <v>AF PIONEER US CORPORATE BOND</v>
          </cell>
          <cell r="C690" t="str">
            <v>Class M USD (C)</v>
          </cell>
          <cell r="D690" t="str">
            <v>USD</v>
          </cell>
          <cell r="E690" t="str">
            <v>03-Jan-2022</v>
          </cell>
          <cell r="F690">
            <v>5353318.58</v>
          </cell>
          <cell r="G690">
            <v>44759.764999999999</v>
          </cell>
          <cell r="H690">
            <v>119.6</v>
          </cell>
          <cell r="I690">
            <v>0</v>
          </cell>
          <cell r="J690">
            <v>119.6</v>
          </cell>
        </row>
        <row r="691">
          <cell r="A691" t="str">
            <v>LU2305762622</v>
          </cell>
          <cell r="B691" t="str">
            <v>AF PIONEER US CORPORATE BOND</v>
          </cell>
          <cell r="C691" t="str">
            <v>Class M2 EUR Hgd QTD (D)</v>
          </cell>
          <cell r="D691" t="str">
            <v>EUR</v>
          </cell>
          <cell r="E691" t="str">
            <v>03-Jan-2022</v>
          </cell>
          <cell r="F691">
            <v>46587121.079999998</v>
          </cell>
          <cell r="G691">
            <v>46187.497000000003</v>
          </cell>
          <cell r="H691">
            <v>1008.65</v>
          </cell>
          <cell r="I691">
            <v>0</v>
          </cell>
          <cell r="J691">
            <v>1008.65</v>
          </cell>
        </row>
        <row r="692">
          <cell r="A692" t="str">
            <v>LU1162497660</v>
          </cell>
          <cell r="B692" t="str">
            <v>AF PIONEER US CORPORATE BOND</v>
          </cell>
          <cell r="C692" t="str">
            <v>Class M EUR Hgd (C)</v>
          </cell>
          <cell r="D692" t="str">
            <v>EUR</v>
          </cell>
          <cell r="E692" t="str">
            <v>03-Jan-2022</v>
          </cell>
          <cell r="F692">
            <v>18039796.5</v>
          </cell>
          <cell r="G692">
            <v>142924.25899999999</v>
          </cell>
          <cell r="H692">
            <v>126.22</v>
          </cell>
          <cell r="I692">
            <v>0</v>
          </cell>
          <cell r="J692">
            <v>126.22</v>
          </cell>
        </row>
        <row r="693">
          <cell r="A693" t="str">
            <v>LU1162497744</v>
          </cell>
          <cell r="B693" t="str">
            <v>AF PIONEER US CORPORATE BOND</v>
          </cell>
          <cell r="C693" t="str">
            <v>Class O USD (C)</v>
          </cell>
          <cell r="D693" t="str">
            <v>USD</v>
          </cell>
          <cell r="E693" t="str">
            <v>03-Jan-2022</v>
          </cell>
          <cell r="F693">
            <v>16963141.039999999</v>
          </cell>
          <cell r="G693">
            <v>11280.186</v>
          </cell>
          <cell r="H693">
            <v>1503.8</v>
          </cell>
          <cell r="I693">
            <v>0</v>
          </cell>
          <cell r="J693">
            <v>1503.8</v>
          </cell>
        </row>
        <row r="694">
          <cell r="A694" t="str">
            <v>LU1162498395</v>
          </cell>
          <cell r="B694" t="str">
            <v>AF PIONEER US CORPORATE BOND</v>
          </cell>
          <cell r="C694" t="str">
            <v>Class G USD (C)</v>
          </cell>
          <cell r="D694" t="str">
            <v>USD</v>
          </cell>
          <cell r="E694" t="str">
            <v>03-Jan-2022</v>
          </cell>
          <cell r="F694">
            <v>7104857.4199999999</v>
          </cell>
          <cell r="G694">
            <v>51678.033000000003</v>
          </cell>
          <cell r="H694">
            <v>137.47999999999999</v>
          </cell>
          <cell r="I694">
            <v>0</v>
          </cell>
          <cell r="J694">
            <v>141.6</v>
          </cell>
        </row>
        <row r="695">
          <cell r="A695" t="str">
            <v>LU1162498478</v>
          </cell>
          <cell r="B695" t="str">
            <v>AF PIONEER US CORPORATE BOND</v>
          </cell>
          <cell r="C695" t="str">
            <v>Class G EUR Hgd (C)</v>
          </cell>
          <cell r="D695" t="str">
            <v>EUR</v>
          </cell>
          <cell r="E695" t="str">
            <v>03-Jan-2022</v>
          </cell>
          <cell r="F695">
            <v>1044384.26</v>
          </cell>
          <cell r="G695">
            <v>8632.0149999999994</v>
          </cell>
          <cell r="H695">
            <v>120.99</v>
          </cell>
          <cell r="I695">
            <v>0</v>
          </cell>
          <cell r="J695">
            <v>124.62</v>
          </cell>
        </row>
        <row r="696">
          <cell r="A696" t="str">
            <v>LU2347636016</v>
          </cell>
          <cell r="B696" t="str">
            <v>AF PIONEER US CORPORATE BOND</v>
          </cell>
          <cell r="C696" t="str">
            <v>Class Z EUR Hgd (C)</v>
          </cell>
          <cell r="D696" t="str">
            <v>EUR</v>
          </cell>
          <cell r="E696" t="str">
            <v>03-Jan-2022</v>
          </cell>
          <cell r="F696">
            <v>439569.75</v>
          </cell>
          <cell r="G696">
            <v>443</v>
          </cell>
          <cell r="H696">
            <v>992.26</v>
          </cell>
          <cell r="I696">
            <v>0</v>
          </cell>
          <cell r="J696">
            <v>992.26</v>
          </cell>
        </row>
        <row r="697">
          <cell r="A697" t="str">
            <v>LU1162499369</v>
          </cell>
          <cell r="B697" t="str">
            <v>AF GLOBAL HIGH YIELD BOND</v>
          </cell>
          <cell r="C697" t="str">
            <v>Class A USD (C)</v>
          </cell>
          <cell r="D697" t="str">
            <v>USD</v>
          </cell>
          <cell r="E697" t="str">
            <v>03-Jan-2022</v>
          </cell>
          <cell r="F697">
            <v>397941.77</v>
          </cell>
          <cell r="G697">
            <v>2880.3409999999999</v>
          </cell>
          <cell r="H697">
            <v>138.16</v>
          </cell>
          <cell r="I697">
            <v>0</v>
          </cell>
          <cell r="J697">
            <v>143.69</v>
          </cell>
        </row>
        <row r="698">
          <cell r="A698" t="str">
            <v>LU2070307918</v>
          </cell>
          <cell r="B698" t="str">
            <v>AF GLOBAL HIGH YIELD BOND</v>
          </cell>
          <cell r="C698" t="str">
            <v>Class A5 EUR (C)</v>
          </cell>
          <cell r="D698" t="str">
            <v>EUR</v>
          </cell>
          <cell r="E698" t="str">
            <v>03-Jan-2022</v>
          </cell>
          <cell r="F698">
            <v>5201.8100000000004</v>
          </cell>
          <cell r="G698">
            <v>100</v>
          </cell>
          <cell r="H698">
            <v>52.02</v>
          </cell>
          <cell r="I698">
            <v>0</v>
          </cell>
          <cell r="J698">
            <v>52.02</v>
          </cell>
        </row>
        <row r="699">
          <cell r="A699" t="str">
            <v>LU1162499526</v>
          </cell>
          <cell r="B699" t="str">
            <v>AF GLOBAL HIGH YIELD BOND</v>
          </cell>
          <cell r="C699" t="str">
            <v>Class A EUR Hgd (C)</v>
          </cell>
          <cell r="D699" t="str">
            <v>EUR</v>
          </cell>
          <cell r="E699" t="str">
            <v>03-Jan-2022</v>
          </cell>
          <cell r="F699">
            <v>659049.71</v>
          </cell>
          <cell r="G699">
            <v>6033.5320000000002</v>
          </cell>
          <cell r="H699">
            <v>109.23</v>
          </cell>
          <cell r="I699">
            <v>0</v>
          </cell>
          <cell r="J699">
            <v>113.6</v>
          </cell>
        </row>
        <row r="700">
          <cell r="A700" t="str">
            <v>LU2018722863</v>
          </cell>
          <cell r="B700" t="str">
            <v>AF GLOBAL HIGH YIELD BOND</v>
          </cell>
          <cell r="C700" t="str">
            <v>Class F EUR Hgd MD (D)</v>
          </cell>
          <cell r="D700" t="str">
            <v>EUR</v>
          </cell>
          <cell r="E700" t="str">
            <v>03-Jan-2022</v>
          </cell>
          <cell r="F700">
            <v>239072.96</v>
          </cell>
          <cell r="G700">
            <v>51912.266000000003</v>
          </cell>
          <cell r="H700">
            <v>4.6050000000000004</v>
          </cell>
          <cell r="I700">
            <v>1.35E-2</v>
          </cell>
          <cell r="J700">
            <v>4.6050000000000004</v>
          </cell>
        </row>
        <row r="701">
          <cell r="A701" t="str">
            <v>LU1162499955</v>
          </cell>
          <cell r="B701" t="str">
            <v>AF GLOBAL HIGH YIELD BOND</v>
          </cell>
          <cell r="C701" t="str">
            <v>Class F2 USD (C)</v>
          </cell>
          <cell r="D701" t="str">
            <v>USD</v>
          </cell>
          <cell r="E701" t="str">
            <v>03-Jan-2022</v>
          </cell>
          <cell r="F701">
            <v>1774055.01</v>
          </cell>
          <cell r="G701">
            <v>13661.102999999999</v>
          </cell>
          <cell r="H701">
            <v>129.86000000000001</v>
          </cell>
          <cell r="I701">
            <v>0</v>
          </cell>
          <cell r="J701">
            <v>129.86000000000001</v>
          </cell>
        </row>
        <row r="702">
          <cell r="A702" t="str">
            <v>LU1162500042</v>
          </cell>
          <cell r="B702" t="str">
            <v>AF GLOBAL HIGH YIELD BOND</v>
          </cell>
          <cell r="C702" t="str">
            <v>Class F2 EUR Hgd (C)</v>
          </cell>
          <cell r="D702" t="str">
            <v>EUR</v>
          </cell>
          <cell r="E702" t="str">
            <v>03-Jan-2022</v>
          </cell>
          <cell r="F702">
            <v>544234.59</v>
          </cell>
          <cell r="G702">
            <v>4682.01</v>
          </cell>
          <cell r="H702">
            <v>116.24</v>
          </cell>
          <cell r="I702">
            <v>0</v>
          </cell>
          <cell r="J702">
            <v>116.24</v>
          </cell>
        </row>
        <row r="703">
          <cell r="A703" t="str">
            <v>LU1250883417</v>
          </cell>
          <cell r="B703" t="str">
            <v>AF GLOBAL HIGH YIELD BOND</v>
          </cell>
          <cell r="C703" t="str">
            <v>Class F2 EUR Hgd MD (D)</v>
          </cell>
          <cell r="D703" t="str">
            <v>EUR</v>
          </cell>
          <cell r="E703" t="str">
            <v>03-Jan-2022</v>
          </cell>
          <cell r="F703">
            <v>996601.34</v>
          </cell>
          <cell r="G703">
            <v>11405.494000000001</v>
          </cell>
          <cell r="H703">
            <v>87.38</v>
          </cell>
          <cell r="I703">
            <v>0.2555</v>
          </cell>
          <cell r="J703">
            <v>87.38</v>
          </cell>
        </row>
        <row r="704">
          <cell r="A704" t="str">
            <v>LU1250883334</v>
          </cell>
          <cell r="B704" t="str">
            <v>AF GLOBAL HIGH YIELD BOND</v>
          </cell>
          <cell r="C704" t="str">
            <v>Class G EUR Hgd MD (D)</v>
          </cell>
          <cell r="D704" t="str">
            <v>EUR</v>
          </cell>
          <cell r="E704" t="str">
            <v>03-Jan-2022</v>
          </cell>
          <cell r="F704">
            <v>40177011.899999999</v>
          </cell>
          <cell r="G704">
            <v>457679.18099999998</v>
          </cell>
          <cell r="H704">
            <v>87.78</v>
          </cell>
          <cell r="I704">
            <v>0.25640000000000002</v>
          </cell>
          <cell r="J704">
            <v>87.78</v>
          </cell>
        </row>
        <row r="705">
          <cell r="A705" t="str">
            <v>LU2031984003</v>
          </cell>
          <cell r="B705" t="str">
            <v>AF GLOBAL HIGH YIELD BOND</v>
          </cell>
          <cell r="C705" t="str">
            <v>Class I2 GBP QD (D)</v>
          </cell>
          <cell r="D705" t="str">
            <v>GBP</v>
          </cell>
          <cell r="E705" t="str">
            <v>03-Jan-2022</v>
          </cell>
          <cell r="F705">
            <v>4489</v>
          </cell>
          <cell r="G705">
            <v>5</v>
          </cell>
          <cell r="H705">
            <v>897.8</v>
          </cell>
          <cell r="I705">
            <v>0</v>
          </cell>
          <cell r="J705">
            <v>897.8</v>
          </cell>
        </row>
        <row r="706">
          <cell r="A706" t="str">
            <v>LU2330497947</v>
          </cell>
          <cell r="B706" t="str">
            <v>AF GLOBAL HIGH YIELD BOND</v>
          </cell>
          <cell r="C706" t="str">
            <v>Class I14 GBP Hgd QD (D)</v>
          </cell>
          <cell r="D706" t="str">
            <v>GBP</v>
          </cell>
          <cell r="E706" t="str">
            <v>03-Jan-2022</v>
          </cell>
          <cell r="F706">
            <v>20789323.100000001</v>
          </cell>
          <cell r="G706">
            <v>208426.34099999999</v>
          </cell>
          <cell r="H706">
            <v>99.74</v>
          </cell>
          <cell r="I706">
            <v>0</v>
          </cell>
          <cell r="J706">
            <v>99.74</v>
          </cell>
        </row>
        <row r="707">
          <cell r="A707" t="str">
            <v>LU1162498718</v>
          </cell>
          <cell r="B707" t="str">
            <v>AF GLOBAL HIGH YIELD BOND</v>
          </cell>
          <cell r="C707" t="str">
            <v>Class I USD (C)</v>
          </cell>
          <cell r="D707" t="str">
            <v>USD</v>
          </cell>
          <cell r="E707" t="str">
            <v>03-Jan-2022</v>
          </cell>
          <cell r="F707">
            <v>26825303.129999999</v>
          </cell>
          <cell r="G707">
            <v>18571.252</v>
          </cell>
          <cell r="H707">
            <v>1444.45</v>
          </cell>
          <cell r="I707">
            <v>0</v>
          </cell>
          <cell r="J707">
            <v>1444.45</v>
          </cell>
        </row>
        <row r="708">
          <cell r="A708" t="str">
            <v>LU2330497863</v>
          </cell>
          <cell r="B708" t="str">
            <v>AF GLOBAL HIGH YIELD BOND</v>
          </cell>
          <cell r="C708" t="str">
            <v>Class I2 USD (C)</v>
          </cell>
          <cell r="D708" t="str">
            <v>USD</v>
          </cell>
          <cell r="E708" t="str">
            <v>03-Jan-2022</v>
          </cell>
          <cell r="F708">
            <v>5161.67</v>
          </cell>
          <cell r="G708">
            <v>5</v>
          </cell>
          <cell r="H708">
            <v>1032.33</v>
          </cell>
          <cell r="I708">
            <v>0</v>
          </cell>
          <cell r="J708">
            <v>1032.33</v>
          </cell>
        </row>
        <row r="709">
          <cell r="A709" t="str">
            <v>LU1897300478</v>
          </cell>
          <cell r="B709" t="str">
            <v>AF GLOBAL HIGH YIELD BOND</v>
          </cell>
          <cell r="C709" t="str">
            <v>Class I2 GBP (C)</v>
          </cell>
          <cell r="D709" t="str">
            <v>GBP</v>
          </cell>
          <cell r="E709" t="str">
            <v>03-Jan-2022</v>
          </cell>
          <cell r="F709">
            <v>5066.2</v>
          </cell>
          <cell r="G709">
            <v>5</v>
          </cell>
          <cell r="H709">
            <v>1013.24</v>
          </cell>
          <cell r="I709">
            <v>0</v>
          </cell>
          <cell r="J709">
            <v>1013.24</v>
          </cell>
        </row>
        <row r="710">
          <cell r="A710" t="str">
            <v>LU1162498981</v>
          </cell>
          <cell r="B710" t="str">
            <v>AF GLOBAL HIGH YIELD BOND</v>
          </cell>
          <cell r="C710" t="str">
            <v>Class I EUR Hgd (C)</v>
          </cell>
          <cell r="D710" t="str">
            <v>EUR</v>
          </cell>
          <cell r="E710" t="str">
            <v>03-Jan-2022</v>
          </cell>
          <cell r="F710">
            <v>2190750.7200000002</v>
          </cell>
          <cell r="G710">
            <v>1729.8889999999999</v>
          </cell>
          <cell r="H710">
            <v>1266.4100000000001</v>
          </cell>
          <cell r="I710">
            <v>0</v>
          </cell>
          <cell r="J710">
            <v>1266.4100000000001</v>
          </cell>
        </row>
        <row r="711">
          <cell r="A711" t="str">
            <v>LU1891089077</v>
          </cell>
          <cell r="B711" t="str">
            <v>AF GLOBAL HIGH YIELD BOND</v>
          </cell>
          <cell r="C711" t="str">
            <v>Class Q-I21 GBP Hgd (C)</v>
          </cell>
          <cell r="D711" t="str">
            <v>GBP</v>
          </cell>
          <cell r="E711" t="str">
            <v>03-Jan-2022</v>
          </cell>
          <cell r="F711">
            <v>73997158.439999998</v>
          </cell>
          <cell r="G711">
            <v>65786.259999999995</v>
          </cell>
          <cell r="H711">
            <v>1124.81</v>
          </cell>
          <cell r="I711">
            <v>0</v>
          </cell>
          <cell r="J711">
            <v>1124.81</v>
          </cell>
        </row>
        <row r="712">
          <cell r="A712" t="str">
            <v>LU2052287138</v>
          </cell>
          <cell r="B712" t="str">
            <v>AF GLOBAL HIGH YIELD BOND</v>
          </cell>
          <cell r="C712" t="str">
            <v>Class J3 GBP (C)</v>
          </cell>
          <cell r="D712" t="str">
            <v>GBP</v>
          </cell>
          <cell r="E712" t="str">
            <v>03-Jan-2022</v>
          </cell>
          <cell r="F712">
            <v>5031.8500000000004</v>
          </cell>
          <cell r="G712">
            <v>5</v>
          </cell>
          <cell r="H712">
            <v>1006.37</v>
          </cell>
          <cell r="I712">
            <v>0</v>
          </cell>
          <cell r="J712">
            <v>1006.37</v>
          </cell>
        </row>
        <row r="713">
          <cell r="A713" t="str">
            <v>LU2110861650</v>
          </cell>
          <cell r="B713" t="str">
            <v>AF GLOBAL HIGH YIELD BOND</v>
          </cell>
          <cell r="C713" t="str">
            <v>Class J3 GBP Hgd (C)</v>
          </cell>
          <cell r="D713" t="str">
            <v>GBP</v>
          </cell>
          <cell r="E713" t="str">
            <v>03-Jan-2022</v>
          </cell>
          <cell r="F713">
            <v>110517.47</v>
          </cell>
          <cell r="G713">
            <v>106.501</v>
          </cell>
          <cell r="H713">
            <v>1037.71</v>
          </cell>
          <cell r="I713">
            <v>0</v>
          </cell>
          <cell r="J713">
            <v>1037.71</v>
          </cell>
        </row>
        <row r="714">
          <cell r="A714" t="str">
            <v>LU2052287211</v>
          </cell>
          <cell r="B714" t="str">
            <v>AF GLOBAL HIGH YIELD BOND</v>
          </cell>
          <cell r="C714" t="str">
            <v>Class J3 GBP QD (D)</v>
          </cell>
          <cell r="D714" t="str">
            <v>GBP</v>
          </cell>
          <cell r="E714" t="str">
            <v>03-Jan-2022</v>
          </cell>
          <cell r="F714">
            <v>4463.33</v>
          </cell>
          <cell r="G714">
            <v>5</v>
          </cell>
          <cell r="H714">
            <v>892.67</v>
          </cell>
          <cell r="I714">
            <v>0</v>
          </cell>
          <cell r="J714">
            <v>892.67</v>
          </cell>
        </row>
        <row r="715">
          <cell r="A715" t="str">
            <v>LU1162499286</v>
          </cell>
          <cell r="B715" t="str">
            <v>AF GLOBAL HIGH YIELD BOND</v>
          </cell>
          <cell r="C715" t="str">
            <v>Class O USD (C)</v>
          </cell>
          <cell r="D715" t="str">
            <v>USD</v>
          </cell>
          <cell r="E715" t="str">
            <v>03-Jan-2022</v>
          </cell>
          <cell r="F715">
            <v>16100387.189999999</v>
          </cell>
          <cell r="G715">
            <v>10833.136</v>
          </cell>
          <cell r="H715">
            <v>1486.22</v>
          </cell>
          <cell r="I715">
            <v>0</v>
          </cell>
          <cell r="J715">
            <v>1486.22</v>
          </cell>
        </row>
        <row r="716">
          <cell r="A716" t="str">
            <v>LU2052289696</v>
          </cell>
          <cell r="B716" t="str">
            <v>AF GLOBAL HIGH YIELD BOND</v>
          </cell>
          <cell r="C716" t="str">
            <v>Class P2 USD (C)</v>
          </cell>
          <cell r="D716" t="str">
            <v>USD</v>
          </cell>
          <cell r="E716" t="str">
            <v>03-Jan-2022</v>
          </cell>
          <cell r="F716">
            <v>5437.58</v>
          </cell>
          <cell r="G716">
            <v>100</v>
          </cell>
          <cell r="H716">
            <v>54.38</v>
          </cell>
          <cell r="I716">
            <v>0</v>
          </cell>
          <cell r="J716">
            <v>54.38</v>
          </cell>
        </row>
        <row r="717">
          <cell r="A717" t="str">
            <v>LU2259109010</v>
          </cell>
          <cell r="B717" t="str">
            <v>AF GLOBAL HIGH YIELD BOND</v>
          </cell>
          <cell r="C717" t="str">
            <v>Class R3 GBP QD (D)</v>
          </cell>
          <cell r="D717" t="str">
            <v>GBP</v>
          </cell>
          <cell r="E717" t="str">
            <v>03-Jan-2022</v>
          </cell>
          <cell r="F717">
            <v>5067.54</v>
          </cell>
          <cell r="G717">
            <v>500</v>
          </cell>
          <cell r="H717">
            <v>10.14</v>
          </cell>
          <cell r="I717">
            <v>0</v>
          </cell>
          <cell r="J717">
            <v>10.14</v>
          </cell>
        </row>
        <row r="718">
          <cell r="A718" t="str">
            <v>LU2259108806</v>
          </cell>
          <cell r="B718" t="str">
            <v>AF GLOBAL HIGH YIELD BOND</v>
          </cell>
          <cell r="C718" t="str">
            <v>Class R3 GBP (C)</v>
          </cell>
          <cell r="D718" t="str">
            <v>GBP</v>
          </cell>
          <cell r="E718" t="str">
            <v>03-Jan-2022</v>
          </cell>
          <cell r="F718">
            <v>5322.83</v>
          </cell>
          <cell r="G718">
            <v>500</v>
          </cell>
          <cell r="H718">
            <v>10.65</v>
          </cell>
          <cell r="I718">
            <v>0</v>
          </cell>
          <cell r="J718">
            <v>10.65</v>
          </cell>
        </row>
        <row r="719">
          <cell r="A719" t="str">
            <v>LU2259108988</v>
          </cell>
          <cell r="B719" t="str">
            <v>AF GLOBAL HIGH YIELD BOND</v>
          </cell>
          <cell r="C719" t="str">
            <v>Class R3 GBP Hgd (C)</v>
          </cell>
          <cell r="D719" t="str">
            <v>GBP</v>
          </cell>
          <cell r="E719" t="str">
            <v>03-Jan-2022</v>
          </cell>
          <cell r="F719">
            <v>106868.12</v>
          </cell>
          <cell r="G719">
            <v>10004.700000000001</v>
          </cell>
          <cell r="H719">
            <v>10.68</v>
          </cell>
          <cell r="I719">
            <v>0</v>
          </cell>
          <cell r="J719">
            <v>10.68</v>
          </cell>
        </row>
        <row r="720">
          <cell r="A720" t="str">
            <v>LU1162499799</v>
          </cell>
          <cell r="B720" t="str">
            <v>AF GLOBAL HIGH YIELD BOND</v>
          </cell>
          <cell r="C720" t="str">
            <v>Class G USD (C)</v>
          </cell>
          <cell r="D720" t="str">
            <v>USD</v>
          </cell>
          <cell r="E720" t="str">
            <v>03-Jan-2022</v>
          </cell>
          <cell r="F720">
            <v>4718170.3499999996</v>
          </cell>
          <cell r="G720">
            <v>35372.567999999999</v>
          </cell>
          <cell r="H720">
            <v>133.38999999999999</v>
          </cell>
          <cell r="I720">
            <v>0</v>
          </cell>
          <cell r="J720">
            <v>137.38999999999999</v>
          </cell>
        </row>
        <row r="721">
          <cell r="A721" t="str">
            <v>LU1162499872</v>
          </cell>
          <cell r="B721" t="str">
            <v>AF GLOBAL HIGH YIELD BOND</v>
          </cell>
          <cell r="C721" t="str">
            <v>Class G EUR Hgd (C)</v>
          </cell>
          <cell r="D721" t="str">
            <v>EUR</v>
          </cell>
          <cell r="E721" t="str">
            <v>03-Jan-2022</v>
          </cell>
          <cell r="F721">
            <v>5772391.4500000002</v>
          </cell>
          <cell r="G721">
            <v>48386.012999999999</v>
          </cell>
          <cell r="H721">
            <v>119.3</v>
          </cell>
          <cell r="I721">
            <v>0</v>
          </cell>
          <cell r="J721">
            <v>122.88</v>
          </cell>
        </row>
        <row r="722">
          <cell r="A722" t="str">
            <v>LU1998921776</v>
          </cell>
          <cell r="B722" t="str">
            <v>AF GLOBAL HIGH YIELD BOND</v>
          </cell>
          <cell r="C722" t="str">
            <v>Class X USD (C)</v>
          </cell>
          <cell r="D722" t="str">
            <v>USD</v>
          </cell>
          <cell r="E722" t="str">
            <v>03-Jan-2022</v>
          </cell>
          <cell r="F722">
            <v>41840208.119999997</v>
          </cell>
          <cell r="G722">
            <v>36950.254999999997</v>
          </cell>
          <cell r="H722">
            <v>1132.3399999999999</v>
          </cell>
          <cell r="I722">
            <v>0</v>
          </cell>
          <cell r="J722">
            <v>1132.3399999999999</v>
          </cell>
        </row>
        <row r="723">
          <cell r="A723" t="str">
            <v>LU1998920026</v>
          </cell>
          <cell r="B723" t="str">
            <v>AF GLOBAL HIGH YIELD BOND</v>
          </cell>
          <cell r="C723" t="str">
            <v>Class H USD (C)</v>
          </cell>
          <cell r="D723" t="str">
            <v>USD</v>
          </cell>
          <cell r="E723" t="str">
            <v>03-Jan-2022</v>
          </cell>
          <cell r="F723">
            <v>5613.32</v>
          </cell>
          <cell r="G723">
            <v>5</v>
          </cell>
          <cell r="H723">
            <v>1122.6600000000001</v>
          </cell>
          <cell r="I723">
            <v>0</v>
          </cell>
          <cell r="J723">
            <v>1122.6600000000001</v>
          </cell>
        </row>
        <row r="724">
          <cell r="A724" t="str">
            <v>LU1161086159</v>
          </cell>
          <cell r="B724" t="str">
            <v>AF EMERGING MARKETS BLENDED BOND</v>
          </cell>
          <cell r="C724" t="str">
            <v>Class A EUR (C)</v>
          </cell>
          <cell r="D724" t="str">
            <v>EUR</v>
          </cell>
          <cell r="E724" t="str">
            <v>03-Jan-2022</v>
          </cell>
          <cell r="F724">
            <v>416036062.80000001</v>
          </cell>
          <cell r="G724">
            <v>2274851.693</v>
          </cell>
          <cell r="H724">
            <v>182.88</v>
          </cell>
          <cell r="I724">
            <v>0</v>
          </cell>
          <cell r="J724">
            <v>190.2</v>
          </cell>
        </row>
        <row r="725">
          <cell r="A725" t="str">
            <v>LU2070305896</v>
          </cell>
          <cell r="B725" t="str">
            <v>AF EMERGING MARKETS BLENDED BOND</v>
          </cell>
          <cell r="C725" t="str">
            <v>Class A5 EUR (C)</v>
          </cell>
          <cell r="D725" t="str">
            <v>EUR</v>
          </cell>
          <cell r="E725" t="str">
            <v>03-Jan-2022</v>
          </cell>
          <cell r="F725">
            <v>4994.57</v>
          </cell>
          <cell r="G725">
            <v>100</v>
          </cell>
          <cell r="H725">
            <v>49.95</v>
          </cell>
          <cell r="I725">
            <v>0</v>
          </cell>
          <cell r="J725">
            <v>49.95</v>
          </cell>
        </row>
        <row r="726">
          <cell r="A726" t="str">
            <v>LU1534095879</v>
          </cell>
          <cell r="B726" t="str">
            <v>AF EMERGING MARKETS BLENDED BOND</v>
          </cell>
          <cell r="C726" t="str">
            <v>Class A2 SGD Hgd MD (D)</v>
          </cell>
          <cell r="D726" t="str">
            <v>SGD</v>
          </cell>
          <cell r="E726" t="str">
            <v>03-Jan-2022</v>
          </cell>
          <cell r="F726">
            <v>39386.379999999997</v>
          </cell>
          <cell r="G726">
            <v>478.14699999999999</v>
          </cell>
          <cell r="H726">
            <v>82.37</v>
          </cell>
          <cell r="I726">
            <v>0.33189999999999997</v>
          </cell>
          <cell r="J726">
            <v>82.37</v>
          </cell>
        </row>
        <row r="727">
          <cell r="A727" t="str">
            <v>LU1534096091</v>
          </cell>
          <cell r="B727" t="str">
            <v>AF EMERGING MARKETS BLENDED BOND</v>
          </cell>
          <cell r="C727" t="str">
            <v>Class A2 SGD Hgd (C)</v>
          </cell>
          <cell r="D727" t="str">
            <v>SGD</v>
          </cell>
          <cell r="E727" t="str">
            <v>03-Jan-2022</v>
          </cell>
          <cell r="F727">
            <v>22656.41</v>
          </cell>
          <cell r="G727">
            <v>217.44200000000001</v>
          </cell>
          <cell r="H727">
            <v>104.2</v>
          </cell>
          <cell r="I727">
            <v>0</v>
          </cell>
          <cell r="J727">
            <v>104.2</v>
          </cell>
        </row>
        <row r="728">
          <cell r="A728" t="str">
            <v>LU1543731449</v>
          </cell>
          <cell r="B728" t="str">
            <v>AF EMERGING MARKETS BLENDED BOND</v>
          </cell>
          <cell r="C728" t="str">
            <v>Class A USD Hgd (C)</v>
          </cell>
          <cell r="D728" t="str">
            <v>USD</v>
          </cell>
          <cell r="E728" t="str">
            <v>03-Jan-2022</v>
          </cell>
          <cell r="F728">
            <v>15252.51</v>
          </cell>
          <cell r="G728">
            <v>150</v>
          </cell>
          <cell r="H728">
            <v>101.68</v>
          </cell>
          <cell r="I728">
            <v>0</v>
          </cell>
          <cell r="J728">
            <v>101.68</v>
          </cell>
        </row>
        <row r="729">
          <cell r="A729" t="str">
            <v>LU1161086316</v>
          </cell>
          <cell r="B729" t="str">
            <v>AF EMERGING MARKETS BLENDED BOND</v>
          </cell>
          <cell r="C729" t="str">
            <v>Class A EUR AD (D)</v>
          </cell>
          <cell r="D729" t="str">
            <v>EUR</v>
          </cell>
          <cell r="E729" t="str">
            <v>03-Jan-2022</v>
          </cell>
          <cell r="F729">
            <v>18714896.5</v>
          </cell>
          <cell r="G729">
            <v>208193.26199999999</v>
          </cell>
          <cell r="H729">
            <v>89.89</v>
          </cell>
          <cell r="I729">
            <v>0</v>
          </cell>
          <cell r="J729">
            <v>93.49</v>
          </cell>
        </row>
        <row r="730">
          <cell r="A730" t="str">
            <v>LU2002720485</v>
          </cell>
          <cell r="B730" t="str">
            <v>AF EMERGING MARKETS BLENDED BOND</v>
          </cell>
          <cell r="C730" t="str">
            <v>Class M2 EUR ( C )</v>
          </cell>
          <cell r="D730" t="str">
            <v>EUR</v>
          </cell>
          <cell r="E730" t="str">
            <v>03-Jan-2022</v>
          </cell>
          <cell r="F730">
            <v>34955.08</v>
          </cell>
          <cell r="G730">
            <v>35.002000000000002</v>
          </cell>
          <cell r="H730">
            <v>998.66</v>
          </cell>
          <cell r="I730">
            <v>0</v>
          </cell>
          <cell r="J730">
            <v>998.66</v>
          </cell>
        </row>
        <row r="731">
          <cell r="A731" t="str">
            <v>LU2070310110</v>
          </cell>
          <cell r="B731" t="str">
            <v>AF EMERGING MARKETS BLENDED BOND</v>
          </cell>
          <cell r="C731" t="str">
            <v>Class A2 EUR AD (D)</v>
          </cell>
          <cell r="D731" t="str">
            <v>EUR</v>
          </cell>
          <cell r="E731" t="str">
            <v>03-Jan-2022</v>
          </cell>
          <cell r="F731">
            <v>1349260.67</v>
          </cell>
          <cell r="G731">
            <v>28664</v>
          </cell>
          <cell r="H731">
            <v>47.07</v>
          </cell>
          <cell r="I731">
            <v>0</v>
          </cell>
          <cell r="J731">
            <v>48.95</v>
          </cell>
        </row>
        <row r="732">
          <cell r="A732" t="str">
            <v>LU2036673965</v>
          </cell>
          <cell r="B732" t="str">
            <v>AF EMERGING MARKETS BLENDED BOND</v>
          </cell>
          <cell r="C732" t="str">
            <v>Class E2 EUR (C)</v>
          </cell>
          <cell r="D732" t="str">
            <v>EUR</v>
          </cell>
          <cell r="E732" t="str">
            <v>03-Jan-2022</v>
          </cell>
          <cell r="F732">
            <v>710999.12</v>
          </cell>
          <cell r="G732">
            <v>144562.70300000001</v>
          </cell>
          <cell r="H732">
            <v>4.9180000000000001</v>
          </cell>
          <cell r="I732">
            <v>0</v>
          </cell>
          <cell r="J732">
            <v>4.9180000000000001</v>
          </cell>
        </row>
        <row r="733">
          <cell r="A733" t="str">
            <v>LU1534096844</v>
          </cell>
          <cell r="B733" t="str">
            <v>AF EMERGING MARKETS BLENDED BOND</v>
          </cell>
          <cell r="C733" t="str">
            <v>Class A2 EUR (C)</v>
          </cell>
          <cell r="D733" t="str">
            <v>EUR</v>
          </cell>
          <cell r="E733" t="str">
            <v>03-Jan-2022</v>
          </cell>
          <cell r="F733">
            <v>364556.55</v>
          </cell>
          <cell r="G733">
            <v>3534.4259999999999</v>
          </cell>
          <cell r="H733">
            <v>103.14</v>
          </cell>
          <cell r="I733">
            <v>0</v>
          </cell>
          <cell r="J733">
            <v>103.14</v>
          </cell>
        </row>
        <row r="734">
          <cell r="A734" t="str">
            <v>LU2018719489</v>
          </cell>
          <cell r="B734" t="str">
            <v>AF EMERGING MARKETS BLENDED BOND</v>
          </cell>
          <cell r="C734" t="str">
            <v>Class F EUR (C)</v>
          </cell>
          <cell r="D734" t="str">
            <v>EUR</v>
          </cell>
          <cell r="E734" t="str">
            <v>03-Jan-2022</v>
          </cell>
          <cell r="F734">
            <v>60827.43</v>
          </cell>
          <cell r="G734">
            <v>12480.865</v>
          </cell>
          <cell r="H734">
            <v>4.8739999999999997</v>
          </cell>
          <cell r="I734">
            <v>0</v>
          </cell>
          <cell r="J734">
            <v>4.8739999999999997</v>
          </cell>
        </row>
        <row r="735">
          <cell r="A735" t="str">
            <v>LU1161086589</v>
          </cell>
          <cell r="B735" t="str">
            <v>AF EMERGING MARKETS BLENDED BOND</v>
          </cell>
          <cell r="C735" t="str">
            <v>Class F2 EUR (C)</v>
          </cell>
          <cell r="D735" t="str">
            <v>EUR</v>
          </cell>
          <cell r="E735" t="str">
            <v>03-Jan-2022</v>
          </cell>
          <cell r="F735">
            <v>9351386.7100000009</v>
          </cell>
          <cell r="G735">
            <v>95234.55</v>
          </cell>
          <cell r="H735">
            <v>98.19</v>
          </cell>
          <cell r="I735">
            <v>0</v>
          </cell>
          <cell r="J735">
            <v>98.19</v>
          </cell>
        </row>
        <row r="736">
          <cell r="A736" t="str">
            <v>LU2018719562</v>
          </cell>
          <cell r="B736" t="str">
            <v>AF EMERGING MARKETS BLENDED BOND</v>
          </cell>
          <cell r="C736" t="str">
            <v>Class F EUR QTD (D)</v>
          </cell>
          <cell r="D736" t="str">
            <v>EUR</v>
          </cell>
          <cell r="E736" t="str">
            <v>03-Jan-2022</v>
          </cell>
          <cell r="F736">
            <v>28047.98</v>
          </cell>
          <cell r="G736">
            <v>6504.268</v>
          </cell>
          <cell r="H736">
            <v>4.3120000000000003</v>
          </cell>
          <cell r="I736">
            <v>5.3100000000000001E-2</v>
          </cell>
          <cell r="J736">
            <v>4.3120000000000003</v>
          </cell>
        </row>
        <row r="737">
          <cell r="A737" t="str">
            <v>LU1600318759</v>
          </cell>
          <cell r="B737" t="str">
            <v>AF EMERGING MARKETS BLENDED BOND</v>
          </cell>
          <cell r="C737" t="str">
            <v>Class F2 EUR QD (D)</v>
          </cell>
          <cell r="D737" t="str">
            <v>EUR</v>
          </cell>
          <cell r="E737" t="str">
            <v>03-Jan-2022</v>
          </cell>
          <cell r="F737">
            <v>7289055.7599999998</v>
          </cell>
          <cell r="G737">
            <v>94859.896999999997</v>
          </cell>
          <cell r="H737">
            <v>76.84</v>
          </cell>
          <cell r="I737">
            <v>0.94920000000000004</v>
          </cell>
          <cell r="J737">
            <v>76.84</v>
          </cell>
        </row>
        <row r="738">
          <cell r="A738" t="str">
            <v>LU1161085698</v>
          </cell>
          <cell r="B738" t="str">
            <v>AF EMERGING MARKETS BLENDED BOND</v>
          </cell>
          <cell r="C738" t="str">
            <v>Class I EUR (C)</v>
          </cell>
          <cell r="D738" t="str">
            <v>EUR</v>
          </cell>
          <cell r="E738" t="str">
            <v>03-Jan-2022</v>
          </cell>
          <cell r="F738">
            <v>4448600.8600000003</v>
          </cell>
          <cell r="G738">
            <v>92.435000000000002</v>
          </cell>
          <cell r="H738">
            <v>48126.8</v>
          </cell>
          <cell r="I738">
            <v>0</v>
          </cell>
          <cell r="J738">
            <v>48126.8</v>
          </cell>
        </row>
        <row r="739">
          <cell r="A739" t="str">
            <v>LU1161085854</v>
          </cell>
          <cell r="B739" t="str">
            <v>AF EMERGING MARKETS BLENDED BOND</v>
          </cell>
          <cell r="C739" t="str">
            <v>Class Q-I11 EUR (C)</v>
          </cell>
          <cell r="D739" t="str">
            <v>EUR</v>
          </cell>
          <cell r="E739" t="str">
            <v>03-Jan-2022</v>
          </cell>
          <cell r="F739">
            <v>260834844.30000001</v>
          </cell>
          <cell r="G739">
            <v>27.65</v>
          </cell>
          <cell r="H739">
            <v>9433448.2599999998</v>
          </cell>
          <cell r="I739">
            <v>0</v>
          </cell>
          <cell r="J739">
            <v>9433448.2599999998</v>
          </cell>
        </row>
        <row r="740">
          <cell r="A740" t="str">
            <v>LU2034727227</v>
          </cell>
          <cell r="B740" t="str">
            <v>AF EMERGING MARKETS BLENDED BOND</v>
          </cell>
          <cell r="C740" t="str">
            <v>Class J2 EUR (C)</v>
          </cell>
          <cell r="D740" t="str">
            <v>EUR</v>
          </cell>
          <cell r="E740" t="str">
            <v>03-Jan-2022</v>
          </cell>
          <cell r="F740">
            <v>90521348.540000007</v>
          </cell>
          <cell r="G740">
            <v>90432.778000000006</v>
          </cell>
          <cell r="H740">
            <v>1000.98</v>
          </cell>
          <cell r="I740">
            <v>0</v>
          </cell>
          <cell r="J740">
            <v>1000.98</v>
          </cell>
        </row>
        <row r="741">
          <cell r="A741" t="str">
            <v>LU1161085938</v>
          </cell>
          <cell r="B741" t="str">
            <v>AF EMERGING MARKETS BLENDED BOND</v>
          </cell>
          <cell r="C741" t="str">
            <v>Class M EUR (C)</v>
          </cell>
          <cell r="D741" t="str">
            <v>EUR</v>
          </cell>
          <cell r="E741" t="str">
            <v>03-Jan-2022</v>
          </cell>
          <cell r="F741">
            <v>68478214.239999995</v>
          </cell>
          <cell r="G741">
            <v>664705.75100000005</v>
          </cell>
          <cell r="H741">
            <v>103.02</v>
          </cell>
          <cell r="I741">
            <v>0</v>
          </cell>
          <cell r="J741">
            <v>103.02</v>
          </cell>
        </row>
        <row r="742">
          <cell r="A742" t="str">
            <v>LU1600318676</v>
          </cell>
          <cell r="B742" t="str">
            <v>AF EMERGING MARKETS BLENDED BOND</v>
          </cell>
          <cell r="C742" t="str">
            <v>Class Q-OF EUR AD (D)</v>
          </cell>
          <cell r="D742" t="str">
            <v>EUR</v>
          </cell>
          <cell r="E742" t="str">
            <v>03-Jan-2022</v>
          </cell>
          <cell r="F742">
            <v>3025204.16</v>
          </cell>
          <cell r="G742">
            <v>2888</v>
          </cell>
          <cell r="H742">
            <v>1047.51</v>
          </cell>
          <cell r="I742">
            <v>0</v>
          </cell>
          <cell r="J742">
            <v>1047.51</v>
          </cell>
        </row>
        <row r="743">
          <cell r="A743" t="str">
            <v>LU1534097065</v>
          </cell>
          <cell r="B743" t="str">
            <v>AF EMERGING MARKETS BLENDED BOND</v>
          </cell>
          <cell r="C743" t="str">
            <v>Class OR EUR AD (D)</v>
          </cell>
          <cell r="D743" t="str">
            <v>EUR</v>
          </cell>
          <cell r="E743" t="str">
            <v>03-Jan-2022</v>
          </cell>
          <cell r="F743">
            <v>368417.08</v>
          </cell>
          <cell r="G743">
            <v>422.82499999999999</v>
          </cell>
          <cell r="H743">
            <v>871.32</v>
          </cell>
          <cell r="I743">
            <v>0</v>
          </cell>
          <cell r="J743">
            <v>871.32</v>
          </cell>
        </row>
        <row r="744">
          <cell r="A744" t="str">
            <v>LU1161086407</v>
          </cell>
          <cell r="B744" t="str">
            <v>AF EMERGING MARKETS BLENDED BOND</v>
          </cell>
          <cell r="C744" t="str">
            <v>Class G EUR (C)</v>
          </cell>
          <cell r="D744" t="str">
            <v>EUR</v>
          </cell>
          <cell r="E744" t="str">
            <v>03-Jan-2022</v>
          </cell>
          <cell r="F744">
            <v>290379538.76999998</v>
          </cell>
          <cell r="G744">
            <v>2674504.523</v>
          </cell>
          <cell r="H744">
            <v>108.57</v>
          </cell>
          <cell r="I744">
            <v>0</v>
          </cell>
          <cell r="J744">
            <v>111.83</v>
          </cell>
        </row>
        <row r="745">
          <cell r="A745" t="str">
            <v>LU1361117796</v>
          </cell>
          <cell r="B745" t="str">
            <v>AF EMERGING MARKETS BLENDED BOND</v>
          </cell>
          <cell r="C745" t="str">
            <v>Class Q-I14 GBP Hgd (C)</v>
          </cell>
          <cell r="D745" t="str">
            <v>GBP</v>
          </cell>
          <cell r="E745" t="str">
            <v>03-Jan-2022</v>
          </cell>
          <cell r="F745">
            <v>1332136296.5</v>
          </cell>
          <cell r="G745">
            <v>1060808.0190000001</v>
          </cell>
          <cell r="H745">
            <v>1255.78</v>
          </cell>
          <cell r="I745">
            <v>0</v>
          </cell>
          <cell r="J745">
            <v>1255.78</v>
          </cell>
        </row>
        <row r="746">
          <cell r="A746" t="str">
            <v>LU1600318833</v>
          </cell>
          <cell r="B746" t="str">
            <v>AF EMERGING MARKETS BLENDED BOND</v>
          </cell>
          <cell r="C746" t="str">
            <v>Class G EUR QD (D)</v>
          </cell>
          <cell r="D746" t="str">
            <v>EUR</v>
          </cell>
          <cell r="E746" t="str">
            <v>03-Jan-2022</v>
          </cell>
          <cell r="F746">
            <v>316994798.39999998</v>
          </cell>
          <cell r="G746">
            <v>4051569.8</v>
          </cell>
          <cell r="H746">
            <v>78.239999999999995</v>
          </cell>
          <cell r="I746">
            <v>0.95840000000000003</v>
          </cell>
          <cell r="J746">
            <v>78.239999999999995</v>
          </cell>
        </row>
        <row r="747">
          <cell r="A747" t="str">
            <v>LU2347636289</v>
          </cell>
          <cell r="B747" t="str">
            <v>AF EMERGING MARKETS BLENDED BOND</v>
          </cell>
          <cell r="C747" t="str">
            <v>Class Z EUR (C)</v>
          </cell>
          <cell r="D747" t="str">
            <v>EUR</v>
          </cell>
          <cell r="E747" t="str">
            <v>03-Jan-2022</v>
          </cell>
          <cell r="F747">
            <v>466009.38</v>
          </cell>
          <cell r="G747">
            <v>465.67200000000003</v>
          </cell>
          <cell r="H747">
            <v>1000.72</v>
          </cell>
          <cell r="I747">
            <v>0</v>
          </cell>
          <cell r="J747">
            <v>1000.72</v>
          </cell>
        </row>
        <row r="748">
          <cell r="A748" t="str">
            <v>LU1253540170</v>
          </cell>
          <cell r="B748" t="str">
            <v>AMUNDI FUNDS MULTI-ASSET REAL RETURN</v>
          </cell>
          <cell r="C748" t="str">
            <v>Class A EUR (C)</v>
          </cell>
          <cell r="D748" t="str">
            <v>EUR</v>
          </cell>
          <cell r="E748" t="str">
            <v>03-Jan-2022</v>
          </cell>
          <cell r="F748">
            <v>626486.29</v>
          </cell>
          <cell r="G748">
            <v>5756.5990000000002</v>
          </cell>
          <cell r="H748">
            <v>108.83</v>
          </cell>
          <cell r="I748">
            <v>0</v>
          </cell>
          <cell r="J748">
            <v>113.73</v>
          </cell>
        </row>
        <row r="749">
          <cell r="A749" t="str">
            <v>LU1650130344</v>
          </cell>
          <cell r="B749" t="str">
            <v>AMUNDI FUNDS MULTI-ASSET REAL RETURN</v>
          </cell>
          <cell r="C749" t="str">
            <v>Class A CZK Hgd (C)</v>
          </cell>
          <cell r="D749" t="str">
            <v>CZK</v>
          </cell>
          <cell r="E749" t="str">
            <v>03-Jan-2022</v>
          </cell>
          <cell r="F749">
            <v>260702544.12</v>
          </cell>
          <cell r="G749">
            <v>99304.404999999999</v>
          </cell>
          <cell r="H749">
            <v>2625.29</v>
          </cell>
          <cell r="I749">
            <v>0</v>
          </cell>
          <cell r="J749">
            <v>2625.29</v>
          </cell>
        </row>
        <row r="750">
          <cell r="A750" t="str">
            <v>LU1253540410</v>
          </cell>
          <cell r="B750" t="str">
            <v>AMUNDI FUNDS MULTI-ASSET REAL RETURN</v>
          </cell>
          <cell r="C750" t="str">
            <v>Class A EUR AD (D)</v>
          </cell>
          <cell r="D750" t="str">
            <v>EUR</v>
          </cell>
          <cell r="E750" t="str">
            <v>03-Jan-2022</v>
          </cell>
          <cell r="F750">
            <v>1494200.01</v>
          </cell>
          <cell r="G750">
            <v>14003.861999999999</v>
          </cell>
          <cell r="H750">
            <v>106.7</v>
          </cell>
          <cell r="I750">
            <v>0</v>
          </cell>
          <cell r="J750">
            <v>111.5</v>
          </cell>
        </row>
        <row r="751">
          <cell r="A751" t="str">
            <v>LU1253542200</v>
          </cell>
          <cell r="B751" t="str">
            <v>AMUNDI FUNDS MULTI-ASSET REAL RETURN</v>
          </cell>
          <cell r="C751" t="str">
            <v>Class Q-I4 EUR (C)</v>
          </cell>
          <cell r="D751" t="str">
            <v>EUR</v>
          </cell>
          <cell r="E751" t="str">
            <v>03-Jan-2022</v>
          </cell>
          <cell r="F751">
            <v>1153.24</v>
          </cell>
          <cell r="G751">
            <v>1</v>
          </cell>
          <cell r="H751">
            <v>1153.24</v>
          </cell>
          <cell r="I751">
            <v>0</v>
          </cell>
          <cell r="J751">
            <v>1153.24</v>
          </cell>
        </row>
        <row r="752">
          <cell r="A752" t="str">
            <v>LU2018720818</v>
          </cell>
          <cell r="B752" t="str">
            <v>AMUNDI FUNDS MULTI-ASSET REAL RETURN</v>
          </cell>
          <cell r="C752" t="str">
            <v>Class F EUR (C)</v>
          </cell>
          <cell r="D752" t="str">
            <v>EUR</v>
          </cell>
          <cell r="E752" t="str">
            <v>03-Jan-2022</v>
          </cell>
          <cell r="F752">
            <v>354595.79</v>
          </cell>
          <cell r="G752">
            <v>68545.982000000004</v>
          </cell>
          <cell r="H752">
            <v>5.173</v>
          </cell>
          <cell r="I752">
            <v>0</v>
          </cell>
          <cell r="J752">
            <v>5.173</v>
          </cell>
        </row>
        <row r="753">
          <cell r="A753" t="str">
            <v>LU1253541814</v>
          </cell>
          <cell r="B753" t="str">
            <v>AMUNDI FUNDS MULTI-ASSET REAL RETURN</v>
          </cell>
          <cell r="C753" t="str">
            <v>Class F2 EUR (C)</v>
          </cell>
          <cell r="D753" t="str">
            <v>EUR</v>
          </cell>
          <cell r="E753" t="str">
            <v>03-Jan-2022</v>
          </cell>
          <cell r="F753">
            <v>4004655.17</v>
          </cell>
          <cell r="G753">
            <v>38535.417000000001</v>
          </cell>
          <cell r="H753">
            <v>103.92</v>
          </cell>
          <cell r="I753">
            <v>0</v>
          </cell>
          <cell r="J753">
            <v>103.92</v>
          </cell>
        </row>
        <row r="754">
          <cell r="A754" t="str">
            <v>LU2018721030</v>
          </cell>
          <cell r="B754" t="str">
            <v>AMUNDI FUNDS MULTI-ASSET REAL RETURN</v>
          </cell>
          <cell r="C754" t="str">
            <v>Class F EUR QTD (D)</v>
          </cell>
          <cell r="D754" t="str">
            <v>EUR</v>
          </cell>
          <cell r="E754" t="str">
            <v>03-Jan-2022</v>
          </cell>
          <cell r="F754">
            <v>39912.519999999997</v>
          </cell>
          <cell r="G754">
            <v>8005.06</v>
          </cell>
          <cell r="H754">
            <v>4.9859999999999998</v>
          </cell>
          <cell r="I754">
            <v>1.4800000000000001E-2</v>
          </cell>
          <cell r="J754">
            <v>4.9859999999999998</v>
          </cell>
        </row>
        <row r="755">
          <cell r="A755" t="str">
            <v>LU1327398381</v>
          </cell>
          <cell r="B755" t="str">
            <v>AMUNDI FUNDS MULTI-ASSET REAL RETURN</v>
          </cell>
          <cell r="C755" t="str">
            <v>Class F2 EUR QD (D)</v>
          </cell>
          <cell r="D755" t="str">
            <v>EUR</v>
          </cell>
          <cell r="E755" t="str">
            <v>03-Jan-2022</v>
          </cell>
          <cell r="F755">
            <v>976143.17</v>
          </cell>
          <cell r="G755">
            <v>10049.111000000001</v>
          </cell>
          <cell r="H755">
            <v>97.14</v>
          </cell>
          <cell r="I755">
            <v>0.28910000000000002</v>
          </cell>
          <cell r="J755">
            <v>97.14</v>
          </cell>
        </row>
        <row r="756">
          <cell r="A756" t="str">
            <v>LU1253540840</v>
          </cell>
          <cell r="B756" t="str">
            <v>AMUNDI FUNDS MULTI-ASSET REAL RETURN</v>
          </cell>
          <cell r="C756" t="str">
            <v>Class I EUR (C)</v>
          </cell>
          <cell r="D756" t="str">
            <v>EUR</v>
          </cell>
          <cell r="E756" t="str">
            <v>03-Jan-2022</v>
          </cell>
          <cell r="F756">
            <v>12641805.76</v>
          </cell>
          <cell r="G756">
            <v>11270.154</v>
          </cell>
          <cell r="H756">
            <v>1121.71</v>
          </cell>
          <cell r="I756">
            <v>0</v>
          </cell>
          <cell r="J756">
            <v>1121.71</v>
          </cell>
        </row>
        <row r="757">
          <cell r="A757" t="str">
            <v>LU1253542119</v>
          </cell>
          <cell r="B757" t="str">
            <v>AMUNDI FUNDS MULTI-ASSET REAL RETURN</v>
          </cell>
          <cell r="C757" t="str">
            <v>Class Q-I JPY Hgd AD (D)</v>
          </cell>
          <cell r="D757" t="str">
            <v>JPY</v>
          </cell>
          <cell r="E757" t="str">
            <v>03-Jan-2022</v>
          </cell>
          <cell r="F757">
            <v>2159740720</v>
          </cell>
          <cell r="G757">
            <v>19611.78</v>
          </cell>
          <cell r="H757">
            <v>110125</v>
          </cell>
          <cell r="I757">
            <v>0</v>
          </cell>
          <cell r="J757">
            <v>110125</v>
          </cell>
        </row>
        <row r="758">
          <cell r="A758" t="str">
            <v>LU1253542036</v>
          </cell>
          <cell r="B758" t="str">
            <v>AMUNDI FUNDS MULTI-ASSET REAL RETURN</v>
          </cell>
          <cell r="C758" t="str">
            <v>Class Q-I JPY Hgd (C)</v>
          </cell>
          <cell r="D758" t="str">
            <v>JPY</v>
          </cell>
          <cell r="E758" t="str">
            <v>03-Jan-2022</v>
          </cell>
          <cell r="F758">
            <v>18413657316</v>
          </cell>
          <cell r="G758">
            <v>154996.003</v>
          </cell>
          <cell r="H758">
            <v>118801</v>
          </cell>
          <cell r="I758">
            <v>0</v>
          </cell>
          <cell r="J758">
            <v>118801</v>
          </cell>
        </row>
        <row r="759">
          <cell r="A759" t="str">
            <v>LU1253541145</v>
          </cell>
          <cell r="B759" t="str">
            <v>AMUNDI FUNDS MULTI-ASSET REAL RETURN</v>
          </cell>
          <cell r="C759" t="str">
            <v>Class I EUR AD (D)</v>
          </cell>
          <cell r="D759" t="str">
            <v>EUR</v>
          </cell>
          <cell r="E759" t="str">
            <v>03-Jan-2022</v>
          </cell>
          <cell r="F759">
            <v>1074.73</v>
          </cell>
          <cell r="G759">
            <v>1</v>
          </cell>
          <cell r="H759">
            <v>1074.73</v>
          </cell>
          <cell r="I759">
            <v>0</v>
          </cell>
          <cell r="J759">
            <v>1074.73</v>
          </cell>
        </row>
        <row r="760">
          <cell r="A760" t="str">
            <v>LU1327398035</v>
          </cell>
          <cell r="B760" t="str">
            <v>AMUNDI FUNDS MULTI-ASSET REAL RETURN</v>
          </cell>
          <cell r="C760" t="str">
            <v>Class M EUR (C)</v>
          </cell>
          <cell r="D760" t="str">
            <v>EUR</v>
          </cell>
          <cell r="E760" t="str">
            <v>03-Jan-2022</v>
          </cell>
          <cell r="F760">
            <v>20009743.91</v>
          </cell>
          <cell r="G760">
            <v>174499.94500000001</v>
          </cell>
          <cell r="H760">
            <v>114.67</v>
          </cell>
          <cell r="I760">
            <v>0</v>
          </cell>
          <cell r="J760">
            <v>114.67</v>
          </cell>
        </row>
        <row r="761">
          <cell r="A761" t="str">
            <v>LU1600318593</v>
          </cell>
          <cell r="B761" t="str">
            <v>AMUNDI FUNDS MULTI-ASSET REAL RETURN</v>
          </cell>
          <cell r="C761" t="str">
            <v>Class Q-OF EUR (C)</v>
          </cell>
          <cell r="D761" t="str">
            <v>EUR</v>
          </cell>
          <cell r="E761" t="str">
            <v>03-Jan-2022</v>
          </cell>
          <cell r="F761">
            <v>1141.73</v>
          </cell>
          <cell r="G761">
            <v>1</v>
          </cell>
          <cell r="H761">
            <v>1141.73</v>
          </cell>
          <cell r="I761">
            <v>0</v>
          </cell>
          <cell r="J761">
            <v>1141.73</v>
          </cell>
        </row>
        <row r="762">
          <cell r="A762" t="str">
            <v>LU1253541574</v>
          </cell>
          <cell r="B762" t="str">
            <v>AMUNDI FUNDS MULTI-ASSET REAL RETURN</v>
          </cell>
          <cell r="C762" t="str">
            <v>Class G EUR (C)</v>
          </cell>
          <cell r="D762" t="str">
            <v>EUR</v>
          </cell>
          <cell r="E762" t="str">
            <v>03-Jan-2022</v>
          </cell>
          <cell r="F762">
            <v>352780787.39999998</v>
          </cell>
          <cell r="G762">
            <v>3337147.6639999999</v>
          </cell>
          <cell r="H762">
            <v>105.71</v>
          </cell>
          <cell r="I762">
            <v>0</v>
          </cell>
          <cell r="J762">
            <v>108.88</v>
          </cell>
        </row>
        <row r="763">
          <cell r="A763" t="str">
            <v>LU1327398209</v>
          </cell>
          <cell r="B763" t="str">
            <v>AMUNDI FUNDS MULTI-ASSET REAL RETURN</v>
          </cell>
          <cell r="C763" t="str">
            <v>Class G EUR QD (D)</v>
          </cell>
          <cell r="D763" t="str">
            <v>EUR</v>
          </cell>
          <cell r="E763" t="str">
            <v>03-Jan-2022</v>
          </cell>
          <cell r="F763">
            <v>103698037.08</v>
          </cell>
          <cell r="G763">
            <v>1050882.2379999999</v>
          </cell>
          <cell r="H763">
            <v>98.68</v>
          </cell>
          <cell r="I763">
            <v>0.29270000000000002</v>
          </cell>
          <cell r="J763">
            <v>98.68</v>
          </cell>
        </row>
        <row r="764">
          <cell r="A764" t="str">
            <v>LU1328850950</v>
          </cell>
          <cell r="B764" t="str">
            <v>AF EUROLAND EQUITY RISK PARITY</v>
          </cell>
          <cell r="C764" t="str">
            <v>Class A EUR (C)</v>
          </cell>
          <cell r="D764" t="str">
            <v>EUR</v>
          </cell>
          <cell r="E764" t="str">
            <v>03-Jan-2022</v>
          </cell>
          <cell r="F764">
            <v>537954.07999999996</v>
          </cell>
          <cell r="G764">
            <v>3579.1680000000001</v>
          </cell>
          <cell r="H764">
            <v>150.30000000000001</v>
          </cell>
          <cell r="I764">
            <v>0</v>
          </cell>
          <cell r="J764">
            <v>150.30000000000001</v>
          </cell>
        </row>
        <row r="765">
          <cell r="A765" t="str">
            <v>LU2070306944</v>
          </cell>
          <cell r="B765" t="str">
            <v>AF EUROLAND EQUITY RISK PARITY</v>
          </cell>
          <cell r="C765" t="str">
            <v>Class A5 EUR (C)</v>
          </cell>
          <cell r="D765" t="str">
            <v>EUR</v>
          </cell>
          <cell r="E765" t="str">
            <v>03-Jan-2022</v>
          </cell>
          <cell r="F765">
            <v>5935.98</v>
          </cell>
          <cell r="G765">
            <v>100</v>
          </cell>
          <cell r="H765">
            <v>59.36</v>
          </cell>
          <cell r="I765">
            <v>0</v>
          </cell>
          <cell r="J765">
            <v>59.36</v>
          </cell>
        </row>
        <row r="766">
          <cell r="A766" t="str">
            <v>LU1328850448</v>
          </cell>
          <cell r="B766" t="str">
            <v>AF EUROLAND EQUITY RISK PARITY</v>
          </cell>
          <cell r="C766" t="str">
            <v>Class I EUR (C)</v>
          </cell>
          <cell r="D766" t="str">
            <v>EUR</v>
          </cell>
          <cell r="E766" t="str">
            <v>03-Jan-2022</v>
          </cell>
          <cell r="F766">
            <v>375916284.52999997</v>
          </cell>
          <cell r="G766">
            <v>2981.8040000000001</v>
          </cell>
          <cell r="H766">
            <v>126070.09</v>
          </cell>
          <cell r="I766">
            <v>0</v>
          </cell>
          <cell r="J766">
            <v>126070.09</v>
          </cell>
        </row>
        <row r="767">
          <cell r="A767" t="str">
            <v>LU1328850521</v>
          </cell>
          <cell r="B767" t="str">
            <v>AF EUROLAND EQUITY RISK PARITY</v>
          </cell>
          <cell r="C767" t="str">
            <v>Class I EUR AD (D)</v>
          </cell>
          <cell r="D767" t="str">
            <v>EUR</v>
          </cell>
          <cell r="E767" t="str">
            <v>03-Jan-2022</v>
          </cell>
          <cell r="F767">
            <v>178429998.33000001</v>
          </cell>
          <cell r="G767">
            <v>130055.821</v>
          </cell>
          <cell r="H767">
            <v>1371.95</v>
          </cell>
          <cell r="I767">
            <v>0</v>
          </cell>
          <cell r="J767">
            <v>1371.95</v>
          </cell>
        </row>
        <row r="768">
          <cell r="A768" t="str">
            <v>LU2034727490</v>
          </cell>
          <cell r="B768" t="str">
            <v>AF EUROLAND EQUITY RISK PARITY</v>
          </cell>
          <cell r="C768" t="str">
            <v>Class X EUR (C)</v>
          </cell>
          <cell r="D768" t="str">
            <v>EUR</v>
          </cell>
          <cell r="E768" t="str">
            <v>03-Jan-2022</v>
          </cell>
          <cell r="F768">
            <v>6541.39</v>
          </cell>
          <cell r="G768">
            <v>5</v>
          </cell>
          <cell r="H768">
            <v>1308.28</v>
          </cell>
          <cell r="I768">
            <v>0</v>
          </cell>
          <cell r="J768">
            <v>1308.28</v>
          </cell>
        </row>
        <row r="769">
          <cell r="A769" t="str">
            <v>LU1328849358</v>
          </cell>
          <cell r="B769" t="str">
            <v>AMUNDI FUNDS EUROPEAN SUBORDINATED BOND ESG</v>
          </cell>
          <cell r="C769" t="str">
            <v>Class A2 EUR (C)</v>
          </cell>
          <cell r="D769" t="str">
            <v>EUR</v>
          </cell>
          <cell r="E769" t="str">
            <v>03-Jan-2022</v>
          </cell>
          <cell r="F769">
            <v>187430620.37</v>
          </cell>
          <cell r="G769">
            <v>1449285.023</v>
          </cell>
          <cell r="H769">
            <v>129.33000000000001</v>
          </cell>
          <cell r="I769">
            <v>0</v>
          </cell>
          <cell r="J769">
            <v>129.33000000000001</v>
          </cell>
        </row>
        <row r="770">
          <cell r="A770" t="str">
            <v>LU2414850052</v>
          </cell>
          <cell r="B770" t="str">
            <v>AMUNDI FUNDS EUROPEAN SUBORDINATED BOND ESG</v>
          </cell>
          <cell r="C770" t="str">
            <v>Class A5 EUR (C)</v>
          </cell>
          <cell r="D770" t="str">
            <v>EUR</v>
          </cell>
          <cell r="E770" t="str">
            <v>03-Jan-2022</v>
          </cell>
          <cell r="F770">
            <v>5036.29</v>
          </cell>
          <cell r="G770">
            <v>100</v>
          </cell>
          <cell r="H770">
            <v>50.36</v>
          </cell>
          <cell r="I770">
            <v>0</v>
          </cell>
          <cell r="J770">
            <v>50.36</v>
          </cell>
        </row>
        <row r="771">
          <cell r="A771" t="str">
            <v>LU2401725424</v>
          </cell>
          <cell r="B771" t="str">
            <v>AMUNDI FUNDS EUROPEAN SUBORDINATED BOND ESG</v>
          </cell>
          <cell r="C771" t="str">
            <v>Class A6 EUR (C)</v>
          </cell>
          <cell r="D771" t="str">
            <v>EUR</v>
          </cell>
          <cell r="E771" t="str">
            <v>03-Jan-2022</v>
          </cell>
          <cell r="F771">
            <v>5018.58</v>
          </cell>
          <cell r="G771">
            <v>100</v>
          </cell>
          <cell r="H771">
            <v>50.19</v>
          </cell>
          <cell r="I771">
            <v>0</v>
          </cell>
          <cell r="J771">
            <v>50.19</v>
          </cell>
        </row>
        <row r="772">
          <cell r="A772" t="str">
            <v>LU1328849432</v>
          </cell>
          <cell r="B772" t="str">
            <v>AMUNDI FUNDS EUROPEAN SUBORDINATED BOND ESG</v>
          </cell>
          <cell r="C772" t="str">
            <v>Class A2 EUR AD (D)</v>
          </cell>
          <cell r="D772" t="str">
            <v>EUR</v>
          </cell>
          <cell r="E772" t="str">
            <v>03-Jan-2022</v>
          </cell>
          <cell r="F772">
            <v>113.39</v>
          </cell>
          <cell r="G772">
            <v>1</v>
          </cell>
          <cell r="H772">
            <v>113.39</v>
          </cell>
          <cell r="I772">
            <v>0</v>
          </cell>
          <cell r="J772">
            <v>113.39</v>
          </cell>
        </row>
        <row r="773">
          <cell r="A773" t="str">
            <v>LU2002724479</v>
          </cell>
          <cell r="B773" t="str">
            <v>AMUNDI FUNDS EUROPEAN SUBORDINATED BOND ESG</v>
          </cell>
          <cell r="C773" t="str">
            <v>Class M2 EUR ( C )</v>
          </cell>
          <cell r="D773" t="str">
            <v>EUR</v>
          </cell>
          <cell r="E773" t="str">
            <v>03-Jan-2022</v>
          </cell>
          <cell r="F773">
            <v>121713694.56999999</v>
          </cell>
          <cell r="G773">
            <v>110802.467</v>
          </cell>
          <cell r="H773">
            <v>1098.47</v>
          </cell>
          <cell r="I773">
            <v>0</v>
          </cell>
          <cell r="J773">
            <v>1098.47</v>
          </cell>
        </row>
        <row r="774">
          <cell r="A774" t="str">
            <v>LU1328849606</v>
          </cell>
          <cell r="B774" t="str">
            <v>AMUNDI FUNDS EUROPEAN SUBORDINATED BOND ESG</v>
          </cell>
          <cell r="C774" t="str">
            <v>Class F2 EUR (C)</v>
          </cell>
          <cell r="D774" t="str">
            <v>EUR</v>
          </cell>
          <cell r="E774" t="str">
            <v>03-Jan-2022</v>
          </cell>
          <cell r="F774">
            <v>2013804.87</v>
          </cell>
          <cell r="G774">
            <v>16457.019</v>
          </cell>
          <cell r="H774">
            <v>122.37</v>
          </cell>
          <cell r="I774">
            <v>0</v>
          </cell>
          <cell r="J774">
            <v>122.37</v>
          </cell>
        </row>
        <row r="775">
          <cell r="A775" t="str">
            <v>LU1998920455</v>
          </cell>
          <cell r="B775" t="str">
            <v>AMUNDI FUNDS EUROPEAN SUBORDINATED BOND ESG</v>
          </cell>
          <cell r="C775" t="str">
            <v>Class H EUR  ( C )</v>
          </cell>
          <cell r="D775" t="str">
            <v>EUR</v>
          </cell>
          <cell r="E775" t="str">
            <v>03-Jan-2022</v>
          </cell>
          <cell r="F775">
            <v>248194107.56</v>
          </cell>
          <cell r="G775">
            <v>223337.44</v>
          </cell>
          <cell r="H775">
            <v>1111.3</v>
          </cell>
          <cell r="I775">
            <v>0</v>
          </cell>
          <cell r="J775">
            <v>1111.3</v>
          </cell>
        </row>
        <row r="776">
          <cell r="A776" t="str">
            <v>LU1328848970</v>
          </cell>
          <cell r="B776" t="str">
            <v>AMUNDI FUNDS EUROPEAN SUBORDINATED BOND ESG</v>
          </cell>
          <cell r="C776" t="str">
            <v>Class I EUR (C)</v>
          </cell>
          <cell r="D776" t="str">
            <v>EUR</v>
          </cell>
          <cell r="E776" t="str">
            <v>03-Jan-2022</v>
          </cell>
          <cell r="F776">
            <v>318547991.25</v>
          </cell>
          <cell r="G776">
            <v>2354081.73</v>
          </cell>
          <cell r="H776">
            <v>135.32</v>
          </cell>
          <cell r="I776">
            <v>0</v>
          </cell>
          <cell r="J776">
            <v>135.32</v>
          </cell>
        </row>
        <row r="777">
          <cell r="A777" t="str">
            <v>LU2279408327</v>
          </cell>
          <cell r="B777" t="str">
            <v>AMUNDI FUNDS EUROPEAN SUBORDINATED BOND ESG</v>
          </cell>
          <cell r="C777" t="str">
            <v>Class M2 EUR QTD (D)</v>
          </cell>
          <cell r="D777" t="str">
            <v>EUR</v>
          </cell>
          <cell r="E777" t="str">
            <v>03-Jan-2022</v>
          </cell>
          <cell r="F777">
            <v>73914822.030000001</v>
          </cell>
          <cell r="G777">
            <v>73553.218999999997</v>
          </cell>
          <cell r="H777">
            <v>1004.92</v>
          </cell>
          <cell r="I777">
            <v>5</v>
          </cell>
          <cell r="J777">
            <v>1004.92</v>
          </cell>
        </row>
        <row r="778">
          <cell r="A778" t="str">
            <v>LU1328849788</v>
          </cell>
          <cell r="B778" t="str">
            <v>AMUNDI FUNDS EUROPEAN SUBORDINATED BOND ESG</v>
          </cell>
          <cell r="C778" t="str">
            <v>Class R2 EUR (C)</v>
          </cell>
          <cell r="D778" t="str">
            <v>EUR</v>
          </cell>
          <cell r="E778" t="str">
            <v>03-Jan-2022</v>
          </cell>
          <cell r="F778">
            <v>136.01</v>
          </cell>
          <cell r="G778">
            <v>1</v>
          </cell>
          <cell r="H778">
            <v>136.01</v>
          </cell>
          <cell r="I778">
            <v>0</v>
          </cell>
          <cell r="J778">
            <v>136.01</v>
          </cell>
        </row>
        <row r="779">
          <cell r="A779" t="str">
            <v>LU1328849861</v>
          </cell>
          <cell r="B779" t="str">
            <v>AMUNDI FUNDS EUROPEAN SUBORDINATED BOND ESG</v>
          </cell>
          <cell r="C779" t="str">
            <v>Class R2 EUR AD (D)</v>
          </cell>
          <cell r="D779" t="str">
            <v>EUR</v>
          </cell>
          <cell r="E779" t="str">
            <v>03-Jan-2022</v>
          </cell>
          <cell r="F779">
            <v>533974.03</v>
          </cell>
          <cell r="G779">
            <v>4703.5420000000004</v>
          </cell>
          <cell r="H779">
            <v>113.53</v>
          </cell>
          <cell r="I779">
            <v>0</v>
          </cell>
          <cell r="J779">
            <v>113.53</v>
          </cell>
        </row>
        <row r="780">
          <cell r="A780" t="str">
            <v>LU1328849515</v>
          </cell>
          <cell r="B780" t="str">
            <v>AMUNDI FUNDS EUROPEAN SUBORDINATED BOND ESG</v>
          </cell>
          <cell r="C780" t="str">
            <v>Class G EUR (C)</v>
          </cell>
          <cell r="D780" t="str">
            <v>EUR</v>
          </cell>
          <cell r="E780" t="str">
            <v>03-Jan-2022</v>
          </cell>
          <cell r="F780">
            <v>3107135.33</v>
          </cell>
          <cell r="G780">
            <v>25140.186000000002</v>
          </cell>
          <cell r="H780">
            <v>123.59</v>
          </cell>
          <cell r="I780">
            <v>0</v>
          </cell>
          <cell r="J780">
            <v>123.59</v>
          </cell>
        </row>
        <row r="781">
          <cell r="A781" t="str">
            <v>LU2279408590</v>
          </cell>
          <cell r="B781" t="str">
            <v>AMUNDI FUNDS EUROPEAN SUBORDINATED BOND ESG</v>
          </cell>
          <cell r="C781" t="str">
            <v>Class H EUR QTD (D)</v>
          </cell>
          <cell r="D781" t="str">
            <v>EUR</v>
          </cell>
          <cell r="E781" t="str">
            <v>03-Jan-2022</v>
          </cell>
          <cell r="F781">
            <v>5047.78</v>
          </cell>
          <cell r="G781">
            <v>5</v>
          </cell>
          <cell r="H781">
            <v>1009.56</v>
          </cell>
          <cell r="I781">
            <v>5</v>
          </cell>
          <cell r="J781">
            <v>1009.56</v>
          </cell>
        </row>
        <row r="782">
          <cell r="A782" t="str">
            <v>LU2132230389</v>
          </cell>
          <cell r="B782" t="str">
            <v>AMUNDI FUNDS EUROPEAN SUBORDINATED BOND ESG</v>
          </cell>
          <cell r="C782" t="str">
            <v>Class Z EUR (C)</v>
          </cell>
          <cell r="D782" t="str">
            <v>EUR</v>
          </cell>
          <cell r="E782" t="str">
            <v>03-Jan-2022</v>
          </cell>
          <cell r="F782">
            <v>110334583.12</v>
          </cell>
          <cell r="G782">
            <v>104227.84</v>
          </cell>
          <cell r="H782">
            <v>1058.5899999999999</v>
          </cell>
          <cell r="I782">
            <v>0</v>
          </cell>
          <cell r="J782">
            <v>1058.5899999999999</v>
          </cell>
        </row>
        <row r="783">
          <cell r="A783" t="str">
            <v>LU1622150198</v>
          </cell>
          <cell r="B783" t="str">
            <v>AF ABSOLUTE RETURN CREDIT</v>
          </cell>
          <cell r="C783" t="str">
            <v>Class A EUR (C)</v>
          </cell>
          <cell r="D783" t="str">
            <v>EUR</v>
          </cell>
          <cell r="E783" t="str">
            <v>03-Jan-2022</v>
          </cell>
          <cell r="F783">
            <v>118100.37</v>
          </cell>
          <cell r="G783">
            <v>1065.5519999999999</v>
          </cell>
          <cell r="H783">
            <v>110.83</v>
          </cell>
          <cell r="I783">
            <v>0</v>
          </cell>
          <cell r="J783">
            <v>115.26</v>
          </cell>
        </row>
        <row r="784">
          <cell r="A784" t="str">
            <v>LU1622150867</v>
          </cell>
          <cell r="B784" t="str">
            <v>AF ABSOLUTE RETURN CREDIT</v>
          </cell>
          <cell r="C784" t="str">
            <v>Class A USD (C)</v>
          </cell>
          <cell r="D784" t="str">
            <v>USD</v>
          </cell>
          <cell r="E784" t="str">
            <v>03-Jan-2022</v>
          </cell>
          <cell r="F784">
            <v>22335.200000000001</v>
          </cell>
          <cell r="G784">
            <v>210</v>
          </cell>
          <cell r="H784">
            <v>106.36</v>
          </cell>
          <cell r="I784">
            <v>0</v>
          </cell>
          <cell r="J784">
            <v>110.61</v>
          </cell>
        </row>
        <row r="785">
          <cell r="A785" t="str">
            <v>LU1622150941</v>
          </cell>
          <cell r="B785" t="str">
            <v>AF ABSOLUTE RETURN CREDIT</v>
          </cell>
          <cell r="C785" t="str">
            <v>Class A USD Hgd (C)</v>
          </cell>
          <cell r="D785" t="str">
            <v>USD</v>
          </cell>
          <cell r="E785" t="str">
            <v>03-Jan-2022</v>
          </cell>
          <cell r="F785">
            <v>1151.43</v>
          </cell>
          <cell r="G785">
            <v>10</v>
          </cell>
          <cell r="H785">
            <v>115.14</v>
          </cell>
          <cell r="I785">
            <v>0</v>
          </cell>
          <cell r="J785">
            <v>119.75</v>
          </cell>
        </row>
        <row r="786">
          <cell r="A786" t="str">
            <v>LU1622150602</v>
          </cell>
          <cell r="B786" t="str">
            <v>AF ABSOLUTE RETURN CREDIT</v>
          </cell>
          <cell r="C786" t="str">
            <v>Class Q-A3 EUR AD (D)</v>
          </cell>
          <cell r="D786" t="str">
            <v>EUR</v>
          </cell>
          <cell r="E786" t="str">
            <v>03-Jan-2022</v>
          </cell>
          <cell r="F786">
            <v>987.11</v>
          </cell>
          <cell r="G786">
            <v>10</v>
          </cell>
          <cell r="H786">
            <v>98.71</v>
          </cell>
          <cell r="I786">
            <v>0</v>
          </cell>
          <cell r="J786">
            <v>98.71</v>
          </cell>
        </row>
        <row r="787">
          <cell r="A787" t="str">
            <v>LU1622151246</v>
          </cell>
          <cell r="B787" t="str">
            <v>AF ABSOLUTE RETURN CREDIT</v>
          </cell>
          <cell r="C787" t="str">
            <v>Class F2 EUR (C)</v>
          </cell>
          <cell r="D787" t="str">
            <v>EUR</v>
          </cell>
          <cell r="E787" t="str">
            <v>03-Jan-2022</v>
          </cell>
          <cell r="F787">
            <v>516570.33</v>
          </cell>
          <cell r="G787">
            <v>5018.8459999999995</v>
          </cell>
          <cell r="H787">
            <v>102.93</v>
          </cell>
          <cell r="I787">
            <v>0</v>
          </cell>
          <cell r="J787">
            <v>102.93</v>
          </cell>
        </row>
        <row r="788">
          <cell r="A788" t="str">
            <v>LU1622151089</v>
          </cell>
          <cell r="B788" t="str">
            <v>AF ABSOLUTE RETURN CREDIT</v>
          </cell>
          <cell r="C788" t="str">
            <v>Class I EUR AD (D)</v>
          </cell>
          <cell r="D788" t="str">
            <v>EUR</v>
          </cell>
          <cell r="E788" t="str">
            <v>03-Jan-2022</v>
          </cell>
          <cell r="F788">
            <v>1011.19</v>
          </cell>
          <cell r="G788">
            <v>1</v>
          </cell>
          <cell r="H788">
            <v>1011.19</v>
          </cell>
          <cell r="I788">
            <v>0</v>
          </cell>
          <cell r="J788">
            <v>1011.19</v>
          </cell>
        </row>
        <row r="789">
          <cell r="A789" t="str">
            <v>LU1622150271</v>
          </cell>
          <cell r="B789" t="str">
            <v>AF ABSOLUTE RETURN CREDIT</v>
          </cell>
          <cell r="C789" t="str">
            <v>Class I EUR (C)</v>
          </cell>
          <cell r="D789" t="str">
            <v>EUR</v>
          </cell>
          <cell r="E789" t="str">
            <v>03-Jan-2022</v>
          </cell>
          <cell r="F789">
            <v>36917910.520000003</v>
          </cell>
          <cell r="G789">
            <v>31883.539000000001</v>
          </cell>
          <cell r="H789">
            <v>1157.9000000000001</v>
          </cell>
          <cell r="I789">
            <v>0</v>
          </cell>
          <cell r="J789">
            <v>1157.9000000000001</v>
          </cell>
        </row>
        <row r="790">
          <cell r="A790" t="str">
            <v>LU2052288615</v>
          </cell>
          <cell r="B790" t="str">
            <v>AF ABSOLUTE RETURN CREDIT</v>
          </cell>
          <cell r="C790" t="str">
            <v>Class I2 GBP (C)</v>
          </cell>
          <cell r="D790" t="str">
            <v>GBP</v>
          </cell>
          <cell r="E790" t="str">
            <v>03-Jan-2022</v>
          </cell>
          <cell r="F790">
            <v>5133.7</v>
          </cell>
          <cell r="G790">
            <v>5</v>
          </cell>
          <cell r="H790">
            <v>1026.74</v>
          </cell>
          <cell r="I790">
            <v>0</v>
          </cell>
          <cell r="J790">
            <v>1026.74</v>
          </cell>
        </row>
        <row r="791">
          <cell r="A791" t="str">
            <v>LU1622150438</v>
          </cell>
          <cell r="B791" t="str">
            <v>AF ABSOLUTE RETURN CREDIT</v>
          </cell>
          <cell r="C791" t="str">
            <v>Class I GBP Hgd (C)</v>
          </cell>
          <cell r="D791" t="str">
            <v>GBP</v>
          </cell>
          <cell r="E791" t="str">
            <v>03-Jan-2022</v>
          </cell>
          <cell r="F791">
            <v>9451.7800000000007</v>
          </cell>
          <cell r="G791">
            <v>10</v>
          </cell>
          <cell r="H791">
            <v>945.18</v>
          </cell>
          <cell r="I791">
            <v>0</v>
          </cell>
          <cell r="J791">
            <v>945.18</v>
          </cell>
        </row>
        <row r="792">
          <cell r="A792" t="str">
            <v>LU1622151592</v>
          </cell>
          <cell r="B792" t="str">
            <v>AF ABSOLUTE RETURN CREDIT</v>
          </cell>
          <cell r="C792" t="str">
            <v>Class M EUR (C)</v>
          </cell>
          <cell r="D792" t="str">
            <v>EUR</v>
          </cell>
          <cell r="E792" t="str">
            <v>03-Jan-2022</v>
          </cell>
          <cell r="F792">
            <v>1076.8599999999999</v>
          </cell>
          <cell r="G792">
            <v>10</v>
          </cell>
          <cell r="H792">
            <v>107.69</v>
          </cell>
          <cell r="I792">
            <v>0</v>
          </cell>
          <cell r="J792">
            <v>107.69</v>
          </cell>
        </row>
        <row r="793">
          <cell r="A793" t="str">
            <v>LU1622150511</v>
          </cell>
          <cell r="B793" t="str">
            <v>AF ABSOLUTE RETURN CREDIT</v>
          </cell>
          <cell r="C793" t="str">
            <v>Class O EUR (C)</v>
          </cell>
          <cell r="D793" t="str">
            <v>EUR</v>
          </cell>
          <cell r="E793" t="str">
            <v>03-Jan-2022</v>
          </cell>
          <cell r="F793">
            <v>23295335.949999999</v>
          </cell>
          <cell r="G793">
            <v>20402.260999999999</v>
          </cell>
          <cell r="H793">
            <v>1141.8</v>
          </cell>
          <cell r="I793">
            <v>0</v>
          </cell>
          <cell r="J793">
            <v>1141.8</v>
          </cell>
        </row>
        <row r="794">
          <cell r="A794" t="str">
            <v>LU1622151162</v>
          </cell>
          <cell r="B794" t="str">
            <v>AF ABSOLUTE RETURN CREDIT</v>
          </cell>
          <cell r="C794" t="str">
            <v>Class R EUR (C)</v>
          </cell>
          <cell r="D794" t="str">
            <v>EUR</v>
          </cell>
          <cell r="E794" t="str">
            <v>03-Jan-2022</v>
          </cell>
          <cell r="F794">
            <v>1071.3800000000001</v>
          </cell>
          <cell r="G794">
            <v>10</v>
          </cell>
          <cell r="H794">
            <v>107.14</v>
          </cell>
          <cell r="I794">
            <v>0</v>
          </cell>
          <cell r="J794">
            <v>107.14</v>
          </cell>
        </row>
        <row r="795">
          <cell r="A795" t="str">
            <v>LU1622151329</v>
          </cell>
          <cell r="B795" t="str">
            <v>AF ABSOLUTE RETURN CREDIT</v>
          </cell>
          <cell r="C795" t="str">
            <v>Class G EUR (C)</v>
          </cell>
          <cell r="D795" t="str">
            <v>EUR</v>
          </cell>
          <cell r="E795" t="str">
            <v>03-Jan-2022</v>
          </cell>
          <cell r="F795">
            <v>2131631.21</v>
          </cell>
          <cell r="G795">
            <v>20579.7</v>
          </cell>
          <cell r="H795">
            <v>103.58</v>
          </cell>
          <cell r="I795">
            <v>0</v>
          </cell>
          <cell r="J795">
            <v>106.69</v>
          </cell>
        </row>
        <row r="796">
          <cell r="A796" t="str">
            <v>LU1691800087</v>
          </cell>
          <cell r="B796" t="str">
            <v>AF EUROPEAN EQUITY RISK PARITY</v>
          </cell>
          <cell r="C796" t="str">
            <v>Class A EUR (C)</v>
          </cell>
          <cell r="D796" t="str">
            <v>EUR</v>
          </cell>
          <cell r="E796" t="str">
            <v>03-Jan-2022</v>
          </cell>
          <cell r="F796">
            <v>37951.96</v>
          </cell>
          <cell r="G796">
            <v>675.27099999999996</v>
          </cell>
          <cell r="H796">
            <v>56.2</v>
          </cell>
          <cell r="I796">
            <v>0</v>
          </cell>
          <cell r="J796">
            <v>56.2</v>
          </cell>
        </row>
        <row r="797">
          <cell r="A797" t="str">
            <v>LU2070307249</v>
          </cell>
          <cell r="B797" t="str">
            <v>AF EUROPEAN EQUITY RISK PARITY</v>
          </cell>
          <cell r="C797" t="str">
            <v>Class A5 EUR (C)</v>
          </cell>
          <cell r="D797" t="str">
            <v>EUR</v>
          </cell>
          <cell r="E797" t="str">
            <v>03-Jan-2022</v>
          </cell>
          <cell r="F797">
            <v>6167.46</v>
          </cell>
          <cell r="G797">
            <v>100</v>
          </cell>
          <cell r="H797">
            <v>61.67</v>
          </cell>
          <cell r="I797">
            <v>0</v>
          </cell>
          <cell r="J797">
            <v>61.67</v>
          </cell>
        </row>
        <row r="798">
          <cell r="A798" t="str">
            <v>LU1691800160</v>
          </cell>
          <cell r="B798" t="str">
            <v>AF EUROPEAN EQUITY RISK PARITY</v>
          </cell>
          <cell r="C798" t="str">
            <v>Class I EUR (C)</v>
          </cell>
          <cell r="D798" t="str">
            <v>EUR</v>
          </cell>
          <cell r="E798" t="str">
            <v>03-Jan-2022</v>
          </cell>
          <cell r="F798">
            <v>59594859.539999999</v>
          </cell>
          <cell r="G798">
            <v>43731.603000000003</v>
          </cell>
          <cell r="H798">
            <v>1362.74</v>
          </cell>
          <cell r="I798">
            <v>0</v>
          </cell>
          <cell r="J798">
            <v>1362.74</v>
          </cell>
        </row>
        <row r="799">
          <cell r="A799" t="str">
            <v>LU1691800244</v>
          </cell>
          <cell r="B799" t="str">
            <v>AF EUROPEAN EQUITY RISK PARITY</v>
          </cell>
          <cell r="C799" t="str">
            <v>Class I EUR AD (D)</v>
          </cell>
          <cell r="D799" t="str">
            <v>EUR</v>
          </cell>
          <cell r="E799" t="str">
            <v>03-Jan-2022</v>
          </cell>
          <cell r="F799">
            <v>22106014.219999999</v>
          </cell>
          <cell r="G799">
            <v>17521.609</v>
          </cell>
          <cell r="H799">
            <v>1261.6400000000001</v>
          </cell>
          <cell r="I799">
            <v>0</v>
          </cell>
          <cell r="J799">
            <v>1261.6400000000001</v>
          </cell>
        </row>
        <row r="800">
          <cell r="A800" t="str">
            <v>LU1691800590</v>
          </cell>
          <cell r="B800" t="str">
            <v>AF EUROLAND EQUITY DYNAMIC MULTI FACTORS</v>
          </cell>
          <cell r="C800" t="str">
            <v>Class A EUR (C)</v>
          </cell>
          <cell r="D800" t="str">
            <v>EUR</v>
          </cell>
          <cell r="E800" t="str">
            <v>03-Jan-2022</v>
          </cell>
          <cell r="F800">
            <v>34050234.409999996</v>
          </cell>
          <cell r="G800">
            <v>266574.56699999998</v>
          </cell>
          <cell r="H800">
            <v>127.73</v>
          </cell>
          <cell r="I800">
            <v>0</v>
          </cell>
          <cell r="J800">
            <v>133.47999999999999</v>
          </cell>
        </row>
        <row r="801">
          <cell r="A801" t="str">
            <v>LU1691800673</v>
          </cell>
          <cell r="B801" t="str">
            <v>AF EUROLAND EQUITY DYNAMIC MULTI FACTORS</v>
          </cell>
          <cell r="C801" t="str">
            <v>Class I EUR (C)</v>
          </cell>
          <cell r="D801" t="str">
            <v>EUR</v>
          </cell>
          <cell r="E801" t="str">
            <v>03-Jan-2022</v>
          </cell>
          <cell r="F801">
            <v>80547042.459999993</v>
          </cell>
          <cell r="G801">
            <v>61522.529000000002</v>
          </cell>
          <cell r="H801">
            <v>1309.23</v>
          </cell>
          <cell r="I801">
            <v>0</v>
          </cell>
          <cell r="J801">
            <v>1309.23</v>
          </cell>
        </row>
        <row r="802">
          <cell r="A802" t="str">
            <v>LU1691800756</v>
          </cell>
          <cell r="B802" t="str">
            <v>AF EUROLAND EQUITY DYNAMIC MULTI FACTORS</v>
          </cell>
          <cell r="C802" t="str">
            <v>Class R EUR (C)</v>
          </cell>
          <cell r="D802" t="str">
            <v>EUR</v>
          </cell>
          <cell r="E802" t="str">
            <v>03-Jan-2022</v>
          </cell>
          <cell r="F802">
            <v>6229.18</v>
          </cell>
          <cell r="G802">
            <v>100</v>
          </cell>
          <cell r="H802">
            <v>62.29</v>
          </cell>
          <cell r="I802">
            <v>0</v>
          </cell>
          <cell r="J802">
            <v>62.29</v>
          </cell>
        </row>
        <row r="803">
          <cell r="A803" t="str">
            <v>LU1691800830</v>
          </cell>
          <cell r="B803" t="str">
            <v>AF EUROLAND EQUITY DYNAMIC MULTI FACTORS</v>
          </cell>
          <cell r="C803" t="str">
            <v>Class Q-X EUR (C)</v>
          </cell>
          <cell r="D803" t="str">
            <v>EUR</v>
          </cell>
          <cell r="E803" t="str">
            <v>03-Jan-2022</v>
          </cell>
          <cell r="F803">
            <v>453891253.83999997</v>
          </cell>
          <cell r="G803">
            <v>345086.196</v>
          </cell>
          <cell r="H803">
            <v>1315.3</v>
          </cell>
          <cell r="I803">
            <v>0</v>
          </cell>
          <cell r="J803">
            <v>1315.3</v>
          </cell>
        </row>
        <row r="804">
          <cell r="A804" t="str">
            <v>LU1691800913</v>
          </cell>
          <cell r="B804" t="str">
            <v>AF EUROPEAN EQUITY DYNAMIC MULTI FACTORS</v>
          </cell>
          <cell r="C804" t="str">
            <v>Class A EUR (C)</v>
          </cell>
          <cell r="D804" t="str">
            <v>EUR</v>
          </cell>
          <cell r="E804" t="str">
            <v>03-Jan-2022</v>
          </cell>
          <cell r="F804">
            <v>2396866.44</v>
          </cell>
          <cell r="G804">
            <v>17850.902999999998</v>
          </cell>
          <cell r="H804">
            <v>134.27000000000001</v>
          </cell>
          <cell r="I804">
            <v>0</v>
          </cell>
          <cell r="J804">
            <v>140.31</v>
          </cell>
        </row>
        <row r="805">
          <cell r="A805" t="str">
            <v>LU2070307165</v>
          </cell>
          <cell r="B805" t="str">
            <v>AF EUROPEAN EQUITY DYNAMIC MULTI FACTORS</v>
          </cell>
          <cell r="C805" t="str">
            <v>Class A5 EUR (C)</v>
          </cell>
          <cell r="D805" t="str">
            <v>EUR</v>
          </cell>
          <cell r="E805" t="str">
            <v>03-Jan-2022</v>
          </cell>
          <cell r="F805">
            <v>6157.77</v>
          </cell>
          <cell r="G805">
            <v>100</v>
          </cell>
          <cell r="H805">
            <v>61.58</v>
          </cell>
          <cell r="I805">
            <v>0</v>
          </cell>
          <cell r="J805">
            <v>61.58</v>
          </cell>
        </row>
        <row r="806">
          <cell r="A806" t="str">
            <v>LU1691801051</v>
          </cell>
          <cell r="B806" t="str">
            <v>AF EUROPEAN EQUITY DYNAMIC MULTI FACTORS</v>
          </cell>
          <cell r="C806" t="str">
            <v>Class I EUR (C)</v>
          </cell>
          <cell r="D806" t="str">
            <v>EUR</v>
          </cell>
          <cell r="E806" t="str">
            <v>03-Jan-2022</v>
          </cell>
          <cell r="F806">
            <v>110498810.42</v>
          </cell>
          <cell r="G806">
            <v>79932.563999999998</v>
          </cell>
          <cell r="H806">
            <v>1382.4</v>
          </cell>
          <cell r="I806">
            <v>0</v>
          </cell>
          <cell r="J806">
            <v>1382.4</v>
          </cell>
        </row>
        <row r="807">
          <cell r="A807" t="str">
            <v>LU2298072187</v>
          </cell>
          <cell r="B807" t="str">
            <v>AF EUROPEAN EQUITY DYNAMIC MULTI FACTORS</v>
          </cell>
          <cell r="C807" t="str">
            <v>Class M2 EUR (C)</v>
          </cell>
          <cell r="D807" t="str">
            <v>EUR</v>
          </cell>
          <cell r="E807" t="str">
            <v>03-Jan-2022</v>
          </cell>
          <cell r="F807">
            <v>6177.5</v>
          </cell>
          <cell r="G807">
            <v>5</v>
          </cell>
          <cell r="H807">
            <v>1235.5</v>
          </cell>
          <cell r="I807">
            <v>0</v>
          </cell>
          <cell r="J807">
            <v>1235.5</v>
          </cell>
        </row>
        <row r="808">
          <cell r="A808" t="str">
            <v>LU1691801135</v>
          </cell>
          <cell r="B808" t="str">
            <v>AF EUROPEAN EQUITY DYNAMIC MULTI FACTORS</v>
          </cell>
          <cell r="C808" t="str">
            <v>Class R EUR (C)</v>
          </cell>
          <cell r="D808" t="str">
            <v>EUR</v>
          </cell>
          <cell r="E808" t="str">
            <v>03-Jan-2022</v>
          </cell>
          <cell r="F808">
            <v>6414.67</v>
          </cell>
          <cell r="G808">
            <v>100</v>
          </cell>
          <cell r="H808">
            <v>64.150000000000006</v>
          </cell>
          <cell r="I808">
            <v>0</v>
          </cell>
          <cell r="J808">
            <v>64.150000000000006</v>
          </cell>
        </row>
        <row r="809">
          <cell r="A809" t="str">
            <v>LU1691801218</v>
          </cell>
          <cell r="B809" t="str">
            <v>AF EUROPEAN EQUITY DYNAMIC MULTI FACTORS</v>
          </cell>
          <cell r="C809" t="str">
            <v>Class Q-X EUR (C)</v>
          </cell>
          <cell r="D809" t="str">
            <v>EUR</v>
          </cell>
          <cell r="E809" t="str">
            <v>03-Jan-2022</v>
          </cell>
          <cell r="F809">
            <v>58947732.109999999</v>
          </cell>
          <cell r="G809">
            <v>42733.896999999997</v>
          </cell>
          <cell r="H809">
            <v>1379.41</v>
          </cell>
          <cell r="I809">
            <v>0</v>
          </cell>
          <cell r="J809">
            <v>1379.41</v>
          </cell>
        </row>
        <row r="810">
          <cell r="A810" t="str">
            <v>LU1956955550</v>
          </cell>
          <cell r="B810" t="str">
            <v>AMUNDI FUNDS POLEN CAPITAL GLOBAL GROWTH</v>
          </cell>
          <cell r="C810" t="str">
            <v>Class A2 EUR (C)</v>
          </cell>
          <cell r="D810" t="str">
            <v>EUR</v>
          </cell>
          <cell r="E810" t="str">
            <v>03-Jan-2022</v>
          </cell>
          <cell r="F810">
            <v>240966837.31999999</v>
          </cell>
          <cell r="G810">
            <v>1459016.1640000001</v>
          </cell>
          <cell r="H810">
            <v>165.16</v>
          </cell>
          <cell r="I810">
            <v>0</v>
          </cell>
          <cell r="J810">
            <v>165.16</v>
          </cell>
        </row>
        <row r="811">
          <cell r="A811" t="str">
            <v>LU1691799644</v>
          </cell>
          <cell r="B811" t="str">
            <v>AMUNDI FUNDS POLEN CAPITAL GLOBAL GROWTH</v>
          </cell>
          <cell r="C811" t="str">
            <v>Class A2 USD (C)</v>
          </cell>
          <cell r="D811" t="str">
            <v>USD</v>
          </cell>
          <cell r="E811" t="str">
            <v>03-Jan-2022</v>
          </cell>
          <cell r="F811">
            <v>76347763.709999993</v>
          </cell>
          <cell r="G811">
            <v>3718447.1030000001</v>
          </cell>
          <cell r="H811">
            <v>20.53</v>
          </cell>
          <cell r="I811">
            <v>0</v>
          </cell>
          <cell r="J811">
            <v>20.53</v>
          </cell>
        </row>
        <row r="812">
          <cell r="A812" t="str">
            <v>LU2237438200</v>
          </cell>
          <cell r="B812" t="str">
            <v>AMUNDI FUNDS POLEN CAPITAL GLOBAL GROWTH</v>
          </cell>
          <cell r="C812" t="str">
            <v>Class A2 EUR AD (D)</v>
          </cell>
          <cell r="D812" t="str">
            <v>EUR</v>
          </cell>
          <cell r="E812" t="str">
            <v>03-Jan-2022</v>
          </cell>
          <cell r="F812">
            <v>23995323.629999999</v>
          </cell>
          <cell r="G812">
            <v>375254.34700000001</v>
          </cell>
          <cell r="H812">
            <v>63.94</v>
          </cell>
          <cell r="I812">
            <v>0</v>
          </cell>
          <cell r="J812">
            <v>63.94</v>
          </cell>
        </row>
        <row r="813">
          <cell r="A813" t="str">
            <v>LU1956955477</v>
          </cell>
          <cell r="B813" t="str">
            <v>AMUNDI FUNDS POLEN CAPITAL GLOBAL GROWTH</v>
          </cell>
          <cell r="C813" t="str">
            <v>Class A2 EUR Hgd (C)</v>
          </cell>
          <cell r="D813" t="str">
            <v>EUR</v>
          </cell>
          <cell r="E813" t="str">
            <v>03-Jan-2022</v>
          </cell>
          <cell r="F813">
            <v>35253567.579999998</v>
          </cell>
          <cell r="G813">
            <v>223700.75099999999</v>
          </cell>
          <cell r="H813">
            <v>157.59</v>
          </cell>
          <cell r="I813">
            <v>0</v>
          </cell>
          <cell r="J813">
            <v>157.59</v>
          </cell>
        </row>
        <row r="814">
          <cell r="A814" t="str">
            <v>LU2199618476</v>
          </cell>
          <cell r="B814" t="str">
            <v>AMUNDI FUNDS POLEN CAPITAL GLOBAL GROWTH</v>
          </cell>
          <cell r="C814" t="str">
            <v>Class A2 CZK Hgd (C)</v>
          </cell>
          <cell r="D814" t="str">
            <v>CZK</v>
          </cell>
          <cell r="E814" t="str">
            <v>03-Jan-2022</v>
          </cell>
          <cell r="F814">
            <v>563732027.75</v>
          </cell>
          <cell r="G814">
            <v>480835.24900000001</v>
          </cell>
          <cell r="H814">
            <v>1172.4000000000001</v>
          </cell>
          <cell r="I814">
            <v>0</v>
          </cell>
          <cell r="J814">
            <v>1225.1600000000001</v>
          </cell>
        </row>
        <row r="815">
          <cell r="A815" t="str">
            <v>LU2002723745</v>
          </cell>
          <cell r="B815" t="str">
            <v>AMUNDI FUNDS POLEN CAPITAL GLOBAL GROWTH</v>
          </cell>
          <cell r="C815" t="str">
            <v>Class M2 EUR ( C )</v>
          </cell>
          <cell r="D815" t="str">
            <v>EUR</v>
          </cell>
          <cell r="E815" t="str">
            <v>03-Jan-2022</v>
          </cell>
          <cell r="F815">
            <v>199244444.72</v>
          </cell>
          <cell r="G815">
            <v>127317.52800000001</v>
          </cell>
          <cell r="H815">
            <v>1564.94</v>
          </cell>
          <cell r="I815">
            <v>0</v>
          </cell>
          <cell r="J815">
            <v>1564.94</v>
          </cell>
        </row>
        <row r="816">
          <cell r="A816" t="str">
            <v>LU2162036235</v>
          </cell>
          <cell r="B816" t="str">
            <v>AMUNDI FUNDS POLEN CAPITAL GLOBAL GROWTH</v>
          </cell>
          <cell r="C816" t="str">
            <v>Class C USD (C)</v>
          </cell>
          <cell r="D816" t="str">
            <v>USD</v>
          </cell>
          <cell r="E816" t="str">
            <v>03-Jan-2022</v>
          </cell>
          <cell r="F816">
            <v>6094265.9299999997</v>
          </cell>
          <cell r="G816">
            <v>82182.664999999994</v>
          </cell>
          <cell r="H816">
            <v>74.16</v>
          </cell>
          <cell r="I816">
            <v>0</v>
          </cell>
          <cell r="J816">
            <v>74.16</v>
          </cell>
        </row>
        <row r="817">
          <cell r="A817" t="str">
            <v>LU2199619011</v>
          </cell>
          <cell r="B817" t="str">
            <v>AMUNDI FUNDS POLEN CAPITAL GLOBAL GROWTH</v>
          </cell>
          <cell r="C817" t="str">
            <v>Class E2 EUR (C)</v>
          </cell>
          <cell r="D817" t="str">
            <v>EUR</v>
          </cell>
          <cell r="E817" t="str">
            <v>03-Jan-2022</v>
          </cell>
          <cell r="F817">
            <v>762932.83</v>
          </cell>
          <cell r="G817">
            <v>114000.686</v>
          </cell>
          <cell r="H817">
            <v>6.6920000000000002</v>
          </cell>
          <cell r="I817">
            <v>0</v>
          </cell>
          <cell r="J817">
            <v>6.96</v>
          </cell>
        </row>
        <row r="818">
          <cell r="A818" t="str">
            <v>LU2199619102</v>
          </cell>
          <cell r="B818" t="str">
            <v>AMUNDI FUNDS POLEN CAPITAL GLOBAL GROWTH</v>
          </cell>
          <cell r="C818" t="str">
            <v>Class E2 EUR Hgd (C)</v>
          </cell>
          <cell r="D818" t="str">
            <v>EUR</v>
          </cell>
          <cell r="E818" t="str">
            <v>03-Jan-2022</v>
          </cell>
          <cell r="F818">
            <v>764901.72</v>
          </cell>
          <cell r="G818">
            <v>119361.965</v>
          </cell>
          <cell r="H818">
            <v>6.4080000000000004</v>
          </cell>
          <cell r="I818">
            <v>0</v>
          </cell>
          <cell r="J818">
            <v>6.6639999999999997</v>
          </cell>
        </row>
        <row r="819">
          <cell r="A819" t="str">
            <v>LU2199619284</v>
          </cell>
          <cell r="B819" t="str">
            <v>AMUNDI FUNDS POLEN CAPITAL GLOBAL GROWTH</v>
          </cell>
          <cell r="C819" t="str">
            <v>Class F USD (C)</v>
          </cell>
          <cell r="D819" t="str">
            <v>USD</v>
          </cell>
          <cell r="E819" t="str">
            <v>03-Jan-2022</v>
          </cell>
          <cell r="F819">
            <v>1134112.58</v>
          </cell>
          <cell r="G819">
            <v>176442.34700000001</v>
          </cell>
          <cell r="H819">
            <v>6.4279999999999999</v>
          </cell>
          <cell r="I819">
            <v>0</v>
          </cell>
          <cell r="J819">
            <v>6.4279999999999999</v>
          </cell>
        </row>
        <row r="820">
          <cell r="A820" t="str">
            <v>LU2199619367</v>
          </cell>
          <cell r="B820" t="str">
            <v>AMUNDI FUNDS POLEN CAPITAL GLOBAL GROWTH</v>
          </cell>
          <cell r="C820" t="str">
            <v>Class F EUR Hgd (C)</v>
          </cell>
          <cell r="D820" t="str">
            <v>EUR</v>
          </cell>
          <cell r="E820" t="str">
            <v>03-Jan-2022</v>
          </cell>
          <cell r="F820">
            <v>3637789.21</v>
          </cell>
          <cell r="G820">
            <v>575242.875</v>
          </cell>
          <cell r="H820">
            <v>6.3239999999999998</v>
          </cell>
          <cell r="I820">
            <v>0</v>
          </cell>
          <cell r="J820">
            <v>6.3239999999999998</v>
          </cell>
        </row>
        <row r="821">
          <cell r="A821" t="str">
            <v>LU2052289001</v>
          </cell>
          <cell r="B821" t="str">
            <v>AMUNDI FUNDS POLEN CAPITAL GLOBAL GROWTH</v>
          </cell>
          <cell r="C821" t="str">
            <v>Class I2 GBP (C)</v>
          </cell>
          <cell r="D821" t="str">
            <v>GBP</v>
          </cell>
          <cell r="E821" t="str">
            <v>03-Jan-2022</v>
          </cell>
          <cell r="F821">
            <v>2466449.52</v>
          </cell>
          <cell r="G821">
            <v>1595.846</v>
          </cell>
          <cell r="H821">
            <v>1545.54</v>
          </cell>
          <cell r="I821">
            <v>0</v>
          </cell>
          <cell r="J821">
            <v>1545.54</v>
          </cell>
        </row>
        <row r="822">
          <cell r="A822" t="str">
            <v>LU1956955634</v>
          </cell>
          <cell r="B822" t="str">
            <v>AMUNDI FUNDS POLEN CAPITAL GLOBAL GROWTH</v>
          </cell>
          <cell r="C822" t="str">
            <v>Class I2 EUR (C)</v>
          </cell>
          <cell r="D822" t="str">
            <v>EUR</v>
          </cell>
          <cell r="E822" t="str">
            <v>03-Jan-2022</v>
          </cell>
          <cell r="F822">
            <v>57061173.770000003</v>
          </cell>
          <cell r="G822">
            <v>33763.745000000003</v>
          </cell>
          <cell r="H822">
            <v>1690.01</v>
          </cell>
          <cell r="I822">
            <v>0</v>
          </cell>
          <cell r="J822">
            <v>1690.01</v>
          </cell>
        </row>
        <row r="823">
          <cell r="A823" t="str">
            <v>LU1691799990</v>
          </cell>
          <cell r="B823" t="str">
            <v>AMUNDI FUNDS POLEN CAPITAL GLOBAL GROWTH</v>
          </cell>
          <cell r="C823" t="str">
            <v>Class I2 USD (C)</v>
          </cell>
          <cell r="D823" t="str">
            <v>USD</v>
          </cell>
          <cell r="E823" t="str">
            <v>03-Jan-2022</v>
          </cell>
          <cell r="F823">
            <v>450641448.49000001</v>
          </cell>
          <cell r="G823">
            <v>15377396.937000001</v>
          </cell>
          <cell r="H823">
            <v>29.31</v>
          </cell>
          <cell r="I823">
            <v>0</v>
          </cell>
          <cell r="J823">
            <v>29.31</v>
          </cell>
        </row>
        <row r="824">
          <cell r="A824" t="str">
            <v>LU1956955717</v>
          </cell>
          <cell r="B824" t="str">
            <v>AMUNDI FUNDS POLEN CAPITAL GLOBAL GROWTH</v>
          </cell>
          <cell r="C824" t="str">
            <v>Class I2 EUR Hgd (C)</v>
          </cell>
          <cell r="D824" t="str">
            <v>EUR</v>
          </cell>
          <cell r="E824" t="str">
            <v>03-Jan-2022</v>
          </cell>
          <cell r="F824">
            <v>45077079.149999999</v>
          </cell>
          <cell r="G824">
            <v>27795.405999999999</v>
          </cell>
          <cell r="H824">
            <v>1621.75</v>
          </cell>
          <cell r="I824">
            <v>0</v>
          </cell>
          <cell r="J824">
            <v>1621.75</v>
          </cell>
        </row>
        <row r="825">
          <cell r="A825" t="str">
            <v>LU2224462106</v>
          </cell>
          <cell r="B825" t="str">
            <v>AMUNDI FUNDS POLEN CAPITAL GLOBAL GROWTH</v>
          </cell>
          <cell r="C825" t="str">
            <v>Class J3 GBP Hgd (C)</v>
          </cell>
          <cell r="D825" t="str">
            <v>GBP</v>
          </cell>
          <cell r="E825" t="str">
            <v>03-Jan-2022</v>
          </cell>
          <cell r="F825">
            <v>1395422.93</v>
          </cell>
          <cell r="G825">
            <v>1110.6310000000001</v>
          </cell>
          <cell r="H825">
            <v>1256.42</v>
          </cell>
          <cell r="I825">
            <v>0</v>
          </cell>
          <cell r="J825">
            <v>1256.42</v>
          </cell>
        </row>
        <row r="826">
          <cell r="A826" t="str">
            <v>LU2110862385</v>
          </cell>
          <cell r="B826" t="str">
            <v>AMUNDI FUNDS POLEN CAPITAL GLOBAL GROWTH</v>
          </cell>
          <cell r="C826" t="str">
            <v>Class J3 GBP (C)</v>
          </cell>
          <cell r="D826" t="str">
            <v>GBP</v>
          </cell>
          <cell r="E826" t="str">
            <v>03-Jan-2022</v>
          </cell>
          <cell r="F826">
            <v>5215283.93</v>
          </cell>
          <cell r="G826">
            <v>3739.9690000000001</v>
          </cell>
          <cell r="H826">
            <v>1394.47</v>
          </cell>
          <cell r="I826">
            <v>0</v>
          </cell>
          <cell r="J826">
            <v>1394.47</v>
          </cell>
        </row>
        <row r="827">
          <cell r="A827" t="str">
            <v>LU2110862468</v>
          </cell>
          <cell r="B827" t="str">
            <v>AMUNDI FUNDS POLEN CAPITAL GLOBAL GROWTH</v>
          </cell>
          <cell r="C827" t="str">
            <v>Class J3 GBP AD (D)</v>
          </cell>
          <cell r="D827" t="str">
            <v>GBP</v>
          </cell>
          <cell r="E827" t="str">
            <v>03-Jan-2022</v>
          </cell>
          <cell r="F827">
            <v>3869407.63</v>
          </cell>
          <cell r="G827">
            <v>2774.8879999999999</v>
          </cell>
          <cell r="H827">
            <v>1394.44</v>
          </cell>
          <cell r="I827">
            <v>0</v>
          </cell>
          <cell r="J827">
            <v>1394.44</v>
          </cell>
        </row>
        <row r="828">
          <cell r="A828" t="str">
            <v>LU2052289779</v>
          </cell>
          <cell r="B828" t="str">
            <v>AMUNDI FUNDS POLEN CAPITAL GLOBAL GROWTH</v>
          </cell>
          <cell r="C828" t="str">
            <v>Class P2 USD (C)</v>
          </cell>
          <cell r="D828" t="str">
            <v>USD</v>
          </cell>
          <cell r="E828" t="str">
            <v>03-Jan-2022</v>
          </cell>
          <cell r="F828">
            <v>28411752.829999998</v>
          </cell>
          <cell r="G828">
            <v>359929.38900000002</v>
          </cell>
          <cell r="H828">
            <v>78.94</v>
          </cell>
          <cell r="I828">
            <v>0</v>
          </cell>
          <cell r="J828">
            <v>78.94</v>
          </cell>
        </row>
        <row r="829">
          <cell r="A829" t="str">
            <v>LU2183143259</v>
          </cell>
          <cell r="B829" t="str">
            <v>AMUNDI FUNDS POLEN CAPITAL GLOBAL GROWTH</v>
          </cell>
          <cell r="C829" t="str">
            <v>Class R EUR (C)</v>
          </cell>
          <cell r="D829" t="str">
            <v>EUR</v>
          </cell>
          <cell r="E829" t="str">
            <v>03-Jan-2022</v>
          </cell>
          <cell r="F829">
            <v>3028513.74</v>
          </cell>
          <cell r="G829">
            <v>43993.055</v>
          </cell>
          <cell r="H829">
            <v>68.84</v>
          </cell>
          <cell r="I829">
            <v>0</v>
          </cell>
          <cell r="J829">
            <v>68.84</v>
          </cell>
        </row>
        <row r="830">
          <cell r="A830" t="str">
            <v>LU2183143176</v>
          </cell>
          <cell r="B830" t="str">
            <v>AMUNDI FUNDS POLEN CAPITAL GLOBAL GROWTH</v>
          </cell>
          <cell r="C830" t="str">
            <v>Class R USD (C)</v>
          </cell>
          <cell r="D830" t="str">
            <v>USD</v>
          </cell>
          <cell r="E830" t="str">
            <v>03-Jan-2022</v>
          </cell>
          <cell r="F830">
            <v>6956.94</v>
          </cell>
          <cell r="G830">
            <v>100</v>
          </cell>
          <cell r="H830">
            <v>69.569999999999993</v>
          </cell>
          <cell r="I830">
            <v>0</v>
          </cell>
          <cell r="J830">
            <v>69.569999999999993</v>
          </cell>
        </row>
        <row r="831">
          <cell r="A831" t="str">
            <v>LU2208987334</v>
          </cell>
          <cell r="B831" t="str">
            <v>AMUNDI FUNDS POLEN CAPITAL GLOBAL GROWTH</v>
          </cell>
          <cell r="C831" t="str">
            <v>Class R3 GBP ( C )</v>
          </cell>
          <cell r="D831" t="str">
            <v>GBP</v>
          </cell>
          <cell r="E831" t="str">
            <v>03-Jan-2022</v>
          </cell>
          <cell r="F831">
            <v>982596.08</v>
          </cell>
          <cell r="G831">
            <v>78055.024000000005</v>
          </cell>
          <cell r="H831">
            <v>12.59</v>
          </cell>
          <cell r="I831">
            <v>0</v>
          </cell>
          <cell r="J831">
            <v>12.59</v>
          </cell>
        </row>
        <row r="832">
          <cell r="A832" t="str">
            <v>LU2208988142</v>
          </cell>
          <cell r="B832" t="str">
            <v>AMUNDI FUNDS POLEN CAPITAL GLOBAL GROWTH</v>
          </cell>
          <cell r="C832" t="str">
            <v>Class R3 GBP AD (D)</v>
          </cell>
          <cell r="D832" t="str">
            <v>GBP</v>
          </cell>
          <cell r="E832" t="str">
            <v>03-Jan-2022</v>
          </cell>
          <cell r="F832">
            <v>133261.71</v>
          </cell>
          <cell r="G832">
            <v>10582.851000000001</v>
          </cell>
          <cell r="H832">
            <v>12.59</v>
          </cell>
          <cell r="I832">
            <v>0</v>
          </cell>
          <cell r="J832">
            <v>12.59</v>
          </cell>
        </row>
        <row r="833">
          <cell r="A833" t="str">
            <v>LU2183143333</v>
          </cell>
          <cell r="B833" t="str">
            <v>AMUNDI FUNDS POLEN CAPITAL GLOBAL GROWTH</v>
          </cell>
          <cell r="C833" t="str">
            <v>Class R EUR Hgd (C)</v>
          </cell>
          <cell r="D833" t="str">
            <v>EUR</v>
          </cell>
          <cell r="E833" t="str">
            <v>03-Jan-2022</v>
          </cell>
          <cell r="F833">
            <v>236295.13</v>
          </cell>
          <cell r="G833">
            <v>3473.24</v>
          </cell>
          <cell r="H833">
            <v>68.03</v>
          </cell>
          <cell r="I833">
            <v>0</v>
          </cell>
          <cell r="J833">
            <v>68.03</v>
          </cell>
        </row>
        <row r="834">
          <cell r="A834" t="str">
            <v>LU2199618989</v>
          </cell>
          <cell r="B834" t="str">
            <v>AMUNDI FUNDS POLEN CAPITAL GLOBAL GROWTH</v>
          </cell>
          <cell r="C834" t="str">
            <v>Class G EUR Hgd (C)</v>
          </cell>
          <cell r="D834" t="str">
            <v>EUR</v>
          </cell>
          <cell r="E834" t="str">
            <v>03-Jan-2022</v>
          </cell>
          <cell r="F834">
            <v>16044170.01</v>
          </cell>
          <cell r="G834">
            <v>2522646.48</v>
          </cell>
          <cell r="H834">
            <v>6.36</v>
          </cell>
          <cell r="I834">
            <v>0</v>
          </cell>
          <cell r="J834">
            <v>6.5510000000000002</v>
          </cell>
        </row>
        <row r="835">
          <cell r="A835" t="str">
            <v>LU2199618807</v>
          </cell>
          <cell r="B835" t="str">
            <v>AMUNDI FUNDS POLEN CAPITAL GLOBAL GROWTH</v>
          </cell>
          <cell r="C835" t="str">
            <v>Class G EUR (C)</v>
          </cell>
          <cell r="D835" t="str">
            <v>EUR</v>
          </cell>
          <cell r="E835" t="str">
            <v>03-Jan-2022</v>
          </cell>
          <cell r="F835">
            <v>31463.5</v>
          </cell>
          <cell r="G835">
            <v>4726.7330000000002</v>
          </cell>
          <cell r="H835">
            <v>6.6559999999999997</v>
          </cell>
          <cell r="I835">
            <v>0</v>
          </cell>
          <cell r="J835">
            <v>6.8559999999999999</v>
          </cell>
        </row>
        <row r="836">
          <cell r="A836" t="str">
            <v>LU2176991938</v>
          </cell>
          <cell r="B836" t="str">
            <v>AMUNDI FUNDS POLEN CAPITAL GLOBAL GROWTH</v>
          </cell>
          <cell r="C836" t="str">
            <v>Class G USD (C)</v>
          </cell>
          <cell r="D836" t="str">
            <v>USD</v>
          </cell>
          <cell r="E836" t="str">
            <v>03-Jan-2022</v>
          </cell>
          <cell r="F836">
            <v>52073832.460000001</v>
          </cell>
          <cell r="G836">
            <v>7291809.3389999997</v>
          </cell>
          <cell r="H836">
            <v>7.141</v>
          </cell>
          <cell r="I836">
            <v>0</v>
          </cell>
          <cell r="J836">
            <v>7.141</v>
          </cell>
        </row>
        <row r="837">
          <cell r="A837" t="str">
            <v>LU1941681956</v>
          </cell>
          <cell r="B837" t="str">
            <v>AMUNDI FUNDS Multi-Asset Sustainable Future</v>
          </cell>
          <cell r="C837" t="str">
            <v>Class A EUR (C)</v>
          </cell>
          <cell r="D837" t="str">
            <v>EUR</v>
          </cell>
          <cell r="E837" t="str">
            <v>03-Jan-2022</v>
          </cell>
          <cell r="F837">
            <v>408274612.05000001</v>
          </cell>
          <cell r="G837">
            <v>3699753.5219999999</v>
          </cell>
          <cell r="H837">
            <v>110.35</v>
          </cell>
          <cell r="I837">
            <v>0</v>
          </cell>
          <cell r="J837">
            <v>110.35</v>
          </cell>
        </row>
        <row r="838">
          <cell r="A838" t="str">
            <v>LU1941682095</v>
          </cell>
          <cell r="B838" t="str">
            <v>AMUNDI FUNDS Multi-Asset Sustainable Future</v>
          </cell>
          <cell r="C838" t="str">
            <v>Class A EUR AD (D)</v>
          </cell>
          <cell r="D838" t="str">
            <v>EUR</v>
          </cell>
          <cell r="E838" t="str">
            <v>03-Jan-2022</v>
          </cell>
          <cell r="F838">
            <v>11114494.07</v>
          </cell>
          <cell r="G838">
            <v>100655.261</v>
          </cell>
          <cell r="H838">
            <v>110.42</v>
          </cell>
          <cell r="I838">
            <v>0</v>
          </cell>
          <cell r="J838">
            <v>110.42</v>
          </cell>
        </row>
        <row r="839">
          <cell r="A839" t="str">
            <v>LU2110861817</v>
          </cell>
          <cell r="B839" t="str">
            <v>AMUNDI FUNDS Multi-Asset Sustainable Future</v>
          </cell>
          <cell r="C839" t="str">
            <v>Class A CHF Hgd (C)</v>
          </cell>
          <cell r="D839" t="str">
            <v>CHF</v>
          </cell>
          <cell r="E839" t="str">
            <v>03-Jan-2022</v>
          </cell>
          <cell r="F839">
            <v>5618351.5499999998</v>
          </cell>
          <cell r="G839">
            <v>107034.42</v>
          </cell>
          <cell r="H839">
            <v>52.49</v>
          </cell>
          <cell r="I839">
            <v>0</v>
          </cell>
          <cell r="J839">
            <v>52.49</v>
          </cell>
        </row>
        <row r="840">
          <cell r="A840" t="str">
            <v>LU2176991698</v>
          </cell>
          <cell r="B840" t="str">
            <v>AMUNDI FUNDS Multi-Asset Sustainable Future</v>
          </cell>
          <cell r="C840" t="str">
            <v>Class A CZK Hgd (C)</v>
          </cell>
          <cell r="D840" t="str">
            <v>CZK</v>
          </cell>
          <cell r="E840" t="str">
            <v>03-Jan-2022</v>
          </cell>
          <cell r="F840">
            <v>1048502959.92</v>
          </cell>
          <cell r="G840">
            <v>936283.85499999998</v>
          </cell>
          <cell r="H840">
            <v>1119.8599999999999</v>
          </cell>
          <cell r="I840">
            <v>0</v>
          </cell>
          <cell r="J840">
            <v>1119.8599999999999</v>
          </cell>
        </row>
        <row r="841">
          <cell r="A841" t="str">
            <v>LU1941682681</v>
          </cell>
          <cell r="B841" t="str">
            <v>AMUNDI FUNDS Multi-Asset Sustainable Future</v>
          </cell>
          <cell r="C841" t="str">
            <v>Class A USD (C)</v>
          </cell>
          <cell r="D841" t="str">
            <v>USD</v>
          </cell>
          <cell r="E841" t="str">
            <v>03-Jan-2022</v>
          </cell>
          <cell r="F841">
            <v>1936202.95</v>
          </cell>
          <cell r="G841">
            <v>17458.934000000001</v>
          </cell>
          <cell r="H841">
            <v>110.9</v>
          </cell>
          <cell r="I841">
            <v>0</v>
          </cell>
          <cell r="J841">
            <v>110.9</v>
          </cell>
        </row>
        <row r="842">
          <cell r="A842" t="str">
            <v>LU2011223687</v>
          </cell>
          <cell r="B842" t="str">
            <v>AMUNDI FUNDS Multi-Asset Sustainable Future</v>
          </cell>
          <cell r="C842" t="str">
            <v>Class M2 EUR (C)</v>
          </cell>
          <cell r="D842" t="str">
            <v>EUR</v>
          </cell>
          <cell r="E842" t="str">
            <v>03-Jan-2022</v>
          </cell>
          <cell r="F842">
            <v>19227819.57</v>
          </cell>
          <cell r="G842">
            <v>17413.5</v>
          </cell>
          <cell r="H842">
            <v>1104.19</v>
          </cell>
          <cell r="I842">
            <v>0</v>
          </cell>
          <cell r="J842">
            <v>1104.19</v>
          </cell>
        </row>
        <row r="843">
          <cell r="A843" t="str">
            <v>LU2036673882</v>
          </cell>
          <cell r="B843" t="str">
            <v>AMUNDI FUNDS Multi-Asset Sustainable Future</v>
          </cell>
          <cell r="C843" t="str">
            <v>Class E2 EUR (C)</v>
          </cell>
          <cell r="D843" t="str">
            <v>EUR</v>
          </cell>
          <cell r="E843" t="str">
            <v>03-Jan-2022</v>
          </cell>
          <cell r="F843">
            <v>152018030.13999999</v>
          </cell>
          <cell r="G843">
            <v>28207473.173999999</v>
          </cell>
          <cell r="H843">
            <v>5.3890000000000002</v>
          </cell>
          <cell r="I843">
            <v>0</v>
          </cell>
          <cell r="J843">
            <v>5.3890000000000002</v>
          </cell>
        </row>
        <row r="844">
          <cell r="A844" t="str">
            <v>LU2040441128</v>
          </cell>
          <cell r="B844" t="str">
            <v>AMUNDI FUNDS Multi-Asset Sustainable Future</v>
          </cell>
          <cell r="C844" t="str">
            <v>Class A2 EUR (C)</v>
          </cell>
          <cell r="D844" t="str">
            <v>EUR</v>
          </cell>
          <cell r="E844" t="str">
            <v>03-Jan-2022</v>
          </cell>
          <cell r="F844">
            <v>109932.79</v>
          </cell>
          <cell r="G844">
            <v>2050.6060000000002</v>
          </cell>
          <cell r="H844">
            <v>53.61</v>
          </cell>
          <cell r="I844">
            <v>0</v>
          </cell>
          <cell r="J844">
            <v>53.61</v>
          </cell>
        </row>
        <row r="845">
          <cell r="A845" t="str">
            <v>LU2018721113</v>
          </cell>
          <cell r="B845" t="str">
            <v>AMUNDI FUNDS Multi-Asset Sustainable Future</v>
          </cell>
          <cell r="C845" t="str">
            <v>Class F EUR (C)</v>
          </cell>
          <cell r="D845" t="str">
            <v>EUR</v>
          </cell>
          <cell r="E845" t="str">
            <v>03-Jan-2022</v>
          </cell>
          <cell r="F845">
            <v>2821131.52</v>
          </cell>
          <cell r="G845">
            <v>533263.36399999994</v>
          </cell>
          <cell r="H845">
            <v>5.29</v>
          </cell>
          <cell r="I845">
            <v>0</v>
          </cell>
          <cell r="J845">
            <v>5.29</v>
          </cell>
        </row>
        <row r="846">
          <cell r="A846" t="str">
            <v>LU1941682418</v>
          </cell>
          <cell r="B846" t="str">
            <v>AMUNDI FUNDS Multi-Asset Sustainable Future</v>
          </cell>
          <cell r="C846" t="str">
            <v>Class F2 EUR (C)</v>
          </cell>
          <cell r="D846" t="str">
            <v>EUR</v>
          </cell>
          <cell r="E846" t="str">
            <v>03-Jan-2022</v>
          </cell>
          <cell r="F846">
            <v>694668.67</v>
          </cell>
          <cell r="G846">
            <v>6383.5730000000003</v>
          </cell>
          <cell r="H846">
            <v>108.82</v>
          </cell>
          <cell r="I846">
            <v>0</v>
          </cell>
          <cell r="J846">
            <v>108.82</v>
          </cell>
        </row>
        <row r="847">
          <cell r="A847" t="str">
            <v>LU2031984342</v>
          </cell>
          <cell r="B847" t="str">
            <v>AMUNDI FUNDS Multi-Asset Sustainable Future</v>
          </cell>
          <cell r="C847" t="str">
            <v>Class I2 EUR (C)</v>
          </cell>
          <cell r="D847" t="str">
            <v>EUR</v>
          </cell>
          <cell r="E847" t="str">
            <v>03-Jan-2022</v>
          </cell>
          <cell r="F847">
            <v>17039779.609999999</v>
          </cell>
          <cell r="G847">
            <v>15474.862999999999</v>
          </cell>
          <cell r="H847">
            <v>1101.1300000000001</v>
          </cell>
          <cell r="I847">
            <v>0</v>
          </cell>
          <cell r="J847">
            <v>1101.1300000000001</v>
          </cell>
        </row>
        <row r="848">
          <cell r="A848" t="str">
            <v>LU1941682178</v>
          </cell>
          <cell r="B848" t="str">
            <v>AMUNDI FUNDS Multi-Asset Sustainable Future</v>
          </cell>
          <cell r="C848" t="str">
            <v>Class I EUR (C)</v>
          </cell>
          <cell r="D848" t="str">
            <v>EUR</v>
          </cell>
          <cell r="E848" t="str">
            <v>03-Jan-2022</v>
          </cell>
          <cell r="F848">
            <v>39572979.119999997</v>
          </cell>
          <cell r="G848">
            <v>35147.002</v>
          </cell>
          <cell r="H848">
            <v>1125.93</v>
          </cell>
          <cell r="I848">
            <v>0</v>
          </cell>
          <cell r="J848">
            <v>1125.93</v>
          </cell>
        </row>
        <row r="849">
          <cell r="A849" t="str">
            <v>LU2359308629</v>
          </cell>
          <cell r="B849" t="str">
            <v>AMUNDI FUNDS Multi-Asset Sustainable Future</v>
          </cell>
          <cell r="C849" t="str">
            <v>Class I2 GBP (C)</v>
          </cell>
          <cell r="D849" t="str">
            <v>GBP</v>
          </cell>
          <cell r="E849" t="str">
            <v>03-Jan-2022</v>
          </cell>
          <cell r="F849">
            <v>4938.07</v>
          </cell>
          <cell r="G849">
            <v>5</v>
          </cell>
          <cell r="H849">
            <v>987.61</v>
          </cell>
          <cell r="I849">
            <v>0</v>
          </cell>
          <cell r="J849">
            <v>987.61</v>
          </cell>
        </row>
        <row r="850">
          <cell r="A850" t="str">
            <v>LU2085675861</v>
          </cell>
          <cell r="B850" t="str">
            <v>AMUNDI FUNDS Multi-Asset Sustainable Future</v>
          </cell>
          <cell r="C850" t="str">
            <v>Class J2 EUR (C)</v>
          </cell>
          <cell r="D850" t="str">
            <v>EUR</v>
          </cell>
          <cell r="E850" t="str">
            <v>03-Jan-2022</v>
          </cell>
          <cell r="F850">
            <v>5458.6</v>
          </cell>
          <cell r="G850">
            <v>5</v>
          </cell>
          <cell r="H850">
            <v>1091.72</v>
          </cell>
          <cell r="I850">
            <v>0</v>
          </cell>
          <cell r="J850">
            <v>1091.72</v>
          </cell>
        </row>
        <row r="851">
          <cell r="A851" t="str">
            <v>LU1941682509</v>
          </cell>
          <cell r="B851" t="str">
            <v>AMUNDI FUNDS Multi-Asset Sustainable Future</v>
          </cell>
          <cell r="C851" t="str">
            <v>Class M EUR (C)</v>
          </cell>
          <cell r="D851" t="str">
            <v>EUR</v>
          </cell>
          <cell r="E851" t="str">
            <v>03-Jan-2022</v>
          </cell>
          <cell r="F851">
            <v>98584139.840000004</v>
          </cell>
          <cell r="G851">
            <v>873505.902</v>
          </cell>
          <cell r="H851">
            <v>112.86</v>
          </cell>
          <cell r="I851">
            <v>0</v>
          </cell>
          <cell r="J851">
            <v>112.86</v>
          </cell>
        </row>
        <row r="852">
          <cell r="A852" t="str">
            <v>LU2359306094</v>
          </cell>
          <cell r="B852" t="str">
            <v>AMUNDI FUNDS Multi-Asset Sustainable Future</v>
          </cell>
          <cell r="C852" t="str">
            <v>Class R EUR AD (D)</v>
          </cell>
          <cell r="D852" t="str">
            <v>EUR</v>
          </cell>
          <cell r="E852" t="str">
            <v>03-Jan-2022</v>
          </cell>
          <cell r="F852">
            <v>5024.3900000000003</v>
          </cell>
          <cell r="G852">
            <v>100</v>
          </cell>
          <cell r="H852">
            <v>50.24</v>
          </cell>
          <cell r="I852">
            <v>0</v>
          </cell>
          <cell r="J852">
            <v>50.24</v>
          </cell>
        </row>
        <row r="853">
          <cell r="A853" t="str">
            <v>LU1941682251</v>
          </cell>
          <cell r="B853" t="str">
            <v>AMUNDI FUNDS Multi-Asset Sustainable Future</v>
          </cell>
          <cell r="C853" t="str">
            <v>Class R EUR (C)</v>
          </cell>
          <cell r="D853" t="str">
            <v>EUR</v>
          </cell>
          <cell r="E853" t="str">
            <v>03-Jan-2022</v>
          </cell>
          <cell r="F853">
            <v>7518195.7599999998</v>
          </cell>
          <cell r="G853">
            <v>67123.566999999995</v>
          </cell>
          <cell r="H853">
            <v>112.01</v>
          </cell>
          <cell r="I853">
            <v>0</v>
          </cell>
          <cell r="J853">
            <v>112.01</v>
          </cell>
        </row>
        <row r="854">
          <cell r="A854" t="str">
            <v>LU2359308546</v>
          </cell>
          <cell r="B854" t="str">
            <v>AMUNDI FUNDS Multi-Asset Sustainable Future</v>
          </cell>
          <cell r="C854" t="str">
            <v>Class R2 GBP (C)</v>
          </cell>
          <cell r="D854" t="str">
            <v>GBP</v>
          </cell>
          <cell r="E854" t="str">
            <v>03-Jan-2022</v>
          </cell>
          <cell r="F854">
            <v>4930.93</v>
          </cell>
          <cell r="G854">
            <v>100</v>
          </cell>
          <cell r="H854">
            <v>49.31</v>
          </cell>
          <cell r="I854">
            <v>0</v>
          </cell>
          <cell r="J854">
            <v>49.31</v>
          </cell>
        </row>
        <row r="855">
          <cell r="A855" t="str">
            <v>LU2391859084</v>
          </cell>
          <cell r="B855" t="str">
            <v>AMUNDI FUNDS Multi-Asset Sustainable Future</v>
          </cell>
          <cell r="C855" t="str">
            <v>Class R5 EUR (C)</v>
          </cell>
          <cell r="D855" t="str">
            <v>EUR</v>
          </cell>
          <cell r="E855" t="str">
            <v>03-Jan-2022</v>
          </cell>
          <cell r="F855">
            <v>1144220.5900000001</v>
          </cell>
          <cell r="G855">
            <v>22859.788</v>
          </cell>
          <cell r="H855">
            <v>50.05</v>
          </cell>
          <cell r="I855">
            <v>0</v>
          </cell>
          <cell r="J855">
            <v>50.05</v>
          </cell>
        </row>
        <row r="856">
          <cell r="A856" t="str">
            <v>LU1941682335</v>
          </cell>
          <cell r="B856" t="str">
            <v>AMUNDI FUNDS Multi-Asset Sustainable Future</v>
          </cell>
          <cell r="C856" t="str">
            <v>Class G EUR (C)</v>
          </cell>
          <cell r="D856" t="str">
            <v>EUR</v>
          </cell>
          <cell r="E856" t="str">
            <v>03-Jan-2022</v>
          </cell>
          <cell r="F856">
            <v>702804354.25</v>
          </cell>
          <cell r="G856">
            <v>6373789.2259999998</v>
          </cell>
          <cell r="H856">
            <v>110.26</v>
          </cell>
          <cell r="I856">
            <v>0</v>
          </cell>
          <cell r="J856">
            <v>110.26</v>
          </cell>
        </row>
        <row r="857">
          <cell r="A857" t="str">
            <v>LU1941681014</v>
          </cell>
          <cell r="B857" t="str">
            <v>AMUNDI FUNDS NEW SILK ROAD</v>
          </cell>
          <cell r="C857" t="str">
            <v>Class A EUR (C)</v>
          </cell>
          <cell r="D857" t="str">
            <v>EUR</v>
          </cell>
          <cell r="E857" t="str">
            <v>03-Jan-2022</v>
          </cell>
          <cell r="F857">
            <v>182062778.44999999</v>
          </cell>
          <cell r="G857">
            <v>1314151.077</v>
          </cell>
          <cell r="H857">
            <v>138.54</v>
          </cell>
          <cell r="I857">
            <v>0</v>
          </cell>
          <cell r="J857">
            <v>138.54</v>
          </cell>
        </row>
        <row r="858">
          <cell r="A858" t="str">
            <v>LU2018721386</v>
          </cell>
          <cell r="B858" t="str">
            <v>AMUNDI FUNDS NEW SILK ROAD</v>
          </cell>
          <cell r="C858" t="str">
            <v>Class F EUR (C)</v>
          </cell>
          <cell r="D858" t="str">
            <v>EUR</v>
          </cell>
          <cell r="E858" t="str">
            <v>03-Jan-2022</v>
          </cell>
          <cell r="F858">
            <v>750428.75</v>
          </cell>
          <cell r="G858">
            <v>111018.789</v>
          </cell>
          <cell r="H858">
            <v>6.7590000000000003</v>
          </cell>
          <cell r="I858">
            <v>0</v>
          </cell>
          <cell r="J858">
            <v>6.7590000000000003</v>
          </cell>
        </row>
        <row r="859">
          <cell r="A859" t="str">
            <v>LU1941681105</v>
          </cell>
          <cell r="B859" t="str">
            <v>AMUNDI FUNDS NEW SILK ROAD</v>
          </cell>
          <cell r="C859" t="str">
            <v>Class F2 EUR (C)</v>
          </cell>
          <cell r="D859" t="str">
            <v>EUR</v>
          </cell>
          <cell r="E859" t="str">
            <v>03-Jan-2022</v>
          </cell>
          <cell r="F859">
            <v>46170.46</v>
          </cell>
          <cell r="G859">
            <v>331.245</v>
          </cell>
          <cell r="H859">
            <v>139.38</v>
          </cell>
          <cell r="I859">
            <v>0</v>
          </cell>
          <cell r="J859">
            <v>139.38</v>
          </cell>
        </row>
        <row r="860">
          <cell r="A860" t="str">
            <v>LU2036674690</v>
          </cell>
          <cell r="B860" t="str">
            <v>AMUNDI FUNDS NEW SILK ROAD</v>
          </cell>
          <cell r="C860" t="str">
            <v>Class H EUR (C)</v>
          </cell>
          <cell r="D860" t="str">
            <v>EUR</v>
          </cell>
          <cell r="E860" t="str">
            <v>03-Jan-2022</v>
          </cell>
          <cell r="F860">
            <v>38287019.840000004</v>
          </cell>
          <cell r="G860">
            <v>25745.475999999999</v>
          </cell>
          <cell r="H860">
            <v>1487.14</v>
          </cell>
          <cell r="I860">
            <v>0</v>
          </cell>
          <cell r="J860">
            <v>1487.14</v>
          </cell>
        </row>
        <row r="861">
          <cell r="A861" t="str">
            <v>LU2031984268</v>
          </cell>
          <cell r="B861" t="str">
            <v>AMUNDI FUNDS NEW SILK ROAD</v>
          </cell>
          <cell r="C861" t="str">
            <v>Class I2 GBP (C)</v>
          </cell>
          <cell r="D861" t="str">
            <v>GBP</v>
          </cell>
          <cell r="E861" t="str">
            <v>03-Jan-2022</v>
          </cell>
          <cell r="F861">
            <v>6977.43</v>
          </cell>
          <cell r="G861">
            <v>5</v>
          </cell>
          <cell r="H861">
            <v>1395.49</v>
          </cell>
          <cell r="I861">
            <v>0</v>
          </cell>
          <cell r="J861">
            <v>1395.49</v>
          </cell>
        </row>
        <row r="862">
          <cell r="A862" t="str">
            <v>LU1941681287</v>
          </cell>
          <cell r="B862" t="str">
            <v>AMUNDI FUNDS NEW SILK ROAD</v>
          </cell>
          <cell r="C862" t="str">
            <v>Class I EUR (C)</v>
          </cell>
          <cell r="D862" t="str">
            <v>EUR</v>
          </cell>
          <cell r="E862" t="str">
            <v>03-Jan-2022</v>
          </cell>
          <cell r="F862">
            <v>3332383.54</v>
          </cell>
          <cell r="G862">
            <v>2344.288</v>
          </cell>
          <cell r="H862">
            <v>1421.49</v>
          </cell>
          <cell r="I862">
            <v>0</v>
          </cell>
          <cell r="J862">
            <v>1421.49</v>
          </cell>
        </row>
        <row r="863">
          <cell r="A863" t="str">
            <v>LU1941681360</v>
          </cell>
          <cell r="B863" t="str">
            <v>AMUNDI FUNDS NEW SILK ROAD</v>
          </cell>
          <cell r="C863" t="str">
            <v>Class I USD (C)</v>
          </cell>
          <cell r="D863" t="str">
            <v>USD</v>
          </cell>
          <cell r="E863" t="str">
            <v>03-Jan-2022</v>
          </cell>
          <cell r="F863">
            <v>14236.68</v>
          </cell>
          <cell r="G863">
            <v>10</v>
          </cell>
          <cell r="H863">
            <v>1423.67</v>
          </cell>
          <cell r="I863">
            <v>0</v>
          </cell>
          <cell r="J863">
            <v>1423.67</v>
          </cell>
        </row>
        <row r="864">
          <cell r="A864" t="str">
            <v>LU1941681444</v>
          </cell>
          <cell r="B864" t="str">
            <v>AMUNDI FUNDS NEW SILK ROAD</v>
          </cell>
          <cell r="C864" t="str">
            <v>Class M EUR (C)</v>
          </cell>
          <cell r="D864" t="str">
            <v>EUR</v>
          </cell>
          <cell r="E864" t="str">
            <v>03-Jan-2022</v>
          </cell>
          <cell r="F864">
            <v>8046714.6900000004</v>
          </cell>
          <cell r="G864">
            <v>56945.021999999997</v>
          </cell>
          <cell r="H864">
            <v>141.31</v>
          </cell>
          <cell r="I864">
            <v>0</v>
          </cell>
          <cell r="J864">
            <v>141.31</v>
          </cell>
        </row>
        <row r="865">
          <cell r="A865" t="str">
            <v>LU1941681790</v>
          </cell>
          <cell r="B865" t="str">
            <v>AMUNDI FUNDS NEW SILK ROAD</v>
          </cell>
          <cell r="C865" t="str">
            <v>Class R EUR (C)</v>
          </cell>
          <cell r="D865" t="str">
            <v>EUR</v>
          </cell>
          <cell r="E865" t="str">
            <v>03-Jan-2022</v>
          </cell>
          <cell r="F865">
            <v>113306.15</v>
          </cell>
          <cell r="G865">
            <v>802.73699999999997</v>
          </cell>
          <cell r="H865">
            <v>141.15</v>
          </cell>
          <cell r="I865">
            <v>0</v>
          </cell>
          <cell r="J865">
            <v>141.15</v>
          </cell>
        </row>
        <row r="866">
          <cell r="A866" t="str">
            <v>LU1941681527</v>
          </cell>
          <cell r="B866" t="str">
            <v>AMUNDI FUNDS NEW SILK ROAD</v>
          </cell>
          <cell r="C866" t="str">
            <v>Class R USD (C)</v>
          </cell>
          <cell r="D866" t="str">
            <v>USD</v>
          </cell>
          <cell r="E866" t="str">
            <v>03-Jan-2022</v>
          </cell>
          <cell r="F866">
            <v>137523.9</v>
          </cell>
          <cell r="G866">
            <v>972</v>
          </cell>
          <cell r="H866">
            <v>141.49</v>
          </cell>
          <cell r="I866">
            <v>0</v>
          </cell>
          <cell r="J866">
            <v>141.49</v>
          </cell>
        </row>
        <row r="867">
          <cell r="A867" t="str">
            <v>LU1941681873</v>
          </cell>
          <cell r="B867" t="str">
            <v>AMUNDI FUNDS NEW SILK ROAD</v>
          </cell>
          <cell r="C867" t="str">
            <v>Class G EUR (C)</v>
          </cell>
          <cell r="D867" t="str">
            <v>EUR</v>
          </cell>
          <cell r="E867" t="str">
            <v>03-Jan-2022</v>
          </cell>
          <cell r="F867">
            <v>214565098.19999999</v>
          </cell>
          <cell r="G867">
            <v>1560216.21</v>
          </cell>
          <cell r="H867">
            <v>137.52000000000001</v>
          </cell>
          <cell r="I867">
            <v>0</v>
          </cell>
          <cell r="J867">
            <v>137.52000000000001</v>
          </cell>
        </row>
        <row r="868">
          <cell r="A868" t="str">
            <v>LU1880395964</v>
          </cell>
          <cell r="B868" t="str">
            <v>AMUNDI FUNDS EUROPEAN EQUITY SMALL CAP</v>
          </cell>
          <cell r="C868" t="str">
            <v>Class A EUR AD (D)</v>
          </cell>
          <cell r="D868" t="str">
            <v>EUR</v>
          </cell>
          <cell r="E868" t="str">
            <v>03-Jan-2022</v>
          </cell>
          <cell r="F868">
            <v>871783.09</v>
          </cell>
          <cell r="G868">
            <v>12826.915000000001</v>
          </cell>
          <cell r="H868">
            <v>67.97</v>
          </cell>
          <cell r="I868">
            <v>0</v>
          </cell>
          <cell r="J868">
            <v>71.03</v>
          </cell>
        </row>
        <row r="869">
          <cell r="A869" t="str">
            <v>LU1883306497</v>
          </cell>
          <cell r="B869" t="str">
            <v>AMUNDI FUNDS EUROPEAN EQUITY SMALL CAP</v>
          </cell>
          <cell r="C869" t="str">
            <v>Class A EUR (C)</v>
          </cell>
          <cell r="D869" t="str">
            <v>EUR</v>
          </cell>
          <cell r="E869" t="str">
            <v>03-Jan-2022</v>
          </cell>
          <cell r="F869">
            <v>118135225.59</v>
          </cell>
          <cell r="G869">
            <v>524937.76</v>
          </cell>
          <cell r="H869">
            <v>225.05</v>
          </cell>
          <cell r="I869">
            <v>0</v>
          </cell>
          <cell r="J869">
            <v>235.18</v>
          </cell>
        </row>
        <row r="870">
          <cell r="A870" t="str">
            <v>LU2070307322</v>
          </cell>
          <cell r="B870" t="str">
            <v>AMUNDI FUNDS EUROPEAN EQUITY SMALL CAP</v>
          </cell>
          <cell r="C870" t="str">
            <v>Class A5 EUR (C)</v>
          </cell>
          <cell r="D870" t="str">
            <v>EUR</v>
          </cell>
          <cell r="E870" t="str">
            <v>03-Jan-2022</v>
          </cell>
          <cell r="F870">
            <v>6501.35</v>
          </cell>
          <cell r="G870">
            <v>100</v>
          </cell>
          <cell r="H870">
            <v>65.010000000000005</v>
          </cell>
          <cell r="I870">
            <v>0</v>
          </cell>
          <cell r="J870">
            <v>65.010000000000005</v>
          </cell>
        </row>
        <row r="871">
          <cell r="A871" t="str">
            <v>LU1883306653</v>
          </cell>
          <cell r="B871" t="str">
            <v>AMUNDI FUNDS EUROPEAN EQUITY SMALL CAP</v>
          </cell>
          <cell r="C871" t="str">
            <v>Class A USD Hgd (C)</v>
          </cell>
          <cell r="D871" t="str">
            <v>USD</v>
          </cell>
          <cell r="E871" t="str">
            <v>03-Jan-2022</v>
          </cell>
          <cell r="F871">
            <v>10513922.5</v>
          </cell>
          <cell r="G871">
            <v>115616.874</v>
          </cell>
          <cell r="H871">
            <v>90.94</v>
          </cell>
          <cell r="I871">
            <v>0</v>
          </cell>
          <cell r="J871">
            <v>95.03</v>
          </cell>
        </row>
        <row r="872">
          <cell r="A872" t="str">
            <v>LU1883306570</v>
          </cell>
          <cell r="B872" t="str">
            <v>AMUNDI FUNDS EUROPEAN EQUITY SMALL CAP</v>
          </cell>
          <cell r="C872" t="str">
            <v>Class A USD (C)</v>
          </cell>
          <cell r="D872" t="str">
            <v>USD</v>
          </cell>
          <cell r="E872" t="str">
            <v>03-Jan-2022</v>
          </cell>
          <cell r="F872">
            <v>13655063.140000001</v>
          </cell>
          <cell r="G872">
            <v>53751.485000000001</v>
          </cell>
          <cell r="H872">
            <v>254.04</v>
          </cell>
          <cell r="I872">
            <v>0</v>
          </cell>
          <cell r="J872">
            <v>265.47000000000003</v>
          </cell>
        </row>
        <row r="873">
          <cell r="A873" t="str">
            <v>LU1883306737</v>
          </cell>
          <cell r="B873" t="str">
            <v>AMUNDI FUNDS EUROPEAN EQUITY SMALL CAP</v>
          </cell>
          <cell r="C873" t="str">
            <v>Class B EUR (C)</v>
          </cell>
          <cell r="D873" t="str">
            <v>EUR</v>
          </cell>
          <cell r="E873" t="str">
            <v>03-Jan-2022</v>
          </cell>
          <cell r="F873">
            <v>512456.94</v>
          </cell>
          <cell r="G873">
            <v>4247.8429999999998</v>
          </cell>
          <cell r="H873">
            <v>120.64</v>
          </cell>
          <cell r="I873">
            <v>0</v>
          </cell>
          <cell r="J873">
            <v>120.64</v>
          </cell>
        </row>
        <row r="874">
          <cell r="A874" t="str">
            <v>LU1883307974</v>
          </cell>
          <cell r="B874" t="str">
            <v>AMUNDI FUNDS EUROPEAN EQUITY SMALL CAP</v>
          </cell>
          <cell r="C874" t="str">
            <v>Class M2 EUR (C)</v>
          </cell>
          <cell r="D874" t="str">
            <v>EUR</v>
          </cell>
          <cell r="E874" t="str">
            <v>03-Jan-2022</v>
          </cell>
          <cell r="F874">
            <v>4925852.78</v>
          </cell>
          <cell r="G874">
            <v>2004.1959999999999</v>
          </cell>
          <cell r="H874">
            <v>2457.77</v>
          </cell>
          <cell r="I874">
            <v>0</v>
          </cell>
          <cell r="J874">
            <v>2457.77</v>
          </cell>
        </row>
        <row r="875">
          <cell r="A875" t="str">
            <v>LU1883306810</v>
          </cell>
          <cell r="B875" t="str">
            <v>AMUNDI FUNDS EUROPEAN EQUITY SMALL CAP</v>
          </cell>
          <cell r="C875" t="str">
            <v>Class B USD (C)</v>
          </cell>
          <cell r="D875" t="str">
            <v>USD</v>
          </cell>
          <cell r="E875" t="str">
            <v>03-Jan-2022</v>
          </cell>
          <cell r="F875">
            <v>11061586.689999999</v>
          </cell>
          <cell r="G875">
            <v>81215.240999999995</v>
          </cell>
          <cell r="H875">
            <v>136.19999999999999</v>
          </cell>
          <cell r="I875">
            <v>0</v>
          </cell>
          <cell r="J875">
            <v>136.19999999999999</v>
          </cell>
        </row>
        <row r="876">
          <cell r="A876" t="str">
            <v>LU1883306901</v>
          </cell>
          <cell r="B876" t="str">
            <v>AMUNDI FUNDS EUROPEAN EQUITY SMALL CAP</v>
          </cell>
          <cell r="C876" t="str">
            <v>Class C EUR (C)</v>
          </cell>
          <cell r="D876" t="str">
            <v>EUR</v>
          </cell>
          <cell r="E876" t="str">
            <v>03-Jan-2022</v>
          </cell>
          <cell r="F876">
            <v>3557406.84</v>
          </cell>
          <cell r="G876">
            <v>28468.424999999999</v>
          </cell>
          <cell r="H876">
            <v>124.96</v>
          </cell>
          <cell r="I876">
            <v>0</v>
          </cell>
          <cell r="J876">
            <v>124.96</v>
          </cell>
        </row>
        <row r="877">
          <cell r="A877" t="str">
            <v>LU1883307032</v>
          </cell>
          <cell r="B877" t="str">
            <v>AMUNDI FUNDS EUROPEAN EQUITY SMALL CAP</v>
          </cell>
          <cell r="C877" t="str">
            <v>Class C USD (C)</v>
          </cell>
          <cell r="D877" t="str">
            <v>USD</v>
          </cell>
          <cell r="E877" t="str">
            <v>03-Jan-2022</v>
          </cell>
          <cell r="F877">
            <v>1309805.29</v>
          </cell>
          <cell r="G877">
            <v>9282.4419999999991</v>
          </cell>
          <cell r="H877">
            <v>141.11000000000001</v>
          </cell>
          <cell r="I877">
            <v>0</v>
          </cell>
          <cell r="J877">
            <v>141.11000000000001</v>
          </cell>
        </row>
        <row r="878">
          <cell r="A878" t="str">
            <v>LU1883307115</v>
          </cell>
          <cell r="B878" t="str">
            <v>AMUNDI FUNDS EUROPEAN EQUITY SMALL CAP</v>
          </cell>
          <cell r="C878" t="str">
            <v>Class C USD Hgd (C)</v>
          </cell>
          <cell r="D878" t="str">
            <v>USD</v>
          </cell>
          <cell r="E878" t="str">
            <v>03-Jan-2022</v>
          </cell>
          <cell r="F878">
            <v>2484143.81</v>
          </cell>
          <cell r="G878">
            <v>28527.603999999999</v>
          </cell>
          <cell r="H878">
            <v>87.08</v>
          </cell>
          <cell r="I878">
            <v>0</v>
          </cell>
          <cell r="J878">
            <v>87.08</v>
          </cell>
        </row>
        <row r="879">
          <cell r="A879" t="str">
            <v>LU1883307206</v>
          </cell>
          <cell r="B879" t="str">
            <v>AMUNDI FUNDS EUROPEAN EQUITY SMALL CAP</v>
          </cell>
          <cell r="C879" t="str">
            <v>Class E2 EUR (C)</v>
          </cell>
          <cell r="D879" t="str">
            <v>EUR</v>
          </cell>
          <cell r="E879" t="str">
            <v>03-Jan-2022</v>
          </cell>
          <cell r="F879">
            <v>117002184.37</v>
          </cell>
          <cell r="G879">
            <v>10601524.627</v>
          </cell>
          <cell r="H879">
            <v>11.036</v>
          </cell>
          <cell r="I879">
            <v>0</v>
          </cell>
          <cell r="J879">
            <v>11.036</v>
          </cell>
        </row>
        <row r="880">
          <cell r="A880" t="str">
            <v>LU1883307388</v>
          </cell>
          <cell r="B880" t="str">
            <v>AMUNDI FUNDS EUROPEAN EQUITY SMALL CAP</v>
          </cell>
          <cell r="C880" t="str">
            <v>Class F EUR (C)</v>
          </cell>
          <cell r="D880" t="str">
            <v>EUR</v>
          </cell>
          <cell r="E880" t="str">
            <v>03-Jan-2022</v>
          </cell>
          <cell r="F880">
            <v>60057384.490000002</v>
          </cell>
          <cell r="G880">
            <v>6174558.5980000002</v>
          </cell>
          <cell r="H880">
            <v>9.7270000000000003</v>
          </cell>
          <cell r="I880">
            <v>0</v>
          </cell>
          <cell r="J880">
            <v>9.7270000000000003</v>
          </cell>
        </row>
        <row r="881">
          <cell r="A881" t="str">
            <v>LU1880396004</v>
          </cell>
          <cell r="B881" t="str">
            <v>AMUNDI FUNDS EUROPEAN EQUITY SMALL CAP</v>
          </cell>
          <cell r="C881" t="str">
            <v>Class F2 EUR (C)</v>
          </cell>
          <cell r="D881" t="str">
            <v>EUR</v>
          </cell>
          <cell r="E881" t="str">
            <v>03-Jan-2022</v>
          </cell>
          <cell r="F881">
            <v>561367.27</v>
          </cell>
          <cell r="G881">
            <v>84083</v>
          </cell>
          <cell r="H881">
            <v>6.6760000000000002</v>
          </cell>
          <cell r="I881">
            <v>0</v>
          </cell>
          <cell r="J881">
            <v>6.6760000000000002</v>
          </cell>
        </row>
        <row r="882">
          <cell r="A882" t="str">
            <v>LU1998915299</v>
          </cell>
          <cell r="B882" t="str">
            <v>AMUNDI FUNDS EUROPEAN EQUITY SMALL CAP</v>
          </cell>
          <cell r="C882" t="str">
            <v>Class H EUR (C)</v>
          </cell>
          <cell r="D882" t="str">
            <v>EUR</v>
          </cell>
          <cell r="E882" t="str">
            <v>03-Jan-2022</v>
          </cell>
          <cell r="F882">
            <v>7616.34</v>
          </cell>
          <cell r="G882">
            <v>5</v>
          </cell>
          <cell r="H882">
            <v>1523.27</v>
          </cell>
          <cell r="I882">
            <v>0</v>
          </cell>
          <cell r="J882">
            <v>1523.27</v>
          </cell>
        </row>
        <row r="883">
          <cell r="A883" t="str">
            <v>LU1883307628</v>
          </cell>
          <cell r="B883" t="str">
            <v>AMUNDI FUNDS EUROPEAN EQUITY SMALL CAP</v>
          </cell>
          <cell r="C883" t="str">
            <v>Class I2 USD (C)</v>
          </cell>
          <cell r="D883" t="str">
            <v>USD</v>
          </cell>
          <cell r="E883" t="str">
            <v>03-Jan-2022</v>
          </cell>
          <cell r="F883">
            <v>1942429.93</v>
          </cell>
          <cell r="G883">
            <v>756.86599999999999</v>
          </cell>
          <cell r="H883">
            <v>2566.41</v>
          </cell>
          <cell r="I883">
            <v>0</v>
          </cell>
          <cell r="J883">
            <v>2566.41</v>
          </cell>
        </row>
        <row r="884">
          <cell r="A884" t="str">
            <v>LU1883307891</v>
          </cell>
          <cell r="B884" t="str">
            <v>AMUNDI FUNDS EUROPEAN EQUITY SMALL CAP</v>
          </cell>
          <cell r="C884" t="str">
            <v>Class I2 USD Hgd (C)</v>
          </cell>
          <cell r="D884" t="str">
            <v>USD</v>
          </cell>
          <cell r="E884" t="str">
            <v>03-Jan-2022</v>
          </cell>
          <cell r="F884">
            <v>1635494.38</v>
          </cell>
          <cell r="G884">
            <v>981.82500000000005</v>
          </cell>
          <cell r="H884">
            <v>1665.77</v>
          </cell>
          <cell r="I884">
            <v>0</v>
          </cell>
          <cell r="J884">
            <v>1665.77</v>
          </cell>
        </row>
        <row r="885">
          <cell r="A885" t="str">
            <v>LU1880396426</v>
          </cell>
          <cell r="B885" t="str">
            <v>AMUNDI FUNDS EUROPEAN EQUITY SMALL CAP</v>
          </cell>
          <cell r="C885" t="str">
            <v>Class M EUR (C)</v>
          </cell>
          <cell r="D885" t="str">
            <v>EUR</v>
          </cell>
          <cell r="E885" t="str">
            <v>03-Jan-2022</v>
          </cell>
          <cell r="F885">
            <v>8965.4500000000007</v>
          </cell>
          <cell r="G885">
            <v>6.375</v>
          </cell>
          <cell r="H885">
            <v>1406.35</v>
          </cell>
          <cell r="I885">
            <v>0</v>
          </cell>
          <cell r="J885">
            <v>1406.35</v>
          </cell>
        </row>
        <row r="886">
          <cell r="A886" t="str">
            <v>LU1883307545</v>
          </cell>
          <cell r="B886" t="str">
            <v>AMUNDI FUNDS EUROPEAN EQUITY SMALL CAP</v>
          </cell>
          <cell r="C886" t="str">
            <v>Class I2 EUR (C)</v>
          </cell>
          <cell r="D886" t="str">
            <v>EUR</v>
          </cell>
          <cell r="E886" t="str">
            <v>03-Jan-2022</v>
          </cell>
          <cell r="F886">
            <v>87494786</v>
          </cell>
          <cell r="G886">
            <v>38497.472999999998</v>
          </cell>
          <cell r="H886">
            <v>2272.7399999999998</v>
          </cell>
          <cell r="I886">
            <v>0</v>
          </cell>
          <cell r="J886">
            <v>2272.7399999999998</v>
          </cell>
        </row>
        <row r="887">
          <cell r="A887" t="str">
            <v>LU1883307461</v>
          </cell>
          <cell r="B887" t="str">
            <v>AMUNDI FUNDS EUROPEAN EQUITY SMALL CAP</v>
          </cell>
          <cell r="C887" t="str">
            <v>Class G EUR (C)</v>
          </cell>
          <cell r="D887" t="str">
            <v>EUR</v>
          </cell>
          <cell r="E887" t="str">
            <v>03-Jan-2022</v>
          </cell>
          <cell r="F887">
            <v>5921637.2400000002</v>
          </cell>
          <cell r="G887">
            <v>960830.86</v>
          </cell>
          <cell r="H887">
            <v>6.1630000000000003</v>
          </cell>
          <cell r="I887">
            <v>0</v>
          </cell>
          <cell r="J887">
            <v>6.1630000000000003</v>
          </cell>
        </row>
        <row r="888">
          <cell r="A888" t="str">
            <v>LU1883310259</v>
          </cell>
          <cell r="B888" t="str">
            <v>AMUNDI FUNDS EUROPEAN EQUITY SMALL CAP</v>
          </cell>
          <cell r="C888" t="str">
            <v>Class T USD (C)</v>
          </cell>
          <cell r="D888" t="str">
            <v>USD</v>
          </cell>
          <cell r="E888" t="str">
            <v>03-Jan-2022</v>
          </cell>
          <cell r="F888">
            <v>877418.85</v>
          </cell>
          <cell r="G888">
            <v>12516.946</v>
          </cell>
          <cell r="H888">
            <v>70.099999999999994</v>
          </cell>
          <cell r="I888">
            <v>0</v>
          </cell>
          <cell r="J888">
            <v>70.099999999999994</v>
          </cell>
        </row>
        <row r="889">
          <cell r="A889" t="str">
            <v>LU1883310176</v>
          </cell>
          <cell r="B889" t="str">
            <v>AMUNDI FUNDS EUROPEAN EQUITY SMALL CAP</v>
          </cell>
          <cell r="C889" t="str">
            <v>Class T EUR (C)</v>
          </cell>
          <cell r="D889" t="str">
            <v>EUR</v>
          </cell>
          <cell r="E889" t="str">
            <v>03-Jan-2022</v>
          </cell>
          <cell r="F889">
            <v>2624.37</v>
          </cell>
          <cell r="G889">
            <v>48.515000000000001</v>
          </cell>
          <cell r="H889">
            <v>54.09</v>
          </cell>
          <cell r="I889">
            <v>0</v>
          </cell>
          <cell r="J889">
            <v>54.09</v>
          </cell>
        </row>
        <row r="890">
          <cell r="A890" t="str">
            <v>LU1883310333</v>
          </cell>
          <cell r="B890" t="str">
            <v>AMUNDI FUNDS EUROPEAN EQUITY SMALL CAP</v>
          </cell>
          <cell r="C890" t="str">
            <v>Class T USD Hgd (C)</v>
          </cell>
          <cell r="D890" t="str">
            <v>USD</v>
          </cell>
          <cell r="E890" t="str">
            <v>03-Jan-2022</v>
          </cell>
          <cell r="F890">
            <v>1516212.65</v>
          </cell>
          <cell r="G890">
            <v>22238.344000000001</v>
          </cell>
          <cell r="H890">
            <v>68.180000000000007</v>
          </cell>
          <cell r="I890">
            <v>0</v>
          </cell>
          <cell r="J890">
            <v>68.180000000000007</v>
          </cell>
        </row>
        <row r="891">
          <cell r="A891" t="str">
            <v>LU1883308279</v>
          </cell>
          <cell r="B891" t="str">
            <v>AMUNDI FUNDS EUROPEAN EQUITY SMALL CAP</v>
          </cell>
          <cell r="C891" t="str">
            <v>Class R2 EUR (C)</v>
          </cell>
          <cell r="D891" t="str">
            <v>EUR</v>
          </cell>
          <cell r="E891" t="str">
            <v>03-Jan-2022</v>
          </cell>
          <cell r="F891">
            <v>1160049.44</v>
          </cell>
          <cell r="G891">
            <v>12813.246999999999</v>
          </cell>
          <cell r="H891">
            <v>90.54</v>
          </cell>
          <cell r="I891">
            <v>0</v>
          </cell>
          <cell r="J891">
            <v>90.54</v>
          </cell>
        </row>
        <row r="892">
          <cell r="A892" t="str">
            <v>LU1883308352</v>
          </cell>
          <cell r="B892" t="str">
            <v>AMUNDI FUNDS EUROPEAN EQUITY SMALL CAP</v>
          </cell>
          <cell r="C892" t="str">
            <v>Class R2 GBP (C)</v>
          </cell>
          <cell r="D892" t="str">
            <v>GBP</v>
          </cell>
          <cell r="E892" t="str">
            <v>03-Jan-2022</v>
          </cell>
          <cell r="F892">
            <v>200261.63</v>
          </cell>
          <cell r="G892">
            <v>2634.1</v>
          </cell>
          <cell r="H892">
            <v>76.03</v>
          </cell>
          <cell r="I892">
            <v>0</v>
          </cell>
          <cell r="J892">
            <v>76.03</v>
          </cell>
        </row>
        <row r="893">
          <cell r="A893" t="str">
            <v>LU1883308196</v>
          </cell>
          <cell r="B893" t="str">
            <v>AMUNDI FUNDS EUROPEAN EQUITY SMALL CAP</v>
          </cell>
          <cell r="C893" t="str">
            <v>Class P2 USD (C)</v>
          </cell>
          <cell r="D893" t="str">
            <v>USD</v>
          </cell>
          <cell r="E893" t="str">
            <v>03-Jan-2022</v>
          </cell>
          <cell r="F893">
            <v>207399.53</v>
          </cell>
          <cell r="G893">
            <v>2417.0889999999999</v>
          </cell>
          <cell r="H893">
            <v>85.81</v>
          </cell>
          <cell r="I893">
            <v>0</v>
          </cell>
          <cell r="J893">
            <v>85.81</v>
          </cell>
        </row>
        <row r="894">
          <cell r="A894" t="str">
            <v>LU1883310507</v>
          </cell>
          <cell r="B894" t="str">
            <v>AMUNDI FUNDS EUROPEAN EQUITY SMALL CAP</v>
          </cell>
          <cell r="C894" t="str">
            <v>Class U USD (C)</v>
          </cell>
          <cell r="D894" t="str">
            <v>USD</v>
          </cell>
          <cell r="E894" t="str">
            <v>03-Jan-2022</v>
          </cell>
          <cell r="F894">
            <v>8481911.6300000008</v>
          </cell>
          <cell r="G894">
            <v>119149.73699999999</v>
          </cell>
          <cell r="H894">
            <v>71.19</v>
          </cell>
          <cell r="I894">
            <v>0</v>
          </cell>
          <cell r="J894">
            <v>71.19</v>
          </cell>
        </row>
        <row r="895">
          <cell r="A895" t="str">
            <v>LU1883310416</v>
          </cell>
          <cell r="B895" t="str">
            <v>AMUNDI FUNDS EUROPEAN EQUITY SMALL CAP</v>
          </cell>
          <cell r="C895" t="str">
            <v>Class U EUR (C)</v>
          </cell>
          <cell r="D895" t="str">
            <v>EUR</v>
          </cell>
          <cell r="E895" t="str">
            <v>03-Jan-2022</v>
          </cell>
          <cell r="F895">
            <v>1215364.82</v>
          </cell>
          <cell r="G895">
            <v>19276.396000000001</v>
          </cell>
          <cell r="H895">
            <v>63.05</v>
          </cell>
          <cell r="I895">
            <v>0</v>
          </cell>
          <cell r="J895">
            <v>63.05</v>
          </cell>
        </row>
        <row r="896">
          <cell r="A896" t="str">
            <v>LU1880396939</v>
          </cell>
          <cell r="B896" t="str">
            <v>AMUNDI FUNDS EUROPEAN EQUITY SMALL CAP</v>
          </cell>
          <cell r="C896" t="str">
            <v>Class R EUR (C)</v>
          </cell>
          <cell r="D896" t="str">
            <v>EUR</v>
          </cell>
          <cell r="E896" t="str">
            <v>03-Jan-2022</v>
          </cell>
          <cell r="F896">
            <v>411735.35</v>
          </cell>
          <cell r="G896">
            <v>5899.2179999999998</v>
          </cell>
          <cell r="H896">
            <v>69.790000000000006</v>
          </cell>
          <cell r="I896">
            <v>0</v>
          </cell>
          <cell r="J896">
            <v>69.790000000000006</v>
          </cell>
        </row>
        <row r="897">
          <cell r="A897" t="str">
            <v>LU1880397077</v>
          </cell>
          <cell r="B897" t="str">
            <v>AMUNDI FUNDS EUROPEAN EQUITY SMALL CAP</v>
          </cell>
          <cell r="C897" t="str">
            <v>Class R EUR AD (D)</v>
          </cell>
          <cell r="D897" t="str">
            <v>EUR</v>
          </cell>
          <cell r="E897" t="str">
            <v>03-Jan-2022</v>
          </cell>
          <cell r="F897">
            <v>1682.05</v>
          </cell>
          <cell r="G897">
            <v>24.763000000000002</v>
          </cell>
          <cell r="H897">
            <v>67.930000000000007</v>
          </cell>
          <cell r="I897">
            <v>0</v>
          </cell>
          <cell r="J897">
            <v>67.930000000000007</v>
          </cell>
        </row>
        <row r="898">
          <cell r="A898" t="str">
            <v>LU1883310689</v>
          </cell>
          <cell r="B898" t="str">
            <v>AMUNDI FUNDS EUROPEAN EQUITY SMALL CAP</v>
          </cell>
          <cell r="C898" t="str">
            <v>Class U USD Hgd (C)</v>
          </cell>
          <cell r="D898" t="str">
            <v>USD</v>
          </cell>
          <cell r="E898" t="str">
            <v>03-Jan-2022</v>
          </cell>
          <cell r="F898">
            <v>12481077.74</v>
          </cell>
          <cell r="G898">
            <v>181018.24600000001</v>
          </cell>
          <cell r="H898">
            <v>68.95</v>
          </cell>
          <cell r="I898">
            <v>0</v>
          </cell>
          <cell r="J898">
            <v>68.95</v>
          </cell>
        </row>
        <row r="899">
          <cell r="A899" t="str">
            <v>LU1883310093</v>
          </cell>
          <cell r="B899" t="str">
            <v>AMUNDI FUNDS EUROPEAN EQUITY SMALL CAP</v>
          </cell>
          <cell r="C899" t="str">
            <v>Class R2 USD (C)</v>
          </cell>
          <cell r="D899" t="str">
            <v>USD</v>
          </cell>
          <cell r="E899" t="str">
            <v>03-Jan-2022</v>
          </cell>
          <cell r="F899">
            <v>210829.16</v>
          </cell>
          <cell r="G899">
            <v>2062.0390000000002</v>
          </cell>
          <cell r="H899">
            <v>102.24</v>
          </cell>
          <cell r="I899">
            <v>0</v>
          </cell>
          <cell r="J899">
            <v>102.24</v>
          </cell>
        </row>
        <row r="900">
          <cell r="A900" t="str">
            <v>LU1880396186</v>
          </cell>
          <cell r="B900" t="str">
            <v>AMUNDI FUNDS EUROPEAN EQUITY SMALL CAP</v>
          </cell>
          <cell r="C900" t="str">
            <v>Class I EUR (C)</v>
          </cell>
          <cell r="D900" t="str">
            <v>EUR</v>
          </cell>
          <cell r="E900" t="str">
            <v>03-Jan-2022</v>
          </cell>
          <cell r="F900">
            <v>2232908.2599999998</v>
          </cell>
          <cell r="G900">
            <v>1587.44</v>
          </cell>
          <cell r="H900">
            <v>1406.61</v>
          </cell>
          <cell r="I900">
            <v>0</v>
          </cell>
          <cell r="J900">
            <v>1406.61</v>
          </cell>
        </row>
        <row r="901">
          <cell r="A901" t="str">
            <v>LU1880397317</v>
          </cell>
          <cell r="B901" t="str">
            <v>AMUNDI FUNDS EUROPEAN EQUITY SMALL CAP</v>
          </cell>
          <cell r="C901" t="str">
            <v>Class Z EUR (C)</v>
          </cell>
          <cell r="D901" t="str">
            <v>EUR</v>
          </cell>
          <cell r="E901" t="str">
            <v>03-Jan-2022</v>
          </cell>
          <cell r="F901">
            <v>21565694.890000001</v>
          </cell>
          <cell r="G901">
            <v>15187.254999999999</v>
          </cell>
          <cell r="H901">
            <v>1419.99</v>
          </cell>
          <cell r="I901">
            <v>0</v>
          </cell>
          <cell r="J901">
            <v>1419.99</v>
          </cell>
        </row>
        <row r="902">
          <cell r="A902" t="str">
            <v>LU1880397408</v>
          </cell>
          <cell r="B902" t="str">
            <v>AMUNDI FUNDS EUROPEAN EQUITY SMALL CAP</v>
          </cell>
          <cell r="C902" t="str">
            <v>Class Z EUR AD (D)</v>
          </cell>
          <cell r="D902" t="str">
            <v>EUR</v>
          </cell>
          <cell r="E902" t="str">
            <v>03-Jan-2022</v>
          </cell>
          <cell r="F902">
            <v>6614.79</v>
          </cell>
          <cell r="G902">
            <v>4.8579999999999997</v>
          </cell>
          <cell r="H902">
            <v>1361.63</v>
          </cell>
          <cell r="I902">
            <v>0</v>
          </cell>
          <cell r="J902">
            <v>1361.63</v>
          </cell>
        </row>
        <row r="903">
          <cell r="A903" t="str">
            <v>LU1882447425</v>
          </cell>
          <cell r="B903" t="str">
            <v>AMUNDI FUNDS EMERG EUROPE AND MEDITERRANEAN EQUITY</v>
          </cell>
          <cell r="C903" t="str">
            <v>Class A EUR (C)</v>
          </cell>
          <cell r="D903" t="str">
            <v>EUR</v>
          </cell>
          <cell r="E903" t="str">
            <v>03-Jan-2022</v>
          </cell>
          <cell r="F903">
            <v>48460891.880000003</v>
          </cell>
          <cell r="G903">
            <v>2311088.8470000001</v>
          </cell>
          <cell r="H903">
            <v>20.97</v>
          </cell>
          <cell r="I903">
            <v>0</v>
          </cell>
          <cell r="J903">
            <v>21.91</v>
          </cell>
        </row>
        <row r="904">
          <cell r="A904" t="str">
            <v>LU1882447342</v>
          </cell>
          <cell r="B904" t="str">
            <v>AMUNDI FUNDS EMERG EUROPE AND MEDITERRANEAN EQUITY</v>
          </cell>
          <cell r="C904" t="str">
            <v>Class A CZK (C)</v>
          </cell>
          <cell r="D904" t="str">
            <v>CZK</v>
          </cell>
          <cell r="E904" t="str">
            <v>03-Jan-2022</v>
          </cell>
          <cell r="F904">
            <v>202575734.62</v>
          </cell>
          <cell r="G904">
            <v>389147.68</v>
          </cell>
          <cell r="H904">
            <v>520.55999999999995</v>
          </cell>
          <cell r="I904">
            <v>0</v>
          </cell>
          <cell r="J904">
            <v>543.99</v>
          </cell>
        </row>
        <row r="905">
          <cell r="A905" t="str">
            <v>LU1882447771</v>
          </cell>
          <cell r="B905" t="str">
            <v>AMUNDI FUNDS EMERG EUROPE AND MEDITERRANEAN EQUITY</v>
          </cell>
          <cell r="C905" t="str">
            <v>Class A USD AD (D)</v>
          </cell>
          <cell r="D905" t="str">
            <v>USD</v>
          </cell>
          <cell r="E905" t="str">
            <v>03-Jan-2022</v>
          </cell>
          <cell r="F905">
            <v>71263.73</v>
          </cell>
          <cell r="G905">
            <v>3348.64</v>
          </cell>
          <cell r="H905">
            <v>21.28</v>
          </cell>
          <cell r="I905">
            <v>0</v>
          </cell>
          <cell r="J905">
            <v>22.24</v>
          </cell>
        </row>
        <row r="906">
          <cell r="A906" t="str">
            <v>LU1882447698</v>
          </cell>
          <cell r="B906" t="str">
            <v>AMUNDI FUNDS EMERG EUROPE AND MEDITERRANEAN EQUITY</v>
          </cell>
          <cell r="C906" t="str">
            <v>Class A USD (C)</v>
          </cell>
          <cell r="D906" t="str">
            <v>USD</v>
          </cell>
          <cell r="E906" t="str">
            <v>03-Jan-2022</v>
          </cell>
          <cell r="F906">
            <v>15549029.74</v>
          </cell>
          <cell r="G906">
            <v>656892.16500000004</v>
          </cell>
          <cell r="H906">
            <v>23.67</v>
          </cell>
          <cell r="I906">
            <v>0</v>
          </cell>
          <cell r="J906">
            <v>24.74</v>
          </cell>
        </row>
        <row r="907">
          <cell r="A907" t="str">
            <v>LU1882447854</v>
          </cell>
          <cell r="B907" t="str">
            <v>AMUNDI FUNDS EMERG EUROPE AND MEDITERRANEAN EQUITY</v>
          </cell>
          <cell r="C907" t="str">
            <v>Class B EUR (C)</v>
          </cell>
          <cell r="D907" t="str">
            <v>EUR</v>
          </cell>
          <cell r="E907" t="str">
            <v>03-Jan-2022</v>
          </cell>
          <cell r="F907">
            <v>19230.560000000001</v>
          </cell>
          <cell r="G907">
            <v>1112.9469999999999</v>
          </cell>
          <cell r="H907">
            <v>17.28</v>
          </cell>
          <cell r="I907">
            <v>0</v>
          </cell>
          <cell r="J907">
            <v>17.28</v>
          </cell>
        </row>
        <row r="908">
          <cell r="A908" t="str">
            <v>LU1882448829</v>
          </cell>
          <cell r="B908" t="str">
            <v>AMUNDI FUNDS EMERG EUROPE AND MEDITERRANEAN EQUITY</v>
          </cell>
          <cell r="C908" t="str">
            <v>Class M2 EUR (C)</v>
          </cell>
          <cell r="D908" t="str">
            <v>EUR</v>
          </cell>
          <cell r="E908" t="str">
            <v>03-Jan-2022</v>
          </cell>
          <cell r="F908">
            <v>91898.66</v>
          </cell>
          <cell r="G908">
            <v>78.153999999999996</v>
          </cell>
          <cell r="H908">
            <v>1175.8699999999999</v>
          </cell>
          <cell r="I908">
            <v>0</v>
          </cell>
          <cell r="J908">
            <v>1175.8699999999999</v>
          </cell>
        </row>
        <row r="909">
          <cell r="A909" t="str">
            <v>LU1882447938</v>
          </cell>
          <cell r="B909" t="str">
            <v>AMUNDI FUNDS EMERG EUROPE AND MEDITERRANEAN EQUITY</v>
          </cell>
          <cell r="C909" t="str">
            <v>Class B USD (C)</v>
          </cell>
          <cell r="D909" t="str">
            <v>USD</v>
          </cell>
          <cell r="E909" t="str">
            <v>03-Jan-2022</v>
          </cell>
          <cell r="F909">
            <v>3084387.62</v>
          </cell>
          <cell r="G909">
            <v>157983.204</v>
          </cell>
          <cell r="H909">
            <v>19.52</v>
          </cell>
          <cell r="I909">
            <v>0</v>
          </cell>
          <cell r="J909">
            <v>19.52</v>
          </cell>
        </row>
        <row r="910">
          <cell r="A910" t="str">
            <v>LU1882448076</v>
          </cell>
          <cell r="B910" t="str">
            <v>AMUNDI FUNDS EMERG EUROPE AND MEDITERRANEAN EQUITY</v>
          </cell>
          <cell r="C910" t="str">
            <v>Class C EUR (C)</v>
          </cell>
          <cell r="D910" t="str">
            <v>EUR</v>
          </cell>
          <cell r="E910" t="str">
            <v>03-Jan-2022</v>
          </cell>
          <cell r="F910">
            <v>5198396.83</v>
          </cell>
          <cell r="G910">
            <v>280592.973</v>
          </cell>
          <cell r="H910">
            <v>18.53</v>
          </cell>
          <cell r="I910">
            <v>0</v>
          </cell>
          <cell r="J910">
            <v>18.53</v>
          </cell>
        </row>
        <row r="911">
          <cell r="A911" t="str">
            <v>LU1882448233</v>
          </cell>
          <cell r="B911" t="str">
            <v>AMUNDI FUNDS EMERG EUROPE AND MEDITERRANEAN EQUITY</v>
          </cell>
          <cell r="C911" t="str">
            <v>Class C USD AD (D)</v>
          </cell>
          <cell r="D911" t="str">
            <v>USD</v>
          </cell>
          <cell r="E911" t="str">
            <v>03-Jan-2022</v>
          </cell>
          <cell r="F911">
            <v>6059.43</v>
          </cell>
          <cell r="G911">
            <v>307</v>
          </cell>
          <cell r="H911">
            <v>19.739999999999998</v>
          </cell>
          <cell r="I911">
            <v>0</v>
          </cell>
          <cell r="J911">
            <v>19.739999999999998</v>
          </cell>
        </row>
        <row r="912">
          <cell r="A912" t="str">
            <v>LU1882448159</v>
          </cell>
          <cell r="B912" t="str">
            <v>AMUNDI FUNDS EMERG EUROPE AND MEDITERRANEAN EQUITY</v>
          </cell>
          <cell r="C912" t="str">
            <v>Class C USD (C)</v>
          </cell>
          <cell r="D912" t="str">
            <v>USD</v>
          </cell>
          <cell r="E912" t="str">
            <v>03-Jan-2022</v>
          </cell>
          <cell r="F912">
            <v>393776.95</v>
          </cell>
          <cell r="G912">
            <v>18822.258000000002</v>
          </cell>
          <cell r="H912">
            <v>20.92</v>
          </cell>
          <cell r="I912">
            <v>0</v>
          </cell>
          <cell r="J912">
            <v>20.92</v>
          </cell>
        </row>
        <row r="913">
          <cell r="A913" t="str">
            <v>LU1882448316</v>
          </cell>
          <cell r="B913" t="str">
            <v>AMUNDI FUNDS EMERG EUROPE AND MEDITERRANEAN EQUITY</v>
          </cell>
          <cell r="C913" t="str">
            <v>Class E2 EUR (C)</v>
          </cell>
          <cell r="D913" t="str">
            <v>EUR</v>
          </cell>
          <cell r="E913" t="str">
            <v>03-Jan-2022</v>
          </cell>
          <cell r="F913">
            <v>17594361.719999999</v>
          </cell>
          <cell r="G913">
            <v>771564.47199999995</v>
          </cell>
          <cell r="H913">
            <v>22.803000000000001</v>
          </cell>
          <cell r="I913">
            <v>0</v>
          </cell>
          <cell r="J913">
            <v>22.803000000000001</v>
          </cell>
        </row>
        <row r="914">
          <cell r="A914" t="str">
            <v>LU1882448407</v>
          </cell>
          <cell r="B914" t="str">
            <v>AMUNDI FUNDS EMERG EUROPE AND MEDITERRANEAN EQUITY</v>
          </cell>
          <cell r="C914" t="str">
            <v>Class F EUR (C)</v>
          </cell>
          <cell r="D914" t="str">
            <v>EUR</v>
          </cell>
          <cell r="E914" t="str">
            <v>03-Jan-2022</v>
          </cell>
          <cell r="F914">
            <v>11022677.82</v>
          </cell>
          <cell r="G914">
            <v>607921.06099999999</v>
          </cell>
          <cell r="H914">
            <v>18.132000000000001</v>
          </cell>
          <cell r="I914">
            <v>0</v>
          </cell>
          <cell r="J914">
            <v>18.132000000000001</v>
          </cell>
        </row>
        <row r="915">
          <cell r="A915" t="str">
            <v>LU1882448746</v>
          </cell>
          <cell r="B915" t="str">
            <v>AMUNDI FUNDS EMERG EUROPE AND MEDITERRANEAN EQUITY</v>
          </cell>
          <cell r="C915" t="str">
            <v>Class I2 USD (C)</v>
          </cell>
          <cell r="D915" t="str">
            <v>USD</v>
          </cell>
          <cell r="E915" t="str">
            <v>03-Jan-2022</v>
          </cell>
          <cell r="F915">
            <v>2888052.39</v>
          </cell>
          <cell r="G915">
            <v>97347.368000000002</v>
          </cell>
          <cell r="H915">
            <v>29.67</v>
          </cell>
          <cell r="I915">
            <v>0</v>
          </cell>
          <cell r="J915">
            <v>29.67</v>
          </cell>
        </row>
        <row r="916">
          <cell r="A916" t="str">
            <v>LU1882448662</v>
          </cell>
          <cell r="B916" t="str">
            <v>AMUNDI FUNDS EMERG EUROPE AND MEDITERRANEAN EQUITY</v>
          </cell>
          <cell r="C916" t="str">
            <v>Class I2 EUR (C)</v>
          </cell>
          <cell r="D916" t="str">
            <v>EUR</v>
          </cell>
          <cell r="E916" t="str">
            <v>03-Jan-2022</v>
          </cell>
          <cell r="F916">
            <v>240969.02</v>
          </cell>
          <cell r="G916">
            <v>9169.1119999999992</v>
          </cell>
          <cell r="H916">
            <v>26.28</v>
          </cell>
          <cell r="I916">
            <v>0</v>
          </cell>
          <cell r="J916">
            <v>26.28</v>
          </cell>
        </row>
        <row r="917">
          <cell r="A917" t="str">
            <v>LU1882448589</v>
          </cell>
          <cell r="B917" t="str">
            <v>AMUNDI FUNDS EMERG EUROPE AND MEDITERRANEAN EQUITY</v>
          </cell>
          <cell r="C917" t="str">
            <v>Class G EUR (C)</v>
          </cell>
          <cell r="D917" t="str">
            <v>EUR</v>
          </cell>
          <cell r="E917" t="str">
            <v>03-Jan-2022</v>
          </cell>
          <cell r="F917">
            <v>119706</v>
          </cell>
          <cell r="G917">
            <v>20767.673999999999</v>
          </cell>
          <cell r="H917">
            <v>5.7640000000000002</v>
          </cell>
          <cell r="I917">
            <v>0</v>
          </cell>
          <cell r="J917">
            <v>5.7640000000000002</v>
          </cell>
        </row>
        <row r="918">
          <cell r="A918" t="str">
            <v>LU1882449397</v>
          </cell>
          <cell r="B918" t="str">
            <v>AMUNDI FUNDS EMERG EUROPE AND MEDITERRANEAN EQUITY</v>
          </cell>
          <cell r="C918" t="str">
            <v>Class T USD (C)</v>
          </cell>
          <cell r="D918" t="str">
            <v>USD</v>
          </cell>
          <cell r="E918" t="str">
            <v>03-Jan-2022</v>
          </cell>
          <cell r="F918">
            <v>395632.33</v>
          </cell>
          <cell r="G918">
            <v>5404.3810000000003</v>
          </cell>
          <cell r="H918">
            <v>73.209999999999994</v>
          </cell>
          <cell r="I918">
            <v>0</v>
          </cell>
          <cell r="J918">
            <v>73.209999999999994</v>
          </cell>
        </row>
        <row r="919">
          <cell r="A919" t="str">
            <v>LU1882449124</v>
          </cell>
          <cell r="B919" t="str">
            <v>AMUNDI FUNDS EMERG EUROPE AND MEDITERRANEAN EQUITY</v>
          </cell>
          <cell r="C919" t="str">
            <v>Class T EUR (C)</v>
          </cell>
          <cell r="D919" t="str">
            <v>EUR</v>
          </cell>
          <cell r="E919" t="str">
            <v>03-Jan-2022</v>
          </cell>
          <cell r="F919">
            <v>1175.45</v>
          </cell>
          <cell r="G919">
            <v>18.131</v>
          </cell>
          <cell r="H919">
            <v>64.83</v>
          </cell>
          <cell r="I919">
            <v>0</v>
          </cell>
          <cell r="J919">
            <v>64.83</v>
          </cell>
        </row>
        <row r="920">
          <cell r="A920" t="str">
            <v>LU1882449041</v>
          </cell>
          <cell r="B920" t="str">
            <v>AMUNDI FUNDS EMERG EUROPE AND MEDITERRANEAN EQUITY</v>
          </cell>
          <cell r="C920" t="str">
            <v>Class R2 EUR (C)</v>
          </cell>
          <cell r="D920" t="str">
            <v>EUR</v>
          </cell>
          <cell r="E920" t="str">
            <v>03-Jan-2022</v>
          </cell>
          <cell r="F920">
            <v>90001.59</v>
          </cell>
          <cell r="G920">
            <v>1360.08</v>
          </cell>
          <cell r="H920">
            <v>66.17</v>
          </cell>
          <cell r="I920">
            <v>0</v>
          </cell>
          <cell r="J920">
            <v>66.17</v>
          </cell>
        </row>
        <row r="921">
          <cell r="A921" t="str">
            <v>LU1882449553</v>
          </cell>
          <cell r="B921" t="str">
            <v>AMUNDI FUNDS EMERG EUROPE AND MEDITERRANEAN EQUITY</v>
          </cell>
          <cell r="C921" t="str">
            <v>Class U USD (C)</v>
          </cell>
          <cell r="D921" t="str">
            <v>USD</v>
          </cell>
          <cell r="E921" t="str">
            <v>03-Jan-2022</v>
          </cell>
          <cell r="F921">
            <v>5105656.07</v>
          </cell>
          <cell r="G921">
            <v>69947.197</v>
          </cell>
          <cell r="H921">
            <v>72.989999999999995</v>
          </cell>
          <cell r="I921">
            <v>0</v>
          </cell>
          <cell r="J921">
            <v>72.989999999999995</v>
          </cell>
        </row>
        <row r="922">
          <cell r="A922" t="str">
            <v>LU1882449470</v>
          </cell>
          <cell r="B922" t="str">
            <v>AMUNDI FUNDS EMERG EUROPE AND MEDITERRANEAN EQUITY</v>
          </cell>
          <cell r="C922" t="str">
            <v>Class U EUR (C)</v>
          </cell>
          <cell r="D922" t="str">
            <v>EUR</v>
          </cell>
          <cell r="E922" t="str">
            <v>03-Jan-2022</v>
          </cell>
          <cell r="F922">
            <v>112421.18</v>
          </cell>
          <cell r="G922">
            <v>1739.9549999999999</v>
          </cell>
          <cell r="H922">
            <v>64.61</v>
          </cell>
          <cell r="I922">
            <v>0</v>
          </cell>
          <cell r="J922">
            <v>64.61</v>
          </cell>
        </row>
        <row r="923">
          <cell r="A923" t="str">
            <v>LU2110860090</v>
          </cell>
          <cell r="B923" t="str">
            <v>AMUNDI FUNDS EMERG EUROPE AND MEDITERRANEAN EQUITY</v>
          </cell>
          <cell r="C923" t="str">
            <v>Class Z EUR (C)</v>
          </cell>
          <cell r="D923" t="str">
            <v>EUR</v>
          </cell>
          <cell r="E923" t="str">
            <v>03-Jan-2022</v>
          </cell>
          <cell r="F923">
            <v>406171.3</v>
          </cell>
          <cell r="G923">
            <v>278.09199999999998</v>
          </cell>
          <cell r="H923">
            <v>1460.56</v>
          </cell>
          <cell r="I923">
            <v>0</v>
          </cell>
          <cell r="J923">
            <v>1460.56</v>
          </cell>
        </row>
        <row r="924">
          <cell r="A924" t="str">
            <v>LU1883318666</v>
          </cell>
          <cell r="B924" t="str">
            <v>AMUNDI FUNDS GLOBAL ECOLOGY ESG</v>
          </cell>
          <cell r="C924" t="str">
            <v>Class A CHF (C)</v>
          </cell>
          <cell r="D924" t="str">
            <v>CHF</v>
          </cell>
          <cell r="E924" t="str">
            <v>03-Jan-2022</v>
          </cell>
          <cell r="F924">
            <v>3389884.4</v>
          </cell>
          <cell r="G924">
            <v>7553.8779999999997</v>
          </cell>
          <cell r="H924">
            <v>448.76</v>
          </cell>
          <cell r="I924">
            <v>0</v>
          </cell>
          <cell r="J924">
            <v>468.95</v>
          </cell>
        </row>
        <row r="925">
          <cell r="A925" t="str">
            <v>LU1883318823</v>
          </cell>
          <cell r="B925" t="str">
            <v>AMUNDI FUNDS GLOBAL ECOLOGY ESG</v>
          </cell>
          <cell r="C925" t="str">
            <v>Class A EUR AD (D)</v>
          </cell>
          <cell r="D925" t="str">
            <v>EUR</v>
          </cell>
          <cell r="E925" t="str">
            <v>03-Jan-2022</v>
          </cell>
          <cell r="F925">
            <v>122319882.48</v>
          </cell>
          <cell r="G925">
            <v>1175948.9709999999</v>
          </cell>
          <cell r="H925">
            <v>104.02</v>
          </cell>
          <cell r="I925">
            <v>0</v>
          </cell>
          <cell r="J925">
            <v>108.7</v>
          </cell>
        </row>
        <row r="926">
          <cell r="A926" t="str">
            <v>LU1883318740</v>
          </cell>
          <cell r="B926" t="str">
            <v>AMUNDI FUNDS GLOBAL ECOLOGY ESG</v>
          </cell>
          <cell r="C926" t="str">
            <v>Class A EUR (C)</v>
          </cell>
          <cell r="D926" t="str">
            <v>EUR</v>
          </cell>
          <cell r="E926" t="str">
            <v>03-Jan-2022</v>
          </cell>
          <cell r="F926">
            <v>1596996645.03</v>
          </cell>
          <cell r="G926">
            <v>3690038.8339999998</v>
          </cell>
          <cell r="H926">
            <v>432.79</v>
          </cell>
          <cell r="I926">
            <v>0</v>
          </cell>
          <cell r="J926">
            <v>452.27</v>
          </cell>
        </row>
        <row r="927">
          <cell r="A927" t="str">
            <v>LU2070309450</v>
          </cell>
          <cell r="B927" t="str">
            <v>AMUNDI FUNDS GLOBAL ECOLOGY ESG</v>
          </cell>
          <cell r="C927" t="str">
            <v>Class A2 EUR (C)</v>
          </cell>
          <cell r="D927" t="str">
            <v>EUR</v>
          </cell>
          <cell r="E927" t="str">
            <v>03-Jan-2022</v>
          </cell>
          <cell r="F927">
            <v>48910633.329999998</v>
          </cell>
          <cell r="G927">
            <v>671973.03399999999</v>
          </cell>
          <cell r="H927">
            <v>72.790000000000006</v>
          </cell>
          <cell r="I927">
            <v>0</v>
          </cell>
          <cell r="J927">
            <v>76.069999999999993</v>
          </cell>
        </row>
        <row r="928">
          <cell r="A928" t="str">
            <v>LU2032056439</v>
          </cell>
          <cell r="B928" t="str">
            <v>AMUNDI FUNDS GLOBAL ECOLOGY ESG</v>
          </cell>
          <cell r="C928" t="str">
            <v>Class A5 EUR (C)</v>
          </cell>
          <cell r="D928" t="str">
            <v>EUR</v>
          </cell>
          <cell r="E928" t="str">
            <v>03-Jan-2022</v>
          </cell>
          <cell r="F928">
            <v>68022190.620000005</v>
          </cell>
          <cell r="G928">
            <v>898952.90899999999</v>
          </cell>
          <cell r="H928">
            <v>75.67</v>
          </cell>
          <cell r="I928">
            <v>0</v>
          </cell>
          <cell r="J928">
            <v>75.67</v>
          </cell>
        </row>
        <row r="929">
          <cell r="A929" t="str">
            <v>LU1883319128</v>
          </cell>
          <cell r="B929" t="str">
            <v>AMUNDI FUNDS GLOBAL ECOLOGY ESG</v>
          </cell>
          <cell r="C929" t="str">
            <v>Class A USD AD (D)</v>
          </cell>
          <cell r="D929" t="str">
            <v>USD</v>
          </cell>
          <cell r="E929" t="str">
            <v>03-Jan-2022</v>
          </cell>
          <cell r="F929">
            <v>646907.5</v>
          </cell>
          <cell r="G929">
            <v>5511.7150000000001</v>
          </cell>
          <cell r="H929">
            <v>117.37</v>
          </cell>
          <cell r="I929">
            <v>0</v>
          </cell>
          <cell r="J929">
            <v>122.65</v>
          </cell>
        </row>
        <row r="930">
          <cell r="A930" t="str">
            <v>LU1883319045</v>
          </cell>
          <cell r="B930" t="str">
            <v>AMUNDI FUNDS GLOBAL ECOLOGY ESG</v>
          </cell>
          <cell r="C930" t="str">
            <v>Class A USD (C)</v>
          </cell>
          <cell r="D930" t="str">
            <v>USD</v>
          </cell>
          <cell r="E930" t="str">
            <v>03-Jan-2022</v>
          </cell>
          <cell r="F930">
            <v>41621745.850000001</v>
          </cell>
          <cell r="G930">
            <v>85218.207999999999</v>
          </cell>
          <cell r="H930">
            <v>488.41</v>
          </cell>
          <cell r="I930">
            <v>0</v>
          </cell>
          <cell r="J930">
            <v>510.39</v>
          </cell>
        </row>
        <row r="931">
          <cell r="A931" t="str">
            <v>LU2391858789</v>
          </cell>
          <cell r="B931" t="str">
            <v>AMUNDI FUNDS GLOBAL ECOLOGY ESG</v>
          </cell>
          <cell r="C931" t="str">
            <v>Class A2 USD MD3 ( D )</v>
          </cell>
          <cell r="D931" t="str">
            <v>USD</v>
          </cell>
          <cell r="E931" t="str">
            <v>03-Jan-2022</v>
          </cell>
          <cell r="F931">
            <v>46619.74</v>
          </cell>
          <cell r="G931">
            <v>906.67899999999997</v>
          </cell>
          <cell r="H931">
            <v>51.42</v>
          </cell>
          <cell r="I931">
            <v>0.16669999999999999</v>
          </cell>
          <cell r="J931">
            <v>51.42</v>
          </cell>
        </row>
        <row r="932">
          <cell r="A932" t="str">
            <v>LU2391858862</v>
          </cell>
          <cell r="B932" t="str">
            <v>AMUNDI FUNDS GLOBAL ECOLOGY ESG</v>
          </cell>
          <cell r="C932" t="str">
            <v>Class A2 ZAR Hgd MD3 ( D )</v>
          </cell>
          <cell r="D932" t="str">
            <v>ZAR</v>
          </cell>
          <cell r="E932" t="str">
            <v>03-Jan-2022</v>
          </cell>
          <cell r="F932">
            <v>1879615.37</v>
          </cell>
          <cell r="G932">
            <v>1773.645</v>
          </cell>
          <cell r="H932">
            <v>1059.75</v>
          </cell>
          <cell r="I932">
            <v>6.6666999999999996</v>
          </cell>
          <cell r="J932">
            <v>1059.75</v>
          </cell>
        </row>
        <row r="933">
          <cell r="A933" t="str">
            <v>LU1883320308</v>
          </cell>
          <cell r="B933" t="str">
            <v>AMUNDI FUNDS GLOBAL ECOLOGY ESG</v>
          </cell>
          <cell r="C933" t="str">
            <v>Class M2 EUR (C)</v>
          </cell>
          <cell r="D933" t="str">
            <v>EUR</v>
          </cell>
          <cell r="E933" t="str">
            <v>03-Jan-2022</v>
          </cell>
          <cell r="F933">
            <v>456059820.31999999</v>
          </cell>
          <cell r="G933">
            <v>174528.73300000001</v>
          </cell>
          <cell r="H933">
            <v>2613.09</v>
          </cell>
          <cell r="I933">
            <v>0</v>
          </cell>
          <cell r="J933">
            <v>2613.09</v>
          </cell>
        </row>
        <row r="934">
          <cell r="A934" t="str">
            <v>LU1883319391</v>
          </cell>
          <cell r="B934" t="str">
            <v>AMUNDI FUNDS GLOBAL ECOLOGY ESG</v>
          </cell>
          <cell r="C934" t="str">
            <v>Class B USD (C)</v>
          </cell>
          <cell r="D934" t="str">
            <v>USD</v>
          </cell>
          <cell r="E934" t="str">
            <v>03-Jan-2022</v>
          </cell>
          <cell r="F934">
            <v>32401154.449999999</v>
          </cell>
          <cell r="G934">
            <v>521756.19500000001</v>
          </cell>
          <cell r="H934">
            <v>62.1</v>
          </cell>
          <cell r="I934">
            <v>0</v>
          </cell>
          <cell r="J934">
            <v>62.1</v>
          </cell>
        </row>
        <row r="935">
          <cell r="A935" t="str">
            <v>LU1883319474</v>
          </cell>
          <cell r="B935" t="str">
            <v>AMUNDI FUNDS GLOBAL ECOLOGY ESG</v>
          </cell>
          <cell r="C935" t="str">
            <v>Class C EUR (C)</v>
          </cell>
          <cell r="D935" t="str">
            <v>EUR</v>
          </cell>
          <cell r="E935" t="str">
            <v>03-Jan-2022</v>
          </cell>
          <cell r="F935">
            <v>5341086.1399999997</v>
          </cell>
          <cell r="G935">
            <v>55847.362000000001</v>
          </cell>
          <cell r="H935">
            <v>95.64</v>
          </cell>
          <cell r="I935">
            <v>0</v>
          </cell>
          <cell r="J935">
            <v>95.64</v>
          </cell>
        </row>
        <row r="936">
          <cell r="A936" t="str">
            <v>LU1883319557</v>
          </cell>
          <cell r="B936" t="str">
            <v>AMUNDI FUNDS GLOBAL ECOLOGY ESG</v>
          </cell>
          <cell r="C936" t="str">
            <v>Class C USD (C)</v>
          </cell>
          <cell r="D936" t="str">
            <v>USD</v>
          </cell>
          <cell r="E936" t="str">
            <v>03-Jan-2022</v>
          </cell>
          <cell r="F936">
            <v>3448838.11</v>
          </cell>
          <cell r="G936">
            <v>31933.644</v>
          </cell>
          <cell r="H936">
            <v>108</v>
          </cell>
          <cell r="I936">
            <v>0</v>
          </cell>
          <cell r="J936">
            <v>108</v>
          </cell>
        </row>
        <row r="937">
          <cell r="A937" t="str">
            <v>LU1883319714</v>
          </cell>
          <cell r="B937" t="str">
            <v>AMUNDI FUNDS GLOBAL ECOLOGY ESG</v>
          </cell>
          <cell r="C937" t="str">
            <v>Class E2 EUR (C)</v>
          </cell>
          <cell r="D937" t="str">
            <v>EUR</v>
          </cell>
          <cell r="E937" t="str">
            <v>03-Jan-2022</v>
          </cell>
          <cell r="F937">
            <v>185598002.52000001</v>
          </cell>
          <cell r="G937">
            <v>15710110.596999999</v>
          </cell>
          <cell r="H937">
            <v>11.814</v>
          </cell>
          <cell r="I937">
            <v>0</v>
          </cell>
          <cell r="J937">
            <v>11.814</v>
          </cell>
        </row>
        <row r="938">
          <cell r="A938" t="str">
            <v>LU1883319805</v>
          </cell>
          <cell r="B938" t="str">
            <v>AMUNDI FUNDS GLOBAL ECOLOGY ESG</v>
          </cell>
          <cell r="C938" t="str">
            <v>Class F EUR (C)</v>
          </cell>
          <cell r="D938" t="str">
            <v>EUR</v>
          </cell>
          <cell r="E938" t="str">
            <v>03-Jan-2022</v>
          </cell>
          <cell r="F938">
            <v>29414223.440000001</v>
          </cell>
          <cell r="G938">
            <v>2855719.75</v>
          </cell>
          <cell r="H938">
            <v>10.3</v>
          </cell>
          <cell r="I938">
            <v>0</v>
          </cell>
          <cell r="J938">
            <v>10.3</v>
          </cell>
        </row>
        <row r="939">
          <cell r="A939" t="str">
            <v>LU1998915539</v>
          </cell>
          <cell r="B939" t="str">
            <v>AMUNDI FUNDS GLOBAL ECOLOGY ESG</v>
          </cell>
          <cell r="C939" t="str">
            <v>Class H EUR (C)</v>
          </cell>
          <cell r="D939" t="str">
            <v>EUR</v>
          </cell>
          <cell r="E939" t="str">
            <v>03-Jan-2022</v>
          </cell>
          <cell r="F939">
            <v>166734336.84999999</v>
          </cell>
          <cell r="G939">
            <v>103022.19500000001</v>
          </cell>
          <cell r="H939">
            <v>1618.43</v>
          </cell>
          <cell r="I939">
            <v>0</v>
          </cell>
          <cell r="J939">
            <v>1618.43</v>
          </cell>
        </row>
        <row r="940">
          <cell r="A940" t="str">
            <v>LU2176991342</v>
          </cell>
          <cell r="B940" t="str">
            <v>AMUNDI FUNDS GLOBAL ECOLOGY ESG</v>
          </cell>
          <cell r="C940" t="str">
            <v>Class I2 GBP (C)</v>
          </cell>
          <cell r="D940" t="str">
            <v>GBP</v>
          </cell>
          <cell r="E940" t="str">
            <v>03-Jan-2022</v>
          </cell>
          <cell r="F940">
            <v>167497.51999999999</v>
          </cell>
          <cell r="G940">
            <v>111.816</v>
          </cell>
          <cell r="H940">
            <v>1497.97</v>
          </cell>
          <cell r="I940">
            <v>0</v>
          </cell>
          <cell r="J940">
            <v>1497.97</v>
          </cell>
        </row>
        <row r="941">
          <cell r="A941" t="str">
            <v>LU1883320217</v>
          </cell>
          <cell r="B941" t="str">
            <v>AMUNDI FUNDS GLOBAL ECOLOGY ESG</v>
          </cell>
          <cell r="C941" t="str">
            <v>Class I2 USD (C)</v>
          </cell>
          <cell r="D941" t="str">
            <v>USD</v>
          </cell>
          <cell r="E941" t="str">
            <v>03-Jan-2022</v>
          </cell>
          <cell r="F941">
            <v>36186069.609999999</v>
          </cell>
          <cell r="G941">
            <v>12904.808999999999</v>
          </cell>
          <cell r="H941">
            <v>2804.08</v>
          </cell>
          <cell r="I941">
            <v>0</v>
          </cell>
          <cell r="J941">
            <v>2804.08</v>
          </cell>
        </row>
        <row r="942">
          <cell r="A942" t="str">
            <v>LU1883320134</v>
          </cell>
          <cell r="B942" t="str">
            <v>AMUNDI FUNDS GLOBAL ECOLOGY ESG</v>
          </cell>
          <cell r="C942" t="str">
            <v>Class I2 EUR AD (D)</v>
          </cell>
          <cell r="D942" t="str">
            <v>EUR</v>
          </cell>
          <cell r="E942" t="str">
            <v>03-Jan-2022</v>
          </cell>
          <cell r="F942">
            <v>11533.9</v>
          </cell>
          <cell r="G942">
            <v>7.0019999999999998</v>
          </cell>
          <cell r="H942">
            <v>1647.23</v>
          </cell>
          <cell r="I942">
            <v>0</v>
          </cell>
          <cell r="J942">
            <v>1647.23</v>
          </cell>
        </row>
        <row r="943">
          <cell r="A943" t="str">
            <v>LU1883320050</v>
          </cell>
          <cell r="B943" t="str">
            <v>AMUNDI FUNDS GLOBAL ECOLOGY ESG</v>
          </cell>
          <cell r="C943" t="str">
            <v>Class I2 EUR (C)</v>
          </cell>
          <cell r="D943" t="str">
            <v>EUR</v>
          </cell>
          <cell r="E943" t="str">
            <v>03-Jan-2022</v>
          </cell>
          <cell r="F943">
            <v>291602118.74000001</v>
          </cell>
          <cell r="G943">
            <v>117324.387</v>
          </cell>
          <cell r="H943">
            <v>2485.4299999999998</v>
          </cell>
          <cell r="I943">
            <v>0</v>
          </cell>
          <cell r="J943">
            <v>2485.4299999999998</v>
          </cell>
        </row>
        <row r="944">
          <cell r="A944" t="str">
            <v>LU2305762465</v>
          </cell>
          <cell r="B944" t="str">
            <v>AMUNDI FUNDS GLOBAL ECOLOGY ESG</v>
          </cell>
          <cell r="C944" t="str">
            <v>Class J12 EUR (C)</v>
          </cell>
          <cell r="D944" t="str">
            <v>EUR</v>
          </cell>
          <cell r="E944" t="str">
            <v>03-Jan-2022</v>
          </cell>
          <cell r="F944">
            <v>71750700.969999999</v>
          </cell>
          <cell r="G944">
            <v>61129</v>
          </cell>
          <cell r="H944">
            <v>1173.76</v>
          </cell>
          <cell r="I944">
            <v>0</v>
          </cell>
          <cell r="J944">
            <v>1173.76</v>
          </cell>
        </row>
        <row r="945">
          <cell r="A945" t="str">
            <v>LU1883319987</v>
          </cell>
          <cell r="B945" t="str">
            <v>AMUNDI FUNDS GLOBAL ECOLOGY ESG</v>
          </cell>
          <cell r="C945" t="str">
            <v>Class G EUR (C)</v>
          </cell>
          <cell r="D945" t="str">
            <v>EUR</v>
          </cell>
          <cell r="E945" t="str">
            <v>03-Jan-2022</v>
          </cell>
          <cell r="F945">
            <v>131913202.88</v>
          </cell>
          <cell r="G945">
            <v>16949466.366</v>
          </cell>
          <cell r="H945">
            <v>7.7830000000000004</v>
          </cell>
          <cell r="I945">
            <v>0</v>
          </cell>
          <cell r="J945">
            <v>7.7830000000000004</v>
          </cell>
        </row>
        <row r="946">
          <cell r="A946" t="str">
            <v>LU2279408673</v>
          </cell>
          <cell r="B946" t="str">
            <v>AMUNDI FUNDS GLOBAL ECOLOGY ESG</v>
          </cell>
          <cell r="C946" t="str">
            <v>Class M2 EUR QD (D)</v>
          </cell>
          <cell r="D946" t="str">
            <v>EUR</v>
          </cell>
          <cell r="E946" t="str">
            <v>03-Jan-2022</v>
          </cell>
          <cell r="F946">
            <v>50695867.859999999</v>
          </cell>
          <cell r="G946">
            <v>41321.410000000003</v>
          </cell>
          <cell r="H946">
            <v>1226.8699999999999</v>
          </cell>
          <cell r="I946">
            <v>0</v>
          </cell>
          <cell r="J946">
            <v>1226.8699999999999</v>
          </cell>
        </row>
        <row r="947">
          <cell r="A947" t="str">
            <v>LU1883320480</v>
          </cell>
          <cell r="B947" t="str">
            <v>AMUNDI FUNDS GLOBAL ECOLOGY ESG</v>
          </cell>
          <cell r="C947" t="str">
            <v>Class R2 EUR (C)</v>
          </cell>
          <cell r="D947" t="str">
            <v>EUR</v>
          </cell>
          <cell r="E947" t="str">
            <v>03-Jan-2022</v>
          </cell>
          <cell r="F947">
            <v>19358110.530000001</v>
          </cell>
          <cell r="G947">
            <v>156546.674</v>
          </cell>
          <cell r="H947">
            <v>123.66</v>
          </cell>
          <cell r="I947">
            <v>0</v>
          </cell>
          <cell r="J947">
            <v>123.66</v>
          </cell>
        </row>
        <row r="948">
          <cell r="A948" t="str">
            <v>LU1883320647</v>
          </cell>
          <cell r="B948" t="str">
            <v>AMUNDI FUNDS GLOBAL ECOLOGY ESG</v>
          </cell>
          <cell r="C948" t="str">
            <v>Class U USD (C)</v>
          </cell>
          <cell r="D948" t="str">
            <v>USD</v>
          </cell>
          <cell r="E948" t="str">
            <v>03-Jan-2022</v>
          </cell>
          <cell r="F948">
            <v>40756553.590000004</v>
          </cell>
          <cell r="G948">
            <v>496970.31199999998</v>
          </cell>
          <cell r="H948">
            <v>82.01</v>
          </cell>
          <cell r="I948">
            <v>0</v>
          </cell>
          <cell r="J948">
            <v>82.01</v>
          </cell>
        </row>
        <row r="949">
          <cell r="A949" t="str">
            <v>LU2183143929</v>
          </cell>
          <cell r="B949" t="str">
            <v>AMUNDI FUNDS GLOBAL ECOLOGY ESG</v>
          </cell>
          <cell r="C949" t="str">
            <v>Class R EUR (C)</v>
          </cell>
          <cell r="D949" t="str">
            <v>EUR</v>
          </cell>
          <cell r="E949" t="str">
            <v>03-Jan-2022</v>
          </cell>
          <cell r="F949">
            <v>326189.83</v>
          </cell>
          <cell r="G949">
            <v>4321.7550000000001</v>
          </cell>
          <cell r="H949">
            <v>75.48</v>
          </cell>
          <cell r="I949">
            <v>0</v>
          </cell>
          <cell r="J949">
            <v>75.48</v>
          </cell>
        </row>
        <row r="950">
          <cell r="A950" t="str">
            <v>LU1883320563</v>
          </cell>
          <cell r="B950" t="str">
            <v>AMUNDI FUNDS GLOBAL ECOLOGY ESG</v>
          </cell>
          <cell r="C950" t="str">
            <v>Class R2 USD (C)</v>
          </cell>
          <cell r="D950" t="str">
            <v>USD</v>
          </cell>
          <cell r="E950" t="str">
            <v>03-Jan-2022</v>
          </cell>
          <cell r="F950">
            <v>8323.73</v>
          </cell>
          <cell r="G950">
            <v>59.581000000000003</v>
          </cell>
          <cell r="H950">
            <v>139.69999999999999</v>
          </cell>
          <cell r="I950">
            <v>0</v>
          </cell>
          <cell r="J950">
            <v>139.69999999999999</v>
          </cell>
        </row>
        <row r="951">
          <cell r="A951" t="str">
            <v>LU2391858516</v>
          </cell>
          <cell r="B951" t="str">
            <v>AMUNDI FUNDS GLOBAL ECOLOGY ESG</v>
          </cell>
          <cell r="C951" t="str">
            <v>Class U USD MD3 ( D )</v>
          </cell>
          <cell r="D951" t="str">
            <v>USD</v>
          </cell>
          <cell r="E951" t="str">
            <v>03-Jan-2022</v>
          </cell>
          <cell r="F951">
            <v>5136.95</v>
          </cell>
          <cell r="G951">
            <v>100</v>
          </cell>
          <cell r="H951">
            <v>51.37</v>
          </cell>
          <cell r="I951">
            <v>0.16669999999999999</v>
          </cell>
          <cell r="J951">
            <v>51.37</v>
          </cell>
        </row>
        <row r="952">
          <cell r="A952" t="str">
            <v>LU2391858607</v>
          </cell>
          <cell r="B952" t="str">
            <v>AMUNDI FUNDS GLOBAL ECOLOGY ESG</v>
          </cell>
          <cell r="C952" t="str">
            <v>Class U ZAR Hgd MD3 ( D )</v>
          </cell>
          <cell r="D952" t="str">
            <v>ZAR</v>
          </cell>
          <cell r="E952" t="str">
            <v>03-Jan-2022</v>
          </cell>
          <cell r="F952">
            <v>1831527.02</v>
          </cell>
          <cell r="G952">
            <v>1730</v>
          </cell>
          <cell r="H952">
            <v>1058.69</v>
          </cell>
          <cell r="I952">
            <v>6.6666999999999996</v>
          </cell>
          <cell r="J952">
            <v>1058.69</v>
          </cell>
        </row>
        <row r="953">
          <cell r="A953" t="str">
            <v>LU2034728118</v>
          </cell>
          <cell r="B953" t="str">
            <v>AMUNDI FUNDS GLOBAL ECOLOGY ESG</v>
          </cell>
          <cell r="C953" t="str">
            <v>Class X USD (C)</v>
          </cell>
          <cell r="D953" t="str">
            <v>USD</v>
          </cell>
          <cell r="E953" t="str">
            <v>03-Jan-2022</v>
          </cell>
          <cell r="F953">
            <v>8197.9699999999993</v>
          </cell>
          <cell r="G953">
            <v>5</v>
          </cell>
          <cell r="H953">
            <v>1639.59</v>
          </cell>
          <cell r="I953">
            <v>0</v>
          </cell>
          <cell r="J953">
            <v>1639.59</v>
          </cell>
        </row>
        <row r="954">
          <cell r="A954" t="str">
            <v>LU2085675358</v>
          </cell>
          <cell r="B954" t="str">
            <v>AMUNDI FUNDS GLOBAL ECOLOGY ESG</v>
          </cell>
          <cell r="C954" t="str">
            <v>Class Z EUR (C)</v>
          </cell>
          <cell r="D954" t="str">
            <v>EUR</v>
          </cell>
          <cell r="E954" t="str">
            <v>03-Jan-2022</v>
          </cell>
          <cell r="F954">
            <v>13854175.560000001</v>
          </cell>
          <cell r="G954">
            <v>10336.179</v>
          </cell>
          <cell r="H954">
            <v>1340.36</v>
          </cell>
          <cell r="I954">
            <v>0</v>
          </cell>
          <cell r="J954">
            <v>1340.36</v>
          </cell>
        </row>
        <row r="955">
          <cell r="A955" t="str">
            <v>LU2305762549</v>
          </cell>
          <cell r="B955" t="str">
            <v>AMUNDI FUNDS GLOBAL ECOLOGY ESG</v>
          </cell>
          <cell r="C955" t="str">
            <v>Class H EUR QD (D)</v>
          </cell>
          <cell r="D955" t="str">
            <v>EUR</v>
          </cell>
          <cell r="E955" t="str">
            <v>03-Jan-2022</v>
          </cell>
          <cell r="F955">
            <v>8564852.0299999993</v>
          </cell>
          <cell r="G955">
            <v>7050.0839999999998</v>
          </cell>
          <cell r="H955">
            <v>1214.8599999999999</v>
          </cell>
          <cell r="I955">
            <v>0</v>
          </cell>
          <cell r="J955">
            <v>1214.8599999999999</v>
          </cell>
        </row>
        <row r="956">
          <cell r="A956" t="str">
            <v>LU1880398554</v>
          </cell>
          <cell r="B956" t="str">
            <v>AMUNDI FUNDS PIONEER GLOBAL EQUITY</v>
          </cell>
          <cell r="C956" t="str">
            <v>Class A2 USD AD (D)</v>
          </cell>
          <cell r="D956" t="str">
            <v>USD</v>
          </cell>
          <cell r="E956" t="str">
            <v>03-Jan-2022</v>
          </cell>
          <cell r="F956">
            <v>7966.44</v>
          </cell>
          <cell r="G956">
            <v>102.09699999999999</v>
          </cell>
          <cell r="H956">
            <v>78.03</v>
          </cell>
          <cell r="I956">
            <v>0</v>
          </cell>
          <cell r="J956">
            <v>78.03</v>
          </cell>
        </row>
        <row r="957">
          <cell r="A957" t="str">
            <v>LU1883342534</v>
          </cell>
          <cell r="B957" t="str">
            <v>AMUNDI FUNDS PIONEER GLOBAL EQUITY</v>
          </cell>
          <cell r="C957" t="str">
            <v>Class A EUR AD (D)</v>
          </cell>
          <cell r="D957" t="str">
            <v>EUR</v>
          </cell>
          <cell r="E957" t="str">
            <v>03-Jan-2022</v>
          </cell>
          <cell r="F957">
            <v>2499902.61</v>
          </cell>
          <cell r="G957">
            <v>23154.044000000002</v>
          </cell>
          <cell r="H957">
            <v>107.97</v>
          </cell>
          <cell r="I957">
            <v>0</v>
          </cell>
          <cell r="J957">
            <v>112.83</v>
          </cell>
        </row>
        <row r="958">
          <cell r="A958" t="str">
            <v>LU1883342377</v>
          </cell>
          <cell r="B958" t="str">
            <v>AMUNDI FUNDS PIONEER GLOBAL EQUITY</v>
          </cell>
          <cell r="C958" t="str">
            <v>Class A EUR (C)</v>
          </cell>
          <cell r="D958" t="str">
            <v>EUR</v>
          </cell>
          <cell r="E958" t="str">
            <v>03-Jan-2022</v>
          </cell>
          <cell r="F958">
            <v>591246956.39999998</v>
          </cell>
          <cell r="G958">
            <v>3789613.3169999998</v>
          </cell>
          <cell r="H958">
            <v>156.02000000000001</v>
          </cell>
          <cell r="I958">
            <v>0</v>
          </cell>
          <cell r="J958">
            <v>163.04</v>
          </cell>
        </row>
        <row r="959">
          <cell r="A959" t="str">
            <v>LU2070309377</v>
          </cell>
          <cell r="B959" t="str">
            <v>AMUNDI FUNDS PIONEER GLOBAL EQUITY</v>
          </cell>
          <cell r="C959" t="str">
            <v>Class A2 EUR (C)</v>
          </cell>
          <cell r="D959" t="str">
            <v>EUR</v>
          </cell>
          <cell r="E959" t="str">
            <v>03-Jan-2022</v>
          </cell>
          <cell r="F959">
            <v>5116965.67</v>
          </cell>
          <cell r="G959">
            <v>71430.611000000004</v>
          </cell>
          <cell r="H959">
            <v>71.64</v>
          </cell>
          <cell r="I959">
            <v>0</v>
          </cell>
          <cell r="J959">
            <v>74.86</v>
          </cell>
        </row>
        <row r="960">
          <cell r="A960" t="str">
            <v>LU2002723075</v>
          </cell>
          <cell r="B960" t="str">
            <v>AMUNDI FUNDS PIONEER GLOBAL EQUITY</v>
          </cell>
          <cell r="C960" t="str">
            <v>Class M2 USD ( C )</v>
          </cell>
          <cell r="D960" t="str">
            <v>USD</v>
          </cell>
          <cell r="E960" t="str">
            <v>03-Jan-2022</v>
          </cell>
          <cell r="F960">
            <v>8309.41</v>
          </cell>
          <cell r="G960">
            <v>5</v>
          </cell>
          <cell r="H960">
            <v>1661.88</v>
          </cell>
          <cell r="I960">
            <v>0</v>
          </cell>
          <cell r="J960">
            <v>1661.88</v>
          </cell>
        </row>
        <row r="961">
          <cell r="A961" t="str">
            <v>LU1883342708</v>
          </cell>
          <cell r="B961" t="str">
            <v>AMUNDI FUNDS PIONEER GLOBAL EQUITY</v>
          </cell>
          <cell r="C961" t="str">
            <v>Class A USD AD (D)</v>
          </cell>
          <cell r="D961" t="str">
            <v>USD</v>
          </cell>
          <cell r="E961" t="str">
            <v>03-Jan-2022</v>
          </cell>
          <cell r="F961">
            <v>2689286.03</v>
          </cell>
          <cell r="G961">
            <v>21875.506000000001</v>
          </cell>
          <cell r="H961">
            <v>122.94</v>
          </cell>
          <cell r="I961">
            <v>0</v>
          </cell>
          <cell r="J961">
            <v>128.47</v>
          </cell>
        </row>
        <row r="962">
          <cell r="A962" t="str">
            <v>LU1880398398</v>
          </cell>
          <cell r="B962" t="str">
            <v>AMUNDI FUNDS PIONEER GLOBAL EQUITY</v>
          </cell>
          <cell r="C962" t="str">
            <v>Class A EUR Hgd AD (D)</v>
          </cell>
          <cell r="D962" t="str">
            <v>EUR</v>
          </cell>
          <cell r="E962" t="str">
            <v>03-Jan-2022</v>
          </cell>
          <cell r="F962">
            <v>1275700.06</v>
          </cell>
          <cell r="G962">
            <v>17041.904999999999</v>
          </cell>
          <cell r="H962">
            <v>74.86</v>
          </cell>
          <cell r="I962">
            <v>0</v>
          </cell>
          <cell r="J962">
            <v>78.23</v>
          </cell>
        </row>
        <row r="963">
          <cell r="A963" t="str">
            <v>LU1880398125</v>
          </cell>
          <cell r="B963" t="str">
            <v>AMUNDI FUNDS PIONEER GLOBAL EQUITY</v>
          </cell>
          <cell r="C963" t="str">
            <v>Class A EUR Hgd (C)</v>
          </cell>
          <cell r="D963" t="str">
            <v>EUR</v>
          </cell>
          <cell r="E963" t="str">
            <v>03-Jan-2022</v>
          </cell>
          <cell r="F963">
            <v>15651460.050000001</v>
          </cell>
          <cell r="G963">
            <v>207367.36600000001</v>
          </cell>
          <cell r="H963">
            <v>75.48</v>
          </cell>
          <cell r="I963">
            <v>0</v>
          </cell>
          <cell r="J963">
            <v>78.88</v>
          </cell>
        </row>
        <row r="964">
          <cell r="A964" t="str">
            <v>LU1894680591</v>
          </cell>
          <cell r="B964" t="str">
            <v>AMUNDI FUNDS PIONEER GLOBAL EQUITY</v>
          </cell>
          <cell r="C964" t="str">
            <v>Class A CZK Hgd (C)</v>
          </cell>
          <cell r="D964" t="str">
            <v>CZK</v>
          </cell>
          <cell r="E964" t="str">
            <v>03-Jan-2022</v>
          </cell>
          <cell r="F964">
            <v>293580060.66000003</v>
          </cell>
          <cell r="G964">
            <v>200157.57</v>
          </cell>
          <cell r="H964">
            <v>1466.74</v>
          </cell>
          <cell r="I964">
            <v>0</v>
          </cell>
          <cell r="J964">
            <v>1532.74</v>
          </cell>
        </row>
        <row r="965">
          <cell r="A965" t="str">
            <v>LU1883342617</v>
          </cell>
          <cell r="B965" t="str">
            <v>AMUNDI FUNDS PIONEER GLOBAL EQUITY</v>
          </cell>
          <cell r="C965" t="str">
            <v>Class A USD (C)</v>
          </cell>
          <cell r="D965" t="str">
            <v>USD</v>
          </cell>
          <cell r="E965" t="str">
            <v>03-Jan-2022</v>
          </cell>
          <cell r="F965">
            <v>43874472.210000001</v>
          </cell>
          <cell r="G965">
            <v>248936.883</v>
          </cell>
          <cell r="H965">
            <v>176.25</v>
          </cell>
          <cell r="I965">
            <v>0</v>
          </cell>
          <cell r="J965">
            <v>184.18</v>
          </cell>
        </row>
        <row r="966">
          <cell r="A966" t="str">
            <v>LU1883834167</v>
          </cell>
          <cell r="B966" t="str">
            <v>AMUNDI FUNDS PIONEER GLOBAL EQUITY</v>
          </cell>
          <cell r="C966" t="str">
            <v>Class M2 EUR (C)</v>
          </cell>
          <cell r="D966" t="str">
            <v>EUR</v>
          </cell>
          <cell r="E966" t="str">
            <v>03-Jan-2022</v>
          </cell>
          <cell r="F966">
            <v>13476576.52</v>
          </cell>
          <cell r="G966">
            <v>5033.5230000000001</v>
          </cell>
          <cell r="H966">
            <v>2677.36</v>
          </cell>
          <cell r="I966">
            <v>0</v>
          </cell>
          <cell r="J966">
            <v>2677.36</v>
          </cell>
        </row>
        <row r="967">
          <cell r="A967" t="str">
            <v>LU1883342880</v>
          </cell>
          <cell r="B967" t="str">
            <v>AMUNDI FUNDS PIONEER GLOBAL EQUITY</v>
          </cell>
          <cell r="C967" t="str">
            <v>Class C EUR (C)</v>
          </cell>
          <cell r="D967" t="str">
            <v>EUR</v>
          </cell>
          <cell r="E967" t="str">
            <v>03-Jan-2022</v>
          </cell>
          <cell r="F967">
            <v>2181067.16</v>
          </cell>
          <cell r="G967">
            <v>22145.835999999999</v>
          </cell>
          <cell r="H967">
            <v>98.49</v>
          </cell>
          <cell r="I967">
            <v>0</v>
          </cell>
          <cell r="J967">
            <v>98.49</v>
          </cell>
        </row>
        <row r="968">
          <cell r="A968" t="str">
            <v>LU1883342963</v>
          </cell>
          <cell r="B968" t="str">
            <v>AMUNDI FUNDS PIONEER GLOBAL EQUITY</v>
          </cell>
          <cell r="C968" t="str">
            <v>Class C USD (C)</v>
          </cell>
          <cell r="D968" t="str">
            <v>USD</v>
          </cell>
          <cell r="E968" t="str">
            <v>03-Jan-2022</v>
          </cell>
          <cell r="F968">
            <v>8598360.25</v>
          </cell>
          <cell r="G968">
            <v>77328.570999999996</v>
          </cell>
          <cell r="H968">
            <v>111.19</v>
          </cell>
          <cell r="I968">
            <v>0</v>
          </cell>
          <cell r="J968">
            <v>111.19</v>
          </cell>
        </row>
        <row r="969">
          <cell r="A969" t="str">
            <v>LU1883833607</v>
          </cell>
          <cell r="B969" t="str">
            <v>AMUNDI FUNDS PIONEER GLOBAL EQUITY</v>
          </cell>
          <cell r="C969" t="str">
            <v>Class E2 EUR (C)</v>
          </cell>
          <cell r="D969" t="str">
            <v>EUR</v>
          </cell>
          <cell r="E969" t="str">
            <v>03-Jan-2022</v>
          </cell>
          <cell r="F969">
            <v>62711368.579999998</v>
          </cell>
          <cell r="G969">
            <v>5237563.7429999998</v>
          </cell>
          <cell r="H969">
            <v>11.973000000000001</v>
          </cell>
          <cell r="I969">
            <v>0</v>
          </cell>
          <cell r="J969">
            <v>11.973000000000001</v>
          </cell>
        </row>
        <row r="970">
          <cell r="A970" t="str">
            <v>LU1883833789</v>
          </cell>
          <cell r="B970" t="str">
            <v>AMUNDI FUNDS PIONEER GLOBAL EQUITY</v>
          </cell>
          <cell r="C970" t="str">
            <v>Class F EUR (C)</v>
          </cell>
          <cell r="D970" t="str">
            <v>EUR</v>
          </cell>
          <cell r="E970" t="str">
            <v>03-Jan-2022</v>
          </cell>
          <cell r="F970">
            <v>17557645.09</v>
          </cell>
          <cell r="G970">
            <v>1658811.1059999999</v>
          </cell>
          <cell r="H970">
            <v>10.584</v>
          </cell>
          <cell r="I970">
            <v>0</v>
          </cell>
          <cell r="J970">
            <v>10.584</v>
          </cell>
        </row>
        <row r="971">
          <cell r="A971" t="str">
            <v>LU1880398711</v>
          </cell>
          <cell r="B971" t="str">
            <v>AMUNDI FUNDS PIONEER GLOBAL EQUITY</v>
          </cell>
          <cell r="C971" t="str">
            <v>Class F2 USD (C)</v>
          </cell>
          <cell r="D971" t="str">
            <v>USD</v>
          </cell>
          <cell r="E971" t="str">
            <v>03-Jan-2022</v>
          </cell>
          <cell r="F971">
            <v>42032.74</v>
          </cell>
          <cell r="G971">
            <v>5481.2929999999997</v>
          </cell>
          <cell r="H971">
            <v>7.6680000000000001</v>
          </cell>
          <cell r="I971">
            <v>0</v>
          </cell>
          <cell r="J971">
            <v>7.6680000000000001</v>
          </cell>
        </row>
        <row r="972">
          <cell r="A972" t="str">
            <v>LU1880398638</v>
          </cell>
          <cell r="B972" t="str">
            <v>AMUNDI FUNDS PIONEER GLOBAL EQUITY</v>
          </cell>
          <cell r="C972" t="str">
            <v>Class F2 EUR Hgd (C)</v>
          </cell>
          <cell r="D972" t="str">
            <v>EUR</v>
          </cell>
          <cell r="E972" t="str">
            <v>03-Jan-2022</v>
          </cell>
          <cell r="F972">
            <v>348580.6</v>
          </cell>
          <cell r="G972">
            <v>46885.985999999997</v>
          </cell>
          <cell r="H972">
            <v>7.4349999999999996</v>
          </cell>
          <cell r="I972">
            <v>0</v>
          </cell>
          <cell r="J972">
            <v>7.4349999999999996</v>
          </cell>
        </row>
        <row r="973">
          <cell r="A973" t="str">
            <v>LU1883833946</v>
          </cell>
          <cell r="B973" t="str">
            <v>AMUNDI FUNDS PIONEER GLOBAL EQUITY</v>
          </cell>
          <cell r="C973" t="str">
            <v>Class I2 EUR (C)</v>
          </cell>
          <cell r="D973" t="str">
            <v>EUR</v>
          </cell>
          <cell r="E973" t="str">
            <v>03-Jan-2022</v>
          </cell>
          <cell r="F973">
            <v>102642675.86</v>
          </cell>
          <cell r="G973">
            <v>37390.264999999999</v>
          </cell>
          <cell r="H973">
            <v>2745.17</v>
          </cell>
          <cell r="I973">
            <v>0</v>
          </cell>
          <cell r="J973">
            <v>2745.17</v>
          </cell>
        </row>
        <row r="974">
          <cell r="A974" t="str">
            <v>LU1880398984</v>
          </cell>
          <cell r="B974" t="str">
            <v>AMUNDI FUNDS PIONEER GLOBAL EQUITY</v>
          </cell>
          <cell r="C974" t="str">
            <v>Class G USD (C)</v>
          </cell>
          <cell r="D974" t="str">
            <v>USD</v>
          </cell>
          <cell r="E974" t="str">
            <v>03-Jan-2022</v>
          </cell>
          <cell r="F974">
            <v>3901394.64</v>
          </cell>
          <cell r="G974">
            <v>50269.985000000001</v>
          </cell>
          <cell r="H974">
            <v>77.608999999999995</v>
          </cell>
          <cell r="I974">
            <v>0</v>
          </cell>
          <cell r="J974">
            <v>79.936999999999998</v>
          </cell>
        </row>
        <row r="975">
          <cell r="A975" t="str">
            <v>LU1883833862</v>
          </cell>
          <cell r="B975" t="str">
            <v>AMUNDI FUNDS PIONEER GLOBAL EQUITY</v>
          </cell>
          <cell r="C975" t="str">
            <v>Class G EUR (C)</v>
          </cell>
          <cell r="D975" t="str">
            <v>EUR</v>
          </cell>
          <cell r="E975" t="str">
            <v>03-Jan-2022</v>
          </cell>
          <cell r="F975">
            <v>2205318.17</v>
          </cell>
          <cell r="G975">
            <v>303181.06800000003</v>
          </cell>
          <cell r="H975">
            <v>7.274</v>
          </cell>
          <cell r="I975">
            <v>0</v>
          </cell>
          <cell r="J975">
            <v>7.274</v>
          </cell>
        </row>
        <row r="976">
          <cell r="A976" t="str">
            <v>LU1880398802</v>
          </cell>
          <cell r="B976" t="str">
            <v>AMUNDI FUNDS PIONEER GLOBAL EQUITY</v>
          </cell>
          <cell r="C976" t="str">
            <v>Class G EUR Hgd (C)</v>
          </cell>
          <cell r="D976" t="str">
            <v>EUR</v>
          </cell>
          <cell r="E976" t="str">
            <v>03-Jan-2022</v>
          </cell>
          <cell r="F976">
            <v>5556912.7199999997</v>
          </cell>
          <cell r="G976">
            <v>73861.942999999999</v>
          </cell>
          <cell r="H976">
            <v>75.233999999999995</v>
          </cell>
          <cell r="I976">
            <v>0</v>
          </cell>
          <cell r="J976">
            <v>77.491</v>
          </cell>
        </row>
        <row r="977">
          <cell r="A977" t="str">
            <v>LU1880400046</v>
          </cell>
          <cell r="B977" t="str">
            <v>AMUNDI FUNDS PIONEER GLOBAL EQUITY</v>
          </cell>
          <cell r="C977" t="str">
            <v>Class M USD (C)</v>
          </cell>
          <cell r="D977" t="str">
            <v>USD</v>
          </cell>
          <cell r="E977" t="str">
            <v>03-Jan-2022</v>
          </cell>
          <cell r="F977">
            <v>8317510.5099999998</v>
          </cell>
          <cell r="G977">
            <v>5216.9040000000005</v>
          </cell>
          <cell r="H977">
            <v>1594.34</v>
          </cell>
          <cell r="I977">
            <v>0</v>
          </cell>
          <cell r="J977">
            <v>1594.34</v>
          </cell>
        </row>
        <row r="978">
          <cell r="A978" t="str">
            <v>LU1883834324</v>
          </cell>
          <cell r="B978" t="str">
            <v>AMUNDI FUNDS PIONEER GLOBAL EQUITY</v>
          </cell>
          <cell r="C978" t="str">
            <v>Class R2 EUR (C)</v>
          </cell>
          <cell r="D978" t="str">
            <v>EUR</v>
          </cell>
          <cell r="E978" t="str">
            <v>03-Jan-2022</v>
          </cell>
          <cell r="F978">
            <v>948008.24</v>
          </cell>
          <cell r="G978">
            <v>11720</v>
          </cell>
          <cell r="H978">
            <v>80.89</v>
          </cell>
          <cell r="I978">
            <v>0</v>
          </cell>
          <cell r="J978">
            <v>80.89</v>
          </cell>
        </row>
        <row r="979">
          <cell r="A979" t="str">
            <v>LU1880398471</v>
          </cell>
          <cell r="B979" t="str">
            <v>AMUNDI FUNDS PIONEER GLOBAL EQUITY</v>
          </cell>
          <cell r="C979" t="str">
            <v>Class A2 USD (C)</v>
          </cell>
          <cell r="D979" t="str">
            <v>USD</v>
          </cell>
          <cell r="E979" t="str">
            <v>03-Jan-2022</v>
          </cell>
          <cell r="F979">
            <v>388334.89</v>
          </cell>
          <cell r="G979">
            <v>4987.723</v>
          </cell>
          <cell r="H979">
            <v>77.86</v>
          </cell>
          <cell r="I979">
            <v>0</v>
          </cell>
          <cell r="J979">
            <v>77.86</v>
          </cell>
        </row>
        <row r="980">
          <cell r="A980" t="str">
            <v>LU1883834241</v>
          </cell>
          <cell r="B980" t="str">
            <v>AMUNDI FUNDS PIONEER GLOBAL EQUITY</v>
          </cell>
          <cell r="C980" t="str">
            <v>Class P2 USD (C)</v>
          </cell>
          <cell r="D980" t="str">
            <v>USD</v>
          </cell>
          <cell r="E980" t="str">
            <v>03-Jan-2022</v>
          </cell>
          <cell r="F980">
            <v>54934.12</v>
          </cell>
          <cell r="G980">
            <v>557.81500000000005</v>
          </cell>
          <cell r="H980">
            <v>98.48</v>
          </cell>
          <cell r="I980">
            <v>0</v>
          </cell>
          <cell r="J980">
            <v>98.48</v>
          </cell>
        </row>
        <row r="981">
          <cell r="A981" t="str">
            <v>LU1883834597</v>
          </cell>
          <cell r="B981" t="str">
            <v>AMUNDI FUNDS PIONEER GLOBAL EQUITY</v>
          </cell>
          <cell r="C981" t="str">
            <v>Class R2 USD (C)</v>
          </cell>
          <cell r="D981" t="str">
            <v>USD</v>
          </cell>
          <cell r="E981" t="str">
            <v>03-Jan-2022</v>
          </cell>
          <cell r="F981">
            <v>7947.47</v>
          </cell>
          <cell r="G981">
            <v>100</v>
          </cell>
          <cell r="H981">
            <v>79.47</v>
          </cell>
          <cell r="I981">
            <v>0</v>
          </cell>
          <cell r="J981">
            <v>79.47</v>
          </cell>
        </row>
        <row r="982">
          <cell r="A982" t="str">
            <v>LU2034728035</v>
          </cell>
          <cell r="B982" t="str">
            <v>AMUNDI FUNDS PIONEER GLOBAL EQUITY</v>
          </cell>
          <cell r="C982" t="str">
            <v>Class X USD (C)</v>
          </cell>
          <cell r="D982" t="str">
            <v>USD</v>
          </cell>
          <cell r="E982" t="str">
            <v>03-Jan-2022</v>
          </cell>
          <cell r="F982">
            <v>8480.4699999999993</v>
          </cell>
          <cell r="G982">
            <v>5</v>
          </cell>
          <cell r="H982">
            <v>1696.09</v>
          </cell>
          <cell r="I982">
            <v>0</v>
          </cell>
          <cell r="J982">
            <v>1696.09</v>
          </cell>
        </row>
        <row r="983">
          <cell r="A983" t="str">
            <v>LU1880399016</v>
          </cell>
          <cell r="B983" t="str">
            <v>AMUNDI FUNDS PIONEER GLOBAL EQUITY</v>
          </cell>
          <cell r="C983" t="str">
            <v>Class I EUR (C)</v>
          </cell>
          <cell r="D983" t="str">
            <v>EUR</v>
          </cell>
          <cell r="E983" t="str">
            <v>03-Jan-2022</v>
          </cell>
          <cell r="F983">
            <v>55527831.170000002</v>
          </cell>
          <cell r="G983">
            <v>34708.839999999997</v>
          </cell>
          <cell r="H983">
            <v>1599.82</v>
          </cell>
          <cell r="I983">
            <v>0</v>
          </cell>
          <cell r="J983">
            <v>1599.82</v>
          </cell>
        </row>
        <row r="984">
          <cell r="A984" t="str">
            <v>LU1880399362</v>
          </cell>
          <cell r="B984" t="str">
            <v>AMUNDI FUNDS PIONEER GLOBAL EQUITY</v>
          </cell>
          <cell r="C984" t="str">
            <v>Class I USD (C)</v>
          </cell>
          <cell r="D984" t="str">
            <v>USD</v>
          </cell>
          <cell r="E984" t="str">
            <v>03-Jan-2022</v>
          </cell>
          <cell r="F984">
            <v>2566912.65</v>
          </cell>
          <cell r="G984">
            <v>1610.675</v>
          </cell>
          <cell r="H984">
            <v>1593.69</v>
          </cell>
          <cell r="I984">
            <v>0</v>
          </cell>
          <cell r="J984">
            <v>1593.69</v>
          </cell>
        </row>
        <row r="985">
          <cell r="A985" t="str">
            <v>LU1880401010</v>
          </cell>
          <cell r="B985" t="str">
            <v>AMUNDI FUNDS PIONEER GLOBAL EQUITY</v>
          </cell>
          <cell r="C985" t="str">
            <v>Class Z EUR (C)</v>
          </cell>
          <cell r="D985" t="str">
            <v>EUR</v>
          </cell>
          <cell r="E985" t="str">
            <v>03-Jan-2022</v>
          </cell>
          <cell r="F985">
            <v>60140865</v>
          </cell>
          <cell r="G985">
            <v>37347.415000000001</v>
          </cell>
          <cell r="H985">
            <v>1610.31</v>
          </cell>
          <cell r="I985">
            <v>0</v>
          </cell>
          <cell r="J985">
            <v>1610.31</v>
          </cell>
        </row>
        <row r="986">
          <cell r="A986" t="str">
            <v>LU2040440666</v>
          </cell>
          <cell r="B986" t="str">
            <v>AMUNDI FUNDS PIONEER GLOBAL EQUITY</v>
          </cell>
          <cell r="C986" t="str">
            <v>Class Z USD (C)</v>
          </cell>
          <cell r="D986" t="str">
            <v>USD</v>
          </cell>
          <cell r="E986" t="str">
            <v>03-Jan-2022</v>
          </cell>
          <cell r="F986">
            <v>7886.43</v>
          </cell>
          <cell r="G986">
            <v>5</v>
          </cell>
          <cell r="H986">
            <v>1577.29</v>
          </cell>
          <cell r="I986">
            <v>0</v>
          </cell>
          <cell r="J986">
            <v>1577.29</v>
          </cell>
        </row>
        <row r="987">
          <cell r="A987" t="str">
            <v>LU1883303718</v>
          </cell>
          <cell r="B987" t="str">
            <v>AMUNDI FUNDS EUROLAND EQUITY</v>
          </cell>
          <cell r="C987" t="str">
            <v>Class A EUR AD (D)</v>
          </cell>
          <cell r="D987" t="str">
            <v>EUR</v>
          </cell>
          <cell r="E987" t="str">
            <v>03-Jan-2022</v>
          </cell>
          <cell r="F987">
            <v>3074508.75</v>
          </cell>
          <cell r="G987">
            <v>42701.313000000002</v>
          </cell>
          <cell r="H987">
            <v>72</v>
          </cell>
          <cell r="I987">
            <v>0</v>
          </cell>
          <cell r="J987">
            <v>75.239999999999995</v>
          </cell>
        </row>
        <row r="988">
          <cell r="A988" t="str">
            <v>LU1883303635</v>
          </cell>
          <cell r="B988" t="str">
            <v>AMUNDI FUNDS EUROLAND EQUITY</v>
          </cell>
          <cell r="C988" t="str">
            <v>Class A EUR (C)</v>
          </cell>
          <cell r="D988" t="str">
            <v>EUR</v>
          </cell>
          <cell r="E988" t="str">
            <v>03-Jan-2022</v>
          </cell>
          <cell r="F988">
            <v>834315053.13999999</v>
          </cell>
          <cell r="G988">
            <v>81023695.385000005</v>
          </cell>
          <cell r="H988">
            <v>10.3</v>
          </cell>
          <cell r="I988">
            <v>0</v>
          </cell>
          <cell r="J988">
            <v>10.76</v>
          </cell>
        </row>
        <row r="989">
          <cell r="A989" t="str">
            <v>LU2032055621</v>
          </cell>
          <cell r="B989" t="str">
            <v>AMUNDI FUNDS EUROLAND EQUITY</v>
          </cell>
          <cell r="C989" t="str">
            <v>Class A5 EUR (C)</v>
          </cell>
          <cell r="D989" t="str">
            <v>EUR</v>
          </cell>
          <cell r="E989" t="str">
            <v>03-Jan-2022</v>
          </cell>
          <cell r="F989">
            <v>117041736.08</v>
          </cell>
          <cell r="G989">
            <v>1754833.273</v>
          </cell>
          <cell r="H989">
            <v>66.7</v>
          </cell>
          <cell r="I989">
            <v>0</v>
          </cell>
          <cell r="J989">
            <v>66.7</v>
          </cell>
        </row>
        <row r="990">
          <cell r="A990" t="str">
            <v>LU1883303981</v>
          </cell>
          <cell r="B990" t="str">
            <v>AMUNDI FUNDS EUROLAND EQUITY</v>
          </cell>
          <cell r="C990" t="str">
            <v>Class A USD AD (D)</v>
          </cell>
          <cell r="D990" t="str">
            <v>USD</v>
          </cell>
          <cell r="E990" t="str">
            <v>03-Jan-2022</v>
          </cell>
          <cell r="F990">
            <v>1027602.27</v>
          </cell>
          <cell r="G990">
            <v>101138.178</v>
          </cell>
          <cell r="H990">
            <v>10.16</v>
          </cell>
          <cell r="I990">
            <v>0</v>
          </cell>
          <cell r="J990">
            <v>10.62</v>
          </cell>
        </row>
        <row r="991">
          <cell r="A991" t="str">
            <v>LU2032055548</v>
          </cell>
          <cell r="B991" t="str">
            <v>AMUNDI FUNDS EUROLAND EQUITY</v>
          </cell>
          <cell r="C991" t="str">
            <v>Class A6 EUR (C)</v>
          </cell>
          <cell r="D991" t="str">
            <v>EUR</v>
          </cell>
          <cell r="E991" t="str">
            <v>03-Jan-2022</v>
          </cell>
          <cell r="F991">
            <v>194377.88</v>
          </cell>
          <cell r="G991">
            <v>2929.0590000000002</v>
          </cell>
          <cell r="H991">
            <v>66.36</v>
          </cell>
          <cell r="I991">
            <v>0</v>
          </cell>
          <cell r="J991">
            <v>66.36</v>
          </cell>
        </row>
        <row r="992">
          <cell r="A992" t="str">
            <v>LU1883303551</v>
          </cell>
          <cell r="B992" t="str">
            <v>AMUNDI FUNDS EUROLAND EQUITY</v>
          </cell>
          <cell r="C992" t="str">
            <v>Class A CHF Hgd (C)</v>
          </cell>
          <cell r="D992" t="str">
            <v>CHF</v>
          </cell>
          <cell r="E992" t="str">
            <v>03-Jan-2022</v>
          </cell>
          <cell r="F992">
            <v>2474918.17</v>
          </cell>
          <cell r="G992">
            <v>29363.905999999999</v>
          </cell>
          <cell r="H992">
            <v>84.28</v>
          </cell>
          <cell r="I992">
            <v>0</v>
          </cell>
          <cell r="J992">
            <v>88.07</v>
          </cell>
        </row>
        <row r="993">
          <cell r="A993" t="str">
            <v>LU1883304013</v>
          </cell>
          <cell r="B993" t="str">
            <v>AMUNDI FUNDS EUROLAND EQUITY</v>
          </cell>
          <cell r="C993" t="str">
            <v>Class A USD Hgd (C)</v>
          </cell>
          <cell r="D993" t="str">
            <v>USD</v>
          </cell>
          <cell r="E993" t="str">
            <v>03-Jan-2022</v>
          </cell>
          <cell r="F993">
            <v>3132066.22</v>
          </cell>
          <cell r="G993">
            <v>32765.325000000001</v>
          </cell>
          <cell r="H993">
            <v>95.59</v>
          </cell>
          <cell r="I993">
            <v>0</v>
          </cell>
          <cell r="J993">
            <v>99.89</v>
          </cell>
        </row>
        <row r="994">
          <cell r="A994" t="str">
            <v>LU1883303809</v>
          </cell>
          <cell r="B994" t="str">
            <v>AMUNDI FUNDS EUROLAND EQUITY</v>
          </cell>
          <cell r="C994" t="str">
            <v>Class A USD (C)</v>
          </cell>
          <cell r="D994" t="str">
            <v>USD</v>
          </cell>
          <cell r="E994" t="str">
            <v>03-Jan-2022</v>
          </cell>
          <cell r="F994">
            <v>7191884.5800000001</v>
          </cell>
          <cell r="G994">
            <v>618912.37800000003</v>
          </cell>
          <cell r="H994">
            <v>11.62</v>
          </cell>
          <cell r="I994">
            <v>0</v>
          </cell>
          <cell r="J994">
            <v>12.14</v>
          </cell>
        </row>
        <row r="995">
          <cell r="A995" t="str">
            <v>LU1883305333</v>
          </cell>
          <cell r="B995" t="str">
            <v>AMUNDI FUNDS EUROLAND EQUITY</v>
          </cell>
          <cell r="C995" t="str">
            <v>Class M2 EUR (C)</v>
          </cell>
          <cell r="D995" t="str">
            <v>EUR</v>
          </cell>
          <cell r="E995" t="str">
            <v>03-Jan-2022</v>
          </cell>
          <cell r="F995">
            <v>203229175.46000001</v>
          </cell>
          <cell r="G995">
            <v>94330.98</v>
          </cell>
          <cell r="H995">
            <v>2154.4299999999998</v>
          </cell>
          <cell r="I995">
            <v>0</v>
          </cell>
          <cell r="J995">
            <v>2154.4299999999998</v>
          </cell>
        </row>
        <row r="996">
          <cell r="A996" t="str">
            <v>LU1883304104</v>
          </cell>
          <cell r="B996" t="str">
            <v>AMUNDI FUNDS EUROLAND EQUITY</v>
          </cell>
          <cell r="C996" t="str">
            <v>Class B USD (C)</v>
          </cell>
          <cell r="D996" t="str">
            <v>USD</v>
          </cell>
          <cell r="E996" t="str">
            <v>03-Jan-2022</v>
          </cell>
          <cell r="F996">
            <v>1605919.29</v>
          </cell>
          <cell r="G996">
            <v>174413.53599999999</v>
          </cell>
          <cell r="H996">
            <v>9.2100000000000009</v>
          </cell>
          <cell r="I996">
            <v>0</v>
          </cell>
          <cell r="J996">
            <v>9.2100000000000009</v>
          </cell>
        </row>
        <row r="997">
          <cell r="A997" t="str">
            <v>LU1883304286</v>
          </cell>
          <cell r="B997" t="str">
            <v>AMUNDI FUNDS EUROLAND EQUITY</v>
          </cell>
          <cell r="C997" t="str">
            <v>Class C EUR (C)</v>
          </cell>
          <cell r="D997" t="str">
            <v>EUR</v>
          </cell>
          <cell r="E997" t="str">
            <v>03-Jan-2022</v>
          </cell>
          <cell r="F997">
            <v>4248582.82</v>
          </cell>
          <cell r="G997">
            <v>498868.88199999998</v>
          </cell>
          <cell r="H997">
            <v>8.52</v>
          </cell>
          <cell r="I997">
            <v>0</v>
          </cell>
          <cell r="J997">
            <v>8.52</v>
          </cell>
        </row>
        <row r="998">
          <cell r="A998" t="str">
            <v>LU1883304369</v>
          </cell>
          <cell r="B998" t="str">
            <v>AMUNDI FUNDS EUROLAND EQUITY</v>
          </cell>
          <cell r="C998" t="str">
            <v>Class C USD (C)</v>
          </cell>
          <cell r="D998" t="str">
            <v>USD</v>
          </cell>
          <cell r="E998" t="str">
            <v>03-Jan-2022</v>
          </cell>
          <cell r="F998">
            <v>291761.42</v>
          </cell>
          <cell r="G998">
            <v>30334.027999999998</v>
          </cell>
          <cell r="H998">
            <v>9.6199999999999992</v>
          </cell>
          <cell r="I998">
            <v>0</v>
          </cell>
          <cell r="J998">
            <v>9.6199999999999992</v>
          </cell>
        </row>
        <row r="999">
          <cell r="A999" t="str">
            <v>LU1883304443</v>
          </cell>
          <cell r="B999" t="str">
            <v>AMUNDI FUNDS EUROLAND EQUITY</v>
          </cell>
          <cell r="C999" t="str">
            <v>Class E2 EUR (C)</v>
          </cell>
          <cell r="D999" t="str">
            <v>EUR</v>
          </cell>
          <cell r="E999" t="str">
            <v>03-Jan-2022</v>
          </cell>
          <cell r="F999">
            <v>255944474.59999999</v>
          </cell>
          <cell r="G999">
            <v>23779597.977000002</v>
          </cell>
          <cell r="H999">
            <v>10.763</v>
          </cell>
          <cell r="I999">
            <v>0</v>
          </cell>
          <cell r="J999">
            <v>10.763</v>
          </cell>
        </row>
        <row r="1000">
          <cell r="A1000" t="str">
            <v>LU1883304526</v>
          </cell>
          <cell r="B1000" t="str">
            <v>AMUNDI FUNDS EUROLAND EQUITY</v>
          </cell>
          <cell r="C1000" t="str">
            <v>Class F EUR (C)</v>
          </cell>
          <cell r="D1000" t="str">
            <v>EUR</v>
          </cell>
          <cell r="E1000" t="str">
            <v>03-Jan-2022</v>
          </cell>
          <cell r="F1000">
            <v>30323212.91</v>
          </cell>
          <cell r="G1000">
            <v>3407629.0440000002</v>
          </cell>
          <cell r="H1000">
            <v>8.8989999999999991</v>
          </cell>
          <cell r="I1000">
            <v>0</v>
          </cell>
          <cell r="J1000">
            <v>8.8989999999999991</v>
          </cell>
        </row>
        <row r="1001">
          <cell r="A1001" t="str">
            <v>LU1880391898</v>
          </cell>
          <cell r="B1001" t="str">
            <v>AMUNDI FUNDS EUROLAND EQUITY</v>
          </cell>
          <cell r="C1001" t="str">
            <v>Class F2 EUR (C)</v>
          </cell>
          <cell r="D1001" t="str">
            <v>EUR</v>
          </cell>
          <cell r="E1001" t="str">
            <v>03-Jan-2022</v>
          </cell>
          <cell r="F1001">
            <v>729374.26</v>
          </cell>
          <cell r="G1001">
            <v>111341.538</v>
          </cell>
          <cell r="H1001">
            <v>6.5510000000000002</v>
          </cell>
          <cell r="I1001">
            <v>0</v>
          </cell>
          <cell r="J1001">
            <v>6.5510000000000002</v>
          </cell>
        </row>
        <row r="1002">
          <cell r="A1002" t="str">
            <v>LU1897304546</v>
          </cell>
          <cell r="B1002" t="str">
            <v>AMUNDI FUNDS EUROLAND EQUITY</v>
          </cell>
          <cell r="C1002" t="str">
            <v>Class I2 GBP (C)</v>
          </cell>
          <cell r="D1002" t="str">
            <v>GBP</v>
          </cell>
          <cell r="E1002" t="str">
            <v>03-Jan-2022</v>
          </cell>
          <cell r="F1002">
            <v>6516.42</v>
          </cell>
          <cell r="G1002">
            <v>5</v>
          </cell>
          <cell r="H1002">
            <v>1303.28</v>
          </cell>
          <cell r="I1002">
            <v>0</v>
          </cell>
          <cell r="J1002">
            <v>1303.28</v>
          </cell>
        </row>
        <row r="1003">
          <cell r="A1003" t="str">
            <v>LU1883305093</v>
          </cell>
          <cell r="B1003" t="str">
            <v>AMUNDI FUNDS EUROLAND EQUITY</v>
          </cell>
          <cell r="C1003" t="str">
            <v>Class I2 USD (C)</v>
          </cell>
          <cell r="D1003" t="str">
            <v>USD</v>
          </cell>
          <cell r="E1003" t="str">
            <v>03-Jan-2022</v>
          </cell>
          <cell r="F1003">
            <v>138426.72</v>
          </cell>
          <cell r="G1003">
            <v>9424.5630000000001</v>
          </cell>
          <cell r="H1003">
            <v>14.69</v>
          </cell>
          <cell r="I1003">
            <v>0</v>
          </cell>
          <cell r="J1003">
            <v>14.69</v>
          </cell>
        </row>
        <row r="1004">
          <cell r="A1004" t="str">
            <v>LU1883304955</v>
          </cell>
          <cell r="B1004" t="str">
            <v>AMUNDI FUNDS EUROLAND EQUITY</v>
          </cell>
          <cell r="C1004" t="str">
            <v>Class I2 EUR AD (D)</v>
          </cell>
          <cell r="D1004" t="str">
            <v>EUR</v>
          </cell>
          <cell r="E1004" t="str">
            <v>03-Jan-2022</v>
          </cell>
          <cell r="F1004">
            <v>1241339.93</v>
          </cell>
          <cell r="G1004">
            <v>645</v>
          </cell>
          <cell r="H1004">
            <v>1924.56</v>
          </cell>
          <cell r="I1004">
            <v>0</v>
          </cell>
          <cell r="J1004">
            <v>1924.56</v>
          </cell>
        </row>
        <row r="1005">
          <cell r="A1005" t="str">
            <v>LU1883305176</v>
          </cell>
          <cell r="B1005" t="str">
            <v>AMUNDI FUNDS EUROLAND EQUITY</v>
          </cell>
          <cell r="C1005" t="str">
            <v>Class I2 USD Hgd (C)</v>
          </cell>
          <cell r="D1005" t="str">
            <v>USD</v>
          </cell>
          <cell r="E1005" t="str">
            <v>03-Jan-2022</v>
          </cell>
          <cell r="F1005">
            <v>54683.86</v>
          </cell>
          <cell r="G1005">
            <v>32.741999999999997</v>
          </cell>
          <cell r="H1005">
            <v>1670.14</v>
          </cell>
          <cell r="I1005">
            <v>0</v>
          </cell>
          <cell r="J1005">
            <v>1670.14</v>
          </cell>
        </row>
        <row r="1006">
          <cell r="A1006" t="str">
            <v>LU1880392276</v>
          </cell>
          <cell r="B1006" t="str">
            <v>AMUNDI FUNDS EUROLAND EQUITY</v>
          </cell>
          <cell r="C1006" t="str">
            <v>Class M EUR (C)</v>
          </cell>
          <cell r="D1006" t="str">
            <v>EUR</v>
          </cell>
          <cell r="E1006" t="str">
            <v>03-Jan-2022</v>
          </cell>
          <cell r="F1006">
            <v>422847.99</v>
          </cell>
          <cell r="G1006">
            <v>310.36200000000002</v>
          </cell>
          <cell r="H1006">
            <v>1362.43</v>
          </cell>
          <cell r="I1006">
            <v>0</v>
          </cell>
          <cell r="J1006">
            <v>1362.43</v>
          </cell>
        </row>
        <row r="1007">
          <cell r="A1007" t="str">
            <v>LU1883304872</v>
          </cell>
          <cell r="B1007" t="str">
            <v>AMUNDI FUNDS EUROLAND EQUITY</v>
          </cell>
          <cell r="C1007" t="str">
            <v>Class I2 EUR (C)</v>
          </cell>
          <cell r="D1007" t="str">
            <v>EUR</v>
          </cell>
          <cell r="E1007" t="str">
            <v>03-Jan-2022</v>
          </cell>
          <cell r="F1007">
            <v>1041643714.9</v>
          </cell>
          <cell r="G1007">
            <v>79971325.297000006</v>
          </cell>
          <cell r="H1007">
            <v>13.03</v>
          </cell>
          <cell r="I1007">
            <v>0</v>
          </cell>
          <cell r="J1007">
            <v>13.03</v>
          </cell>
        </row>
        <row r="1008">
          <cell r="A1008" t="str">
            <v>LU1883305259</v>
          </cell>
          <cell r="B1008" t="str">
            <v>AMUNDI FUNDS EUROLAND EQUITY</v>
          </cell>
          <cell r="C1008" t="str">
            <v>Class J2 EUR (C)</v>
          </cell>
          <cell r="D1008" t="str">
            <v>EUR</v>
          </cell>
          <cell r="E1008" t="str">
            <v>03-Jan-2022</v>
          </cell>
          <cell r="F1008">
            <v>155917263.53</v>
          </cell>
          <cell r="G1008">
            <v>80276.438999999998</v>
          </cell>
          <cell r="H1008">
            <v>1942.25</v>
          </cell>
          <cell r="I1008">
            <v>0</v>
          </cell>
          <cell r="J1008">
            <v>1942.25</v>
          </cell>
        </row>
        <row r="1009">
          <cell r="A1009" t="str">
            <v>LU1883305762</v>
          </cell>
          <cell r="B1009" t="str">
            <v>AMUNDI FUNDS EUROLAND EQUITY</v>
          </cell>
          <cell r="C1009" t="str">
            <v>Class R2 CHF Hgd (C)</v>
          </cell>
          <cell r="D1009" t="str">
            <v>CHF</v>
          </cell>
          <cell r="E1009" t="str">
            <v>03-Jan-2022</v>
          </cell>
          <cell r="F1009">
            <v>4784990.13</v>
          </cell>
          <cell r="G1009">
            <v>66027.789999999994</v>
          </cell>
          <cell r="H1009">
            <v>72.47</v>
          </cell>
          <cell r="I1009">
            <v>0</v>
          </cell>
          <cell r="J1009">
            <v>72.47</v>
          </cell>
        </row>
        <row r="1010">
          <cell r="A1010" t="str">
            <v>LU1883304799</v>
          </cell>
          <cell r="B1010" t="str">
            <v>AMUNDI FUNDS EUROLAND EQUITY</v>
          </cell>
          <cell r="C1010" t="str">
            <v>Class G EUR (C)</v>
          </cell>
          <cell r="D1010" t="str">
            <v>EUR</v>
          </cell>
          <cell r="E1010" t="str">
            <v>03-Jan-2022</v>
          </cell>
          <cell r="F1010">
            <v>35140580.509999998</v>
          </cell>
          <cell r="G1010">
            <v>5567106.9550000001</v>
          </cell>
          <cell r="H1010">
            <v>6.3120000000000003</v>
          </cell>
          <cell r="I1010">
            <v>0</v>
          </cell>
          <cell r="J1010">
            <v>6.3120000000000003</v>
          </cell>
        </row>
        <row r="1011">
          <cell r="A1011" t="str">
            <v>LU1883305846</v>
          </cell>
          <cell r="B1011" t="str">
            <v>AMUNDI FUNDS EUROLAND EQUITY</v>
          </cell>
          <cell r="C1011" t="str">
            <v>Class R2 EUR (C)</v>
          </cell>
          <cell r="D1011" t="str">
            <v>EUR</v>
          </cell>
          <cell r="E1011" t="str">
            <v>03-Jan-2022</v>
          </cell>
          <cell r="F1011">
            <v>37514590.460000001</v>
          </cell>
          <cell r="G1011">
            <v>487231.82900000003</v>
          </cell>
          <cell r="H1011">
            <v>77</v>
          </cell>
          <cell r="I1011">
            <v>0</v>
          </cell>
          <cell r="J1011">
            <v>77</v>
          </cell>
        </row>
        <row r="1012">
          <cell r="A1012" t="str">
            <v>LU1883305929</v>
          </cell>
          <cell r="B1012" t="str">
            <v>AMUNDI FUNDS EUROLAND EQUITY</v>
          </cell>
          <cell r="C1012" t="str">
            <v>Class R2 GBP (C)</v>
          </cell>
          <cell r="D1012" t="str">
            <v>GBP</v>
          </cell>
          <cell r="E1012" t="str">
            <v>03-Jan-2022</v>
          </cell>
          <cell r="F1012">
            <v>133318.68</v>
          </cell>
          <cell r="G1012">
            <v>993.98500000000001</v>
          </cell>
          <cell r="H1012">
            <v>134.13</v>
          </cell>
          <cell r="I1012">
            <v>0</v>
          </cell>
          <cell r="J1012">
            <v>134.13</v>
          </cell>
        </row>
        <row r="1013">
          <cell r="A1013" t="str">
            <v>LU1883306141</v>
          </cell>
          <cell r="B1013" t="str">
            <v>AMUNDI FUNDS EUROLAND EQUITY</v>
          </cell>
          <cell r="C1013" t="str">
            <v>Class R2 USD Hgd (C)</v>
          </cell>
          <cell r="D1013" t="str">
            <v>USD</v>
          </cell>
          <cell r="E1013" t="str">
            <v>03-Jan-2022</v>
          </cell>
          <cell r="F1013">
            <v>210701.66</v>
          </cell>
          <cell r="G1013">
            <v>2480.2440000000001</v>
          </cell>
          <cell r="H1013">
            <v>84.95</v>
          </cell>
          <cell r="I1013">
            <v>0</v>
          </cell>
          <cell r="J1013">
            <v>84.95</v>
          </cell>
        </row>
        <row r="1014">
          <cell r="A1014" t="str">
            <v>LU1880392433</v>
          </cell>
          <cell r="B1014" t="str">
            <v>AMUNDI FUNDS EUROLAND EQUITY</v>
          </cell>
          <cell r="C1014" t="str">
            <v>Class OR EUR (C)</v>
          </cell>
          <cell r="D1014" t="str">
            <v>EUR</v>
          </cell>
          <cell r="E1014" t="str">
            <v>03-Jan-2022</v>
          </cell>
          <cell r="F1014">
            <v>273072710.25999999</v>
          </cell>
          <cell r="G1014">
            <v>195205.64199999999</v>
          </cell>
          <cell r="H1014">
            <v>1398.9</v>
          </cell>
          <cell r="I1014">
            <v>0</v>
          </cell>
          <cell r="J1014">
            <v>1398.9</v>
          </cell>
        </row>
        <row r="1015">
          <cell r="A1015" t="str">
            <v>LU1880392359</v>
          </cell>
          <cell r="B1015" t="str">
            <v>AMUNDI FUNDS EUROLAND EQUITY</v>
          </cell>
          <cell r="C1015" t="str">
            <v>Class O EUR (C)</v>
          </cell>
          <cell r="D1015" t="str">
            <v>EUR</v>
          </cell>
          <cell r="E1015" t="str">
            <v>03-Jan-2022</v>
          </cell>
          <cell r="F1015">
            <v>4810159.45</v>
          </cell>
          <cell r="G1015">
            <v>3438.5079999999998</v>
          </cell>
          <cell r="H1015">
            <v>1398.91</v>
          </cell>
          <cell r="I1015">
            <v>0</v>
          </cell>
          <cell r="J1015">
            <v>1398.91</v>
          </cell>
        </row>
        <row r="1016">
          <cell r="A1016" t="str">
            <v>LU1883305416</v>
          </cell>
          <cell r="B1016" t="str">
            <v>AMUNDI FUNDS EUROLAND EQUITY</v>
          </cell>
          <cell r="C1016" t="str">
            <v>Class P2 USD (C)</v>
          </cell>
          <cell r="D1016" t="str">
            <v>USD</v>
          </cell>
          <cell r="E1016" t="str">
            <v>03-Jan-2022</v>
          </cell>
          <cell r="F1016">
            <v>1921369.06</v>
          </cell>
          <cell r="G1016">
            <v>23415.813999999998</v>
          </cell>
          <cell r="H1016">
            <v>82.05</v>
          </cell>
          <cell r="I1016">
            <v>0</v>
          </cell>
          <cell r="J1016">
            <v>82.05</v>
          </cell>
        </row>
        <row r="1017">
          <cell r="A1017" t="str">
            <v>LU1883305507</v>
          </cell>
          <cell r="B1017" t="str">
            <v>AMUNDI FUNDS EUROLAND EQUITY</v>
          </cell>
          <cell r="C1017" t="str">
            <v>Class P2 USD Hgd (C)</v>
          </cell>
          <cell r="D1017" t="str">
            <v>USD</v>
          </cell>
          <cell r="E1017" t="str">
            <v>03-Jan-2022</v>
          </cell>
          <cell r="F1017">
            <v>135596.84</v>
          </cell>
          <cell r="G1017">
            <v>1540</v>
          </cell>
          <cell r="H1017">
            <v>88.05</v>
          </cell>
          <cell r="I1017">
            <v>0</v>
          </cell>
          <cell r="J1017">
            <v>88.05</v>
          </cell>
        </row>
        <row r="1018">
          <cell r="A1018" t="str">
            <v>LU1883306067</v>
          </cell>
          <cell r="B1018" t="str">
            <v>AMUNDI FUNDS EUROLAND EQUITY</v>
          </cell>
          <cell r="C1018" t="str">
            <v>Class R2 USD (C)</v>
          </cell>
          <cell r="D1018" t="str">
            <v>USD</v>
          </cell>
          <cell r="E1018" t="str">
            <v>03-Jan-2022</v>
          </cell>
          <cell r="F1018">
            <v>6897.53</v>
          </cell>
          <cell r="G1018">
            <v>100</v>
          </cell>
          <cell r="H1018">
            <v>68.98</v>
          </cell>
          <cell r="I1018">
            <v>0</v>
          </cell>
          <cell r="J1018">
            <v>68.98</v>
          </cell>
        </row>
        <row r="1019">
          <cell r="A1019" t="str">
            <v>LU2034727730</v>
          </cell>
          <cell r="B1019" t="str">
            <v>AMUNDI FUNDS EUROLAND EQUITY</v>
          </cell>
          <cell r="C1019" t="str">
            <v>Class X EUR (C)</v>
          </cell>
          <cell r="D1019" t="str">
            <v>EUR</v>
          </cell>
          <cell r="E1019" t="str">
            <v>03-Jan-2022</v>
          </cell>
          <cell r="F1019">
            <v>7293.84</v>
          </cell>
          <cell r="G1019">
            <v>5</v>
          </cell>
          <cell r="H1019">
            <v>1458.77</v>
          </cell>
          <cell r="I1019">
            <v>0</v>
          </cell>
          <cell r="J1019">
            <v>1458.77</v>
          </cell>
        </row>
        <row r="1020">
          <cell r="A1020" t="str">
            <v>LU1880391971</v>
          </cell>
          <cell r="B1020" t="str">
            <v>AMUNDI FUNDS EUROLAND EQUITY</v>
          </cell>
          <cell r="C1020" t="str">
            <v>Class I EUR (C)</v>
          </cell>
          <cell r="D1020" t="str">
            <v>EUR</v>
          </cell>
          <cell r="E1020" t="str">
            <v>03-Jan-2022</v>
          </cell>
          <cell r="F1020">
            <v>161340754.36000001</v>
          </cell>
          <cell r="G1020">
            <v>118209.7</v>
          </cell>
          <cell r="H1020">
            <v>1364.87</v>
          </cell>
          <cell r="I1020">
            <v>0</v>
          </cell>
          <cell r="J1020">
            <v>1364.87</v>
          </cell>
        </row>
        <row r="1021">
          <cell r="A1021" t="str">
            <v>LU1880392193</v>
          </cell>
          <cell r="B1021" t="str">
            <v>AMUNDI FUNDS EUROLAND EQUITY</v>
          </cell>
          <cell r="C1021" t="str">
            <v>Class I EUR AD (D)</v>
          </cell>
          <cell r="D1021" t="str">
            <v>EUR</v>
          </cell>
          <cell r="E1021" t="str">
            <v>03-Jan-2022</v>
          </cell>
          <cell r="F1021">
            <v>494209.63</v>
          </cell>
          <cell r="G1021">
            <v>378.41399999999999</v>
          </cell>
          <cell r="H1021">
            <v>1306</v>
          </cell>
          <cell r="I1021">
            <v>0</v>
          </cell>
          <cell r="J1021">
            <v>1306</v>
          </cell>
        </row>
        <row r="1022">
          <cell r="A1022" t="str">
            <v>LU1880392607</v>
          </cell>
          <cell r="B1022" t="str">
            <v>AMUNDI FUNDS EUROLAND EQUITY</v>
          </cell>
          <cell r="C1022" t="str">
            <v>Class Z EUR (C)</v>
          </cell>
          <cell r="D1022" t="str">
            <v>EUR</v>
          </cell>
          <cell r="E1022" t="str">
            <v>03-Jan-2022</v>
          </cell>
          <cell r="F1022">
            <v>363994194.81999999</v>
          </cell>
          <cell r="G1022">
            <v>265242.70500000002</v>
          </cell>
          <cell r="H1022">
            <v>1372.31</v>
          </cell>
          <cell r="I1022">
            <v>0</v>
          </cell>
          <cell r="J1022">
            <v>1372.31</v>
          </cell>
        </row>
        <row r="1023">
          <cell r="A1023" t="str">
            <v>LU1880392789</v>
          </cell>
          <cell r="B1023" t="str">
            <v>AMUNDI FUNDS EUROLAND EQUITY</v>
          </cell>
          <cell r="C1023" t="str">
            <v>Class Z EUR AD (D)</v>
          </cell>
          <cell r="D1023" t="str">
            <v>EUR</v>
          </cell>
          <cell r="E1023" t="str">
            <v>03-Jan-2022</v>
          </cell>
          <cell r="F1023">
            <v>376194607.92000002</v>
          </cell>
          <cell r="G1023">
            <v>289429.39500000002</v>
          </cell>
          <cell r="H1023">
            <v>1299.78</v>
          </cell>
          <cell r="I1023">
            <v>0</v>
          </cell>
          <cell r="J1023">
            <v>1299.78</v>
          </cell>
        </row>
        <row r="1024">
          <cell r="A1024" t="str">
            <v>LU2237438978</v>
          </cell>
          <cell r="B1024" t="str">
            <v>AMUNDI FUNDS US PIONEER FUND</v>
          </cell>
          <cell r="C1024" t="str">
            <v>Class A2 USD (C)</v>
          </cell>
          <cell r="D1024" t="str">
            <v>USD</v>
          </cell>
          <cell r="E1024" t="str">
            <v>03-Jan-2022</v>
          </cell>
          <cell r="F1024">
            <v>54074.64</v>
          </cell>
          <cell r="G1024">
            <v>786.31799999999998</v>
          </cell>
          <cell r="H1024">
            <v>68.77</v>
          </cell>
          <cell r="I1024">
            <v>0</v>
          </cell>
          <cell r="J1024">
            <v>68.77</v>
          </cell>
        </row>
        <row r="1025">
          <cell r="A1025" t="str">
            <v>LU1883872332</v>
          </cell>
          <cell r="B1025" t="str">
            <v>AMUNDI FUNDS US PIONEER FUND</v>
          </cell>
          <cell r="C1025" t="str">
            <v>Class A EUR (C)</v>
          </cell>
          <cell r="D1025" t="str">
            <v>EUR</v>
          </cell>
          <cell r="E1025" t="str">
            <v>03-Jan-2022</v>
          </cell>
          <cell r="F1025">
            <v>731089809.64999998</v>
          </cell>
          <cell r="G1025">
            <v>39521316.458999999</v>
          </cell>
          <cell r="H1025">
            <v>18.5</v>
          </cell>
          <cell r="I1025">
            <v>0</v>
          </cell>
          <cell r="J1025">
            <v>19.329999999999998</v>
          </cell>
        </row>
        <row r="1026">
          <cell r="A1026" t="str">
            <v>LU2070308726</v>
          </cell>
          <cell r="B1026" t="str">
            <v>AMUNDI FUNDS US PIONEER FUND</v>
          </cell>
          <cell r="C1026" t="str">
            <v>Class A2 EUR (C)</v>
          </cell>
          <cell r="D1026" t="str">
            <v>EUR</v>
          </cell>
          <cell r="E1026" t="str">
            <v>03-Jan-2022</v>
          </cell>
          <cell r="F1026">
            <v>10740119.109999999</v>
          </cell>
          <cell r="G1026">
            <v>137658.041</v>
          </cell>
          <cell r="H1026">
            <v>78.02</v>
          </cell>
          <cell r="I1026">
            <v>0</v>
          </cell>
          <cell r="J1026">
            <v>81.53</v>
          </cell>
        </row>
        <row r="1027">
          <cell r="A1027" t="str">
            <v>LU2330498838</v>
          </cell>
          <cell r="B1027" t="str">
            <v>AMUNDI FUNDS US PIONEER FUND</v>
          </cell>
          <cell r="C1027" t="str">
            <v>Class A EUR AD (D)</v>
          </cell>
          <cell r="D1027" t="str">
            <v>EUR</v>
          </cell>
          <cell r="E1027" t="str">
            <v>03-Jan-2022</v>
          </cell>
          <cell r="F1027">
            <v>318529.51</v>
          </cell>
          <cell r="G1027">
            <v>5575.1149999999998</v>
          </cell>
          <cell r="H1027">
            <v>57.13</v>
          </cell>
          <cell r="I1027">
            <v>0</v>
          </cell>
          <cell r="J1027">
            <v>57.13</v>
          </cell>
        </row>
        <row r="1028">
          <cell r="A1028" t="str">
            <v>LU1883872258</v>
          </cell>
          <cell r="B1028" t="str">
            <v>AMUNDI FUNDS US PIONEER FUND</v>
          </cell>
          <cell r="C1028" t="str">
            <v>Class A CZK Hgd (C)</v>
          </cell>
          <cell r="D1028" t="str">
            <v>CZK</v>
          </cell>
          <cell r="E1028" t="str">
            <v>03-Jan-2022</v>
          </cell>
          <cell r="F1028">
            <v>2543718618.1399999</v>
          </cell>
          <cell r="G1028">
            <v>539907.33499999996</v>
          </cell>
          <cell r="H1028">
            <v>4711.3999999999996</v>
          </cell>
          <cell r="I1028">
            <v>0</v>
          </cell>
          <cell r="J1028">
            <v>4923.41</v>
          </cell>
        </row>
        <row r="1029">
          <cell r="A1029" t="str">
            <v>LU1883872415</v>
          </cell>
          <cell r="B1029" t="str">
            <v>AMUNDI FUNDS US PIONEER FUND</v>
          </cell>
          <cell r="C1029" t="str">
            <v>Class A USD (C)</v>
          </cell>
          <cell r="D1029" t="str">
            <v>USD</v>
          </cell>
          <cell r="E1029" t="str">
            <v>03-Jan-2022</v>
          </cell>
          <cell r="F1029">
            <v>925175004.82000005</v>
          </cell>
          <cell r="G1029">
            <v>44290083.895999998</v>
          </cell>
          <cell r="H1029">
            <v>20.89</v>
          </cell>
          <cell r="I1029">
            <v>0</v>
          </cell>
          <cell r="J1029">
            <v>21.83</v>
          </cell>
        </row>
        <row r="1030">
          <cell r="A1030" t="str">
            <v>LU1883873736</v>
          </cell>
          <cell r="B1030" t="str">
            <v>AMUNDI FUNDS US PIONEER FUND</v>
          </cell>
          <cell r="C1030" t="str">
            <v>Class M2 EUR (C)</v>
          </cell>
          <cell r="D1030" t="str">
            <v>EUR</v>
          </cell>
          <cell r="E1030" t="str">
            <v>03-Jan-2022</v>
          </cell>
          <cell r="F1030">
            <v>167359115.30000001</v>
          </cell>
          <cell r="G1030">
            <v>35312.785000000003</v>
          </cell>
          <cell r="H1030">
            <v>4739.33</v>
          </cell>
          <cell r="I1030">
            <v>0</v>
          </cell>
          <cell r="J1030">
            <v>4739.33</v>
          </cell>
        </row>
        <row r="1031">
          <cell r="A1031" t="str">
            <v>LU1883873819</v>
          </cell>
          <cell r="B1031" t="str">
            <v>AMUNDI FUNDS US PIONEER FUND</v>
          </cell>
          <cell r="C1031" t="str">
            <v>Class M2 EUR Hgd (C)</v>
          </cell>
          <cell r="D1031" t="str">
            <v>EUR</v>
          </cell>
          <cell r="E1031" t="str">
            <v>03-Jan-2022</v>
          </cell>
          <cell r="F1031">
            <v>144677691.75</v>
          </cell>
          <cell r="G1031">
            <v>43192.648000000001</v>
          </cell>
          <cell r="H1031">
            <v>3349.59</v>
          </cell>
          <cell r="I1031">
            <v>0</v>
          </cell>
          <cell r="J1031">
            <v>3349.59</v>
          </cell>
        </row>
        <row r="1032">
          <cell r="A1032" t="str">
            <v>LU1883872506</v>
          </cell>
          <cell r="B1032" t="str">
            <v>AMUNDI FUNDS US PIONEER FUND</v>
          </cell>
          <cell r="C1032" t="str">
            <v>Class B USD (C)</v>
          </cell>
          <cell r="D1032" t="str">
            <v>USD</v>
          </cell>
          <cell r="E1032" t="str">
            <v>03-Jan-2022</v>
          </cell>
          <cell r="F1032">
            <v>25616864.850000001</v>
          </cell>
          <cell r="G1032">
            <v>1509044.1459999999</v>
          </cell>
          <cell r="H1032">
            <v>16.98</v>
          </cell>
          <cell r="I1032">
            <v>0</v>
          </cell>
          <cell r="J1032">
            <v>16.98</v>
          </cell>
        </row>
        <row r="1033">
          <cell r="A1033" t="str">
            <v>LU1883872688</v>
          </cell>
          <cell r="B1033" t="str">
            <v>AMUNDI FUNDS US PIONEER FUND</v>
          </cell>
          <cell r="C1033" t="str">
            <v>Class C EUR (C)</v>
          </cell>
          <cell r="D1033" t="str">
            <v>EUR</v>
          </cell>
          <cell r="E1033" t="str">
            <v>03-Jan-2022</v>
          </cell>
          <cell r="F1033">
            <v>121859450.79000001</v>
          </cell>
          <cell r="G1033">
            <v>7496289.0880000005</v>
          </cell>
          <cell r="H1033">
            <v>16.260000000000002</v>
          </cell>
          <cell r="I1033">
            <v>0</v>
          </cell>
          <cell r="J1033">
            <v>16.260000000000002</v>
          </cell>
        </row>
        <row r="1034">
          <cell r="A1034" t="str">
            <v>LU1883872845</v>
          </cell>
          <cell r="B1034" t="str">
            <v>AMUNDI FUNDS US PIONEER FUND</v>
          </cell>
          <cell r="C1034" t="str">
            <v>Class C USD (C)</v>
          </cell>
          <cell r="D1034" t="str">
            <v>USD</v>
          </cell>
          <cell r="E1034" t="str">
            <v>03-Jan-2022</v>
          </cell>
          <cell r="F1034">
            <v>17950393.18</v>
          </cell>
          <cell r="G1034">
            <v>977718.277</v>
          </cell>
          <cell r="H1034">
            <v>18.36</v>
          </cell>
          <cell r="I1034">
            <v>0</v>
          </cell>
          <cell r="J1034">
            <v>18.36</v>
          </cell>
        </row>
        <row r="1035">
          <cell r="A1035" t="str">
            <v>LU1883872761</v>
          </cell>
          <cell r="B1035" t="str">
            <v>AMUNDI FUNDS US PIONEER FUND</v>
          </cell>
          <cell r="C1035" t="str">
            <v>Class C EUR Hgd (C)</v>
          </cell>
          <cell r="D1035" t="str">
            <v>EUR</v>
          </cell>
          <cell r="E1035" t="str">
            <v>03-Jan-2022</v>
          </cell>
          <cell r="F1035">
            <v>1591332.73</v>
          </cell>
          <cell r="G1035">
            <v>9242.5030000000006</v>
          </cell>
          <cell r="H1035">
            <v>172.18</v>
          </cell>
          <cell r="I1035">
            <v>0</v>
          </cell>
          <cell r="J1035">
            <v>172.18</v>
          </cell>
        </row>
        <row r="1036">
          <cell r="A1036" t="str">
            <v>LU1883872928</v>
          </cell>
          <cell r="B1036" t="str">
            <v>AMUNDI FUNDS US PIONEER FUND</v>
          </cell>
          <cell r="C1036" t="str">
            <v>Class E2 EUR (C)</v>
          </cell>
          <cell r="D1036" t="str">
            <v>EUR</v>
          </cell>
          <cell r="E1036" t="str">
            <v>03-Jan-2022</v>
          </cell>
          <cell r="F1036">
            <v>135165377.33000001</v>
          </cell>
          <cell r="G1036">
            <v>7165375.1639999999</v>
          </cell>
          <cell r="H1036">
            <v>18.864000000000001</v>
          </cell>
          <cell r="I1036">
            <v>0</v>
          </cell>
          <cell r="J1036">
            <v>18.864000000000001</v>
          </cell>
        </row>
        <row r="1037">
          <cell r="A1037" t="str">
            <v>LU1883873066</v>
          </cell>
          <cell r="B1037" t="str">
            <v>AMUNDI FUNDS US PIONEER FUND</v>
          </cell>
          <cell r="C1037" t="str">
            <v>Class E2 EUR Hgd (C)</v>
          </cell>
          <cell r="D1037" t="str">
            <v>EUR</v>
          </cell>
          <cell r="E1037" t="str">
            <v>03-Jan-2022</v>
          </cell>
          <cell r="F1037">
            <v>13649640.27</v>
          </cell>
          <cell r="G1037">
            <v>1090647.7720000001</v>
          </cell>
          <cell r="H1037">
            <v>12.515000000000001</v>
          </cell>
          <cell r="I1037">
            <v>0</v>
          </cell>
          <cell r="J1037">
            <v>12.515000000000001</v>
          </cell>
        </row>
        <row r="1038">
          <cell r="A1038" t="str">
            <v>LU1883873140</v>
          </cell>
          <cell r="B1038" t="str">
            <v>AMUNDI FUNDS US PIONEER FUND</v>
          </cell>
          <cell r="C1038" t="str">
            <v>Class F EUR (C)</v>
          </cell>
          <cell r="D1038" t="str">
            <v>EUR</v>
          </cell>
          <cell r="E1038" t="str">
            <v>03-Jan-2022</v>
          </cell>
          <cell r="F1038">
            <v>26835600.690000001</v>
          </cell>
          <cell r="G1038">
            <v>1682885.2279999999</v>
          </cell>
          <cell r="H1038">
            <v>15.946</v>
          </cell>
          <cell r="I1038">
            <v>0</v>
          </cell>
          <cell r="J1038">
            <v>15.946</v>
          </cell>
        </row>
        <row r="1039">
          <cell r="A1039" t="str">
            <v>LU1883873652</v>
          </cell>
          <cell r="B1039" t="str">
            <v>AMUNDI FUNDS US PIONEER FUND</v>
          </cell>
          <cell r="C1039" t="str">
            <v>Class I2 USD (C)</v>
          </cell>
          <cell r="D1039" t="str">
            <v>USD</v>
          </cell>
          <cell r="E1039" t="str">
            <v>03-Jan-2022</v>
          </cell>
          <cell r="F1039">
            <v>762853781.58000004</v>
          </cell>
          <cell r="G1039">
            <v>30006200.465</v>
          </cell>
          <cell r="H1039">
            <v>25.42</v>
          </cell>
          <cell r="I1039">
            <v>0</v>
          </cell>
          <cell r="J1039">
            <v>25.42</v>
          </cell>
        </row>
        <row r="1040">
          <cell r="A1040" t="str">
            <v>LU1883873579</v>
          </cell>
          <cell r="B1040" t="str">
            <v>AMUNDI FUNDS US PIONEER FUND</v>
          </cell>
          <cell r="C1040" t="str">
            <v>Class I2 EUR Hgd (C)</v>
          </cell>
          <cell r="D1040" t="str">
            <v>EUR</v>
          </cell>
          <cell r="E1040" t="str">
            <v>03-Jan-2022</v>
          </cell>
          <cell r="F1040">
            <v>23386371.800000001</v>
          </cell>
          <cell r="G1040">
            <v>6922.9179999999997</v>
          </cell>
          <cell r="H1040">
            <v>3378.11</v>
          </cell>
          <cell r="I1040">
            <v>0</v>
          </cell>
          <cell r="J1040">
            <v>3378.11</v>
          </cell>
        </row>
        <row r="1041">
          <cell r="A1041" t="str">
            <v>LU1883873496</v>
          </cell>
          <cell r="B1041" t="str">
            <v>AMUNDI FUNDS US PIONEER FUND</v>
          </cell>
          <cell r="C1041" t="str">
            <v>Class I2 EUR (C)</v>
          </cell>
          <cell r="D1041" t="str">
            <v>EUR</v>
          </cell>
          <cell r="E1041" t="str">
            <v>03-Jan-2022</v>
          </cell>
          <cell r="F1041">
            <v>143877619.47999999</v>
          </cell>
          <cell r="G1041">
            <v>6389347.6390000004</v>
          </cell>
          <cell r="H1041">
            <v>22.52</v>
          </cell>
          <cell r="I1041">
            <v>0</v>
          </cell>
          <cell r="J1041">
            <v>22.52</v>
          </cell>
        </row>
        <row r="1042">
          <cell r="A1042" t="str">
            <v>LU1883873223</v>
          </cell>
          <cell r="B1042" t="str">
            <v>AMUNDI FUNDS US PIONEER FUND</v>
          </cell>
          <cell r="C1042" t="str">
            <v>Class G EUR (C)</v>
          </cell>
          <cell r="D1042" t="str">
            <v>EUR</v>
          </cell>
          <cell r="E1042" t="str">
            <v>03-Jan-2022</v>
          </cell>
          <cell r="F1042">
            <v>6291894.6900000004</v>
          </cell>
          <cell r="G1042">
            <v>644631.72699999996</v>
          </cell>
          <cell r="H1042">
            <v>9.76</v>
          </cell>
          <cell r="I1042">
            <v>0</v>
          </cell>
          <cell r="J1042">
            <v>9.76</v>
          </cell>
        </row>
        <row r="1043">
          <cell r="A1043" t="str">
            <v>LU1883874205</v>
          </cell>
          <cell r="B1043" t="str">
            <v>AMUNDI FUNDS US PIONEER FUND</v>
          </cell>
          <cell r="C1043" t="str">
            <v>Class T USD (C)</v>
          </cell>
          <cell r="D1043" t="str">
            <v>USD</v>
          </cell>
          <cell r="E1043" t="str">
            <v>03-Jan-2022</v>
          </cell>
          <cell r="F1043">
            <v>3656227.5</v>
          </cell>
          <cell r="G1043">
            <v>32106.866000000002</v>
          </cell>
          <cell r="H1043">
            <v>113.88</v>
          </cell>
          <cell r="I1043">
            <v>0</v>
          </cell>
          <cell r="J1043">
            <v>113.88</v>
          </cell>
        </row>
        <row r="1044">
          <cell r="A1044" t="str">
            <v>LU1883874031</v>
          </cell>
          <cell r="B1044" t="str">
            <v>AMUNDI FUNDS US PIONEER FUND</v>
          </cell>
          <cell r="C1044" t="str">
            <v>Class R2 EUR (C)</v>
          </cell>
          <cell r="D1044" t="str">
            <v>EUR</v>
          </cell>
          <cell r="E1044" t="str">
            <v>03-Jan-2022</v>
          </cell>
          <cell r="F1044">
            <v>13804384.460000001</v>
          </cell>
          <cell r="G1044">
            <v>88300.5</v>
          </cell>
          <cell r="H1044">
            <v>156.33000000000001</v>
          </cell>
          <cell r="I1044">
            <v>0</v>
          </cell>
          <cell r="J1044">
            <v>156.33000000000001</v>
          </cell>
        </row>
        <row r="1045">
          <cell r="A1045" t="str">
            <v>LU1883873900</v>
          </cell>
          <cell r="B1045" t="str">
            <v>AMUNDI FUNDS US PIONEER FUND</v>
          </cell>
          <cell r="C1045" t="str">
            <v>Class P2 USD (C)</v>
          </cell>
          <cell r="D1045" t="str">
            <v>USD</v>
          </cell>
          <cell r="E1045" t="str">
            <v>03-Jan-2022</v>
          </cell>
          <cell r="F1045">
            <v>3100813.81</v>
          </cell>
          <cell r="G1045">
            <v>24982.526999999998</v>
          </cell>
          <cell r="H1045">
            <v>124.12</v>
          </cell>
          <cell r="I1045">
            <v>0</v>
          </cell>
          <cell r="J1045">
            <v>124.12</v>
          </cell>
        </row>
        <row r="1046">
          <cell r="A1046" t="str">
            <v>LU1883874387</v>
          </cell>
          <cell r="B1046" t="str">
            <v>AMUNDI FUNDS US PIONEER FUND</v>
          </cell>
          <cell r="C1046" t="str">
            <v>Class U USD (C)</v>
          </cell>
          <cell r="D1046" t="str">
            <v>USD</v>
          </cell>
          <cell r="E1046" t="str">
            <v>03-Jan-2022</v>
          </cell>
          <cell r="F1046">
            <v>27602657.32</v>
          </cell>
          <cell r="G1046">
            <v>237941.81299999999</v>
          </cell>
          <cell r="H1046">
            <v>116.01</v>
          </cell>
          <cell r="I1046">
            <v>0</v>
          </cell>
          <cell r="J1046">
            <v>116.01</v>
          </cell>
        </row>
        <row r="1047">
          <cell r="A1047" t="str">
            <v>LU1883874114</v>
          </cell>
          <cell r="B1047" t="str">
            <v>AMUNDI FUNDS US PIONEER FUND</v>
          </cell>
          <cell r="C1047" t="str">
            <v>Class R2 USD (C)</v>
          </cell>
          <cell r="D1047" t="str">
            <v>USD</v>
          </cell>
          <cell r="E1047" t="str">
            <v>03-Jan-2022</v>
          </cell>
          <cell r="F1047">
            <v>52028485.68</v>
          </cell>
          <cell r="G1047">
            <v>294842.016</v>
          </cell>
          <cell r="H1047">
            <v>176.46</v>
          </cell>
          <cell r="I1047">
            <v>0</v>
          </cell>
          <cell r="J1047">
            <v>176.46</v>
          </cell>
        </row>
        <row r="1048">
          <cell r="A1048" t="str">
            <v>LU2034727904</v>
          </cell>
          <cell r="B1048" t="str">
            <v>AMUNDI FUNDS US PIONEER FUND</v>
          </cell>
          <cell r="C1048" t="str">
            <v>Class X USD (C)</v>
          </cell>
          <cell r="D1048" t="str">
            <v>USD</v>
          </cell>
          <cell r="E1048" t="str">
            <v>03-Jan-2022</v>
          </cell>
          <cell r="F1048">
            <v>107921340.03</v>
          </cell>
          <cell r="G1048">
            <v>59880.637000000002</v>
          </cell>
          <cell r="H1048">
            <v>1802.27</v>
          </cell>
          <cell r="I1048">
            <v>0</v>
          </cell>
          <cell r="J1048">
            <v>1802.27</v>
          </cell>
        </row>
        <row r="1049">
          <cell r="A1049" t="str">
            <v>LU2040440823</v>
          </cell>
          <cell r="B1049" t="str">
            <v>AMUNDI FUNDS US PIONEER FUND</v>
          </cell>
          <cell r="C1049" t="str">
            <v>Class Z EUR (C)</v>
          </cell>
          <cell r="D1049" t="str">
            <v>EUR</v>
          </cell>
          <cell r="E1049" t="str">
            <v>03-Jan-2022</v>
          </cell>
          <cell r="F1049">
            <v>1133523.43</v>
          </cell>
          <cell r="G1049">
            <v>688.27499999999998</v>
          </cell>
          <cell r="H1049">
            <v>1646.9</v>
          </cell>
          <cell r="I1049">
            <v>0</v>
          </cell>
          <cell r="J1049">
            <v>1646.9</v>
          </cell>
        </row>
        <row r="1050">
          <cell r="A1050" t="str">
            <v>LU2031987014</v>
          </cell>
          <cell r="B1050" t="str">
            <v>AMUNDI FUNDS US PIONEER FUND</v>
          </cell>
          <cell r="C1050" t="str">
            <v>Class Z USD (C)</v>
          </cell>
          <cell r="D1050" t="str">
            <v>USD</v>
          </cell>
          <cell r="E1050" t="str">
            <v>03-Jan-2022</v>
          </cell>
          <cell r="F1050">
            <v>186411976.63999999</v>
          </cell>
          <cell r="G1050">
            <v>114888.564</v>
          </cell>
          <cell r="H1050">
            <v>1622.55</v>
          </cell>
          <cell r="I1050">
            <v>0</v>
          </cell>
          <cell r="J1050">
            <v>1622.55</v>
          </cell>
        </row>
        <row r="1051">
          <cell r="A1051" t="str">
            <v>LU1883859230</v>
          </cell>
          <cell r="B1051" t="str">
            <v>AMUNDI FUNDS PIONEER US EQUITY RESEARCH</v>
          </cell>
          <cell r="C1051" t="str">
            <v>Class A EUR (C)</v>
          </cell>
          <cell r="D1051" t="str">
            <v>EUR</v>
          </cell>
          <cell r="E1051" t="str">
            <v>03-Jan-2022</v>
          </cell>
          <cell r="F1051">
            <v>91951156.400000006</v>
          </cell>
          <cell r="G1051">
            <v>4894909.7630000003</v>
          </cell>
          <cell r="H1051">
            <v>18.79</v>
          </cell>
          <cell r="I1051">
            <v>0</v>
          </cell>
          <cell r="J1051">
            <v>19.64</v>
          </cell>
        </row>
        <row r="1052">
          <cell r="A1052" t="str">
            <v>LU2070308486</v>
          </cell>
          <cell r="B1052" t="str">
            <v>AMUNDI FUNDS PIONEER US EQUITY RESEARCH</v>
          </cell>
          <cell r="C1052" t="str">
            <v>Class A5 EUR (C)</v>
          </cell>
          <cell r="D1052" t="str">
            <v>EUR</v>
          </cell>
          <cell r="E1052" t="str">
            <v>03-Jan-2022</v>
          </cell>
          <cell r="F1052">
            <v>7587.88</v>
          </cell>
          <cell r="G1052">
            <v>100</v>
          </cell>
          <cell r="H1052">
            <v>75.88</v>
          </cell>
          <cell r="I1052">
            <v>0</v>
          </cell>
          <cell r="J1052">
            <v>75.88</v>
          </cell>
        </row>
        <row r="1053">
          <cell r="A1053" t="str">
            <v>LU1883859313</v>
          </cell>
          <cell r="B1053" t="str">
            <v>AMUNDI FUNDS PIONEER US EQUITY RESEARCH</v>
          </cell>
          <cell r="C1053" t="str">
            <v>Class A EUR Hgd (C)</v>
          </cell>
          <cell r="D1053" t="str">
            <v>EUR</v>
          </cell>
          <cell r="E1053" t="str">
            <v>03-Jan-2022</v>
          </cell>
          <cell r="F1053">
            <v>11609124.68</v>
          </cell>
          <cell r="G1053">
            <v>84337.892999999996</v>
          </cell>
          <cell r="H1053">
            <v>137.65</v>
          </cell>
          <cell r="I1053">
            <v>0</v>
          </cell>
          <cell r="J1053">
            <v>143.84</v>
          </cell>
        </row>
        <row r="1054">
          <cell r="A1054" t="str">
            <v>LU1883859404</v>
          </cell>
          <cell r="B1054" t="str">
            <v>AMUNDI FUNDS PIONEER US EQUITY RESEARCH</v>
          </cell>
          <cell r="C1054" t="str">
            <v>Class A USD (C)</v>
          </cell>
          <cell r="D1054" t="str">
            <v>USD</v>
          </cell>
          <cell r="E1054" t="str">
            <v>03-Jan-2022</v>
          </cell>
          <cell r="F1054">
            <v>62028879.539999999</v>
          </cell>
          <cell r="G1054">
            <v>2919674.71</v>
          </cell>
          <cell r="H1054">
            <v>21.25</v>
          </cell>
          <cell r="I1054">
            <v>0</v>
          </cell>
          <cell r="J1054">
            <v>22.21</v>
          </cell>
        </row>
        <row r="1055">
          <cell r="A1055" t="str">
            <v>LU1883860592</v>
          </cell>
          <cell r="B1055" t="str">
            <v>AMUNDI FUNDS PIONEER US EQUITY RESEARCH</v>
          </cell>
          <cell r="C1055" t="str">
            <v>Class M2 EUR (C)</v>
          </cell>
          <cell r="D1055" t="str">
            <v>EUR</v>
          </cell>
          <cell r="E1055" t="str">
            <v>03-Jan-2022</v>
          </cell>
          <cell r="F1055">
            <v>63329290.68</v>
          </cell>
          <cell r="G1055">
            <v>13484.611999999999</v>
          </cell>
          <cell r="H1055">
            <v>4696.41</v>
          </cell>
          <cell r="I1055">
            <v>0</v>
          </cell>
          <cell r="J1055">
            <v>4696.41</v>
          </cell>
        </row>
        <row r="1056">
          <cell r="A1056" t="str">
            <v>LU1883860675</v>
          </cell>
          <cell r="B1056" t="str">
            <v>AMUNDI FUNDS PIONEER US EQUITY RESEARCH</v>
          </cell>
          <cell r="C1056" t="str">
            <v>Class M2 EUR Hgd (C)</v>
          </cell>
          <cell r="D1056" t="str">
            <v>EUR</v>
          </cell>
          <cell r="E1056" t="str">
            <v>03-Jan-2022</v>
          </cell>
          <cell r="F1056">
            <v>2482060.5499999998</v>
          </cell>
          <cell r="G1056">
            <v>724.45</v>
          </cell>
          <cell r="H1056">
            <v>3426.13</v>
          </cell>
          <cell r="I1056">
            <v>0</v>
          </cell>
          <cell r="J1056">
            <v>3426.13</v>
          </cell>
        </row>
        <row r="1057">
          <cell r="A1057" t="str">
            <v>LU1883859586</v>
          </cell>
          <cell r="B1057" t="str">
            <v>AMUNDI FUNDS PIONEER US EQUITY RESEARCH</v>
          </cell>
          <cell r="C1057" t="str">
            <v>Class C EUR (C)</v>
          </cell>
          <cell r="D1057" t="str">
            <v>EUR</v>
          </cell>
          <cell r="E1057" t="str">
            <v>03-Jan-2022</v>
          </cell>
          <cell r="F1057">
            <v>1133614.97</v>
          </cell>
          <cell r="G1057">
            <v>69217.05</v>
          </cell>
          <cell r="H1057">
            <v>16.38</v>
          </cell>
          <cell r="I1057">
            <v>0</v>
          </cell>
          <cell r="J1057">
            <v>16.38</v>
          </cell>
        </row>
        <row r="1058">
          <cell r="A1058" t="str">
            <v>LU1883859669</v>
          </cell>
          <cell r="B1058" t="str">
            <v>AMUNDI FUNDS PIONEER US EQUITY RESEARCH</v>
          </cell>
          <cell r="C1058" t="str">
            <v>Class C USD (C)</v>
          </cell>
          <cell r="D1058" t="str">
            <v>USD</v>
          </cell>
          <cell r="E1058" t="str">
            <v>03-Jan-2022</v>
          </cell>
          <cell r="F1058">
            <v>4814735.76</v>
          </cell>
          <cell r="G1058">
            <v>260346.13200000001</v>
          </cell>
          <cell r="H1058">
            <v>18.489999999999998</v>
          </cell>
          <cell r="I1058">
            <v>0</v>
          </cell>
          <cell r="J1058">
            <v>18.489999999999998</v>
          </cell>
        </row>
        <row r="1059">
          <cell r="A1059" t="str">
            <v>LU1883859743</v>
          </cell>
          <cell r="B1059" t="str">
            <v>AMUNDI FUNDS PIONEER US EQUITY RESEARCH</v>
          </cell>
          <cell r="C1059" t="str">
            <v>Class E2 EUR (C)</v>
          </cell>
          <cell r="D1059" t="str">
            <v>EUR</v>
          </cell>
          <cell r="E1059" t="str">
            <v>03-Jan-2022</v>
          </cell>
          <cell r="F1059">
            <v>160376028.53</v>
          </cell>
          <cell r="G1059">
            <v>8369495.5619999999</v>
          </cell>
          <cell r="H1059">
            <v>19.161999999999999</v>
          </cell>
          <cell r="I1059">
            <v>0</v>
          </cell>
          <cell r="J1059">
            <v>19.161999999999999</v>
          </cell>
        </row>
        <row r="1060">
          <cell r="A1060" t="str">
            <v>LU1883859826</v>
          </cell>
          <cell r="B1060" t="str">
            <v>AMUNDI FUNDS PIONEER US EQUITY RESEARCH</v>
          </cell>
          <cell r="C1060" t="str">
            <v>Class E2 EUR Hgd (C)</v>
          </cell>
          <cell r="D1060" t="str">
            <v>EUR</v>
          </cell>
          <cell r="E1060" t="str">
            <v>03-Jan-2022</v>
          </cell>
          <cell r="F1060">
            <v>21169521.710000001</v>
          </cell>
          <cell r="G1060">
            <v>1697797.5719999999</v>
          </cell>
          <cell r="H1060">
            <v>12.468999999999999</v>
          </cell>
          <cell r="I1060">
            <v>0</v>
          </cell>
          <cell r="J1060">
            <v>12.468999999999999</v>
          </cell>
        </row>
        <row r="1061">
          <cell r="A1061" t="str">
            <v>LU1883860089</v>
          </cell>
          <cell r="B1061" t="str">
            <v>AMUNDI FUNDS PIONEER US EQUITY RESEARCH</v>
          </cell>
          <cell r="C1061" t="str">
            <v>Class F EUR (C)</v>
          </cell>
          <cell r="D1061" t="str">
            <v>EUR</v>
          </cell>
          <cell r="E1061" t="str">
            <v>03-Jan-2022</v>
          </cell>
          <cell r="F1061">
            <v>63139699.719999999</v>
          </cell>
          <cell r="G1061">
            <v>3902714.2719999999</v>
          </cell>
          <cell r="H1061">
            <v>16.178000000000001</v>
          </cell>
          <cell r="I1061">
            <v>0</v>
          </cell>
          <cell r="J1061">
            <v>16.178000000000001</v>
          </cell>
        </row>
        <row r="1062">
          <cell r="A1062" t="str">
            <v>LU1883860329</v>
          </cell>
          <cell r="B1062" t="str">
            <v>AMUNDI FUNDS PIONEER US EQUITY RESEARCH</v>
          </cell>
          <cell r="C1062" t="str">
            <v>Class I2 USD (C)</v>
          </cell>
          <cell r="D1062" t="str">
            <v>USD</v>
          </cell>
          <cell r="E1062" t="str">
            <v>03-Jan-2022</v>
          </cell>
          <cell r="F1062">
            <v>88222956.810000002</v>
          </cell>
          <cell r="G1062">
            <v>3421170.412</v>
          </cell>
          <cell r="H1062">
            <v>25.79</v>
          </cell>
          <cell r="I1062">
            <v>0</v>
          </cell>
          <cell r="J1062">
            <v>25.79</v>
          </cell>
        </row>
        <row r="1063">
          <cell r="A1063" t="str">
            <v>LU1883860246</v>
          </cell>
          <cell r="B1063" t="str">
            <v>AMUNDI FUNDS PIONEER US EQUITY RESEARCH</v>
          </cell>
          <cell r="C1063" t="str">
            <v>Class I2 EUR (C)</v>
          </cell>
          <cell r="D1063" t="str">
            <v>EUR</v>
          </cell>
          <cell r="E1063" t="str">
            <v>03-Jan-2022</v>
          </cell>
          <cell r="F1063">
            <v>60244772.049999997</v>
          </cell>
          <cell r="G1063">
            <v>2637964.4589999998</v>
          </cell>
          <cell r="H1063">
            <v>22.84</v>
          </cell>
          <cell r="I1063">
            <v>0</v>
          </cell>
          <cell r="J1063">
            <v>22.84</v>
          </cell>
        </row>
        <row r="1064">
          <cell r="A1064" t="str">
            <v>LU1883860162</v>
          </cell>
          <cell r="B1064" t="str">
            <v>AMUNDI FUNDS PIONEER US EQUITY RESEARCH</v>
          </cell>
          <cell r="C1064" t="str">
            <v>Class G EUR (C)</v>
          </cell>
          <cell r="D1064" t="str">
            <v>EUR</v>
          </cell>
          <cell r="E1064" t="str">
            <v>03-Jan-2022</v>
          </cell>
          <cell r="F1064">
            <v>1661328.27</v>
          </cell>
          <cell r="G1064">
            <v>187891.535</v>
          </cell>
          <cell r="H1064">
            <v>8.8420000000000005</v>
          </cell>
          <cell r="I1064">
            <v>0</v>
          </cell>
          <cell r="J1064">
            <v>8.8420000000000005</v>
          </cell>
        </row>
        <row r="1065">
          <cell r="A1065" t="str">
            <v>LU1883860832</v>
          </cell>
          <cell r="B1065" t="str">
            <v>AMUNDI FUNDS PIONEER US EQUITY RESEARCH</v>
          </cell>
          <cell r="C1065" t="str">
            <v>Class R2 EUR (C)</v>
          </cell>
          <cell r="D1065" t="str">
            <v>EUR</v>
          </cell>
          <cell r="E1065" t="str">
            <v>03-Jan-2022</v>
          </cell>
          <cell r="F1065">
            <v>8242.89</v>
          </cell>
          <cell r="G1065">
            <v>100</v>
          </cell>
          <cell r="H1065">
            <v>82.43</v>
          </cell>
          <cell r="I1065">
            <v>0</v>
          </cell>
          <cell r="J1065">
            <v>82.43</v>
          </cell>
        </row>
        <row r="1066">
          <cell r="A1066" t="str">
            <v>LU1883860758</v>
          </cell>
          <cell r="B1066" t="str">
            <v>AMUNDI FUNDS PIONEER US EQUITY RESEARCH</v>
          </cell>
          <cell r="C1066" t="str">
            <v>Class P2 USD (C)</v>
          </cell>
          <cell r="D1066" t="str">
            <v>USD</v>
          </cell>
          <cell r="E1066" t="str">
            <v>03-Jan-2022</v>
          </cell>
          <cell r="F1066">
            <v>11367.59</v>
          </cell>
          <cell r="G1066">
            <v>100</v>
          </cell>
          <cell r="H1066">
            <v>113.68</v>
          </cell>
          <cell r="I1066">
            <v>0</v>
          </cell>
          <cell r="J1066">
            <v>113.68</v>
          </cell>
        </row>
        <row r="1067">
          <cell r="A1067" t="str">
            <v>LU1883860915</v>
          </cell>
          <cell r="B1067" t="str">
            <v>AMUNDI FUNDS PIONEER US EQUITY RESEARCH</v>
          </cell>
          <cell r="C1067" t="str">
            <v>Class R2 USD (C)</v>
          </cell>
          <cell r="D1067" t="str">
            <v>USD</v>
          </cell>
          <cell r="E1067" t="str">
            <v>03-Jan-2022</v>
          </cell>
          <cell r="F1067">
            <v>1692.89</v>
          </cell>
          <cell r="G1067">
            <v>9.5079999999999991</v>
          </cell>
          <cell r="H1067">
            <v>178.05</v>
          </cell>
          <cell r="I1067">
            <v>0</v>
          </cell>
          <cell r="J1067">
            <v>178.05</v>
          </cell>
        </row>
        <row r="1068">
          <cell r="A1068" t="str">
            <v>LU2031986800</v>
          </cell>
          <cell r="B1068" t="str">
            <v>AMUNDI FUNDS PIONEER US EQUITY RESEARCH</v>
          </cell>
          <cell r="C1068" t="str">
            <v>Class Z USD (C)</v>
          </cell>
          <cell r="D1068" t="str">
            <v>USD</v>
          </cell>
          <cell r="E1068" t="str">
            <v>03-Jan-2022</v>
          </cell>
          <cell r="F1068">
            <v>5316477.8600000003</v>
          </cell>
          <cell r="G1068">
            <v>3369.0349999999999</v>
          </cell>
          <cell r="H1068">
            <v>1578.04</v>
          </cell>
          <cell r="I1068">
            <v>0</v>
          </cell>
          <cell r="J1068">
            <v>1578.04</v>
          </cell>
        </row>
        <row r="1069">
          <cell r="A1069" t="str">
            <v>LU1883861137</v>
          </cell>
          <cell r="B1069" t="str">
            <v>AMUNDI FUNDS PIONEER US HIGH YIELD BOND</v>
          </cell>
          <cell r="C1069" t="str">
            <v>Class A EUR (C)</v>
          </cell>
          <cell r="D1069" t="str">
            <v>EUR</v>
          </cell>
          <cell r="E1069" t="str">
            <v>03-Jan-2022</v>
          </cell>
          <cell r="F1069">
            <v>11943050.039999999</v>
          </cell>
          <cell r="G1069">
            <v>847429.63600000006</v>
          </cell>
          <cell r="H1069">
            <v>14.09</v>
          </cell>
          <cell r="I1069">
            <v>0</v>
          </cell>
          <cell r="J1069">
            <v>14.65</v>
          </cell>
        </row>
        <row r="1070">
          <cell r="A1070" t="str">
            <v>LU1883861053</v>
          </cell>
          <cell r="B1070" t="str">
            <v>AMUNDI FUNDS PIONEER US HIGH YIELD BOND</v>
          </cell>
          <cell r="C1070" t="str">
            <v>Class A AUD MD3 (D)</v>
          </cell>
          <cell r="D1070" t="str">
            <v>AUD</v>
          </cell>
          <cell r="E1070" t="str">
            <v>03-Jan-2022</v>
          </cell>
          <cell r="F1070">
            <v>73354185.640000001</v>
          </cell>
          <cell r="G1070">
            <v>2109377.3909999998</v>
          </cell>
          <cell r="H1070">
            <v>34.78</v>
          </cell>
          <cell r="I1070">
            <v>0.27189999999999998</v>
          </cell>
          <cell r="J1070">
            <v>36.17</v>
          </cell>
        </row>
        <row r="1071">
          <cell r="A1071" t="str">
            <v>LU1883861301</v>
          </cell>
          <cell r="B1071" t="str">
            <v>AMUNDI FUNDS PIONEER US HIGH YIELD BOND</v>
          </cell>
          <cell r="C1071" t="str">
            <v>Class A EUR MD (D)</v>
          </cell>
          <cell r="D1071" t="str">
            <v>EUR</v>
          </cell>
          <cell r="E1071" t="str">
            <v>03-Jan-2022</v>
          </cell>
          <cell r="F1071">
            <v>387415.65</v>
          </cell>
          <cell r="G1071">
            <v>77632.08</v>
          </cell>
          <cell r="H1071">
            <v>4.99</v>
          </cell>
          <cell r="I1071">
            <v>1.3299999999999999E-2</v>
          </cell>
          <cell r="J1071">
            <v>5.19</v>
          </cell>
        </row>
        <row r="1072">
          <cell r="A1072" t="str">
            <v>LU1883861566</v>
          </cell>
          <cell r="B1072" t="str">
            <v>AMUNDI FUNDS PIONEER US HIGH YIELD BOND</v>
          </cell>
          <cell r="C1072" t="str">
            <v>Class A USD MD (D)</v>
          </cell>
          <cell r="D1072" t="str">
            <v>USD</v>
          </cell>
          <cell r="E1072" t="str">
            <v>03-Jan-2022</v>
          </cell>
          <cell r="F1072">
            <v>7743056.2599999998</v>
          </cell>
          <cell r="G1072">
            <v>1380822.2390000001</v>
          </cell>
          <cell r="H1072">
            <v>5.61</v>
          </cell>
          <cell r="I1072">
            <v>1.6199999999999999E-2</v>
          </cell>
          <cell r="J1072">
            <v>5.83</v>
          </cell>
        </row>
        <row r="1073">
          <cell r="A1073" t="str">
            <v>LU1883861640</v>
          </cell>
          <cell r="B1073" t="str">
            <v>AMUNDI FUNDS PIONEER US HIGH YIELD BOND</v>
          </cell>
          <cell r="C1073" t="str">
            <v>Class A USD MD3 (D)</v>
          </cell>
          <cell r="D1073" t="str">
            <v>USD</v>
          </cell>
          <cell r="E1073" t="str">
            <v>03-Jan-2022</v>
          </cell>
          <cell r="F1073">
            <v>4846440.92</v>
          </cell>
          <cell r="G1073">
            <v>118192.651</v>
          </cell>
          <cell r="H1073">
            <v>41</v>
          </cell>
          <cell r="I1073">
            <v>0.30930000000000002</v>
          </cell>
          <cell r="J1073">
            <v>42.64</v>
          </cell>
        </row>
        <row r="1074">
          <cell r="A1074" t="str">
            <v>LU1883861723</v>
          </cell>
          <cell r="B1074" t="str">
            <v>AMUNDI FUNDS PIONEER US HIGH YIELD BOND</v>
          </cell>
          <cell r="C1074" t="str">
            <v>Class A USD MGI (D)</v>
          </cell>
          <cell r="D1074" t="str">
            <v>USD</v>
          </cell>
          <cell r="E1074" t="str">
            <v>03-Jan-2022</v>
          </cell>
          <cell r="F1074">
            <v>173115979.28999999</v>
          </cell>
          <cell r="G1074">
            <v>3301390.7289999998</v>
          </cell>
          <cell r="H1074">
            <v>52.44</v>
          </cell>
          <cell r="I1074">
            <v>0.23144400000000001</v>
          </cell>
          <cell r="J1074">
            <v>54.54</v>
          </cell>
        </row>
        <row r="1075">
          <cell r="A1075" t="str">
            <v>LU1883861210</v>
          </cell>
          <cell r="B1075" t="str">
            <v>AMUNDI FUNDS PIONEER US HIGH YIELD BOND</v>
          </cell>
          <cell r="C1075" t="str">
            <v>Class A EUR Hgd (C)</v>
          </cell>
          <cell r="D1075" t="str">
            <v>EUR</v>
          </cell>
          <cell r="E1075" t="str">
            <v>03-Jan-2022</v>
          </cell>
          <cell r="F1075">
            <v>1359744.82</v>
          </cell>
          <cell r="G1075">
            <v>13206.468999999999</v>
          </cell>
          <cell r="H1075">
            <v>102.96</v>
          </cell>
          <cell r="I1075">
            <v>0</v>
          </cell>
          <cell r="J1075">
            <v>107.08</v>
          </cell>
        </row>
        <row r="1076">
          <cell r="A1076" t="str">
            <v>LU1883861483</v>
          </cell>
          <cell r="B1076" t="str">
            <v>AMUNDI FUNDS PIONEER US HIGH YIELD BOND</v>
          </cell>
          <cell r="C1076" t="str">
            <v>Class A USD (C)</v>
          </cell>
          <cell r="D1076" t="str">
            <v>USD</v>
          </cell>
          <cell r="E1076" t="str">
            <v>03-Jan-2022</v>
          </cell>
          <cell r="F1076">
            <v>48966741.729999997</v>
          </cell>
          <cell r="G1076">
            <v>3075706.5529999998</v>
          </cell>
          <cell r="H1076">
            <v>15.92</v>
          </cell>
          <cell r="I1076">
            <v>0</v>
          </cell>
          <cell r="J1076">
            <v>16.559999999999999</v>
          </cell>
        </row>
        <row r="1077">
          <cell r="A1077" t="str">
            <v>LU1883862705</v>
          </cell>
          <cell r="B1077" t="str">
            <v>AMUNDI FUNDS PIONEER US HIGH YIELD BOND</v>
          </cell>
          <cell r="C1077" t="str">
            <v>Class B ZAR MD3 (D)</v>
          </cell>
          <cell r="D1077" t="str">
            <v>ZAR</v>
          </cell>
          <cell r="E1077" t="str">
            <v>03-Jan-2022</v>
          </cell>
          <cell r="F1077">
            <v>60850694.270000003</v>
          </cell>
          <cell r="G1077">
            <v>103930.19100000001</v>
          </cell>
          <cell r="H1077">
            <v>585.5</v>
          </cell>
          <cell r="I1077">
            <v>8.2050000000000001</v>
          </cell>
          <cell r="J1077">
            <v>585.5</v>
          </cell>
        </row>
        <row r="1078">
          <cell r="A1078" t="str">
            <v>LU1883862614</v>
          </cell>
          <cell r="B1078" t="str">
            <v>AMUNDI FUNDS PIONEER US HIGH YIELD BOND</v>
          </cell>
          <cell r="C1078" t="str">
            <v>Class B USD MGI (D)</v>
          </cell>
          <cell r="D1078" t="str">
            <v>USD</v>
          </cell>
          <cell r="E1078" t="str">
            <v>03-Jan-2022</v>
          </cell>
          <cell r="F1078">
            <v>4192372.55</v>
          </cell>
          <cell r="G1078">
            <v>94973.557000000001</v>
          </cell>
          <cell r="H1078">
            <v>44.14</v>
          </cell>
          <cell r="I1078">
            <v>0.19494300000000001</v>
          </cell>
          <cell r="J1078">
            <v>44.14</v>
          </cell>
        </row>
        <row r="1079">
          <cell r="A1079" t="str">
            <v>LU1883862531</v>
          </cell>
          <cell r="B1079" t="str">
            <v>AMUNDI FUNDS PIONEER US HIGH YIELD BOND</v>
          </cell>
          <cell r="C1079" t="str">
            <v>Class B USD MD3 (D)</v>
          </cell>
          <cell r="D1079" t="str">
            <v>USD</v>
          </cell>
          <cell r="E1079" t="str">
            <v>03-Jan-2022</v>
          </cell>
          <cell r="F1079">
            <v>1668293.98</v>
          </cell>
          <cell r="G1079">
            <v>41298.358</v>
          </cell>
          <cell r="H1079">
            <v>40.4</v>
          </cell>
          <cell r="I1079">
            <v>0.31209999999999999</v>
          </cell>
          <cell r="J1079">
            <v>40.4</v>
          </cell>
        </row>
        <row r="1080">
          <cell r="A1080" t="str">
            <v>LU1883862028</v>
          </cell>
          <cell r="B1080" t="str">
            <v>AMUNDI FUNDS PIONEER US HIGH YIELD BOND</v>
          </cell>
          <cell r="C1080" t="str">
            <v>Class B AUD MD3 (D)</v>
          </cell>
          <cell r="D1080" t="str">
            <v>AUD</v>
          </cell>
          <cell r="E1080" t="str">
            <v>03-Jan-2022</v>
          </cell>
          <cell r="F1080">
            <v>4423089.29</v>
          </cell>
          <cell r="G1080">
            <v>138073.552</v>
          </cell>
          <cell r="H1080">
            <v>32.03</v>
          </cell>
          <cell r="I1080">
            <v>0.25269999999999998</v>
          </cell>
          <cell r="J1080">
            <v>32.03</v>
          </cell>
        </row>
        <row r="1081">
          <cell r="A1081" t="str">
            <v>LU1883864073</v>
          </cell>
          <cell r="B1081" t="str">
            <v>AMUNDI FUNDS PIONEER US HIGH YIELD BOND</v>
          </cell>
          <cell r="C1081" t="str">
            <v>Class M2 EUR (C)</v>
          </cell>
          <cell r="D1081" t="str">
            <v>EUR</v>
          </cell>
          <cell r="E1081" t="str">
            <v>03-Jan-2022</v>
          </cell>
          <cell r="F1081">
            <v>1255523.01</v>
          </cell>
          <cell r="G1081">
            <v>415.08600000000001</v>
          </cell>
          <cell r="H1081">
            <v>3024.73</v>
          </cell>
          <cell r="I1081">
            <v>0</v>
          </cell>
          <cell r="J1081">
            <v>3024.73</v>
          </cell>
        </row>
        <row r="1082">
          <cell r="A1082" t="str">
            <v>LU1883864156</v>
          </cell>
          <cell r="B1082" t="str">
            <v>AMUNDI FUNDS PIONEER US HIGH YIELD BOND</v>
          </cell>
          <cell r="C1082" t="str">
            <v>Class M2 EUR Hgd (C)</v>
          </cell>
          <cell r="D1082" t="str">
            <v>EUR</v>
          </cell>
          <cell r="E1082" t="str">
            <v>03-Jan-2022</v>
          </cell>
          <cell r="F1082">
            <v>35651160.899999999</v>
          </cell>
          <cell r="G1082">
            <v>17552.278999999999</v>
          </cell>
          <cell r="H1082">
            <v>2031.14</v>
          </cell>
          <cell r="I1082">
            <v>0</v>
          </cell>
          <cell r="J1082">
            <v>2031.14</v>
          </cell>
        </row>
        <row r="1083">
          <cell r="A1083" t="str">
            <v>LU1883862374</v>
          </cell>
          <cell r="B1083" t="str">
            <v>AMUNDI FUNDS PIONEER US HIGH YIELD BOND</v>
          </cell>
          <cell r="C1083" t="str">
            <v>Class B USD (C)</v>
          </cell>
          <cell r="D1083" t="str">
            <v>USD</v>
          </cell>
          <cell r="E1083" t="str">
            <v>03-Jan-2022</v>
          </cell>
          <cell r="F1083">
            <v>25253.27</v>
          </cell>
          <cell r="G1083">
            <v>1976.289</v>
          </cell>
          <cell r="H1083">
            <v>12.78</v>
          </cell>
          <cell r="I1083">
            <v>0</v>
          </cell>
          <cell r="J1083">
            <v>12.78</v>
          </cell>
        </row>
        <row r="1084">
          <cell r="A1084" t="str">
            <v>LU1883862887</v>
          </cell>
          <cell r="B1084" t="str">
            <v>AMUNDI FUNDS PIONEER US HIGH YIELD BOND</v>
          </cell>
          <cell r="C1084" t="str">
            <v>Class C EUR (C)</v>
          </cell>
          <cell r="D1084" t="str">
            <v>EUR</v>
          </cell>
          <cell r="E1084" t="str">
            <v>03-Jan-2022</v>
          </cell>
          <cell r="F1084">
            <v>399371.47</v>
          </cell>
          <cell r="G1084">
            <v>32981.741000000002</v>
          </cell>
          <cell r="H1084">
            <v>12.11</v>
          </cell>
          <cell r="I1084">
            <v>0</v>
          </cell>
          <cell r="J1084">
            <v>12.11</v>
          </cell>
        </row>
        <row r="1085">
          <cell r="A1085" t="str">
            <v>LU1883863000</v>
          </cell>
          <cell r="B1085" t="str">
            <v>AMUNDI FUNDS PIONEER US HIGH YIELD BOND</v>
          </cell>
          <cell r="C1085" t="str">
            <v>Class C USD (C)</v>
          </cell>
          <cell r="D1085" t="str">
            <v>USD</v>
          </cell>
          <cell r="E1085" t="str">
            <v>03-Jan-2022</v>
          </cell>
          <cell r="F1085">
            <v>17278715.75</v>
          </cell>
          <cell r="G1085">
            <v>1263531.719</v>
          </cell>
          <cell r="H1085">
            <v>13.67</v>
          </cell>
          <cell r="I1085">
            <v>0</v>
          </cell>
          <cell r="J1085">
            <v>13.67</v>
          </cell>
        </row>
        <row r="1086">
          <cell r="A1086" t="str">
            <v>LU1883863182</v>
          </cell>
          <cell r="B1086" t="str">
            <v>AMUNDI FUNDS PIONEER US HIGH YIELD BOND</v>
          </cell>
          <cell r="C1086" t="str">
            <v>Class C USD MD (D)</v>
          </cell>
          <cell r="D1086" t="str">
            <v>USD</v>
          </cell>
          <cell r="E1086" t="str">
            <v>03-Jan-2022</v>
          </cell>
          <cell r="F1086">
            <v>9229357.0500000007</v>
          </cell>
          <cell r="G1086">
            <v>1673355.6140000001</v>
          </cell>
          <cell r="H1086">
            <v>5.52</v>
          </cell>
          <cell r="I1086">
            <v>1.6E-2</v>
          </cell>
          <cell r="J1086">
            <v>5.52</v>
          </cell>
        </row>
        <row r="1087">
          <cell r="A1087" t="str">
            <v>LU1883861996</v>
          </cell>
          <cell r="B1087" t="str">
            <v>AMUNDI FUNDS PIONEER US HIGH YIELD BOND</v>
          </cell>
          <cell r="C1087" t="str">
            <v>Class A ZAR MD3 (D)</v>
          </cell>
          <cell r="D1087" t="str">
            <v>ZAR</v>
          </cell>
          <cell r="E1087" t="str">
            <v>03-Jan-2022</v>
          </cell>
          <cell r="F1087">
            <v>1119681806.8800001</v>
          </cell>
          <cell r="G1087">
            <v>1814585.73</v>
          </cell>
          <cell r="H1087">
            <v>617.04999999999995</v>
          </cell>
          <cell r="I1087">
            <v>8.5639000000000003</v>
          </cell>
          <cell r="J1087">
            <v>641.73</v>
          </cell>
        </row>
        <row r="1088">
          <cell r="A1088" t="str">
            <v>LU1883863265</v>
          </cell>
          <cell r="B1088" t="str">
            <v>AMUNDI FUNDS PIONEER US HIGH YIELD BOND</v>
          </cell>
          <cell r="C1088" t="str">
            <v>Class E2 EUR (C)</v>
          </cell>
          <cell r="D1088" t="str">
            <v>EUR</v>
          </cell>
          <cell r="E1088" t="str">
            <v>03-Jan-2022</v>
          </cell>
          <cell r="F1088">
            <v>12233785.85</v>
          </cell>
          <cell r="G1088">
            <v>820124.91700000002</v>
          </cell>
          <cell r="H1088">
            <v>14.917</v>
          </cell>
          <cell r="I1088">
            <v>0</v>
          </cell>
          <cell r="J1088">
            <v>14.917</v>
          </cell>
        </row>
        <row r="1089">
          <cell r="A1089" t="str">
            <v>LU1883863349</v>
          </cell>
          <cell r="B1089" t="str">
            <v>AMUNDI FUNDS PIONEER US HIGH YIELD BOND</v>
          </cell>
          <cell r="C1089" t="str">
            <v>Class E2 EUR Hgd (C)</v>
          </cell>
          <cell r="D1089" t="str">
            <v>EUR</v>
          </cell>
          <cell r="E1089" t="str">
            <v>03-Jan-2022</v>
          </cell>
          <cell r="F1089">
            <v>5288654.1100000003</v>
          </cell>
          <cell r="G1089">
            <v>583701.89500000002</v>
          </cell>
          <cell r="H1089">
            <v>9.0609999999999999</v>
          </cell>
          <cell r="I1089">
            <v>0</v>
          </cell>
          <cell r="J1089">
            <v>9.0609999999999999</v>
          </cell>
        </row>
        <row r="1090">
          <cell r="A1090" t="str">
            <v>LU1883863422</v>
          </cell>
          <cell r="B1090" t="str">
            <v>AMUNDI FUNDS PIONEER US HIGH YIELD BOND</v>
          </cell>
          <cell r="C1090" t="str">
            <v>Class F EUR (C)</v>
          </cell>
          <cell r="D1090" t="str">
            <v>EUR</v>
          </cell>
          <cell r="E1090" t="str">
            <v>03-Jan-2022</v>
          </cell>
          <cell r="F1090">
            <v>3516774.18</v>
          </cell>
          <cell r="G1090">
            <v>268543.59299999999</v>
          </cell>
          <cell r="H1090">
            <v>13.096</v>
          </cell>
          <cell r="I1090">
            <v>0</v>
          </cell>
          <cell r="J1090">
            <v>13.096</v>
          </cell>
        </row>
        <row r="1091">
          <cell r="A1091" t="str">
            <v>LU1998916933</v>
          </cell>
          <cell r="B1091" t="str">
            <v>AMUNDI FUNDS PIONEER US HIGH YIELD BOND</v>
          </cell>
          <cell r="C1091" t="str">
            <v>Class H EUR (C)</v>
          </cell>
          <cell r="D1091" t="str">
            <v>EUR</v>
          </cell>
          <cell r="E1091" t="str">
            <v>03-Jan-2022</v>
          </cell>
          <cell r="F1091">
            <v>5749.02</v>
          </cell>
          <cell r="G1091">
            <v>5</v>
          </cell>
          <cell r="H1091">
            <v>1149.8</v>
          </cell>
          <cell r="I1091">
            <v>0</v>
          </cell>
          <cell r="J1091">
            <v>1149.8</v>
          </cell>
        </row>
        <row r="1092">
          <cell r="A1092" t="str">
            <v>LU1883863935</v>
          </cell>
          <cell r="B1092" t="str">
            <v>AMUNDI FUNDS PIONEER US HIGH YIELD BOND</v>
          </cell>
          <cell r="C1092" t="str">
            <v>Class I2 USD QD (D)</v>
          </cell>
          <cell r="D1092" t="str">
            <v>USD</v>
          </cell>
          <cell r="E1092" t="str">
            <v>03-Jan-2022</v>
          </cell>
          <cell r="F1092">
            <v>35595508.939999998</v>
          </cell>
          <cell r="G1092">
            <v>33295.535000000003</v>
          </cell>
          <cell r="H1092">
            <v>1069.08</v>
          </cell>
          <cell r="I1092">
            <v>0</v>
          </cell>
          <cell r="J1092">
            <v>1069.08</v>
          </cell>
        </row>
        <row r="1093">
          <cell r="A1093" t="str">
            <v>LU1883863851</v>
          </cell>
          <cell r="B1093" t="str">
            <v>AMUNDI FUNDS PIONEER US HIGH YIELD BOND</v>
          </cell>
          <cell r="C1093" t="str">
            <v>Class I2 USD (C)</v>
          </cell>
          <cell r="D1093" t="str">
            <v>USD</v>
          </cell>
          <cell r="E1093" t="str">
            <v>03-Jan-2022</v>
          </cell>
          <cell r="F1093">
            <v>109716989.98999999</v>
          </cell>
          <cell r="G1093">
            <v>5579659.3849999998</v>
          </cell>
          <cell r="H1093">
            <v>19.66</v>
          </cell>
          <cell r="I1093">
            <v>0</v>
          </cell>
          <cell r="J1093">
            <v>19.66</v>
          </cell>
        </row>
        <row r="1094">
          <cell r="A1094" t="str">
            <v>LU1883863778</v>
          </cell>
          <cell r="B1094" t="str">
            <v>AMUNDI FUNDS PIONEER US HIGH YIELD BOND</v>
          </cell>
          <cell r="C1094" t="str">
            <v>Class I2 EUR Hgd (C)</v>
          </cell>
          <cell r="D1094" t="str">
            <v>EUR</v>
          </cell>
          <cell r="E1094" t="str">
            <v>03-Jan-2022</v>
          </cell>
          <cell r="F1094">
            <v>6619085.1500000004</v>
          </cell>
          <cell r="G1094">
            <v>4697.5420000000004</v>
          </cell>
          <cell r="H1094">
            <v>1409.05</v>
          </cell>
          <cell r="I1094">
            <v>0</v>
          </cell>
          <cell r="J1094">
            <v>1409.05</v>
          </cell>
        </row>
        <row r="1095">
          <cell r="A1095" t="str">
            <v>LU1883863695</v>
          </cell>
          <cell r="B1095" t="str">
            <v>AMUNDI FUNDS PIONEER US HIGH YIELD BOND</v>
          </cell>
          <cell r="C1095" t="str">
            <v>Class I2 EUR (C)</v>
          </cell>
          <cell r="D1095" t="str">
            <v>EUR</v>
          </cell>
          <cell r="E1095" t="str">
            <v>03-Jan-2022</v>
          </cell>
          <cell r="F1095">
            <v>11958450.83</v>
          </cell>
          <cell r="G1095">
            <v>686847.22499999998</v>
          </cell>
          <cell r="H1095">
            <v>17.41</v>
          </cell>
          <cell r="I1095">
            <v>0</v>
          </cell>
          <cell r="J1095">
            <v>17.41</v>
          </cell>
        </row>
        <row r="1096">
          <cell r="A1096" t="str">
            <v>LU1897311913</v>
          </cell>
          <cell r="B1096" t="str">
            <v>AMUNDI FUNDS PIONEER US HIGH YIELD BOND</v>
          </cell>
          <cell r="C1096" t="str">
            <v>Class I2 GBP Hgd (C)</v>
          </cell>
          <cell r="D1096" t="str">
            <v>GBP</v>
          </cell>
          <cell r="E1096" t="str">
            <v>03-Jan-2022</v>
          </cell>
          <cell r="F1096">
            <v>111157.19</v>
          </cell>
          <cell r="G1096">
            <v>100</v>
          </cell>
          <cell r="H1096">
            <v>1111.57</v>
          </cell>
          <cell r="I1096">
            <v>0</v>
          </cell>
          <cell r="J1096">
            <v>0</v>
          </cell>
        </row>
        <row r="1097">
          <cell r="A1097" t="str">
            <v>LU1883865047</v>
          </cell>
          <cell r="B1097" t="str">
            <v>AMUNDI FUNDS PIONEER US HIGH YIELD BOND</v>
          </cell>
          <cell r="C1097" t="str">
            <v>Class T USD (C)</v>
          </cell>
          <cell r="D1097" t="str">
            <v>USD</v>
          </cell>
          <cell r="E1097" t="str">
            <v>03-Jan-2022</v>
          </cell>
          <cell r="F1097">
            <v>3122.92</v>
          </cell>
          <cell r="G1097">
            <v>50.542999999999999</v>
          </cell>
          <cell r="H1097">
            <v>61.79</v>
          </cell>
          <cell r="I1097">
            <v>0</v>
          </cell>
          <cell r="J1097">
            <v>61.79</v>
          </cell>
        </row>
        <row r="1098">
          <cell r="A1098" t="str">
            <v>LU1883865393</v>
          </cell>
          <cell r="B1098" t="str">
            <v>AMUNDI FUNDS PIONEER US HIGH YIELD BOND</v>
          </cell>
          <cell r="C1098" t="str">
            <v>Class T USD MGI (D)</v>
          </cell>
          <cell r="D1098" t="str">
            <v>USD</v>
          </cell>
          <cell r="E1098" t="str">
            <v>03-Jan-2022</v>
          </cell>
          <cell r="F1098">
            <v>13650.23</v>
          </cell>
          <cell r="G1098">
            <v>332.85199999999998</v>
          </cell>
          <cell r="H1098">
            <v>41.01</v>
          </cell>
          <cell r="I1098">
            <v>0.18137200000000001</v>
          </cell>
          <cell r="J1098">
            <v>41.01</v>
          </cell>
        </row>
        <row r="1099">
          <cell r="A1099" t="str">
            <v>LU1883864826</v>
          </cell>
          <cell r="B1099" t="str">
            <v>AMUNDI FUNDS PIONEER US HIGH YIELD BOND</v>
          </cell>
          <cell r="C1099" t="str">
            <v>Class T AUD MD3 (D)</v>
          </cell>
          <cell r="D1099" t="str">
            <v>AUD</v>
          </cell>
          <cell r="E1099" t="str">
            <v>03-Jan-2022</v>
          </cell>
          <cell r="F1099">
            <v>9617.5400000000009</v>
          </cell>
          <cell r="G1099">
            <v>279.00200000000001</v>
          </cell>
          <cell r="H1099">
            <v>34.47</v>
          </cell>
          <cell r="I1099">
            <v>0.2717</v>
          </cell>
          <cell r="J1099">
            <v>34.47</v>
          </cell>
        </row>
        <row r="1100">
          <cell r="A1100" t="str">
            <v>LU1883865476</v>
          </cell>
          <cell r="B1100" t="str">
            <v>AMUNDI FUNDS PIONEER US HIGH YIELD BOND</v>
          </cell>
          <cell r="C1100" t="str">
            <v>Class T ZAR MD3 (D)</v>
          </cell>
          <cell r="D1100" t="str">
            <v>ZAR</v>
          </cell>
          <cell r="E1100" t="str">
            <v>03-Jan-2022</v>
          </cell>
          <cell r="F1100">
            <v>2878428.48</v>
          </cell>
          <cell r="G1100">
            <v>4689.4740000000002</v>
          </cell>
          <cell r="H1100">
            <v>613.80999999999995</v>
          </cell>
          <cell r="I1100">
            <v>8.5900999999999996</v>
          </cell>
          <cell r="J1100">
            <v>613.80999999999995</v>
          </cell>
        </row>
        <row r="1101">
          <cell r="A1101" t="str">
            <v>LU1883864586</v>
          </cell>
          <cell r="B1101" t="str">
            <v>AMUNDI FUNDS PIONEER US HIGH YIELD BOND</v>
          </cell>
          <cell r="C1101" t="str">
            <v>Class R2 EUR (C)</v>
          </cell>
          <cell r="D1101" t="str">
            <v>EUR</v>
          </cell>
          <cell r="E1101" t="str">
            <v>03-Jan-2022</v>
          </cell>
          <cell r="F1101">
            <v>12840.85</v>
          </cell>
          <cell r="G1101">
            <v>220</v>
          </cell>
          <cell r="H1101">
            <v>58.37</v>
          </cell>
          <cell r="I1101">
            <v>0</v>
          </cell>
          <cell r="J1101">
            <v>58.37</v>
          </cell>
        </row>
        <row r="1102">
          <cell r="A1102" t="str">
            <v>LU1883864669</v>
          </cell>
          <cell r="B1102" t="str">
            <v>AMUNDI FUNDS PIONEER US HIGH YIELD BOND</v>
          </cell>
          <cell r="C1102" t="str">
            <v>Class R2 EUR Hgd (C)</v>
          </cell>
          <cell r="D1102" t="str">
            <v>EUR</v>
          </cell>
          <cell r="E1102" t="str">
            <v>03-Jan-2022</v>
          </cell>
          <cell r="F1102">
            <v>104770.13</v>
          </cell>
          <cell r="G1102">
            <v>1883.4</v>
          </cell>
          <cell r="H1102">
            <v>55.63</v>
          </cell>
          <cell r="I1102">
            <v>0</v>
          </cell>
          <cell r="J1102">
            <v>55.63</v>
          </cell>
        </row>
        <row r="1103">
          <cell r="A1103" t="str">
            <v>LU1883864230</v>
          </cell>
          <cell r="B1103" t="str">
            <v>AMUNDI FUNDS PIONEER US HIGH YIELD BOND</v>
          </cell>
          <cell r="C1103" t="str">
            <v>Class P2 USD (C)</v>
          </cell>
          <cell r="D1103" t="str">
            <v>USD</v>
          </cell>
          <cell r="E1103" t="str">
            <v>03-Jan-2022</v>
          </cell>
          <cell r="F1103">
            <v>1392880.9</v>
          </cell>
          <cell r="G1103">
            <v>21081.078000000001</v>
          </cell>
          <cell r="H1103">
            <v>66.069999999999993</v>
          </cell>
          <cell r="I1103">
            <v>0</v>
          </cell>
          <cell r="J1103">
            <v>66.069999999999993</v>
          </cell>
        </row>
        <row r="1104">
          <cell r="A1104" t="str">
            <v>LU1883864313</v>
          </cell>
          <cell r="B1104" t="str">
            <v>AMUNDI FUNDS PIONEER US HIGH YIELD BOND</v>
          </cell>
          <cell r="C1104" t="str">
            <v>Class P2 USD MD (D)</v>
          </cell>
          <cell r="D1104" t="str">
            <v>USD</v>
          </cell>
          <cell r="E1104" t="str">
            <v>03-Jan-2022</v>
          </cell>
          <cell r="F1104">
            <v>5428.82</v>
          </cell>
          <cell r="G1104">
            <v>106.04900000000001</v>
          </cell>
          <cell r="H1104">
            <v>51.19</v>
          </cell>
          <cell r="I1104">
            <v>0.1464</v>
          </cell>
          <cell r="J1104">
            <v>51.19</v>
          </cell>
        </row>
        <row r="1105">
          <cell r="A1105" t="str">
            <v>LU1883864404</v>
          </cell>
          <cell r="B1105" t="str">
            <v>AMUNDI FUNDS PIONEER US HIGH YIELD BOND</v>
          </cell>
          <cell r="C1105" t="str">
            <v>Class Q-D USD MD (D)</v>
          </cell>
          <cell r="D1105" t="str">
            <v>USD</v>
          </cell>
          <cell r="E1105" t="str">
            <v>03-Jan-2022</v>
          </cell>
          <cell r="F1105">
            <v>211233.02</v>
          </cell>
          <cell r="G1105">
            <v>3271.944</v>
          </cell>
          <cell r="H1105">
            <v>64.56</v>
          </cell>
          <cell r="I1105">
            <v>0.1875</v>
          </cell>
          <cell r="J1105">
            <v>64.56</v>
          </cell>
        </row>
        <row r="1106">
          <cell r="A1106" t="str">
            <v>LU1883865559</v>
          </cell>
          <cell r="B1106" t="str">
            <v>AMUNDI FUNDS PIONEER US HIGH YIELD BOND</v>
          </cell>
          <cell r="C1106" t="str">
            <v>Class U AUD MD3 (D)</v>
          </cell>
          <cell r="D1106" t="str">
            <v>AUD</v>
          </cell>
          <cell r="E1106" t="str">
            <v>03-Jan-2022</v>
          </cell>
          <cell r="F1106">
            <v>12907.98</v>
          </cell>
          <cell r="G1106">
            <v>384.18900000000002</v>
          </cell>
          <cell r="H1106">
            <v>33.6</v>
          </cell>
          <cell r="I1106">
            <v>0.26469999999999999</v>
          </cell>
          <cell r="J1106">
            <v>33.6</v>
          </cell>
        </row>
        <row r="1107">
          <cell r="A1107" t="str">
            <v>LU1883865989</v>
          </cell>
          <cell r="B1107" t="str">
            <v>AMUNDI FUNDS PIONEER US HIGH YIELD BOND</v>
          </cell>
          <cell r="C1107" t="str">
            <v>Class U ZAR MD3 (D)</v>
          </cell>
          <cell r="D1107" t="str">
            <v>ZAR</v>
          </cell>
          <cell r="E1107" t="str">
            <v>03-Jan-2022</v>
          </cell>
          <cell r="F1107">
            <v>32496.43</v>
          </cell>
          <cell r="G1107">
            <v>53.405999999999999</v>
          </cell>
          <cell r="H1107">
            <v>608.48</v>
          </cell>
          <cell r="I1107">
            <v>8.5452999999999992</v>
          </cell>
          <cell r="J1107">
            <v>608.48</v>
          </cell>
        </row>
        <row r="1108">
          <cell r="A1108" t="str">
            <v>LU1883864743</v>
          </cell>
          <cell r="B1108" t="str">
            <v>AMUNDI FUNDS PIONEER US HIGH YIELD BOND</v>
          </cell>
          <cell r="C1108" t="str">
            <v>Class R2 USD (C)</v>
          </cell>
          <cell r="D1108" t="str">
            <v>USD</v>
          </cell>
          <cell r="E1108" t="str">
            <v>03-Jan-2022</v>
          </cell>
          <cell r="F1108">
            <v>2776862.94</v>
          </cell>
          <cell r="G1108">
            <v>28670</v>
          </cell>
          <cell r="H1108">
            <v>96.86</v>
          </cell>
          <cell r="I1108">
            <v>0</v>
          </cell>
          <cell r="J1108">
            <v>96.86</v>
          </cell>
        </row>
        <row r="1109">
          <cell r="A1109" t="str">
            <v>LU2031986636</v>
          </cell>
          <cell r="B1109" t="str">
            <v>AMUNDI FUNDS PIONEER US HIGH YIELD BOND</v>
          </cell>
          <cell r="C1109" t="str">
            <v>Class Z USD (C)</v>
          </cell>
          <cell r="D1109" t="str">
            <v>USD</v>
          </cell>
          <cell r="E1109" t="str">
            <v>03-Jan-2022</v>
          </cell>
          <cell r="F1109">
            <v>10895621.380000001</v>
          </cell>
          <cell r="G1109">
            <v>9159.4279999999999</v>
          </cell>
          <cell r="H1109">
            <v>1189.55</v>
          </cell>
          <cell r="I1109">
            <v>0</v>
          </cell>
          <cell r="J1109">
            <v>1189.55</v>
          </cell>
        </row>
        <row r="1110">
          <cell r="A1110" t="str">
            <v>LU2098276111</v>
          </cell>
          <cell r="B1110" t="str">
            <v>AMUNDI FUNDS PIONEER US HIGH YIELD BOND</v>
          </cell>
          <cell r="C1110" t="str">
            <v>Class H EUR Hgd (C)</v>
          </cell>
          <cell r="D1110" t="str">
            <v>EUR</v>
          </cell>
          <cell r="E1110" t="str">
            <v>03-Jan-2022</v>
          </cell>
          <cell r="F1110">
            <v>106492.11</v>
          </cell>
          <cell r="G1110">
            <v>100</v>
          </cell>
          <cell r="H1110">
            <v>1064.92</v>
          </cell>
          <cell r="I1110">
            <v>0</v>
          </cell>
          <cell r="J1110">
            <v>1064.92</v>
          </cell>
        </row>
        <row r="1111">
          <cell r="A1111" t="str">
            <v>LU2259111263</v>
          </cell>
          <cell r="B1111" t="str">
            <v>AMUNDI FUNDS OPTIMAL YIELD</v>
          </cell>
          <cell r="C1111" t="str">
            <v>Class A2 EUR AD (D)</v>
          </cell>
          <cell r="D1111" t="str">
            <v>EUR</v>
          </cell>
          <cell r="E1111" t="str">
            <v>03-Jan-2022</v>
          </cell>
          <cell r="F1111">
            <v>43153.279999999999</v>
          </cell>
          <cell r="G1111">
            <v>865</v>
          </cell>
          <cell r="H1111">
            <v>49.89</v>
          </cell>
          <cell r="I1111">
            <v>0</v>
          </cell>
          <cell r="J1111">
            <v>52.14</v>
          </cell>
        </row>
        <row r="1112">
          <cell r="A1112" t="str">
            <v>LU1883336643</v>
          </cell>
          <cell r="B1112" t="str">
            <v>AMUNDI FUNDS OPTIMAL YIELD</v>
          </cell>
          <cell r="C1112" t="str">
            <v>Class A EUR AD (D)</v>
          </cell>
          <cell r="D1112" t="str">
            <v>EUR</v>
          </cell>
          <cell r="E1112" t="str">
            <v>03-Jan-2022</v>
          </cell>
          <cell r="F1112">
            <v>19218621.140000001</v>
          </cell>
          <cell r="G1112">
            <v>299061.45600000001</v>
          </cell>
          <cell r="H1112">
            <v>64.260000000000005</v>
          </cell>
          <cell r="I1112">
            <v>0</v>
          </cell>
          <cell r="J1112">
            <v>66.83</v>
          </cell>
        </row>
        <row r="1113">
          <cell r="A1113" t="str">
            <v>LU1883336569</v>
          </cell>
          <cell r="B1113" t="str">
            <v>AMUNDI FUNDS OPTIMAL YIELD</v>
          </cell>
          <cell r="C1113" t="str">
            <v>Class A EUR (C)</v>
          </cell>
          <cell r="D1113" t="str">
            <v>EUR</v>
          </cell>
          <cell r="E1113" t="str">
            <v>03-Jan-2022</v>
          </cell>
          <cell r="F1113">
            <v>20996155.350000001</v>
          </cell>
          <cell r="G1113">
            <v>194622.41800000001</v>
          </cell>
          <cell r="H1113">
            <v>107.88</v>
          </cell>
          <cell r="I1113">
            <v>0</v>
          </cell>
          <cell r="J1113">
            <v>112.2</v>
          </cell>
        </row>
        <row r="1114">
          <cell r="A1114" t="str">
            <v>LU2259111180</v>
          </cell>
          <cell r="B1114" t="str">
            <v>AMUNDI FUNDS OPTIMAL YIELD</v>
          </cell>
          <cell r="C1114" t="str">
            <v>Class A2 EUR (C)</v>
          </cell>
          <cell r="D1114" t="str">
            <v>EUR</v>
          </cell>
          <cell r="E1114" t="str">
            <v>03-Jan-2022</v>
          </cell>
          <cell r="F1114">
            <v>5051.88</v>
          </cell>
          <cell r="G1114">
            <v>100</v>
          </cell>
          <cell r="H1114">
            <v>50.52</v>
          </cell>
          <cell r="I1114">
            <v>0</v>
          </cell>
          <cell r="J1114">
            <v>52.79</v>
          </cell>
        </row>
        <row r="1115">
          <cell r="A1115" t="str">
            <v>LU1883337021</v>
          </cell>
          <cell r="B1115" t="str">
            <v>AMUNDI FUNDS OPTIMAL YIELD</v>
          </cell>
          <cell r="C1115" t="str">
            <v>Class A USD Hgd MD (D)</v>
          </cell>
          <cell r="D1115" t="str">
            <v>USD</v>
          </cell>
          <cell r="E1115" t="str">
            <v>03-Jan-2022</v>
          </cell>
          <cell r="F1115">
            <v>128389.78</v>
          </cell>
          <cell r="G1115">
            <v>1720.5519999999999</v>
          </cell>
          <cell r="H1115">
            <v>74.62</v>
          </cell>
          <cell r="I1115">
            <v>0.1895</v>
          </cell>
          <cell r="J1115">
            <v>77.599999999999994</v>
          </cell>
        </row>
        <row r="1116">
          <cell r="A1116" t="str">
            <v>LU1883336726</v>
          </cell>
          <cell r="B1116" t="str">
            <v>AMUNDI FUNDS OPTIMAL YIELD</v>
          </cell>
          <cell r="C1116" t="str">
            <v>Class A SEK Hgd (C)</v>
          </cell>
          <cell r="D1116" t="str">
            <v>SEK</v>
          </cell>
          <cell r="E1116" t="str">
            <v>03-Jan-2022</v>
          </cell>
          <cell r="F1116">
            <v>590845.16</v>
          </cell>
          <cell r="G1116">
            <v>500</v>
          </cell>
          <cell r="H1116">
            <v>1181.69</v>
          </cell>
          <cell r="I1116">
            <v>0</v>
          </cell>
          <cell r="J1116">
            <v>1228.96</v>
          </cell>
        </row>
        <row r="1117">
          <cell r="A1117" t="str">
            <v>LU1883336999</v>
          </cell>
          <cell r="B1117" t="str">
            <v>AMUNDI FUNDS OPTIMAL YIELD</v>
          </cell>
          <cell r="C1117" t="str">
            <v>Class A USD Hgd (C)</v>
          </cell>
          <cell r="D1117" t="str">
            <v>USD</v>
          </cell>
          <cell r="E1117" t="str">
            <v>03-Jan-2022</v>
          </cell>
          <cell r="F1117">
            <v>4892617.3899999997</v>
          </cell>
          <cell r="G1117">
            <v>50732.11</v>
          </cell>
          <cell r="H1117">
            <v>96.44</v>
          </cell>
          <cell r="I1117">
            <v>0</v>
          </cell>
          <cell r="J1117">
            <v>100.3</v>
          </cell>
        </row>
        <row r="1118">
          <cell r="A1118" t="str">
            <v>LU1883338003</v>
          </cell>
          <cell r="B1118" t="str">
            <v>AMUNDI FUNDS OPTIMAL YIELD</v>
          </cell>
          <cell r="C1118" t="str">
            <v>Class M2 EUR (C)</v>
          </cell>
          <cell r="D1118" t="str">
            <v>EUR</v>
          </cell>
          <cell r="E1118" t="str">
            <v>03-Jan-2022</v>
          </cell>
          <cell r="F1118">
            <v>32160952.359999999</v>
          </cell>
          <cell r="G1118">
            <v>13770.315000000001</v>
          </cell>
          <cell r="H1118">
            <v>2335.5300000000002</v>
          </cell>
          <cell r="I1118">
            <v>0</v>
          </cell>
          <cell r="J1118">
            <v>2335.5300000000002</v>
          </cell>
        </row>
        <row r="1119">
          <cell r="A1119" t="str">
            <v>LU1883337294</v>
          </cell>
          <cell r="B1119" t="str">
            <v>AMUNDI FUNDS OPTIMAL YIELD</v>
          </cell>
          <cell r="C1119" t="str">
            <v>Class C EUR (C)</v>
          </cell>
          <cell r="D1119" t="str">
            <v>EUR</v>
          </cell>
          <cell r="E1119" t="str">
            <v>03-Jan-2022</v>
          </cell>
          <cell r="F1119">
            <v>34982.1</v>
          </cell>
          <cell r="G1119">
            <v>479.27199999999999</v>
          </cell>
          <cell r="H1119">
            <v>72.989999999999995</v>
          </cell>
          <cell r="I1119">
            <v>0</v>
          </cell>
          <cell r="J1119">
            <v>72.989999999999995</v>
          </cell>
        </row>
        <row r="1120">
          <cell r="A1120" t="str">
            <v>LU1883338185</v>
          </cell>
          <cell r="B1120" t="str">
            <v>AMUNDI FUNDS OPTIMAL YIELD</v>
          </cell>
          <cell r="C1120" t="str">
            <v>Class M2 EUR QTD (D)</v>
          </cell>
          <cell r="D1120" t="str">
            <v>EUR</v>
          </cell>
          <cell r="E1120" t="str">
            <v>03-Jan-2022</v>
          </cell>
          <cell r="F1120">
            <v>27639313.699999999</v>
          </cell>
          <cell r="G1120">
            <v>28283.319</v>
          </cell>
          <cell r="H1120">
            <v>977.23</v>
          </cell>
          <cell r="I1120">
            <v>7.4634</v>
          </cell>
          <cell r="J1120">
            <v>977.23</v>
          </cell>
        </row>
        <row r="1121">
          <cell r="A1121" t="str">
            <v>LU1883337377</v>
          </cell>
          <cell r="B1121" t="str">
            <v>AMUNDI FUNDS OPTIMAL YIELD</v>
          </cell>
          <cell r="C1121" t="str">
            <v>Class E2 EUR (C)</v>
          </cell>
          <cell r="D1121" t="str">
            <v>EUR</v>
          </cell>
          <cell r="E1121" t="str">
            <v>03-Jan-2022</v>
          </cell>
          <cell r="F1121">
            <v>106057943.58</v>
          </cell>
          <cell r="G1121">
            <v>9027309.6270000003</v>
          </cell>
          <cell r="H1121">
            <v>11.749000000000001</v>
          </cell>
          <cell r="I1121">
            <v>0</v>
          </cell>
          <cell r="J1121">
            <v>11.749000000000001</v>
          </cell>
        </row>
        <row r="1122">
          <cell r="A1122" t="str">
            <v>LU1883337534</v>
          </cell>
          <cell r="B1122" t="str">
            <v>AMUNDI FUNDS OPTIMAL YIELD</v>
          </cell>
          <cell r="C1122" t="str">
            <v>Class F EUR (C)</v>
          </cell>
          <cell r="D1122" t="str">
            <v>EUR</v>
          </cell>
          <cell r="E1122" t="str">
            <v>03-Jan-2022</v>
          </cell>
          <cell r="F1122">
            <v>33593181.030000001</v>
          </cell>
          <cell r="G1122">
            <v>3306482.34</v>
          </cell>
          <cell r="H1122">
            <v>10.16</v>
          </cell>
          <cell r="I1122">
            <v>0</v>
          </cell>
          <cell r="J1122">
            <v>10.16</v>
          </cell>
        </row>
        <row r="1123">
          <cell r="A1123" t="str">
            <v>LU1883337617</v>
          </cell>
          <cell r="B1123" t="str">
            <v>AMUNDI FUNDS OPTIMAL YIELD</v>
          </cell>
          <cell r="C1123" t="str">
            <v>Class F EUR QTD (D)</v>
          </cell>
          <cell r="D1123" t="str">
            <v>EUR</v>
          </cell>
          <cell r="E1123" t="str">
            <v>03-Jan-2022</v>
          </cell>
          <cell r="F1123">
            <v>9794137.0600000005</v>
          </cell>
          <cell r="G1123">
            <v>1819868.551</v>
          </cell>
          <cell r="H1123">
            <v>5.3819999999999997</v>
          </cell>
          <cell r="I1123">
            <v>4.1700000000000001E-2</v>
          </cell>
          <cell r="J1123">
            <v>5.3819999999999997</v>
          </cell>
        </row>
        <row r="1124">
          <cell r="A1124" t="str">
            <v>LU2098276038</v>
          </cell>
          <cell r="B1124" t="str">
            <v>AMUNDI FUNDS OPTIMAL YIELD</v>
          </cell>
          <cell r="C1124" t="str">
            <v>Class H EUR (C)</v>
          </cell>
          <cell r="D1124" t="str">
            <v>EUR</v>
          </cell>
          <cell r="E1124" t="str">
            <v>03-Jan-2022</v>
          </cell>
          <cell r="F1124">
            <v>5158.17</v>
          </cell>
          <cell r="G1124">
            <v>5</v>
          </cell>
          <cell r="H1124">
            <v>1031.6300000000001</v>
          </cell>
          <cell r="I1124">
            <v>0</v>
          </cell>
          <cell r="J1124">
            <v>1031.6300000000001</v>
          </cell>
        </row>
        <row r="1125">
          <cell r="A1125" t="str">
            <v>LU1883337963</v>
          </cell>
          <cell r="B1125" t="str">
            <v>AMUNDI FUNDS OPTIMAL YIELD</v>
          </cell>
          <cell r="C1125" t="str">
            <v>Class I2 USD Hgd (C)</v>
          </cell>
          <cell r="D1125" t="str">
            <v>USD</v>
          </cell>
          <cell r="E1125" t="str">
            <v>03-Jan-2022</v>
          </cell>
          <cell r="F1125">
            <v>29222.59</v>
          </cell>
          <cell r="G1125">
            <v>21.92</v>
          </cell>
          <cell r="H1125">
            <v>1333.15</v>
          </cell>
          <cell r="I1125">
            <v>0</v>
          </cell>
          <cell r="J1125">
            <v>1333.15</v>
          </cell>
        </row>
        <row r="1126">
          <cell r="A1126" t="str">
            <v>LU1883337450</v>
          </cell>
          <cell r="B1126" t="str">
            <v>AMUNDI FUNDS OPTIMAL YIELD</v>
          </cell>
          <cell r="C1126" t="str">
            <v>Class E2 EUR QTD (D)</v>
          </cell>
          <cell r="D1126" t="str">
            <v>EUR</v>
          </cell>
          <cell r="E1126" t="str">
            <v>03-Jan-2022</v>
          </cell>
          <cell r="F1126">
            <v>60990210.560000002</v>
          </cell>
          <cell r="G1126">
            <v>10144880.058</v>
          </cell>
          <cell r="H1126">
            <v>6.0119999999999996</v>
          </cell>
          <cell r="I1126">
            <v>4.6300000000000001E-2</v>
          </cell>
          <cell r="J1126">
            <v>6.0119999999999996</v>
          </cell>
        </row>
        <row r="1127">
          <cell r="A1127" t="str">
            <v>LU1883337708</v>
          </cell>
          <cell r="B1127" t="str">
            <v>AMUNDI FUNDS OPTIMAL YIELD</v>
          </cell>
          <cell r="C1127" t="str">
            <v>Class I2 EUR (C)</v>
          </cell>
          <cell r="D1127" t="str">
            <v>EUR</v>
          </cell>
          <cell r="E1127" t="str">
            <v>03-Jan-2022</v>
          </cell>
          <cell r="F1127">
            <v>192876098.58000001</v>
          </cell>
          <cell r="G1127">
            <v>88004.437999999995</v>
          </cell>
          <cell r="H1127">
            <v>2191.66</v>
          </cell>
          <cell r="I1127">
            <v>0</v>
          </cell>
          <cell r="J1127">
            <v>2191.66</v>
          </cell>
        </row>
        <row r="1128">
          <cell r="A1128" t="str">
            <v>LU1883338854</v>
          </cell>
          <cell r="B1128" t="str">
            <v>AMUNDI FUNDS OPTIMAL YIELD</v>
          </cell>
          <cell r="C1128" t="str">
            <v>Class R2 USD AD (D)</v>
          </cell>
          <cell r="D1128" t="str">
            <v>USD</v>
          </cell>
          <cell r="E1128" t="str">
            <v>03-Jan-2022</v>
          </cell>
          <cell r="F1128">
            <v>17866.07</v>
          </cell>
          <cell r="G1128">
            <v>319.60899999999998</v>
          </cell>
          <cell r="H1128">
            <v>55.9</v>
          </cell>
          <cell r="I1128">
            <v>0</v>
          </cell>
          <cell r="J1128">
            <v>55.9</v>
          </cell>
        </row>
        <row r="1129">
          <cell r="A1129" t="str">
            <v>LU1894680088</v>
          </cell>
          <cell r="B1129" t="str">
            <v>AMUNDI FUNDS OPTIMAL YIELD</v>
          </cell>
          <cell r="C1129" t="str">
            <v>Class G EUR QD (D)</v>
          </cell>
          <cell r="D1129" t="str">
            <v>EUR</v>
          </cell>
          <cell r="E1129" t="str">
            <v>03-Jan-2022</v>
          </cell>
          <cell r="F1129">
            <v>2711876.43</v>
          </cell>
          <cell r="G1129">
            <v>556197.99300000002</v>
          </cell>
          <cell r="H1129">
            <v>4.8760000000000003</v>
          </cell>
          <cell r="I1129">
            <v>0</v>
          </cell>
          <cell r="J1129">
            <v>4.8760000000000003</v>
          </cell>
        </row>
        <row r="1130">
          <cell r="A1130" t="str">
            <v>LU1883338342</v>
          </cell>
          <cell r="B1130" t="str">
            <v>AMUNDI FUNDS OPTIMAL YIELD</v>
          </cell>
          <cell r="C1130" t="str">
            <v>Class R2 EUR AD (D)</v>
          </cell>
          <cell r="D1130" t="str">
            <v>EUR</v>
          </cell>
          <cell r="E1130" t="str">
            <v>03-Jan-2022</v>
          </cell>
          <cell r="F1130">
            <v>1424951.92</v>
          </cell>
          <cell r="G1130">
            <v>28815.367999999999</v>
          </cell>
          <cell r="H1130">
            <v>49.45</v>
          </cell>
          <cell r="I1130">
            <v>0</v>
          </cell>
          <cell r="J1130">
            <v>49.45</v>
          </cell>
        </row>
        <row r="1131">
          <cell r="A1131" t="str">
            <v>LU1883338268</v>
          </cell>
          <cell r="B1131" t="str">
            <v>AMUNDI FUNDS OPTIMAL YIELD</v>
          </cell>
          <cell r="C1131" t="str">
            <v>Class R2 EUR (C)</v>
          </cell>
          <cell r="D1131" t="str">
            <v>EUR</v>
          </cell>
          <cell r="E1131" t="str">
            <v>03-Jan-2022</v>
          </cell>
          <cell r="F1131">
            <v>1050436.3899999999</v>
          </cell>
          <cell r="G1131">
            <v>16760.731</v>
          </cell>
          <cell r="H1131">
            <v>62.67</v>
          </cell>
          <cell r="I1131">
            <v>0</v>
          </cell>
          <cell r="J1131">
            <v>62.67</v>
          </cell>
        </row>
        <row r="1132">
          <cell r="A1132" t="str">
            <v>LU1883338425</v>
          </cell>
          <cell r="B1132" t="str">
            <v>AMUNDI FUNDS OPTIMAL YIELD</v>
          </cell>
          <cell r="C1132" t="str">
            <v>Class R2 GBP (C)</v>
          </cell>
          <cell r="D1132" t="str">
            <v>GBP</v>
          </cell>
          <cell r="E1132" t="str">
            <v>03-Jan-2022</v>
          </cell>
          <cell r="F1132">
            <v>208183.26</v>
          </cell>
          <cell r="G1132">
            <v>2541.2460000000001</v>
          </cell>
          <cell r="H1132">
            <v>81.92</v>
          </cell>
          <cell r="I1132">
            <v>0</v>
          </cell>
          <cell r="J1132">
            <v>81.92</v>
          </cell>
        </row>
        <row r="1133">
          <cell r="A1133" t="str">
            <v>LU1883338938</v>
          </cell>
          <cell r="B1133" t="str">
            <v>AMUNDI FUNDS OPTIMAL YIELD</v>
          </cell>
          <cell r="C1133" t="str">
            <v>Class R2 USD Hgd (C)</v>
          </cell>
          <cell r="D1133" t="str">
            <v>USD</v>
          </cell>
          <cell r="E1133" t="str">
            <v>03-Jan-2022</v>
          </cell>
          <cell r="F1133">
            <v>136628.66</v>
          </cell>
          <cell r="G1133">
            <v>2379</v>
          </cell>
          <cell r="H1133">
            <v>57.43</v>
          </cell>
          <cell r="I1133">
            <v>0</v>
          </cell>
          <cell r="J1133">
            <v>57.43</v>
          </cell>
        </row>
        <row r="1134">
          <cell r="A1134" t="str">
            <v>LU1883339076</v>
          </cell>
          <cell r="B1134" t="str">
            <v>AMUNDI FUNDS OPTIMAL YIELD</v>
          </cell>
          <cell r="C1134" t="str">
            <v>Class R2 USD Hgd MD (D)</v>
          </cell>
          <cell r="D1134" t="str">
            <v>USD</v>
          </cell>
          <cell r="E1134" t="str">
            <v>03-Jan-2022</v>
          </cell>
          <cell r="F1134">
            <v>127961.87</v>
          </cell>
          <cell r="G1134">
            <v>2501.6390000000001</v>
          </cell>
          <cell r="H1134">
            <v>51.15</v>
          </cell>
          <cell r="I1134">
            <v>0.129</v>
          </cell>
          <cell r="J1134">
            <v>51.15</v>
          </cell>
        </row>
        <row r="1135">
          <cell r="A1135" t="str">
            <v>LU1883338771</v>
          </cell>
          <cell r="B1135" t="str">
            <v>AMUNDI FUNDS OPTIMAL YIELD</v>
          </cell>
          <cell r="C1135" t="str">
            <v>Class R2 SEK Hgd (C)</v>
          </cell>
          <cell r="D1135" t="str">
            <v>SEK</v>
          </cell>
          <cell r="E1135" t="str">
            <v>03-Jan-2022</v>
          </cell>
          <cell r="F1135">
            <v>1069037.3999999999</v>
          </cell>
          <cell r="G1135">
            <v>1003.91</v>
          </cell>
          <cell r="H1135">
            <v>1064.8699999999999</v>
          </cell>
          <cell r="I1135">
            <v>0</v>
          </cell>
          <cell r="J1135">
            <v>1064.8699999999999</v>
          </cell>
        </row>
        <row r="1136">
          <cell r="A1136" t="str">
            <v>LU2176991185</v>
          </cell>
          <cell r="B1136" t="str">
            <v>AMUNDI FUNDS OPTIMAL YIELD</v>
          </cell>
          <cell r="C1136" t="str">
            <v>Class G EUR (C)</v>
          </cell>
          <cell r="D1136" t="str">
            <v>EUR</v>
          </cell>
          <cell r="E1136" t="str">
            <v>03-Jan-2022</v>
          </cell>
          <cell r="F1136">
            <v>1193700.53</v>
          </cell>
          <cell r="G1136">
            <v>221447.53200000001</v>
          </cell>
          <cell r="H1136">
            <v>5.39</v>
          </cell>
          <cell r="I1136">
            <v>0</v>
          </cell>
          <cell r="J1136">
            <v>5.39</v>
          </cell>
        </row>
        <row r="1137">
          <cell r="A1137" t="str">
            <v>LU1998916008</v>
          </cell>
          <cell r="B1137" t="str">
            <v>AMUNDI FUNDS OPTIMAL YIELD</v>
          </cell>
          <cell r="C1137" t="str">
            <v>Class H EUR QTD (D)</v>
          </cell>
          <cell r="D1137" t="str">
            <v>EUR</v>
          </cell>
          <cell r="E1137" t="str">
            <v>03-Jan-2022</v>
          </cell>
          <cell r="F1137">
            <v>6307999.9900000002</v>
          </cell>
          <cell r="G1137">
            <v>6362.3909999999996</v>
          </cell>
          <cell r="H1137">
            <v>991.45</v>
          </cell>
          <cell r="I1137">
            <v>7.5378999999999996</v>
          </cell>
          <cell r="J1137">
            <v>991.45</v>
          </cell>
        </row>
        <row r="1138">
          <cell r="A1138" t="str">
            <v>LU1882476010</v>
          </cell>
          <cell r="B1138" t="str">
            <v>AMUNDI FUNDS STRATEGIC BOND</v>
          </cell>
          <cell r="C1138" t="str">
            <v>Class A EUR AD (D)</v>
          </cell>
          <cell r="D1138" t="str">
            <v>EUR</v>
          </cell>
          <cell r="E1138" t="str">
            <v>03-Jan-2022</v>
          </cell>
          <cell r="F1138">
            <v>9624866.1600000001</v>
          </cell>
          <cell r="G1138">
            <v>209936.05600000001</v>
          </cell>
          <cell r="H1138">
            <v>45.85</v>
          </cell>
          <cell r="I1138">
            <v>0</v>
          </cell>
          <cell r="J1138">
            <v>47.23</v>
          </cell>
        </row>
        <row r="1139">
          <cell r="A1139" t="str">
            <v>LU1882475988</v>
          </cell>
          <cell r="B1139" t="str">
            <v>AMUNDI FUNDS STRATEGIC BOND</v>
          </cell>
          <cell r="C1139" t="str">
            <v>Class A EUR (C)</v>
          </cell>
          <cell r="D1139" t="str">
            <v>EUR</v>
          </cell>
          <cell r="E1139" t="str">
            <v>03-Jan-2022</v>
          </cell>
          <cell r="F1139">
            <v>46227699.32</v>
          </cell>
          <cell r="G1139">
            <v>455674.391</v>
          </cell>
          <cell r="H1139">
            <v>101.45</v>
          </cell>
          <cell r="I1139">
            <v>0</v>
          </cell>
          <cell r="J1139">
            <v>104.49</v>
          </cell>
        </row>
        <row r="1140">
          <cell r="A1140" t="str">
            <v>LU1882475806</v>
          </cell>
          <cell r="B1140" t="str">
            <v>AMUNDI FUNDS STRATEGIC BOND</v>
          </cell>
          <cell r="C1140" t="str">
            <v>Class A CZK Hgd (C)</v>
          </cell>
          <cell r="D1140" t="str">
            <v>CZK</v>
          </cell>
          <cell r="E1140" t="str">
            <v>03-Jan-2022</v>
          </cell>
          <cell r="F1140">
            <v>1417531770.8599999</v>
          </cell>
          <cell r="G1140">
            <v>908065.23</v>
          </cell>
          <cell r="H1140">
            <v>1561.05</v>
          </cell>
          <cell r="I1140">
            <v>0</v>
          </cell>
          <cell r="J1140">
            <v>1607.88</v>
          </cell>
        </row>
        <row r="1141">
          <cell r="A1141" t="str">
            <v>LU1883302827</v>
          </cell>
          <cell r="B1141" t="str">
            <v>AMUNDI FUNDS STRATEGIC BOND</v>
          </cell>
          <cell r="C1141" t="str">
            <v>Class M2 EUR (C)</v>
          </cell>
          <cell r="D1141" t="str">
            <v>EUR</v>
          </cell>
          <cell r="E1141" t="str">
            <v>03-Jan-2022</v>
          </cell>
          <cell r="F1141">
            <v>98568316.760000005</v>
          </cell>
          <cell r="G1141">
            <v>49267.264000000003</v>
          </cell>
          <cell r="H1141">
            <v>2000.69</v>
          </cell>
          <cell r="I1141">
            <v>0</v>
          </cell>
          <cell r="J1141">
            <v>2000.69</v>
          </cell>
        </row>
        <row r="1142">
          <cell r="A1142" t="str">
            <v>LU1883303049</v>
          </cell>
          <cell r="B1142" t="str">
            <v>AMUNDI FUNDS STRATEGIC BOND</v>
          </cell>
          <cell r="C1142" t="str">
            <v>Class M2 EUR AD (D)</v>
          </cell>
          <cell r="D1142" t="str">
            <v>EUR</v>
          </cell>
          <cell r="E1142" t="str">
            <v>03-Jan-2022</v>
          </cell>
          <cell r="F1142">
            <v>401670.92</v>
          </cell>
          <cell r="G1142">
            <v>428.86</v>
          </cell>
          <cell r="H1142">
            <v>936.6</v>
          </cell>
          <cell r="I1142">
            <v>0</v>
          </cell>
          <cell r="J1142">
            <v>936.6</v>
          </cell>
        </row>
        <row r="1143">
          <cell r="A1143" t="str">
            <v>LU1882476101</v>
          </cell>
          <cell r="B1143" t="str">
            <v>AMUNDI FUNDS STRATEGIC BOND</v>
          </cell>
          <cell r="C1143" t="str">
            <v>Class C EUR (C)</v>
          </cell>
          <cell r="D1143" t="str">
            <v>EUR</v>
          </cell>
          <cell r="E1143" t="str">
            <v>03-Jan-2022</v>
          </cell>
          <cell r="F1143">
            <v>1624392.35</v>
          </cell>
          <cell r="G1143">
            <v>17568.986000000001</v>
          </cell>
          <cell r="H1143">
            <v>92.46</v>
          </cell>
          <cell r="I1143">
            <v>0</v>
          </cell>
          <cell r="J1143">
            <v>92.46</v>
          </cell>
        </row>
        <row r="1144">
          <cell r="A1144" t="str">
            <v>LU1882476283</v>
          </cell>
          <cell r="B1144" t="str">
            <v>AMUNDI FUNDS STRATEGIC BOND</v>
          </cell>
          <cell r="C1144" t="str">
            <v>Class E2 EUR (C)</v>
          </cell>
          <cell r="D1144" t="str">
            <v>EUR</v>
          </cell>
          <cell r="E1144" t="str">
            <v>03-Jan-2022</v>
          </cell>
          <cell r="F1144">
            <v>381451968.87</v>
          </cell>
          <cell r="G1144">
            <v>33890435.828000002</v>
          </cell>
          <cell r="H1144">
            <v>11.255000000000001</v>
          </cell>
          <cell r="I1144">
            <v>0</v>
          </cell>
          <cell r="J1144">
            <v>11.255000000000001</v>
          </cell>
        </row>
        <row r="1145">
          <cell r="A1145" t="str">
            <v>LU1882476366</v>
          </cell>
          <cell r="B1145" t="str">
            <v>AMUNDI FUNDS STRATEGIC BOND</v>
          </cell>
          <cell r="C1145" t="str">
            <v>Class E2 EUR AD (D)</v>
          </cell>
          <cell r="D1145" t="str">
            <v>EUR</v>
          </cell>
          <cell r="E1145" t="str">
            <v>03-Jan-2022</v>
          </cell>
          <cell r="F1145">
            <v>310949773.45999998</v>
          </cell>
          <cell r="G1145">
            <v>69579211.346000001</v>
          </cell>
          <cell r="H1145">
            <v>4.4690000000000003</v>
          </cell>
          <cell r="I1145">
            <v>0</v>
          </cell>
          <cell r="J1145">
            <v>4.4690000000000003</v>
          </cell>
        </row>
        <row r="1146">
          <cell r="A1146" t="str">
            <v>LU1882476796</v>
          </cell>
          <cell r="B1146" t="str">
            <v>AMUNDI FUNDS STRATEGIC BOND</v>
          </cell>
          <cell r="C1146" t="str">
            <v>Class F EUR AD (D)</v>
          </cell>
          <cell r="D1146" t="str">
            <v>EUR</v>
          </cell>
          <cell r="E1146" t="str">
            <v>03-Jan-2022</v>
          </cell>
          <cell r="F1146">
            <v>24695075.059999999</v>
          </cell>
          <cell r="G1146">
            <v>5577450.2779999999</v>
          </cell>
          <cell r="H1146">
            <v>4.4279999999999999</v>
          </cell>
          <cell r="I1146">
            <v>0</v>
          </cell>
          <cell r="J1146">
            <v>4.4279999999999999</v>
          </cell>
        </row>
        <row r="1147">
          <cell r="A1147" t="str">
            <v>LU1882476523</v>
          </cell>
          <cell r="B1147" t="str">
            <v>AMUNDI FUNDS STRATEGIC BOND</v>
          </cell>
          <cell r="C1147" t="str">
            <v>Class F EUR (C)</v>
          </cell>
          <cell r="D1147" t="str">
            <v>EUR</v>
          </cell>
          <cell r="E1147" t="str">
            <v>03-Jan-2022</v>
          </cell>
          <cell r="F1147">
            <v>96098872.579999998</v>
          </cell>
          <cell r="G1147">
            <v>10438071.611</v>
          </cell>
          <cell r="H1147">
            <v>9.2070000000000007</v>
          </cell>
          <cell r="I1147">
            <v>0</v>
          </cell>
          <cell r="J1147">
            <v>9.2070000000000007</v>
          </cell>
        </row>
        <row r="1148">
          <cell r="A1148" t="str">
            <v>LU1882476879</v>
          </cell>
          <cell r="B1148" t="str">
            <v>AMUNDI FUNDS STRATEGIC BOND</v>
          </cell>
          <cell r="C1148" t="str">
            <v>Class F EUR QTD (D)</v>
          </cell>
          <cell r="D1148" t="str">
            <v>EUR</v>
          </cell>
          <cell r="E1148" t="str">
            <v>03-Jan-2022</v>
          </cell>
          <cell r="F1148">
            <v>41942118.609999999</v>
          </cell>
          <cell r="G1148">
            <v>8536257.5610000007</v>
          </cell>
          <cell r="H1148">
            <v>4.9130000000000003</v>
          </cell>
          <cell r="I1148">
            <v>3.8800000000000001E-2</v>
          </cell>
          <cell r="J1148">
            <v>4.9130000000000003</v>
          </cell>
        </row>
        <row r="1149">
          <cell r="A1149" t="str">
            <v>LU1883302744</v>
          </cell>
          <cell r="B1149" t="str">
            <v>AMUNDI FUNDS STRATEGIC BOND</v>
          </cell>
          <cell r="C1149" t="str">
            <v>Class I2 EUR QD (D)</v>
          </cell>
          <cell r="D1149" t="str">
            <v>EUR</v>
          </cell>
          <cell r="E1149" t="str">
            <v>03-Jan-2022</v>
          </cell>
          <cell r="F1149">
            <v>1847306.8</v>
          </cell>
          <cell r="G1149">
            <v>2103.0520000000001</v>
          </cell>
          <cell r="H1149">
            <v>878.39</v>
          </cell>
          <cell r="I1149">
            <v>0</v>
          </cell>
          <cell r="J1149">
            <v>878.39</v>
          </cell>
        </row>
        <row r="1150">
          <cell r="A1150" t="str">
            <v>LU1882476440</v>
          </cell>
          <cell r="B1150" t="str">
            <v>AMUNDI FUNDS STRATEGIC BOND</v>
          </cell>
          <cell r="C1150" t="str">
            <v>Class E2 EUR QTD (D)</v>
          </cell>
          <cell r="D1150" t="str">
            <v>EUR</v>
          </cell>
          <cell r="E1150" t="str">
            <v>03-Jan-2022</v>
          </cell>
          <cell r="F1150">
            <v>399574224.57999998</v>
          </cell>
          <cell r="G1150">
            <v>76010116.487000003</v>
          </cell>
          <cell r="H1150">
            <v>5.2569999999999997</v>
          </cell>
          <cell r="I1150">
            <v>4.1399999999999999E-2</v>
          </cell>
          <cell r="J1150">
            <v>5.2569999999999997</v>
          </cell>
        </row>
        <row r="1151">
          <cell r="A1151" t="str">
            <v>LU1883302660</v>
          </cell>
          <cell r="B1151" t="str">
            <v>AMUNDI FUNDS STRATEGIC BOND</v>
          </cell>
          <cell r="C1151" t="str">
            <v>Class I2 EUR (C)</v>
          </cell>
          <cell r="D1151" t="str">
            <v>EUR</v>
          </cell>
          <cell r="E1151" t="str">
            <v>03-Jan-2022</v>
          </cell>
          <cell r="F1151">
            <v>3834401.18</v>
          </cell>
          <cell r="G1151">
            <v>32173.045999999998</v>
          </cell>
          <cell r="H1151">
            <v>119.18</v>
          </cell>
          <cell r="I1151">
            <v>0</v>
          </cell>
          <cell r="J1151">
            <v>119.18</v>
          </cell>
        </row>
        <row r="1152">
          <cell r="A1152" t="str">
            <v>LU1894679072</v>
          </cell>
          <cell r="B1152" t="str">
            <v>AMUNDI FUNDS STRATEGIC BOND</v>
          </cell>
          <cell r="C1152" t="str">
            <v>Class G EUR AD (D)</v>
          </cell>
          <cell r="D1152" t="str">
            <v>EUR</v>
          </cell>
          <cell r="E1152" t="str">
            <v>03-Jan-2022</v>
          </cell>
          <cell r="F1152">
            <v>2832402.25</v>
          </cell>
          <cell r="G1152">
            <v>583534.777</v>
          </cell>
          <cell r="H1152">
            <v>4.8540000000000001</v>
          </cell>
          <cell r="I1152">
            <v>0</v>
          </cell>
          <cell r="J1152">
            <v>4.8540000000000001</v>
          </cell>
        </row>
        <row r="1153">
          <cell r="A1153" t="str">
            <v>LU1894679155</v>
          </cell>
          <cell r="B1153" t="str">
            <v>AMUNDI FUNDS STRATEGIC BOND</v>
          </cell>
          <cell r="C1153" t="str">
            <v>Class G EUR QD (D)</v>
          </cell>
          <cell r="D1153" t="str">
            <v>EUR</v>
          </cell>
          <cell r="E1153" t="str">
            <v>03-Jan-2022</v>
          </cell>
          <cell r="F1153">
            <v>272465.86</v>
          </cell>
          <cell r="G1153">
            <v>57026.002</v>
          </cell>
          <cell r="H1153">
            <v>4.7779999999999996</v>
          </cell>
          <cell r="I1153">
            <v>0</v>
          </cell>
          <cell r="J1153">
            <v>4.7779999999999996</v>
          </cell>
        </row>
        <row r="1154">
          <cell r="A1154" t="str">
            <v>LU1883303478</v>
          </cell>
          <cell r="B1154" t="str">
            <v>AMUNDI FUNDS STRATEGIC BOND</v>
          </cell>
          <cell r="C1154" t="str">
            <v>Class R2 EUR AD (D)</v>
          </cell>
          <cell r="D1154" t="str">
            <v>EUR</v>
          </cell>
          <cell r="E1154" t="str">
            <v>03-Jan-2022</v>
          </cell>
          <cell r="F1154">
            <v>4693.2299999999996</v>
          </cell>
          <cell r="G1154">
            <v>103.807</v>
          </cell>
          <cell r="H1154">
            <v>45.21</v>
          </cell>
          <cell r="I1154">
            <v>0</v>
          </cell>
          <cell r="J1154">
            <v>45.21</v>
          </cell>
        </row>
        <row r="1155">
          <cell r="A1155" t="str">
            <v>LU1883303395</v>
          </cell>
          <cell r="B1155" t="str">
            <v>AMUNDI FUNDS STRATEGIC BOND</v>
          </cell>
          <cell r="C1155" t="str">
            <v>Class R2 EUR (C)</v>
          </cell>
          <cell r="D1155" t="str">
            <v>EUR</v>
          </cell>
          <cell r="E1155" t="str">
            <v>03-Jan-2022</v>
          </cell>
          <cell r="F1155">
            <v>179590.43</v>
          </cell>
          <cell r="G1155">
            <v>2966.6610000000001</v>
          </cell>
          <cell r="H1155">
            <v>60.54</v>
          </cell>
          <cell r="I1155">
            <v>0</v>
          </cell>
          <cell r="J1155">
            <v>60.54</v>
          </cell>
        </row>
        <row r="1156">
          <cell r="A1156" t="str">
            <v>LU2085675192</v>
          </cell>
          <cell r="B1156" t="str">
            <v>AMUNDI FUNDS STRATEGIC BOND</v>
          </cell>
          <cell r="C1156" t="str">
            <v>Class Z EUR (C)</v>
          </cell>
          <cell r="D1156" t="str">
            <v>EUR</v>
          </cell>
          <cell r="E1156" t="str">
            <v>03-Jan-2022</v>
          </cell>
          <cell r="F1156">
            <v>3638283.92</v>
          </cell>
          <cell r="G1156">
            <v>3390.3429999999998</v>
          </cell>
          <cell r="H1156">
            <v>1073.1300000000001</v>
          </cell>
          <cell r="I1156">
            <v>0</v>
          </cell>
          <cell r="J1156">
            <v>1073.1300000000001</v>
          </cell>
        </row>
        <row r="1157">
          <cell r="A1157" t="str">
            <v>LU1998915026</v>
          </cell>
          <cell r="B1157" t="str">
            <v>AMUNDI FUNDS STRATEGIC BOND</v>
          </cell>
          <cell r="C1157" t="str">
            <v>Class H EUR QTD (D)</v>
          </cell>
          <cell r="D1157" t="str">
            <v>EUR</v>
          </cell>
          <cell r="E1157" t="str">
            <v>03-Jan-2022</v>
          </cell>
          <cell r="F1157">
            <v>2831597.94</v>
          </cell>
          <cell r="G1157">
            <v>2840.4589999999998</v>
          </cell>
          <cell r="H1157">
            <v>996.88</v>
          </cell>
          <cell r="I1157">
            <v>7.7724000000000002</v>
          </cell>
          <cell r="J1157">
            <v>996.88</v>
          </cell>
        </row>
        <row r="1158">
          <cell r="A1158" t="str">
            <v>LU1882443432</v>
          </cell>
          <cell r="B1158" t="str">
            <v>AMUNDI FUNDS PIONEER US SHORT TERM BOND</v>
          </cell>
          <cell r="C1158" t="str">
            <v>Class M2 EUR (C)</v>
          </cell>
          <cell r="D1158" t="str">
            <v>EUR</v>
          </cell>
          <cell r="E1158" t="str">
            <v>03-Jan-2022</v>
          </cell>
          <cell r="F1158">
            <v>9227862.8699999992</v>
          </cell>
          <cell r="G1158">
            <v>5630.6629999999996</v>
          </cell>
          <cell r="H1158">
            <v>1638.86</v>
          </cell>
          <cell r="I1158">
            <v>0</v>
          </cell>
          <cell r="J1158">
            <v>1638.86</v>
          </cell>
        </row>
        <row r="1159">
          <cell r="A1159" t="str">
            <v>LU1882442467</v>
          </cell>
          <cell r="B1159" t="str">
            <v>AMUNDI FUNDS PIONEER US SHORT TERM BOND</v>
          </cell>
          <cell r="C1159" t="str">
            <v>Class B USD (C)</v>
          </cell>
          <cell r="D1159" t="str">
            <v>USD</v>
          </cell>
          <cell r="E1159" t="str">
            <v>03-Jan-2022</v>
          </cell>
          <cell r="F1159">
            <v>1614798.22</v>
          </cell>
          <cell r="G1159">
            <v>305654.67099999997</v>
          </cell>
          <cell r="H1159">
            <v>5.28</v>
          </cell>
          <cell r="I1159">
            <v>0</v>
          </cell>
          <cell r="J1159">
            <v>5.28</v>
          </cell>
        </row>
        <row r="1160">
          <cell r="A1160" t="str">
            <v>LU1882442541</v>
          </cell>
          <cell r="B1160" t="str">
            <v>AMUNDI FUNDS PIONEER US SHORT TERM BOND</v>
          </cell>
          <cell r="C1160" t="str">
            <v>Class C EUR (C)</v>
          </cell>
          <cell r="D1160" t="str">
            <v>EUR</v>
          </cell>
          <cell r="E1160" t="str">
            <v>03-Jan-2022</v>
          </cell>
          <cell r="F1160">
            <v>986828.36</v>
          </cell>
          <cell r="G1160">
            <v>197694.973</v>
          </cell>
          <cell r="H1160">
            <v>4.99</v>
          </cell>
          <cell r="I1160">
            <v>0</v>
          </cell>
          <cell r="J1160">
            <v>4.99</v>
          </cell>
        </row>
        <row r="1161">
          <cell r="A1161" t="str">
            <v>LU1882442897</v>
          </cell>
          <cell r="B1161" t="str">
            <v>AMUNDI FUNDS PIONEER US SHORT TERM BOND</v>
          </cell>
          <cell r="C1161" t="str">
            <v>Class C USD (C)</v>
          </cell>
          <cell r="D1161" t="str">
            <v>USD</v>
          </cell>
          <cell r="E1161" t="str">
            <v>03-Jan-2022</v>
          </cell>
          <cell r="F1161">
            <v>10057316.140000001</v>
          </cell>
          <cell r="G1161">
            <v>1784571.7169999999</v>
          </cell>
          <cell r="H1161">
            <v>5.64</v>
          </cell>
          <cell r="I1161">
            <v>0</v>
          </cell>
          <cell r="J1161">
            <v>5.64</v>
          </cell>
        </row>
        <row r="1162">
          <cell r="A1162" t="str">
            <v>LU1882442970</v>
          </cell>
          <cell r="B1162" t="str">
            <v>AMUNDI FUNDS PIONEER US SHORT TERM BOND</v>
          </cell>
          <cell r="C1162" t="str">
            <v>Class C USD MD (D)</v>
          </cell>
          <cell r="D1162" t="str">
            <v>USD</v>
          </cell>
          <cell r="E1162" t="str">
            <v>03-Jan-2022</v>
          </cell>
          <cell r="F1162">
            <v>403003.93</v>
          </cell>
          <cell r="G1162">
            <v>84231.679000000004</v>
          </cell>
          <cell r="H1162">
            <v>4.78</v>
          </cell>
          <cell r="I1162">
            <v>1.4E-3</v>
          </cell>
          <cell r="J1162">
            <v>4.78</v>
          </cell>
        </row>
        <row r="1163">
          <cell r="A1163" t="str">
            <v>LU1882442202</v>
          </cell>
          <cell r="B1163" t="str">
            <v>AMUNDI FUNDS PIONEER US SHORT TERM BOND</v>
          </cell>
          <cell r="C1163" t="str">
            <v>Class A2 USD MD (D)</v>
          </cell>
          <cell r="D1163" t="str">
            <v>USD</v>
          </cell>
          <cell r="E1163" t="str">
            <v>03-Jan-2022</v>
          </cell>
          <cell r="F1163">
            <v>3284970.93</v>
          </cell>
          <cell r="G1163">
            <v>640294.37600000005</v>
          </cell>
          <cell r="H1163">
            <v>5.13</v>
          </cell>
          <cell r="I1163">
            <v>1.5E-3</v>
          </cell>
          <cell r="J1163">
            <v>5.23</v>
          </cell>
        </row>
        <row r="1164">
          <cell r="A1164" t="str">
            <v>LU1882441816</v>
          </cell>
          <cell r="B1164" t="str">
            <v>AMUNDI FUNDS PIONEER US SHORT TERM BOND</v>
          </cell>
          <cell r="C1164" t="str">
            <v>Class A2 EUR (C)</v>
          </cell>
          <cell r="D1164" t="str">
            <v>EUR</v>
          </cell>
          <cell r="E1164" t="str">
            <v>03-Jan-2022</v>
          </cell>
          <cell r="F1164">
            <v>3622814.91</v>
          </cell>
          <cell r="G1164">
            <v>588893.36600000004</v>
          </cell>
          <cell r="H1164">
            <v>6.15</v>
          </cell>
          <cell r="I1164">
            <v>0</v>
          </cell>
          <cell r="J1164">
            <v>6.27</v>
          </cell>
        </row>
        <row r="1165">
          <cell r="A1165" t="str">
            <v>LU1882443192</v>
          </cell>
          <cell r="B1165" t="str">
            <v>AMUNDI FUNDS PIONEER US SHORT TERM BOND</v>
          </cell>
          <cell r="C1165" t="str">
            <v>Class E2 EUR (C)</v>
          </cell>
          <cell r="D1165" t="str">
            <v>EUR</v>
          </cell>
          <cell r="E1165" t="str">
            <v>03-Jan-2022</v>
          </cell>
          <cell r="F1165">
            <v>32958577</v>
          </cell>
          <cell r="G1165">
            <v>5205317.7189999996</v>
          </cell>
          <cell r="H1165">
            <v>6.3319999999999999</v>
          </cell>
          <cell r="I1165">
            <v>0</v>
          </cell>
          <cell r="J1165">
            <v>6.3319999999999999</v>
          </cell>
        </row>
        <row r="1166">
          <cell r="A1166" t="str">
            <v>LU1882443275</v>
          </cell>
          <cell r="B1166" t="str">
            <v>AMUNDI FUNDS PIONEER US SHORT TERM BOND</v>
          </cell>
          <cell r="C1166" t="str">
            <v>Class F EUR (C)</v>
          </cell>
          <cell r="D1166" t="str">
            <v>EUR</v>
          </cell>
          <cell r="E1166" t="str">
            <v>03-Jan-2022</v>
          </cell>
          <cell r="F1166">
            <v>16580316.029999999</v>
          </cell>
          <cell r="G1166">
            <v>2822919.5610000002</v>
          </cell>
          <cell r="H1166">
            <v>5.8730000000000002</v>
          </cell>
          <cell r="I1166">
            <v>0</v>
          </cell>
          <cell r="J1166">
            <v>5.8730000000000002</v>
          </cell>
        </row>
        <row r="1167">
          <cell r="A1167" t="str">
            <v>LU1882443358</v>
          </cell>
          <cell r="B1167" t="str">
            <v>AMUNDI FUNDS PIONEER US SHORT TERM BOND</v>
          </cell>
          <cell r="C1167" t="str">
            <v>Class I2 USD (C)</v>
          </cell>
          <cell r="D1167" t="str">
            <v>USD</v>
          </cell>
          <cell r="E1167" t="str">
            <v>03-Jan-2022</v>
          </cell>
          <cell r="F1167">
            <v>87752877.790000007</v>
          </cell>
          <cell r="G1167">
            <v>42457.529000000002</v>
          </cell>
          <cell r="H1167">
            <v>2066.84</v>
          </cell>
          <cell r="I1167">
            <v>0</v>
          </cell>
          <cell r="J1167">
            <v>2066.84</v>
          </cell>
        </row>
        <row r="1168">
          <cell r="A1168" t="str">
            <v>LU2085676596</v>
          </cell>
          <cell r="B1168" t="str">
            <v>AMUNDI FUNDS PIONEER US SHORT TERM BOND</v>
          </cell>
          <cell r="C1168" t="str">
            <v>Class G EUR (C)</v>
          </cell>
          <cell r="D1168" t="str">
            <v>EUR</v>
          </cell>
          <cell r="E1168" t="str">
            <v>03-Jan-2022</v>
          </cell>
          <cell r="F1168">
            <v>245672.72</v>
          </cell>
          <cell r="G1168">
            <v>49605.957999999999</v>
          </cell>
          <cell r="H1168">
            <v>4.952</v>
          </cell>
          <cell r="I1168">
            <v>0</v>
          </cell>
          <cell r="J1168">
            <v>4.952</v>
          </cell>
        </row>
        <row r="1169">
          <cell r="A1169" t="str">
            <v>LU1882443861</v>
          </cell>
          <cell r="B1169" t="str">
            <v>AMUNDI FUNDS PIONEER US SHORT TERM BOND</v>
          </cell>
          <cell r="C1169" t="str">
            <v>Class T USD (C)</v>
          </cell>
          <cell r="D1169" t="str">
            <v>USD</v>
          </cell>
          <cell r="E1169" t="str">
            <v>03-Jan-2022</v>
          </cell>
          <cell r="F1169">
            <v>1059639.8500000001</v>
          </cell>
          <cell r="G1169">
            <v>21251.714</v>
          </cell>
          <cell r="H1169">
            <v>49.86</v>
          </cell>
          <cell r="I1169">
            <v>0</v>
          </cell>
          <cell r="J1169">
            <v>49.86</v>
          </cell>
        </row>
        <row r="1170">
          <cell r="A1170" t="str">
            <v>LU1882443606</v>
          </cell>
          <cell r="B1170" t="str">
            <v>AMUNDI FUNDS PIONEER US SHORT TERM BOND</v>
          </cell>
          <cell r="C1170" t="str">
            <v>Class R2 EUR (C)</v>
          </cell>
          <cell r="D1170" t="str">
            <v>EUR</v>
          </cell>
          <cell r="E1170" t="str">
            <v>03-Jan-2022</v>
          </cell>
          <cell r="F1170">
            <v>2393723.29</v>
          </cell>
          <cell r="G1170">
            <v>50660.186999999998</v>
          </cell>
          <cell r="H1170">
            <v>47.25</v>
          </cell>
          <cell r="I1170">
            <v>0</v>
          </cell>
          <cell r="J1170">
            <v>47.25</v>
          </cell>
        </row>
        <row r="1171">
          <cell r="A1171" t="str">
            <v>LU1882441907</v>
          </cell>
          <cell r="B1171" t="str">
            <v>AMUNDI FUNDS PIONEER US SHORT TERM BOND</v>
          </cell>
          <cell r="C1171" t="str">
            <v>Class A2 USD (C)</v>
          </cell>
          <cell r="D1171" t="str">
            <v>USD</v>
          </cell>
          <cell r="E1171" t="str">
            <v>03-Jan-2022</v>
          </cell>
          <cell r="F1171">
            <v>115346274.72</v>
          </cell>
          <cell r="G1171">
            <v>16613249.653999999</v>
          </cell>
          <cell r="H1171">
            <v>6.94</v>
          </cell>
          <cell r="I1171">
            <v>0</v>
          </cell>
          <cell r="J1171">
            <v>7.08</v>
          </cell>
        </row>
        <row r="1172">
          <cell r="A1172" t="str">
            <v>LU1882442111</v>
          </cell>
          <cell r="B1172" t="str">
            <v>AMUNDI FUNDS PIONEER US SHORT TERM BOND</v>
          </cell>
          <cell r="C1172" t="str">
            <v>Class A2 USD AD (D)</v>
          </cell>
          <cell r="D1172" t="str">
            <v>USD</v>
          </cell>
          <cell r="E1172" t="str">
            <v>03-Jan-2022</v>
          </cell>
          <cell r="F1172">
            <v>4382742.6900000004</v>
          </cell>
          <cell r="G1172">
            <v>67668.066999999995</v>
          </cell>
          <cell r="H1172">
            <v>64.77</v>
          </cell>
          <cell r="I1172">
            <v>0</v>
          </cell>
          <cell r="J1172">
            <v>66.069999999999993</v>
          </cell>
        </row>
        <row r="1173">
          <cell r="A1173" t="str">
            <v>LU1882443515</v>
          </cell>
          <cell r="B1173" t="str">
            <v>AMUNDI FUNDS PIONEER US SHORT TERM BOND</v>
          </cell>
          <cell r="C1173" t="str">
            <v>Class P2 USD (C)</v>
          </cell>
          <cell r="D1173" t="str">
            <v>USD</v>
          </cell>
          <cell r="E1173" t="str">
            <v>03-Jan-2022</v>
          </cell>
          <cell r="F1173">
            <v>2886203.44</v>
          </cell>
          <cell r="G1173">
            <v>53470.798999999999</v>
          </cell>
          <cell r="H1173">
            <v>53.98</v>
          </cell>
          <cell r="I1173">
            <v>0</v>
          </cell>
          <cell r="J1173">
            <v>53.98</v>
          </cell>
        </row>
        <row r="1174">
          <cell r="A1174" t="str">
            <v>LU1882443945</v>
          </cell>
          <cell r="B1174" t="str">
            <v>AMUNDI FUNDS PIONEER US SHORT TERM BOND</v>
          </cell>
          <cell r="C1174" t="str">
            <v>Class U USD (C)</v>
          </cell>
          <cell r="D1174" t="str">
            <v>USD</v>
          </cell>
          <cell r="E1174" t="str">
            <v>03-Jan-2022</v>
          </cell>
          <cell r="F1174">
            <v>3622038.65</v>
          </cell>
          <cell r="G1174">
            <v>72888.023000000001</v>
          </cell>
          <cell r="H1174">
            <v>49.69</v>
          </cell>
          <cell r="I1174">
            <v>0</v>
          </cell>
          <cell r="J1174">
            <v>49.69</v>
          </cell>
        </row>
        <row r="1175">
          <cell r="A1175" t="str">
            <v>LU1882443788</v>
          </cell>
          <cell r="B1175" t="str">
            <v>AMUNDI FUNDS PIONEER US SHORT TERM BOND</v>
          </cell>
          <cell r="C1175" t="str">
            <v>Class R2 USD (C)</v>
          </cell>
          <cell r="D1175" t="str">
            <v>USD</v>
          </cell>
          <cell r="E1175" t="str">
            <v>03-Jan-2022</v>
          </cell>
          <cell r="F1175">
            <v>9597829.5999999996</v>
          </cell>
          <cell r="G1175">
            <v>179730.66099999999</v>
          </cell>
          <cell r="H1175">
            <v>53.4</v>
          </cell>
          <cell r="I1175">
            <v>0</v>
          </cell>
          <cell r="J1175">
            <v>53.4</v>
          </cell>
        </row>
        <row r="1176">
          <cell r="A1176" t="str">
            <v>LU1998917071</v>
          </cell>
          <cell r="B1176" t="str">
            <v>AMUNDI FUNDS PIONEER US SHORT TERM BOND</v>
          </cell>
          <cell r="C1176" t="str">
            <v>Class H EUR (C)</v>
          </cell>
          <cell r="D1176" t="str">
            <v>EUR</v>
          </cell>
          <cell r="E1176" t="str">
            <v>03-Jan-2022</v>
          </cell>
          <cell r="F1176">
            <v>5072.63</v>
          </cell>
          <cell r="G1176">
            <v>5</v>
          </cell>
          <cell r="H1176">
            <v>1014.53</v>
          </cell>
          <cell r="I1176">
            <v>0</v>
          </cell>
          <cell r="J1176">
            <v>1014.53</v>
          </cell>
        </row>
        <row r="1177">
          <cell r="A1177" t="str">
            <v>LU2110860256</v>
          </cell>
          <cell r="B1177" t="str">
            <v>AMUNDI FUNDS EMERGING MARKETS BOND</v>
          </cell>
          <cell r="C1177" t="str">
            <v>Class A2 AUD Hgd MD3 (D)</v>
          </cell>
          <cell r="D1177" t="str">
            <v>AUD</v>
          </cell>
          <cell r="E1177" t="str">
            <v>03-Jan-2022</v>
          </cell>
          <cell r="F1177">
            <v>153894.98000000001</v>
          </cell>
          <cell r="G1177">
            <v>3300</v>
          </cell>
          <cell r="H1177">
            <v>46.63</v>
          </cell>
          <cell r="I1177">
            <v>0.2757</v>
          </cell>
          <cell r="J1177">
            <v>46.63</v>
          </cell>
        </row>
        <row r="1178">
          <cell r="A1178" t="str">
            <v>LU1882449983</v>
          </cell>
          <cell r="B1178" t="str">
            <v>AMUNDI FUNDS EMERGING MARKETS BOND</v>
          </cell>
          <cell r="C1178" t="str">
            <v>Class A EUR AD (D)</v>
          </cell>
          <cell r="D1178" t="str">
            <v>EUR</v>
          </cell>
          <cell r="E1178" t="str">
            <v>03-Jan-2022</v>
          </cell>
          <cell r="F1178">
            <v>67273047.930000007</v>
          </cell>
          <cell r="G1178">
            <v>1404074.081</v>
          </cell>
          <cell r="H1178">
            <v>47.91</v>
          </cell>
          <cell r="I1178">
            <v>0</v>
          </cell>
          <cell r="J1178">
            <v>49.83</v>
          </cell>
        </row>
        <row r="1179">
          <cell r="A1179" t="str">
            <v>LU1882449801</v>
          </cell>
          <cell r="B1179" t="str">
            <v>AMUNDI FUNDS EMERGING MARKETS BOND</v>
          </cell>
          <cell r="C1179" t="str">
            <v>Class A EUR (C)</v>
          </cell>
          <cell r="D1179" t="str">
            <v>EUR</v>
          </cell>
          <cell r="E1179" t="str">
            <v>03-Jan-2022</v>
          </cell>
          <cell r="F1179">
            <v>91314759.560000002</v>
          </cell>
          <cell r="G1179">
            <v>4988929.12</v>
          </cell>
          <cell r="H1179">
            <v>18.3</v>
          </cell>
          <cell r="I1179">
            <v>0</v>
          </cell>
          <cell r="J1179">
            <v>19.03</v>
          </cell>
        </row>
        <row r="1180">
          <cell r="A1180" t="str">
            <v>LU2070310037</v>
          </cell>
          <cell r="B1180" t="str">
            <v>AMUNDI FUNDS EMERGING MARKETS BOND</v>
          </cell>
          <cell r="C1180" t="str">
            <v>Class A2 EUR (C)</v>
          </cell>
          <cell r="D1180" t="str">
            <v>EUR</v>
          </cell>
          <cell r="E1180" t="str">
            <v>03-Jan-2022</v>
          </cell>
          <cell r="F1180">
            <v>26567.39</v>
          </cell>
          <cell r="G1180">
            <v>522</v>
          </cell>
          <cell r="H1180">
            <v>50.9</v>
          </cell>
          <cell r="I1180">
            <v>0</v>
          </cell>
          <cell r="J1180">
            <v>52.94</v>
          </cell>
        </row>
        <row r="1181">
          <cell r="A1181" t="str">
            <v>LU1882449637</v>
          </cell>
          <cell r="B1181" t="str">
            <v>AMUNDI FUNDS EMERGING MARKETS BOND</v>
          </cell>
          <cell r="C1181" t="str">
            <v>Class A AUD MD3 (D)</v>
          </cell>
          <cell r="D1181" t="str">
            <v>AUD</v>
          </cell>
          <cell r="E1181" t="str">
            <v>03-Jan-2022</v>
          </cell>
          <cell r="F1181">
            <v>219208566.99000001</v>
          </cell>
          <cell r="G1181">
            <v>7055009.5630000001</v>
          </cell>
          <cell r="H1181">
            <v>31.07</v>
          </cell>
          <cell r="I1181">
            <v>0.31640000000000001</v>
          </cell>
          <cell r="J1181">
            <v>32.31</v>
          </cell>
        </row>
        <row r="1182">
          <cell r="A1182" t="str">
            <v>LU1882450213</v>
          </cell>
          <cell r="B1182" t="str">
            <v>AMUNDI FUNDS EMERGING MARKETS BOND</v>
          </cell>
          <cell r="C1182" t="str">
            <v>Class A EUR MD (D)</v>
          </cell>
          <cell r="D1182" t="str">
            <v>EUR</v>
          </cell>
          <cell r="E1182" t="str">
            <v>03-Jan-2022</v>
          </cell>
          <cell r="F1182">
            <v>13769096.029999999</v>
          </cell>
          <cell r="G1182">
            <v>2599220.267</v>
          </cell>
          <cell r="H1182">
            <v>5.3</v>
          </cell>
          <cell r="I1182">
            <v>2.23E-2</v>
          </cell>
          <cell r="J1182">
            <v>5.51</v>
          </cell>
        </row>
        <row r="1183">
          <cell r="A1183" t="str">
            <v>LU2110860330</v>
          </cell>
          <cell r="B1183" t="str">
            <v>AMUNDI FUNDS EMERGING MARKETS BOND</v>
          </cell>
          <cell r="C1183" t="str">
            <v>Class A2 HKD MD3 (D)</v>
          </cell>
          <cell r="D1183" t="str">
            <v>HKD</v>
          </cell>
          <cell r="E1183" t="str">
            <v>03-Jan-2022</v>
          </cell>
          <cell r="F1183">
            <v>42981.62</v>
          </cell>
          <cell r="G1183">
            <v>920</v>
          </cell>
          <cell r="H1183">
            <v>46.72</v>
          </cell>
          <cell r="I1183">
            <v>0.28270000000000001</v>
          </cell>
          <cell r="J1183">
            <v>46.72</v>
          </cell>
        </row>
        <row r="1184">
          <cell r="A1184" t="str">
            <v>LU1882450486</v>
          </cell>
          <cell r="B1184" t="str">
            <v>AMUNDI FUNDS EMERGING MARKETS BOND</v>
          </cell>
          <cell r="C1184" t="str">
            <v>Class A USD AD (D)</v>
          </cell>
          <cell r="D1184" t="str">
            <v>USD</v>
          </cell>
          <cell r="E1184" t="str">
            <v>03-Jan-2022</v>
          </cell>
          <cell r="F1184">
            <v>6778102.9400000004</v>
          </cell>
          <cell r="G1184">
            <v>125093.40399999999</v>
          </cell>
          <cell r="H1184">
            <v>54.18</v>
          </cell>
          <cell r="I1184">
            <v>0</v>
          </cell>
          <cell r="J1184">
            <v>56.35</v>
          </cell>
        </row>
        <row r="1185">
          <cell r="A1185" t="str">
            <v>LU1882450569</v>
          </cell>
          <cell r="B1185" t="str">
            <v>AMUNDI FUNDS EMERGING MARKETS BOND</v>
          </cell>
          <cell r="C1185" t="str">
            <v>Class A USD MD (D)</v>
          </cell>
          <cell r="D1185" t="str">
            <v>USD</v>
          </cell>
          <cell r="E1185" t="str">
            <v>03-Jan-2022</v>
          </cell>
          <cell r="F1185">
            <v>70519865.560000002</v>
          </cell>
          <cell r="G1185">
            <v>11882579.108999999</v>
          </cell>
          <cell r="H1185">
            <v>5.93</v>
          </cell>
          <cell r="I1185">
            <v>2.7E-2</v>
          </cell>
          <cell r="J1185">
            <v>6.17</v>
          </cell>
        </row>
        <row r="1186">
          <cell r="A1186" t="str">
            <v>LU1882450643</v>
          </cell>
          <cell r="B1186" t="str">
            <v>AMUNDI FUNDS EMERGING MARKETS BOND</v>
          </cell>
          <cell r="C1186" t="str">
            <v>Class A USD MD3 (D)</v>
          </cell>
          <cell r="D1186" t="str">
            <v>USD</v>
          </cell>
          <cell r="E1186" t="str">
            <v>03-Jan-2022</v>
          </cell>
          <cell r="F1186">
            <v>137996445.78999999</v>
          </cell>
          <cell r="G1186">
            <v>3848768.0920000002</v>
          </cell>
          <cell r="H1186">
            <v>35.85</v>
          </cell>
          <cell r="I1186">
            <v>0.35470000000000002</v>
          </cell>
          <cell r="J1186">
            <v>37.28</v>
          </cell>
        </row>
        <row r="1187">
          <cell r="A1187" t="str">
            <v>LU1882450726</v>
          </cell>
          <cell r="B1187" t="str">
            <v>AMUNDI FUNDS EMERGING MARKETS BOND</v>
          </cell>
          <cell r="C1187" t="str">
            <v>Class A USD MGI (D)</v>
          </cell>
          <cell r="D1187" t="str">
            <v>USD</v>
          </cell>
          <cell r="E1187" t="str">
            <v>03-Jan-2022</v>
          </cell>
          <cell r="F1187">
            <v>227194032.59999999</v>
          </cell>
          <cell r="G1187">
            <v>4335430.7479999997</v>
          </cell>
          <cell r="H1187">
            <v>52.4</v>
          </cell>
          <cell r="I1187">
            <v>0.2505</v>
          </cell>
          <cell r="J1187">
            <v>54.5</v>
          </cell>
        </row>
        <row r="1188">
          <cell r="A1188" t="str">
            <v>LU1882450130</v>
          </cell>
          <cell r="B1188" t="str">
            <v>AMUNDI FUNDS EMERGING MARKETS BOND</v>
          </cell>
          <cell r="C1188" t="str">
            <v>Class A EUR Hgd AD (D)</v>
          </cell>
          <cell r="D1188" t="str">
            <v>EUR</v>
          </cell>
          <cell r="E1188" t="str">
            <v>03-Jan-2022</v>
          </cell>
          <cell r="F1188">
            <v>32662294.379999999</v>
          </cell>
          <cell r="G1188">
            <v>975628.99399999995</v>
          </cell>
          <cell r="H1188">
            <v>33.479999999999997</v>
          </cell>
          <cell r="I1188">
            <v>0</v>
          </cell>
          <cell r="J1188">
            <v>34.82</v>
          </cell>
        </row>
        <row r="1189">
          <cell r="A1189" t="str">
            <v>LU2110860769</v>
          </cell>
          <cell r="B1189" t="str">
            <v>AMUNDI FUNDS EMERGING MARKETS BOND</v>
          </cell>
          <cell r="C1189" t="str">
            <v>Class A2 USD MD3 (D)</v>
          </cell>
          <cell r="D1189" t="str">
            <v>USD</v>
          </cell>
          <cell r="E1189" t="str">
            <v>03-Jan-2022</v>
          </cell>
          <cell r="F1189">
            <v>5614.68</v>
          </cell>
          <cell r="G1189">
            <v>120.514</v>
          </cell>
          <cell r="H1189">
            <v>46.59</v>
          </cell>
          <cell r="I1189">
            <v>0.28270000000000001</v>
          </cell>
          <cell r="J1189">
            <v>46.59</v>
          </cell>
        </row>
        <row r="1190">
          <cell r="A1190" t="str">
            <v>LU1882450056</v>
          </cell>
          <cell r="B1190" t="str">
            <v>AMUNDI FUNDS EMERGING MARKETS BOND</v>
          </cell>
          <cell r="C1190" t="str">
            <v>Class A EUR Hgd (C)</v>
          </cell>
          <cell r="D1190" t="str">
            <v>EUR</v>
          </cell>
          <cell r="E1190" t="str">
            <v>03-Jan-2022</v>
          </cell>
          <cell r="F1190">
            <v>4154161.25</v>
          </cell>
          <cell r="G1190">
            <v>74105.971999999994</v>
          </cell>
          <cell r="H1190">
            <v>56.06</v>
          </cell>
          <cell r="I1190">
            <v>0</v>
          </cell>
          <cell r="J1190">
            <v>58.3</v>
          </cell>
        </row>
        <row r="1191">
          <cell r="A1191" t="str">
            <v>LU2401860049</v>
          </cell>
          <cell r="B1191" t="str">
            <v>AMUNDI FUNDS EMERGING MARKETS BOND</v>
          </cell>
          <cell r="C1191" t="str">
            <v>Class A2 RMB Hgd MD3 (D)</v>
          </cell>
          <cell r="D1191" t="str">
            <v>CNH</v>
          </cell>
          <cell r="E1191" t="str">
            <v>03-Jan-2022</v>
          </cell>
          <cell r="F1191">
            <v>780617.32</v>
          </cell>
          <cell r="G1191">
            <v>16000</v>
          </cell>
          <cell r="H1191">
            <v>48.79</v>
          </cell>
          <cell r="I1191">
            <v>0.40670000000000001</v>
          </cell>
          <cell r="J1191">
            <v>48.79</v>
          </cell>
        </row>
        <row r="1192">
          <cell r="A1192" t="str">
            <v>LU2237438622</v>
          </cell>
          <cell r="B1192" t="str">
            <v>AMUNDI FUNDS EMERGING MARKETS BOND</v>
          </cell>
          <cell r="C1192" t="str">
            <v>Class A2 SGD Hgd MGI (D)</v>
          </cell>
          <cell r="D1192" t="str">
            <v>SGD</v>
          </cell>
          <cell r="E1192" t="str">
            <v>03-Jan-2022</v>
          </cell>
          <cell r="F1192">
            <v>154466.03</v>
          </cell>
          <cell r="G1192">
            <v>3200</v>
          </cell>
          <cell r="H1192">
            <v>48.27</v>
          </cell>
          <cell r="I1192">
            <v>0.22874700000000001</v>
          </cell>
          <cell r="J1192">
            <v>48.27</v>
          </cell>
        </row>
        <row r="1193">
          <cell r="A1193" t="str">
            <v>LU1882449710</v>
          </cell>
          <cell r="B1193" t="str">
            <v>AMUNDI FUNDS EMERGING MARKETS BOND</v>
          </cell>
          <cell r="C1193" t="str">
            <v>Class A CZK Hgd (C)</v>
          </cell>
          <cell r="D1193" t="str">
            <v>CZK</v>
          </cell>
          <cell r="E1193" t="str">
            <v>03-Jan-2022</v>
          </cell>
          <cell r="F1193">
            <v>202727374.47999999</v>
          </cell>
          <cell r="G1193">
            <v>134642.21400000001</v>
          </cell>
          <cell r="H1193">
            <v>1505.67</v>
          </cell>
          <cell r="I1193">
            <v>0</v>
          </cell>
          <cell r="J1193">
            <v>1565.9</v>
          </cell>
        </row>
        <row r="1194">
          <cell r="A1194" t="str">
            <v>LU1882450304</v>
          </cell>
          <cell r="B1194" t="str">
            <v>AMUNDI FUNDS EMERGING MARKETS BOND</v>
          </cell>
          <cell r="C1194" t="str">
            <v>Class A USD (C)</v>
          </cell>
          <cell r="D1194" t="str">
            <v>USD</v>
          </cell>
          <cell r="E1194" t="str">
            <v>03-Jan-2022</v>
          </cell>
          <cell r="F1194">
            <v>61775194.850000001</v>
          </cell>
          <cell r="G1194">
            <v>2994088.3229999999</v>
          </cell>
          <cell r="H1194">
            <v>20.63</v>
          </cell>
          <cell r="I1194">
            <v>0</v>
          </cell>
          <cell r="J1194">
            <v>21.46</v>
          </cell>
        </row>
        <row r="1195">
          <cell r="A1195" t="str">
            <v>LU2110860504</v>
          </cell>
          <cell r="B1195" t="str">
            <v>AMUNDI FUNDS EMERGING MARKETS BOND</v>
          </cell>
          <cell r="C1195" t="str">
            <v>Class A2 USD (C)</v>
          </cell>
          <cell r="D1195" t="str">
            <v>USD</v>
          </cell>
          <cell r="E1195" t="str">
            <v>03-Jan-2022</v>
          </cell>
          <cell r="F1195">
            <v>4799.0200000000004</v>
          </cell>
          <cell r="G1195">
            <v>100</v>
          </cell>
          <cell r="H1195">
            <v>47.99</v>
          </cell>
          <cell r="I1195">
            <v>0</v>
          </cell>
          <cell r="J1195">
            <v>47.99</v>
          </cell>
        </row>
        <row r="1196">
          <cell r="A1196" t="str">
            <v>LU1882451708</v>
          </cell>
          <cell r="B1196" t="str">
            <v>AMUNDI FUNDS EMERGING MARKETS BOND</v>
          </cell>
          <cell r="C1196" t="str">
            <v>Class B ZAR MD3 (D)</v>
          </cell>
          <cell r="D1196" t="str">
            <v>ZAR</v>
          </cell>
          <cell r="E1196" t="str">
            <v>03-Jan-2022</v>
          </cell>
          <cell r="F1196">
            <v>1249394435.1500001</v>
          </cell>
          <cell r="G1196">
            <v>2426620.736</v>
          </cell>
          <cell r="H1196">
            <v>514.87</v>
          </cell>
          <cell r="I1196">
            <v>8.8775999999999993</v>
          </cell>
          <cell r="J1196">
            <v>514.87</v>
          </cell>
        </row>
        <row r="1197">
          <cell r="A1197" t="str">
            <v>LU1882451294</v>
          </cell>
          <cell r="B1197" t="str">
            <v>AMUNDI FUNDS EMERGING MARKETS BOND</v>
          </cell>
          <cell r="C1197" t="str">
            <v>Class B EUR (C)</v>
          </cell>
          <cell r="D1197" t="str">
            <v>EUR</v>
          </cell>
          <cell r="E1197" t="str">
            <v>03-Jan-2022</v>
          </cell>
          <cell r="F1197">
            <v>506876.7</v>
          </cell>
          <cell r="G1197">
            <v>35150.534</v>
          </cell>
          <cell r="H1197">
            <v>14.42</v>
          </cell>
          <cell r="I1197">
            <v>0</v>
          </cell>
          <cell r="J1197">
            <v>14.42</v>
          </cell>
        </row>
        <row r="1198">
          <cell r="A1198" t="str">
            <v>LU1882451617</v>
          </cell>
          <cell r="B1198" t="str">
            <v>AMUNDI FUNDS EMERGING MARKETS BOND</v>
          </cell>
          <cell r="C1198" t="str">
            <v>Class B USD MGI (D)</v>
          </cell>
          <cell r="D1198" t="str">
            <v>USD</v>
          </cell>
          <cell r="E1198" t="str">
            <v>03-Jan-2022</v>
          </cell>
          <cell r="F1198">
            <v>20132586.84</v>
          </cell>
          <cell r="G1198">
            <v>427146.728</v>
          </cell>
          <cell r="H1198">
            <v>47.13</v>
          </cell>
          <cell r="I1198">
            <v>0.225411</v>
          </cell>
          <cell r="J1198">
            <v>47.13</v>
          </cell>
        </row>
        <row r="1199">
          <cell r="A1199" t="str">
            <v>LU1882451450</v>
          </cell>
          <cell r="B1199" t="str">
            <v>AMUNDI FUNDS EMERGING MARKETS BOND</v>
          </cell>
          <cell r="C1199" t="str">
            <v>Class B USD MD (D)</v>
          </cell>
          <cell r="D1199" t="str">
            <v>USD</v>
          </cell>
          <cell r="E1199" t="str">
            <v>03-Jan-2022</v>
          </cell>
          <cell r="F1199">
            <v>246025.62</v>
          </cell>
          <cell r="G1199">
            <v>41867.955000000002</v>
          </cell>
          <cell r="H1199">
            <v>5.88</v>
          </cell>
          <cell r="I1199">
            <v>2.7E-2</v>
          </cell>
          <cell r="J1199">
            <v>5.88</v>
          </cell>
        </row>
        <row r="1200">
          <cell r="A1200" t="str">
            <v>LU1882451534</v>
          </cell>
          <cell r="B1200" t="str">
            <v>AMUNDI FUNDS EMERGING MARKETS BOND</v>
          </cell>
          <cell r="C1200" t="str">
            <v>Class B USD MD3 (D)</v>
          </cell>
          <cell r="D1200" t="str">
            <v>USD</v>
          </cell>
          <cell r="E1200" t="str">
            <v>03-Jan-2022</v>
          </cell>
          <cell r="F1200">
            <v>67082712.439999998</v>
          </cell>
          <cell r="G1200">
            <v>1928766.4550000001</v>
          </cell>
          <cell r="H1200">
            <v>34.78</v>
          </cell>
          <cell r="I1200">
            <v>0.35310000000000002</v>
          </cell>
          <cell r="J1200">
            <v>34.78</v>
          </cell>
        </row>
        <row r="1201">
          <cell r="A1201" t="str">
            <v>LU1882451021</v>
          </cell>
          <cell r="B1201" t="str">
            <v>AMUNDI FUNDS EMERGING MARKETS BOND</v>
          </cell>
          <cell r="C1201" t="str">
            <v>Class B AUD MD3 (D)</v>
          </cell>
          <cell r="D1201" t="str">
            <v>AUD</v>
          </cell>
          <cell r="E1201" t="str">
            <v>03-Jan-2022</v>
          </cell>
          <cell r="F1201">
            <v>30329101.850000001</v>
          </cell>
          <cell r="G1201">
            <v>1049377.4310000001</v>
          </cell>
          <cell r="H1201">
            <v>28.9</v>
          </cell>
          <cell r="I1201">
            <v>0.29699999999999999</v>
          </cell>
          <cell r="J1201">
            <v>28.9</v>
          </cell>
        </row>
        <row r="1202">
          <cell r="A1202" t="str">
            <v>LU1882454553</v>
          </cell>
          <cell r="B1202" t="str">
            <v>AMUNDI FUNDS EMERGING MARKETS BOND</v>
          </cell>
          <cell r="C1202" t="str">
            <v>Class M2 EUR (C)</v>
          </cell>
          <cell r="D1202" t="str">
            <v>EUR</v>
          </cell>
          <cell r="E1202" t="str">
            <v>03-Jan-2022</v>
          </cell>
          <cell r="F1202">
            <v>157693312.46000001</v>
          </cell>
          <cell r="G1202">
            <v>58102.252999999997</v>
          </cell>
          <cell r="H1202">
            <v>2714.07</v>
          </cell>
          <cell r="I1202">
            <v>0</v>
          </cell>
          <cell r="J1202">
            <v>2714.07</v>
          </cell>
        </row>
        <row r="1203">
          <cell r="A1203" t="str">
            <v>LU1882454637</v>
          </cell>
          <cell r="B1203" t="str">
            <v>AMUNDI FUNDS EMERGING MARKETS BOND</v>
          </cell>
          <cell r="C1203" t="str">
            <v>Class M2 EUR AD (D)</v>
          </cell>
          <cell r="D1203" t="str">
            <v>EUR</v>
          </cell>
          <cell r="E1203" t="str">
            <v>03-Jan-2022</v>
          </cell>
          <cell r="F1203">
            <v>15230799.16</v>
          </cell>
          <cell r="G1203">
            <v>11965.411</v>
          </cell>
          <cell r="H1203">
            <v>1272.9000000000001</v>
          </cell>
          <cell r="I1203">
            <v>0</v>
          </cell>
          <cell r="J1203">
            <v>1272.9000000000001</v>
          </cell>
        </row>
        <row r="1204">
          <cell r="A1204" t="str">
            <v>LU1882454710</v>
          </cell>
          <cell r="B1204" t="str">
            <v>AMUNDI FUNDS EMERGING MARKETS BOND</v>
          </cell>
          <cell r="C1204" t="str">
            <v>Class M2 EUR Hgd (C)</v>
          </cell>
          <cell r="D1204" t="str">
            <v>EUR</v>
          </cell>
          <cell r="E1204" t="str">
            <v>03-Jan-2022</v>
          </cell>
          <cell r="F1204">
            <v>21804460.620000001</v>
          </cell>
          <cell r="G1204">
            <v>12607.212</v>
          </cell>
          <cell r="H1204">
            <v>1729.52</v>
          </cell>
          <cell r="I1204">
            <v>0</v>
          </cell>
          <cell r="J1204">
            <v>1729.52</v>
          </cell>
        </row>
        <row r="1205">
          <cell r="A1205" t="str">
            <v>LU1882451377</v>
          </cell>
          <cell r="B1205" t="str">
            <v>AMUNDI FUNDS EMERGING MARKETS BOND</v>
          </cell>
          <cell r="C1205" t="str">
            <v>Class B USD (C)</v>
          </cell>
          <cell r="D1205" t="str">
            <v>USD</v>
          </cell>
          <cell r="E1205" t="str">
            <v>03-Jan-2022</v>
          </cell>
          <cell r="F1205">
            <v>3544290.63</v>
          </cell>
          <cell r="G1205">
            <v>217685.685</v>
          </cell>
          <cell r="H1205">
            <v>16.28</v>
          </cell>
          <cell r="I1205">
            <v>0</v>
          </cell>
          <cell r="J1205">
            <v>16.28</v>
          </cell>
        </row>
        <row r="1206">
          <cell r="A1206" t="str">
            <v>LU1882451880</v>
          </cell>
          <cell r="B1206" t="str">
            <v>AMUNDI FUNDS EMERGING MARKETS BOND</v>
          </cell>
          <cell r="C1206" t="str">
            <v>Class C EUR (C)</v>
          </cell>
          <cell r="D1206" t="str">
            <v>EUR</v>
          </cell>
          <cell r="E1206" t="str">
            <v>03-Jan-2022</v>
          </cell>
          <cell r="F1206">
            <v>3580092.48</v>
          </cell>
          <cell r="G1206">
            <v>228100.19200000001</v>
          </cell>
          <cell r="H1206">
            <v>15.7</v>
          </cell>
          <cell r="I1206">
            <v>0</v>
          </cell>
          <cell r="J1206">
            <v>15.7</v>
          </cell>
        </row>
        <row r="1207">
          <cell r="A1207" t="str">
            <v>LU1882451963</v>
          </cell>
          <cell r="B1207" t="str">
            <v>AMUNDI FUNDS EMERGING MARKETS BOND</v>
          </cell>
          <cell r="C1207" t="str">
            <v>Class C EUR MD (D)</v>
          </cell>
          <cell r="D1207" t="str">
            <v>EUR</v>
          </cell>
          <cell r="E1207" t="str">
            <v>03-Jan-2022</v>
          </cell>
          <cell r="F1207">
            <v>30317.55</v>
          </cell>
          <cell r="G1207">
            <v>5781</v>
          </cell>
          <cell r="H1207">
            <v>5.24</v>
          </cell>
          <cell r="I1207">
            <v>2.2200000000000001E-2</v>
          </cell>
          <cell r="J1207">
            <v>5.24</v>
          </cell>
        </row>
        <row r="1208">
          <cell r="A1208" t="str">
            <v>LU1882452003</v>
          </cell>
          <cell r="B1208" t="str">
            <v>AMUNDI FUNDS EMERGING MARKETS BOND</v>
          </cell>
          <cell r="C1208" t="str">
            <v>Class C USD (C)</v>
          </cell>
          <cell r="D1208" t="str">
            <v>USD</v>
          </cell>
          <cell r="E1208" t="str">
            <v>03-Jan-2022</v>
          </cell>
          <cell r="F1208">
            <v>7614354.46</v>
          </cell>
          <cell r="G1208">
            <v>429622.19300000003</v>
          </cell>
          <cell r="H1208">
            <v>17.72</v>
          </cell>
          <cell r="I1208">
            <v>0</v>
          </cell>
          <cell r="J1208">
            <v>17.72</v>
          </cell>
        </row>
        <row r="1209">
          <cell r="A1209" t="str">
            <v>LU1882452185</v>
          </cell>
          <cell r="B1209" t="str">
            <v>AMUNDI FUNDS EMERGING MARKETS BOND</v>
          </cell>
          <cell r="C1209" t="str">
            <v>Class C USD MD (D)</v>
          </cell>
          <cell r="D1209" t="str">
            <v>USD</v>
          </cell>
          <cell r="E1209" t="str">
            <v>03-Jan-2022</v>
          </cell>
          <cell r="F1209">
            <v>2088452.68</v>
          </cell>
          <cell r="G1209">
            <v>354730.636</v>
          </cell>
          <cell r="H1209">
            <v>5.89</v>
          </cell>
          <cell r="I1209">
            <v>2.7099999999999999E-2</v>
          </cell>
          <cell r="J1209">
            <v>5.89</v>
          </cell>
        </row>
        <row r="1210">
          <cell r="A1210" t="str">
            <v>LU1882450999</v>
          </cell>
          <cell r="B1210" t="str">
            <v>AMUNDI FUNDS EMERGING MARKETS BOND</v>
          </cell>
          <cell r="C1210" t="str">
            <v>Class A ZAR MD3 (D)</v>
          </cell>
          <cell r="D1210" t="str">
            <v>ZAR</v>
          </cell>
          <cell r="E1210" t="str">
            <v>03-Jan-2022</v>
          </cell>
          <cell r="F1210">
            <v>14285591527.43</v>
          </cell>
          <cell r="G1210">
            <v>26892634.828000002</v>
          </cell>
          <cell r="H1210">
            <v>531.21</v>
          </cell>
          <cell r="I1210">
            <v>9.1387</v>
          </cell>
          <cell r="J1210">
            <v>552.46</v>
          </cell>
        </row>
        <row r="1211">
          <cell r="A1211" t="str">
            <v>LU2070309963</v>
          </cell>
          <cell r="B1211" t="str">
            <v>AMUNDI FUNDS EMERGING MARKETS BOND</v>
          </cell>
          <cell r="C1211" t="str">
            <v>Class A2 EUR AD (D)</v>
          </cell>
          <cell r="D1211" t="str">
            <v>EUR</v>
          </cell>
          <cell r="E1211" t="str">
            <v>03-Jan-2022</v>
          </cell>
          <cell r="F1211">
            <v>298270.37</v>
          </cell>
          <cell r="G1211">
            <v>6290</v>
          </cell>
          <cell r="H1211">
            <v>47.42</v>
          </cell>
          <cell r="I1211">
            <v>0</v>
          </cell>
          <cell r="J1211">
            <v>49.32</v>
          </cell>
        </row>
        <row r="1212">
          <cell r="A1212" t="str">
            <v>LU1882452268</v>
          </cell>
          <cell r="B1212" t="str">
            <v>AMUNDI FUNDS EMERGING MARKETS BOND</v>
          </cell>
          <cell r="C1212" t="str">
            <v>Class E2 EUR (C)</v>
          </cell>
          <cell r="D1212" t="str">
            <v>EUR</v>
          </cell>
          <cell r="E1212" t="str">
            <v>03-Jan-2022</v>
          </cell>
          <cell r="F1212">
            <v>267874937.5</v>
          </cell>
          <cell r="G1212">
            <v>13859329.335999999</v>
          </cell>
          <cell r="H1212">
            <v>19.327999999999999</v>
          </cell>
          <cell r="I1212">
            <v>0</v>
          </cell>
          <cell r="J1212">
            <v>19.327999999999999</v>
          </cell>
        </row>
        <row r="1213">
          <cell r="A1213" t="str">
            <v>LU1882452771</v>
          </cell>
          <cell r="B1213" t="str">
            <v>AMUNDI FUNDS EMERGING MARKETS BOND</v>
          </cell>
          <cell r="C1213" t="str">
            <v>Class E2 USD (C)</v>
          </cell>
          <cell r="D1213" t="str">
            <v>USD</v>
          </cell>
          <cell r="E1213" t="str">
            <v>03-Jan-2022</v>
          </cell>
          <cell r="F1213">
            <v>210295.64</v>
          </cell>
          <cell r="G1213">
            <v>9635.9779999999992</v>
          </cell>
          <cell r="H1213">
            <v>21.824000000000002</v>
          </cell>
          <cell r="I1213">
            <v>0</v>
          </cell>
          <cell r="J1213">
            <v>21.824000000000002</v>
          </cell>
        </row>
        <row r="1214">
          <cell r="A1214" t="str">
            <v>LU1882452854</v>
          </cell>
          <cell r="B1214" t="str">
            <v>AMUNDI FUNDS EMERGING MARKETS BOND</v>
          </cell>
          <cell r="C1214" t="str">
            <v>Class E2 USD AD (D)</v>
          </cell>
          <cell r="D1214" t="str">
            <v>USD</v>
          </cell>
          <cell r="E1214" t="str">
            <v>03-Jan-2022</v>
          </cell>
          <cell r="F1214">
            <v>476274.41</v>
          </cell>
          <cell r="G1214">
            <v>77536.472999999998</v>
          </cell>
          <cell r="H1214">
            <v>6.1429999999999998</v>
          </cell>
          <cell r="I1214">
            <v>0</v>
          </cell>
          <cell r="J1214">
            <v>6.1429999999999998</v>
          </cell>
        </row>
        <row r="1215">
          <cell r="A1215" t="str">
            <v>LU1882452425</v>
          </cell>
          <cell r="B1215" t="str">
            <v>AMUNDI FUNDS EMERGING MARKETS BOND</v>
          </cell>
          <cell r="C1215" t="str">
            <v>Class E2 EUR Hgd (C)</v>
          </cell>
          <cell r="D1215" t="str">
            <v>EUR</v>
          </cell>
          <cell r="E1215" t="str">
            <v>03-Jan-2022</v>
          </cell>
          <cell r="F1215">
            <v>30259467.780000001</v>
          </cell>
          <cell r="G1215">
            <v>2244446.2050000001</v>
          </cell>
          <cell r="H1215">
            <v>13.481999999999999</v>
          </cell>
          <cell r="I1215">
            <v>0</v>
          </cell>
          <cell r="J1215">
            <v>13.481999999999999</v>
          </cell>
        </row>
        <row r="1216">
          <cell r="A1216" t="str">
            <v>LU1882452938</v>
          </cell>
          <cell r="B1216" t="str">
            <v>AMUNDI FUNDS EMERGING MARKETS BOND</v>
          </cell>
          <cell r="C1216" t="str">
            <v>Class F EUR (C)</v>
          </cell>
          <cell r="D1216" t="str">
            <v>EUR</v>
          </cell>
          <cell r="E1216" t="str">
            <v>03-Jan-2022</v>
          </cell>
          <cell r="F1216">
            <v>36418363.450000003</v>
          </cell>
          <cell r="G1216">
            <v>2213385.31</v>
          </cell>
          <cell r="H1216">
            <v>16.454000000000001</v>
          </cell>
          <cell r="I1216">
            <v>0</v>
          </cell>
          <cell r="J1216">
            <v>16.454000000000001</v>
          </cell>
        </row>
        <row r="1217">
          <cell r="A1217" t="str">
            <v>LU1882453076</v>
          </cell>
          <cell r="B1217" t="str">
            <v>AMUNDI FUNDS EMERGING MARKETS BOND</v>
          </cell>
          <cell r="C1217" t="str">
            <v>Class F EUR QTD (D)</v>
          </cell>
          <cell r="D1217" t="str">
            <v>EUR</v>
          </cell>
          <cell r="E1217" t="str">
            <v>03-Jan-2022</v>
          </cell>
          <cell r="F1217">
            <v>10283138.789999999</v>
          </cell>
          <cell r="G1217">
            <v>1846576.6869999999</v>
          </cell>
          <cell r="H1217">
            <v>5.569</v>
          </cell>
          <cell r="I1217">
            <v>7.1099999999999997E-2</v>
          </cell>
          <cell r="J1217">
            <v>5.569</v>
          </cell>
        </row>
        <row r="1218">
          <cell r="A1218" t="str">
            <v>LU1998914052</v>
          </cell>
          <cell r="B1218" t="str">
            <v>AMUNDI FUNDS EMERGING MARKETS BOND</v>
          </cell>
          <cell r="C1218" t="str">
            <v>Class H EUR (C)</v>
          </cell>
          <cell r="D1218" t="str">
            <v>EUR</v>
          </cell>
          <cell r="E1218" t="str">
            <v>03-Jan-2022</v>
          </cell>
          <cell r="F1218">
            <v>126610271.61</v>
          </cell>
          <cell r="G1218">
            <v>119139.70600000001</v>
          </cell>
          <cell r="H1218">
            <v>1062.7</v>
          </cell>
          <cell r="I1218">
            <v>0</v>
          </cell>
          <cell r="J1218">
            <v>1062.7</v>
          </cell>
        </row>
        <row r="1219">
          <cell r="A1219" t="str">
            <v>LU1897302250</v>
          </cell>
          <cell r="B1219" t="str">
            <v>AMUNDI FUNDS EMERGING MARKETS BOND</v>
          </cell>
          <cell r="C1219" t="str">
            <v>Class I2 GBP (C)</v>
          </cell>
          <cell r="D1219" t="str">
            <v>GBP</v>
          </cell>
          <cell r="E1219" t="str">
            <v>03-Jan-2022</v>
          </cell>
          <cell r="F1219">
            <v>5087.42</v>
          </cell>
          <cell r="G1219">
            <v>5</v>
          </cell>
          <cell r="H1219">
            <v>1017.48</v>
          </cell>
          <cell r="I1219">
            <v>0</v>
          </cell>
          <cell r="J1219">
            <v>1017.48</v>
          </cell>
        </row>
        <row r="1220">
          <cell r="A1220" t="str">
            <v>LU1882453829</v>
          </cell>
          <cell r="B1220" t="str">
            <v>AMUNDI FUNDS EMERGING MARKETS BOND</v>
          </cell>
          <cell r="C1220" t="str">
            <v>Class I2 USD QTD (D)</v>
          </cell>
          <cell r="D1220" t="str">
            <v>USD</v>
          </cell>
          <cell r="E1220" t="str">
            <v>03-Jan-2022</v>
          </cell>
          <cell r="F1220">
            <v>25555134.16</v>
          </cell>
          <cell r="G1220">
            <v>18712.646000000001</v>
          </cell>
          <cell r="H1220">
            <v>1365.66</v>
          </cell>
          <cell r="I1220">
            <v>18.654599999999999</v>
          </cell>
          <cell r="J1220">
            <v>1365.66</v>
          </cell>
        </row>
        <row r="1221">
          <cell r="A1221" t="str">
            <v>LU1882453746</v>
          </cell>
          <cell r="B1221" t="str">
            <v>AMUNDI FUNDS EMERGING MARKETS BOND</v>
          </cell>
          <cell r="C1221" t="str">
            <v>Class I2 USD QD (D)</v>
          </cell>
          <cell r="D1221" t="str">
            <v>USD</v>
          </cell>
          <cell r="E1221" t="str">
            <v>03-Jan-2022</v>
          </cell>
          <cell r="F1221">
            <v>6281158.1600000001</v>
          </cell>
          <cell r="G1221">
            <v>6870.009</v>
          </cell>
          <cell r="H1221">
            <v>914.29</v>
          </cell>
          <cell r="I1221">
            <v>0</v>
          </cell>
          <cell r="J1221">
            <v>914.29</v>
          </cell>
        </row>
        <row r="1222">
          <cell r="A1222" t="str">
            <v>LU1882453662</v>
          </cell>
          <cell r="B1222" t="str">
            <v>AMUNDI FUNDS EMERGING MARKETS BOND</v>
          </cell>
          <cell r="C1222" t="str">
            <v>Class I2 USD (C)</v>
          </cell>
          <cell r="D1222" t="str">
            <v>USD</v>
          </cell>
          <cell r="E1222" t="str">
            <v>03-Jan-2022</v>
          </cell>
          <cell r="F1222">
            <v>853864286.22000003</v>
          </cell>
          <cell r="G1222">
            <v>33280303.208999999</v>
          </cell>
          <cell r="H1222">
            <v>25.66</v>
          </cell>
          <cell r="I1222">
            <v>0</v>
          </cell>
          <cell r="J1222">
            <v>25.66</v>
          </cell>
        </row>
        <row r="1223">
          <cell r="A1223" t="str">
            <v>LU1882453407</v>
          </cell>
          <cell r="B1223" t="str">
            <v>AMUNDI FUNDS EMERGING MARKETS BOND</v>
          </cell>
          <cell r="C1223" t="str">
            <v>Class I2 EUR QTD (D)</v>
          </cell>
          <cell r="D1223" t="str">
            <v>EUR</v>
          </cell>
          <cell r="E1223" t="str">
            <v>03-Jan-2022</v>
          </cell>
          <cell r="F1223">
            <v>54636423.57</v>
          </cell>
          <cell r="G1223">
            <v>44977.828999999998</v>
          </cell>
          <cell r="H1223">
            <v>1214.74</v>
          </cell>
          <cell r="I1223">
            <v>15.291499999999999</v>
          </cell>
          <cell r="J1223">
            <v>1214.74</v>
          </cell>
        </row>
        <row r="1224">
          <cell r="A1224" t="str">
            <v>LU1882453589</v>
          </cell>
          <cell r="B1224" t="str">
            <v>AMUNDI FUNDS EMERGING MARKETS BOND</v>
          </cell>
          <cell r="C1224" t="str">
            <v>Class I2 GBP Hgd QD (D)</v>
          </cell>
          <cell r="D1224" t="str">
            <v>GBP</v>
          </cell>
          <cell r="E1224" t="str">
            <v>03-Jan-2022</v>
          </cell>
          <cell r="F1224">
            <v>6005848.2800000003</v>
          </cell>
          <cell r="G1224">
            <v>6801.9530000000004</v>
          </cell>
          <cell r="H1224">
            <v>882.96</v>
          </cell>
          <cell r="I1224">
            <v>0</v>
          </cell>
          <cell r="J1224">
            <v>882.96</v>
          </cell>
        </row>
        <row r="1225">
          <cell r="A1225" t="str">
            <v>LU1882452698</v>
          </cell>
          <cell r="B1225" t="str">
            <v>AMUNDI FUNDS EMERGING MARKETS BOND</v>
          </cell>
          <cell r="C1225" t="str">
            <v>Class E2 EUR QTD (D)</v>
          </cell>
          <cell r="D1225" t="str">
            <v>EUR</v>
          </cell>
          <cell r="E1225" t="str">
            <v>03-Jan-2022</v>
          </cell>
          <cell r="F1225">
            <v>74515862.560000002</v>
          </cell>
          <cell r="G1225">
            <v>13180183.698000001</v>
          </cell>
          <cell r="H1225">
            <v>5.6539999999999999</v>
          </cell>
          <cell r="I1225">
            <v>7.1800000000000003E-2</v>
          </cell>
          <cell r="J1225">
            <v>5.6539999999999999</v>
          </cell>
        </row>
        <row r="1226">
          <cell r="A1226" t="str">
            <v>LU1882453316</v>
          </cell>
          <cell r="B1226" t="str">
            <v>AMUNDI FUNDS EMERGING MARKETS BOND</v>
          </cell>
          <cell r="C1226" t="str">
            <v>Class I2 EUR Hgd AD (D)</v>
          </cell>
          <cell r="D1226" t="str">
            <v>EUR</v>
          </cell>
          <cell r="E1226" t="str">
            <v>03-Jan-2022</v>
          </cell>
          <cell r="F1226">
            <v>61375444.07</v>
          </cell>
          <cell r="G1226">
            <v>77126.089000000007</v>
          </cell>
          <cell r="H1226">
            <v>795.78</v>
          </cell>
          <cell r="I1226">
            <v>0</v>
          </cell>
          <cell r="J1226">
            <v>795.78</v>
          </cell>
        </row>
        <row r="1227">
          <cell r="A1227" t="str">
            <v>LU1882453233</v>
          </cell>
          <cell r="B1227" t="str">
            <v>AMUNDI FUNDS EMERGING MARKETS BOND</v>
          </cell>
          <cell r="C1227" t="str">
            <v>Class I2 EUR Hgd (C)</v>
          </cell>
          <cell r="D1227" t="str">
            <v>EUR</v>
          </cell>
          <cell r="E1227" t="str">
            <v>03-Jan-2022</v>
          </cell>
          <cell r="F1227">
            <v>81220057.109999999</v>
          </cell>
          <cell r="G1227">
            <v>64320.572</v>
          </cell>
          <cell r="H1227">
            <v>1262.74</v>
          </cell>
          <cell r="I1227">
            <v>0</v>
          </cell>
          <cell r="J1227">
            <v>1262.74</v>
          </cell>
        </row>
        <row r="1228">
          <cell r="A1228" t="str">
            <v>LU1882453159</v>
          </cell>
          <cell r="B1228" t="str">
            <v>AMUNDI FUNDS EMERGING MARKETS BOND</v>
          </cell>
          <cell r="C1228" t="str">
            <v>Class I2 EUR (C)</v>
          </cell>
          <cell r="D1228" t="str">
            <v>EUR</v>
          </cell>
          <cell r="E1228" t="str">
            <v>03-Jan-2022</v>
          </cell>
          <cell r="F1228">
            <v>186548586.05000001</v>
          </cell>
          <cell r="G1228">
            <v>8210620.5159999998</v>
          </cell>
          <cell r="H1228">
            <v>22.72</v>
          </cell>
          <cell r="I1228">
            <v>0</v>
          </cell>
          <cell r="J1228">
            <v>22.72</v>
          </cell>
        </row>
        <row r="1229">
          <cell r="A1229" t="str">
            <v>LU1882455790</v>
          </cell>
          <cell r="B1229" t="str">
            <v>AMUNDI FUNDS EMERGING MARKETS BOND</v>
          </cell>
          <cell r="C1229" t="str">
            <v>Class R2 USD AD (D)</v>
          </cell>
          <cell r="D1229" t="str">
            <v>USD</v>
          </cell>
          <cell r="E1229" t="str">
            <v>03-Jan-2022</v>
          </cell>
          <cell r="F1229">
            <v>6935067.5999999996</v>
          </cell>
          <cell r="G1229">
            <v>149140.41</v>
          </cell>
          <cell r="H1229">
            <v>46.5</v>
          </cell>
          <cell r="I1229">
            <v>0</v>
          </cell>
          <cell r="J1229">
            <v>46.5</v>
          </cell>
        </row>
        <row r="1230">
          <cell r="A1230" t="str">
            <v>LU2052287724</v>
          </cell>
          <cell r="B1230" t="str">
            <v>AMUNDI FUNDS EMERGING MARKETS BOND</v>
          </cell>
          <cell r="C1230" t="str">
            <v>Class J3 GBP (C)</v>
          </cell>
          <cell r="D1230" t="str">
            <v>GBP</v>
          </cell>
          <cell r="E1230" t="str">
            <v>03-Jan-2022</v>
          </cell>
          <cell r="F1230">
            <v>4854.2</v>
          </cell>
          <cell r="G1230">
            <v>5</v>
          </cell>
          <cell r="H1230">
            <v>970.84</v>
          </cell>
          <cell r="I1230">
            <v>0</v>
          </cell>
          <cell r="J1230">
            <v>970.84</v>
          </cell>
        </row>
        <row r="1231">
          <cell r="A1231" t="str">
            <v>LU2052287997</v>
          </cell>
          <cell r="B1231" t="str">
            <v>AMUNDI FUNDS EMERGING MARKETS BOND</v>
          </cell>
          <cell r="C1231" t="str">
            <v>Class J3 GBP QD (D)</v>
          </cell>
          <cell r="D1231" t="str">
            <v>GBP</v>
          </cell>
          <cell r="E1231" t="str">
            <v>03-Jan-2022</v>
          </cell>
          <cell r="F1231">
            <v>4283.83</v>
          </cell>
          <cell r="G1231">
            <v>5</v>
          </cell>
          <cell r="H1231">
            <v>856.77</v>
          </cell>
          <cell r="I1231">
            <v>0</v>
          </cell>
          <cell r="J1231">
            <v>856.77</v>
          </cell>
        </row>
        <row r="1232">
          <cell r="A1232" t="str">
            <v>LU1882454124</v>
          </cell>
          <cell r="B1232" t="str">
            <v>AMUNDI FUNDS EMERGING MARKETS BOND</v>
          </cell>
          <cell r="C1232" t="str">
            <v>Class J2 EUR Hgd (C)</v>
          </cell>
          <cell r="D1232" t="str">
            <v>EUR</v>
          </cell>
          <cell r="E1232" t="str">
            <v>03-Jan-2022</v>
          </cell>
          <cell r="F1232">
            <v>41217570.780000001</v>
          </cell>
          <cell r="G1232">
            <v>39321.911</v>
          </cell>
          <cell r="H1232">
            <v>1048.21</v>
          </cell>
          <cell r="I1232">
            <v>0</v>
          </cell>
          <cell r="J1232">
            <v>1048.21</v>
          </cell>
        </row>
        <row r="1233">
          <cell r="A1233" t="str">
            <v>LU1894676722</v>
          </cell>
          <cell r="B1233" t="str">
            <v>AMUNDI FUNDS EMERGING MARKETS BOND</v>
          </cell>
          <cell r="C1233" t="str">
            <v>Class G EUR Hgd AD (D)</v>
          </cell>
          <cell r="D1233" t="str">
            <v>EUR</v>
          </cell>
          <cell r="E1233" t="str">
            <v>03-Jan-2022</v>
          </cell>
          <cell r="F1233">
            <v>7718624.71</v>
          </cell>
          <cell r="G1233">
            <v>1647211.9480000001</v>
          </cell>
          <cell r="H1233">
            <v>4.6859999999999999</v>
          </cell>
          <cell r="I1233">
            <v>0</v>
          </cell>
          <cell r="J1233">
            <v>4.6859999999999999</v>
          </cell>
        </row>
        <row r="1234">
          <cell r="A1234" t="str">
            <v>LU1882456178</v>
          </cell>
          <cell r="B1234" t="str">
            <v>AMUNDI FUNDS EMERGING MARKETS BOND</v>
          </cell>
          <cell r="C1234" t="str">
            <v>Class T USD MD3 (D)</v>
          </cell>
          <cell r="D1234" t="str">
            <v>USD</v>
          </cell>
          <cell r="E1234" t="str">
            <v>03-Jan-2022</v>
          </cell>
          <cell r="F1234">
            <v>10519591.810000001</v>
          </cell>
          <cell r="G1234">
            <v>304615.03700000001</v>
          </cell>
          <cell r="H1234">
            <v>34.53</v>
          </cell>
          <cell r="I1234">
            <v>0.35049999999999998</v>
          </cell>
          <cell r="J1234">
            <v>34.53</v>
          </cell>
        </row>
        <row r="1235">
          <cell r="A1235" t="str">
            <v>LU1882456095</v>
          </cell>
          <cell r="B1235" t="str">
            <v>AMUNDI FUNDS EMERGING MARKETS BOND</v>
          </cell>
          <cell r="C1235" t="str">
            <v>Class T USD (C)</v>
          </cell>
          <cell r="D1235" t="str">
            <v>USD</v>
          </cell>
          <cell r="E1235" t="str">
            <v>03-Jan-2022</v>
          </cell>
          <cell r="F1235">
            <v>737387.97</v>
          </cell>
          <cell r="G1235">
            <v>12138.78</v>
          </cell>
          <cell r="H1235">
            <v>60.75</v>
          </cell>
          <cell r="I1235">
            <v>0</v>
          </cell>
          <cell r="J1235">
            <v>60.75</v>
          </cell>
        </row>
        <row r="1236">
          <cell r="A1236" t="str">
            <v>LU1882456251</v>
          </cell>
          <cell r="B1236" t="str">
            <v>AMUNDI FUNDS EMERGING MARKETS BOND</v>
          </cell>
          <cell r="C1236" t="str">
            <v>Class T USD MGI (D)</v>
          </cell>
          <cell r="D1236" t="str">
            <v>USD</v>
          </cell>
          <cell r="E1236" t="str">
            <v>03-Jan-2022</v>
          </cell>
          <cell r="F1236">
            <v>4160070.48</v>
          </cell>
          <cell r="G1236">
            <v>104722.68700000001</v>
          </cell>
          <cell r="H1236">
            <v>39.72</v>
          </cell>
          <cell r="I1236">
            <v>0.18998399999999999</v>
          </cell>
          <cell r="J1236">
            <v>39.72</v>
          </cell>
        </row>
        <row r="1237">
          <cell r="A1237" t="str">
            <v>LU1882455873</v>
          </cell>
          <cell r="B1237" t="str">
            <v>AMUNDI FUNDS EMERGING MARKETS BOND</v>
          </cell>
          <cell r="C1237" t="str">
            <v>Class T AUD MD3 (D)</v>
          </cell>
          <cell r="D1237" t="str">
            <v>AUD</v>
          </cell>
          <cell r="E1237" t="str">
            <v>03-Jan-2022</v>
          </cell>
          <cell r="F1237">
            <v>3898017.18</v>
          </cell>
          <cell r="G1237">
            <v>124559.705</v>
          </cell>
          <cell r="H1237">
            <v>31.29</v>
          </cell>
          <cell r="I1237">
            <v>0.32140000000000002</v>
          </cell>
          <cell r="J1237">
            <v>31.29</v>
          </cell>
        </row>
        <row r="1238">
          <cell r="A1238" t="str">
            <v>LU1882455956</v>
          </cell>
          <cell r="B1238" t="str">
            <v>AMUNDI FUNDS EMERGING MARKETS BOND</v>
          </cell>
          <cell r="C1238" t="str">
            <v>Class T EUR (C)</v>
          </cell>
          <cell r="D1238" t="str">
            <v>EUR</v>
          </cell>
          <cell r="E1238" t="str">
            <v>03-Jan-2022</v>
          </cell>
          <cell r="F1238">
            <v>73783.95</v>
          </cell>
          <cell r="G1238">
            <v>1371.8150000000001</v>
          </cell>
          <cell r="H1238">
            <v>53.79</v>
          </cell>
          <cell r="I1238">
            <v>0</v>
          </cell>
          <cell r="J1238">
            <v>53.79</v>
          </cell>
        </row>
        <row r="1239">
          <cell r="A1239" t="str">
            <v>LU1882456335</v>
          </cell>
          <cell r="B1239" t="str">
            <v>AMUNDI FUNDS EMERGING MARKETS BOND</v>
          </cell>
          <cell r="C1239" t="str">
            <v>Class T ZAR MD3 (D)</v>
          </cell>
          <cell r="D1239" t="str">
            <v>ZAR</v>
          </cell>
          <cell r="E1239" t="str">
            <v>03-Jan-2022</v>
          </cell>
          <cell r="F1239">
            <v>416024828.25999999</v>
          </cell>
          <cell r="G1239">
            <v>759544.98199999996</v>
          </cell>
          <cell r="H1239">
            <v>547.73</v>
          </cell>
          <cell r="I1239">
            <v>9.4316999999999993</v>
          </cell>
          <cell r="J1239">
            <v>547.73</v>
          </cell>
        </row>
        <row r="1240">
          <cell r="A1240" t="str">
            <v>LU2085676240</v>
          </cell>
          <cell r="B1240" t="str">
            <v>AMUNDI FUNDS EMERGING MARKETS BOND</v>
          </cell>
          <cell r="C1240" t="str">
            <v>Class M EUR (C)</v>
          </cell>
          <cell r="D1240" t="str">
            <v>EUR</v>
          </cell>
          <cell r="E1240" t="str">
            <v>03-Jan-2022</v>
          </cell>
          <cell r="F1240">
            <v>5155.3500000000004</v>
          </cell>
          <cell r="G1240">
            <v>5</v>
          </cell>
          <cell r="H1240">
            <v>1031.07</v>
          </cell>
          <cell r="I1240">
            <v>0</v>
          </cell>
          <cell r="J1240">
            <v>1031.07</v>
          </cell>
        </row>
        <row r="1241">
          <cell r="A1241" t="str">
            <v>LU1882455287</v>
          </cell>
          <cell r="B1241" t="str">
            <v>AMUNDI FUNDS EMERGING MARKETS BOND</v>
          </cell>
          <cell r="C1241" t="str">
            <v>Class R2 EUR (C)</v>
          </cell>
          <cell r="D1241" t="str">
            <v>EUR</v>
          </cell>
          <cell r="E1241" t="str">
            <v>03-Jan-2022</v>
          </cell>
          <cell r="F1241">
            <v>237089.17</v>
          </cell>
          <cell r="G1241">
            <v>2787.5949999999998</v>
          </cell>
          <cell r="H1241">
            <v>85.05</v>
          </cell>
          <cell r="I1241">
            <v>0</v>
          </cell>
          <cell r="J1241">
            <v>85.05</v>
          </cell>
        </row>
        <row r="1242">
          <cell r="A1242" t="str">
            <v>LU1882455444</v>
          </cell>
          <cell r="B1242" t="str">
            <v>AMUNDI FUNDS EMERGING MARKETS BOND</v>
          </cell>
          <cell r="C1242" t="str">
            <v>Class R2 GBP (C)</v>
          </cell>
          <cell r="D1242" t="str">
            <v>GBP</v>
          </cell>
          <cell r="E1242" t="str">
            <v>03-Jan-2022</v>
          </cell>
          <cell r="F1242">
            <v>20766.560000000001</v>
          </cell>
          <cell r="G1242">
            <v>226.81</v>
          </cell>
          <cell r="H1242">
            <v>91.56</v>
          </cell>
          <cell r="I1242">
            <v>0</v>
          </cell>
          <cell r="J1242">
            <v>91.56</v>
          </cell>
        </row>
        <row r="1243">
          <cell r="A1243" t="str">
            <v>LU1882455360</v>
          </cell>
          <cell r="B1243" t="str">
            <v>AMUNDI FUNDS EMERGING MARKETS BOND</v>
          </cell>
          <cell r="C1243" t="str">
            <v>Class R2 EUR Hgd (C)</v>
          </cell>
          <cell r="D1243" t="str">
            <v>EUR</v>
          </cell>
          <cell r="E1243" t="str">
            <v>03-Jan-2022</v>
          </cell>
          <cell r="F1243">
            <v>321549.15999999997</v>
          </cell>
          <cell r="G1243">
            <v>6273.4179999999997</v>
          </cell>
          <cell r="H1243">
            <v>51.26</v>
          </cell>
          <cell r="I1243">
            <v>0</v>
          </cell>
          <cell r="J1243">
            <v>51.26</v>
          </cell>
        </row>
        <row r="1244">
          <cell r="A1244" t="str">
            <v>LU1882454983</v>
          </cell>
          <cell r="B1244" t="str">
            <v>AMUNDI FUNDS EMERGING MARKETS BOND</v>
          </cell>
          <cell r="C1244" t="str">
            <v>Class P2 USD (C)</v>
          </cell>
          <cell r="D1244" t="str">
            <v>USD</v>
          </cell>
          <cell r="E1244" t="str">
            <v>03-Jan-2022</v>
          </cell>
          <cell r="F1244">
            <v>10098005.92</v>
          </cell>
          <cell r="G1244">
            <v>164980.90400000001</v>
          </cell>
          <cell r="H1244">
            <v>61.21</v>
          </cell>
          <cell r="I1244">
            <v>0</v>
          </cell>
          <cell r="J1244">
            <v>61.21</v>
          </cell>
        </row>
        <row r="1245">
          <cell r="A1245" t="str">
            <v>LU1882455014</v>
          </cell>
          <cell r="B1245" t="str">
            <v>AMUNDI FUNDS EMERGING MARKETS BOND</v>
          </cell>
          <cell r="C1245" t="str">
            <v>Class P2 USD MD (D)</v>
          </cell>
          <cell r="D1245" t="str">
            <v>USD</v>
          </cell>
          <cell r="E1245" t="str">
            <v>03-Jan-2022</v>
          </cell>
          <cell r="F1245">
            <v>637833.48</v>
          </cell>
          <cell r="G1245">
            <v>13425.188</v>
          </cell>
          <cell r="H1245">
            <v>47.51</v>
          </cell>
          <cell r="I1245">
            <v>0.215</v>
          </cell>
          <cell r="J1245">
            <v>47.51</v>
          </cell>
        </row>
        <row r="1246">
          <cell r="A1246" t="str">
            <v>LU1882455105</v>
          </cell>
          <cell r="B1246" t="str">
            <v>AMUNDI FUNDS EMERGING MARKETS BOND</v>
          </cell>
          <cell r="C1246" t="str">
            <v>Class Q-D USD MD (D)</v>
          </cell>
          <cell r="D1246" t="str">
            <v>USD</v>
          </cell>
          <cell r="E1246" t="str">
            <v>03-Jan-2022</v>
          </cell>
          <cell r="F1246">
            <v>549388.6</v>
          </cell>
          <cell r="G1246">
            <v>8972.8379999999997</v>
          </cell>
          <cell r="H1246">
            <v>61.23</v>
          </cell>
          <cell r="I1246">
            <v>0.28149999999999997</v>
          </cell>
          <cell r="J1246">
            <v>63.07</v>
          </cell>
        </row>
        <row r="1247">
          <cell r="A1247" t="str">
            <v>LU1882456681</v>
          </cell>
          <cell r="B1247" t="str">
            <v>AMUNDI FUNDS EMERGING MARKETS BOND</v>
          </cell>
          <cell r="C1247" t="str">
            <v>Class U USD (C)</v>
          </cell>
          <cell r="D1247" t="str">
            <v>USD</v>
          </cell>
          <cell r="E1247" t="str">
            <v>03-Jan-2022</v>
          </cell>
          <cell r="F1247">
            <v>8029039.3899999997</v>
          </cell>
          <cell r="G1247">
            <v>118149.818</v>
          </cell>
          <cell r="H1247">
            <v>67.959999999999994</v>
          </cell>
          <cell r="I1247">
            <v>0</v>
          </cell>
          <cell r="J1247">
            <v>67.959999999999994</v>
          </cell>
        </row>
        <row r="1248">
          <cell r="A1248" t="str">
            <v>LU1882456418</v>
          </cell>
          <cell r="B1248" t="str">
            <v>AMUNDI FUNDS EMERGING MARKETS BOND</v>
          </cell>
          <cell r="C1248" t="str">
            <v>Class U AUD MD3 (D)</v>
          </cell>
          <cell r="D1248" t="str">
            <v>AUD</v>
          </cell>
          <cell r="E1248" t="str">
            <v>03-Jan-2022</v>
          </cell>
          <cell r="F1248">
            <v>79906960.569999993</v>
          </cell>
          <cell r="G1248">
            <v>2449697.716</v>
          </cell>
          <cell r="H1248">
            <v>32.619999999999997</v>
          </cell>
          <cell r="I1248">
            <v>0.33510000000000001</v>
          </cell>
          <cell r="J1248">
            <v>32.619999999999997</v>
          </cell>
        </row>
        <row r="1249">
          <cell r="A1249" t="str">
            <v>LU1882456848</v>
          </cell>
          <cell r="B1249" t="str">
            <v>AMUNDI FUNDS EMERGING MARKETS BOND</v>
          </cell>
          <cell r="C1249" t="str">
            <v>Class U USD MGI (D)</v>
          </cell>
          <cell r="D1249" t="str">
            <v>USD</v>
          </cell>
          <cell r="E1249" t="str">
            <v>03-Jan-2022</v>
          </cell>
          <cell r="F1249">
            <v>61592804.229999997</v>
          </cell>
          <cell r="G1249">
            <v>1557175</v>
          </cell>
          <cell r="H1249">
            <v>39.549999999999997</v>
          </cell>
          <cell r="I1249">
            <v>0.189167</v>
          </cell>
          <cell r="J1249">
            <v>39.549999999999997</v>
          </cell>
        </row>
        <row r="1250">
          <cell r="A1250" t="str">
            <v>LU1882456921</v>
          </cell>
          <cell r="B1250" t="str">
            <v>AMUNDI FUNDS EMERGING MARKETS BOND</v>
          </cell>
          <cell r="C1250" t="str">
            <v>Class U ZAR MD3 (D)</v>
          </cell>
          <cell r="D1250" t="str">
            <v>ZAR</v>
          </cell>
          <cell r="E1250" t="str">
            <v>03-Jan-2022</v>
          </cell>
          <cell r="F1250">
            <v>4247313418.4400001</v>
          </cell>
          <cell r="G1250">
            <v>7354469.534</v>
          </cell>
          <cell r="H1250">
            <v>577.51</v>
          </cell>
          <cell r="I1250">
            <v>9.9520999999999997</v>
          </cell>
          <cell r="J1250">
            <v>577.51</v>
          </cell>
        </row>
        <row r="1251">
          <cell r="A1251" t="str">
            <v>LU1882456764</v>
          </cell>
          <cell r="B1251" t="str">
            <v>AMUNDI FUNDS EMERGING MARKETS BOND</v>
          </cell>
          <cell r="C1251" t="str">
            <v>Class U USD MD3 (D)</v>
          </cell>
          <cell r="D1251" t="str">
            <v>USD</v>
          </cell>
          <cell r="E1251" t="str">
            <v>03-Jan-2022</v>
          </cell>
          <cell r="F1251">
            <v>131572261.3</v>
          </cell>
          <cell r="G1251">
            <v>3811697.216</v>
          </cell>
          <cell r="H1251">
            <v>34.520000000000003</v>
          </cell>
          <cell r="I1251">
            <v>0.35039999999999999</v>
          </cell>
          <cell r="J1251">
            <v>34.520000000000003</v>
          </cell>
        </row>
        <row r="1252">
          <cell r="A1252" t="str">
            <v>LU1882456509</v>
          </cell>
          <cell r="B1252" t="str">
            <v>AMUNDI FUNDS EMERGING MARKETS BOND</v>
          </cell>
          <cell r="C1252" t="str">
            <v>Class U EUR (C)</v>
          </cell>
          <cell r="D1252" t="str">
            <v>EUR</v>
          </cell>
          <cell r="E1252" t="str">
            <v>03-Jan-2022</v>
          </cell>
          <cell r="F1252">
            <v>2365364.09</v>
          </cell>
          <cell r="G1252">
            <v>39306.616000000002</v>
          </cell>
          <cell r="H1252">
            <v>60.18</v>
          </cell>
          <cell r="I1252">
            <v>0</v>
          </cell>
          <cell r="J1252">
            <v>60.18</v>
          </cell>
        </row>
        <row r="1253">
          <cell r="A1253" t="str">
            <v>LU2259108632</v>
          </cell>
          <cell r="B1253" t="str">
            <v>AMUNDI FUNDS EMERGING MARKETS BOND</v>
          </cell>
          <cell r="C1253" t="str">
            <v>Class R3 GBP (C)</v>
          </cell>
          <cell r="D1253" t="str">
            <v>GBP</v>
          </cell>
          <cell r="E1253" t="str">
            <v>03-Jan-2022</v>
          </cell>
          <cell r="F1253">
            <v>4909.8900000000003</v>
          </cell>
          <cell r="G1253">
            <v>500</v>
          </cell>
          <cell r="H1253">
            <v>9.82</v>
          </cell>
          <cell r="I1253">
            <v>0</v>
          </cell>
          <cell r="J1253">
            <v>9.82</v>
          </cell>
        </row>
        <row r="1254">
          <cell r="A1254" t="str">
            <v>LU2259108715</v>
          </cell>
          <cell r="B1254" t="str">
            <v>AMUNDI FUNDS EMERGING MARKETS BOND</v>
          </cell>
          <cell r="C1254" t="str">
            <v>Class R3 GBP QD (D)</v>
          </cell>
          <cell r="D1254" t="str">
            <v>GBP</v>
          </cell>
          <cell r="E1254" t="str">
            <v>03-Jan-2022</v>
          </cell>
          <cell r="F1254">
            <v>4648.6499999999996</v>
          </cell>
          <cell r="G1254">
            <v>500</v>
          </cell>
          <cell r="H1254">
            <v>9.3000000000000007</v>
          </cell>
          <cell r="I1254">
            <v>0</v>
          </cell>
          <cell r="J1254">
            <v>9.3000000000000007</v>
          </cell>
        </row>
        <row r="1255">
          <cell r="A1255" t="str">
            <v>LU1882455527</v>
          </cell>
          <cell r="B1255" t="str">
            <v>AMUNDI FUNDS EMERGING MARKETS BOND</v>
          </cell>
          <cell r="C1255" t="str">
            <v>Class R2 USD (C)</v>
          </cell>
          <cell r="D1255" t="str">
            <v>USD</v>
          </cell>
          <cell r="E1255" t="str">
            <v>03-Jan-2022</v>
          </cell>
          <cell r="F1255">
            <v>406339.2</v>
          </cell>
          <cell r="G1255">
            <v>4230.1379999999999</v>
          </cell>
          <cell r="H1255">
            <v>96.06</v>
          </cell>
          <cell r="I1255">
            <v>0</v>
          </cell>
          <cell r="J1255">
            <v>96.06</v>
          </cell>
        </row>
        <row r="1256">
          <cell r="A1256" t="str">
            <v>LU2036673023</v>
          </cell>
          <cell r="B1256" t="str">
            <v>AMUNDI FUNDS EMERGING MARKETS BOND</v>
          </cell>
          <cell r="C1256" t="str">
            <v>Class G EUR (C)</v>
          </cell>
          <cell r="D1256" t="str">
            <v>EUR</v>
          </cell>
          <cell r="E1256" t="str">
            <v>03-Jan-2022</v>
          </cell>
          <cell r="F1256">
            <v>11551342.189999999</v>
          </cell>
          <cell r="G1256">
            <v>2314006.2969999998</v>
          </cell>
          <cell r="H1256">
            <v>4.992</v>
          </cell>
          <cell r="I1256">
            <v>0</v>
          </cell>
          <cell r="J1256">
            <v>4.992</v>
          </cell>
        </row>
        <row r="1257">
          <cell r="A1257" t="str">
            <v>LU2036673296</v>
          </cell>
          <cell r="B1257" t="str">
            <v>AMUNDI FUNDS EMERGING MARKETS BOND</v>
          </cell>
          <cell r="C1257" t="str">
            <v>Class G EUR QTD (D)</v>
          </cell>
          <cell r="D1257" t="str">
            <v>EUR</v>
          </cell>
          <cell r="E1257" t="str">
            <v>03-Jan-2022</v>
          </cell>
          <cell r="F1257">
            <v>4827382.83</v>
          </cell>
          <cell r="G1257">
            <v>1106321.358</v>
          </cell>
          <cell r="H1257">
            <v>4.3630000000000004</v>
          </cell>
          <cell r="I1257">
            <v>5.5599999999999997E-2</v>
          </cell>
          <cell r="J1257">
            <v>4.3630000000000004</v>
          </cell>
        </row>
        <row r="1258">
          <cell r="A1258" t="str">
            <v>LU2237438895</v>
          </cell>
          <cell r="B1258" t="str">
            <v>AMUNDI FUNDS EMERGING MARKETS BOND</v>
          </cell>
          <cell r="C1258" t="str">
            <v>Class A2 USD MGI (D)</v>
          </cell>
          <cell r="D1258" t="str">
            <v>USD</v>
          </cell>
          <cell r="E1258" t="str">
            <v>03-Jan-2022</v>
          </cell>
          <cell r="F1258">
            <v>4817.95</v>
          </cell>
          <cell r="G1258">
            <v>100</v>
          </cell>
          <cell r="H1258">
            <v>48.18</v>
          </cell>
          <cell r="I1258">
            <v>0.22989999999999999</v>
          </cell>
          <cell r="J1258">
            <v>48.18</v>
          </cell>
        </row>
        <row r="1259">
          <cell r="A1259" t="str">
            <v>LU1882457069</v>
          </cell>
          <cell r="B1259" t="str">
            <v>AMUNDI FUNDS EMERGING MARKETS BOND</v>
          </cell>
          <cell r="C1259" t="str">
            <v>Class X EUR (C)</v>
          </cell>
          <cell r="D1259" t="str">
            <v>EUR</v>
          </cell>
          <cell r="E1259" t="str">
            <v>03-Jan-2022</v>
          </cell>
          <cell r="F1259">
            <v>4417505.8099999996</v>
          </cell>
          <cell r="G1259">
            <v>3696.8310000000001</v>
          </cell>
          <cell r="H1259">
            <v>1194.94</v>
          </cell>
          <cell r="I1259">
            <v>0</v>
          </cell>
          <cell r="J1259">
            <v>1194.94</v>
          </cell>
        </row>
        <row r="1260">
          <cell r="A1260" t="str">
            <v>LU2085674625</v>
          </cell>
          <cell r="B1260" t="str">
            <v>AMUNDI FUNDS EMERGING MARKETS BOND</v>
          </cell>
          <cell r="C1260" t="str">
            <v>Class Z EUR Hgd AD (D)</v>
          </cell>
          <cell r="D1260" t="str">
            <v>EUR</v>
          </cell>
          <cell r="E1260" t="str">
            <v>03-Jan-2022</v>
          </cell>
          <cell r="F1260">
            <v>9319571.75</v>
          </cell>
          <cell r="G1260">
            <v>10125</v>
          </cell>
          <cell r="H1260">
            <v>920.45</v>
          </cell>
          <cell r="I1260">
            <v>0</v>
          </cell>
          <cell r="J1260">
            <v>920.45</v>
          </cell>
        </row>
        <row r="1261">
          <cell r="A1261" t="str">
            <v>LU2040440153</v>
          </cell>
          <cell r="B1261" t="str">
            <v>AMUNDI FUNDS EMERGING MARKETS BOND</v>
          </cell>
          <cell r="C1261" t="str">
            <v>Class Z USD (C)</v>
          </cell>
          <cell r="D1261" t="str">
            <v>USD</v>
          </cell>
          <cell r="E1261" t="str">
            <v>03-Jan-2022</v>
          </cell>
          <cell r="F1261">
            <v>8631614.5099999998</v>
          </cell>
          <cell r="G1261">
            <v>8166.4960000000001</v>
          </cell>
          <cell r="H1261">
            <v>1056.95</v>
          </cell>
          <cell r="I1261">
            <v>0</v>
          </cell>
          <cell r="J1261">
            <v>1056.95</v>
          </cell>
        </row>
        <row r="1262">
          <cell r="A1262" t="str">
            <v>LU1998914219</v>
          </cell>
          <cell r="B1262" t="str">
            <v>AMUNDI FUNDS EMERGING MARKETS BOND</v>
          </cell>
          <cell r="C1262" t="str">
            <v>Class H EUR QTD (D)</v>
          </cell>
          <cell r="D1262" t="str">
            <v>EUR</v>
          </cell>
          <cell r="E1262" t="str">
            <v>03-Jan-2022</v>
          </cell>
          <cell r="F1262">
            <v>2367691.17</v>
          </cell>
          <cell r="G1262">
            <v>2554.6129999999998</v>
          </cell>
          <cell r="H1262">
            <v>926.83</v>
          </cell>
          <cell r="I1262">
            <v>11.648400000000001</v>
          </cell>
          <cell r="J1262">
            <v>926.83</v>
          </cell>
        </row>
        <row r="1263">
          <cell r="A1263" t="str">
            <v>LU1998914136</v>
          </cell>
          <cell r="B1263" t="str">
            <v>AMUNDI FUNDS EMERGING MARKETS BOND</v>
          </cell>
          <cell r="C1263" t="str">
            <v>Class H EUR Hgd (C)</v>
          </cell>
          <cell r="D1263" t="str">
            <v>EUR</v>
          </cell>
          <cell r="E1263" t="str">
            <v>03-Jan-2022</v>
          </cell>
          <cell r="F1263">
            <v>4577796.6500000004</v>
          </cell>
          <cell r="G1263">
            <v>4449.2190000000001</v>
          </cell>
          <cell r="H1263">
            <v>1028.9000000000001</v>
          </cell>
          <cell r="I1263">
            <v>0</v>
          </cell>
          <cell r="J1263">
            <v>1028.9000000000001</v>
          </cell>
        </row>
        <row r="1264">
          <cell r="A1264" t="str">
            <v>LU1883834910</v>
          </cell>
          <cell r="B1264" t="str">
            <v>AMUNDI FUNDS PIONEER GLOBAL HIGH YIELD BOND</v>
          </cell>
          <cell r="C1264" t="str">
            <v>Class A EUR AD (D)</v>
          </cell>
          <cell r="D1264" t="str">
            <v>EUR</v>
          </cell>
          <cell r="E1264" t="str">
            <v>03-Jan-2022</v>
          </cell>
          <cell r="F1264">
            <v>326365.24</v>
          </cell>
          <cell r="G1264">
            <v>5803.2969999999996</v>
          </cell>
          <cell r="H1264">
            <v>56.24</v>
          </cell>
          <cell r="I1264">
            <v>0</v>
          </cell>
          <cell r="J1264">
            <v>58.49</v>
          </cell>
        </row>
        <row r="1265">
          <cell r="A1265" t="str">
            <v>LU1883834837</v>
          </cell>
          <cell r="B1265" t="str">
            <v>AMUNDI FUNDS PIONEER GLOBAL HIGH YIELD BOND</v>
          </cell>
          <cell r="C1265" t="str">
            <v>Class A EUR (C)</v>
          </cell>
          <cell r="D1265" t="str">
            <v>EUR</v>
          </cell>
          <cell r="E1265" t="str">
            <v>03-Jan-2022</v>
          </cell>
          <cell r="F1265">
            <v>3138041.46</v>
          </cell>
          <cell r="G1265">
            <v>24992.164000000001</v>
          </cell>
          <cell r="H1265">
            <v>125.56</v>
          </cell>
          <cell r="I1265">
            <v>0</v>
          </cell>
          <cell r="J1265">
            <v>130.58000000000001</v>
          </cell>
        </row>
        <row r="1266">
          <cell r="A1266" t="str">
            <v>LU1883834670</v>
          </cell>
          <cell r="B1266" t="str">
            <v>AMUNDI FUNDS PIONEER GLOBAL HIGH YIELD BOND</v>
          </cell>
          <cell r="C1266" t="str">
            <v>Class A AUD MD3 (D)</v>
          </cell>
          <cell r="D1266" t="str">
            <v>AUD</v>
          </cell>
          <cell r="E1266" t="str">
            <v>03-Jan-2022</v>
          </cell>
          <cell r="F1266">
            <v>10230393</v>
          </cell>
          <cell r="G1266">
            <v>378674.31800000003</v>
          </cell>
          <cell r="H1266">
            <v>27.02</v>
          </cell>
          <cell r="I1266">
            <v>0.27039999999999997</v>
          </cell>
          <cell r="J1266">
            <v>28.1</v>
          </cell>
        </row>
        <row r="1267">
          <cell r="A1267" t="str">
            <v>LU1883835131</v>
          </cell>
          <cell r="B1267" t="str">
            <v>AMUNDI FUNDS PIONEER GLOBAL HIGH YIELD BOND</v>
          </cell>
          <cell r="C1267" t="str">
            <v>Class A USD MD (D)</v>
          </cell>
          <cell r="D1267" t="str">
            <v>USD</v>
          </cell>
          <cell r="E1267" t="str">
            <v>03-Jan-2022</v>
          </cell>
          <cell r="F1267">
            <v>12999710.67</v>
          </cell>
          <cell r="G1267">
            <v>264383.08100000001</v>
          </cell>
          <cell r="H1267">
            <v>49.17</v>
          </cell>
          <cell r="I1267">
            <v>0.14319999999999999</v>
          </cell>
          <cell r="J1267">
            <v>51.14</v>
          </cell>
        </row>
        <row r="1268">
          <cell r="A1268" t="str">
            <v>LU1883835214</v>
          </cell>
          <cell r="B1268" t="str">
            <v>AMUNDI FUNDS PIONEER GLOBAL HIGH YIELD BOND</v>
          </cell>
          <cell r="C1268" t="str">
            <v>Class A USD MD3 (D)</v>
          </cell>
          <cell r="D1268" t="str">
            <v>USD</v>
          </cell>
          <cell r="E1268" t="str">
            <v>03-Jan-2022</v>
          </cell>
          <cell r="F1268">
            <v>3459340.71</v>
          </cell>
          <cell r="G1268">
            <v>98325.903000000006</v>
          </cell>
          <cell r="H1268">
            <v>35.18</v>
          </cell>
          <cell r="I1268">
            <v>0.35049999999999998</v>
          </cell>
          <cell r="J1268">
            <v>36.24</v>
          </cell>
        </row>
        <row r="1269">
          <cell r="A1269" t="str">
            <v>LU1883835305</v>
          </cell>
          <cell r="B1269" t="str">
            <v>AMUNDI FUNDS PIONEER GLOBAL HIGH YIELD BOND</v>
          </cell>
          <cell r="C1269" t="str">
            <v>Class A USD MGI (D)</v>
          </cell>
          <cell r="D1269" t="str">
            <v>USD</v>
          </cell>
          <cell r="E1269" t="str">
            <v>03-Jan-2022</v>
          </cell>
          <cell r="F1269">
            <v>222088294.59999999</v>
          </cell>
          <cell r="G1269">
            <v>5929238.2259999998</v>
          </cell>
          <cell r="H1269">
            <v>37.46</v>
          </cell>
          <cell r="I1269">
            <v>0.16711899999999999</v>
          </cell>
          <cell r="J1269">
            <v>38.96</v>
          </cell>
        </row>
        <row r="1270">
          <cell r="A1270" t="str">
            <v>LU1883834753</v>
          </cell>
          <cell r="B1270" t="str">
            <v>AMUNDI FUNDS PIONEER GLOBAL HIGH YIELD BOND</v>
          </cell>
          <cell r="C1270" t="str">
            <v>Class A CZK Hgd (C)</v>
          </cell>
          <cell r="D1270" t="str">
            <v>CZK</v>
          </cell>
          <cell r="E1270" t="str">
            <v>03-Jan-2022</v>
          </cell>
          <cell r="F1270">
            <v>192352971.09</v>
          </cell>
          <cell r="G1270">
            <v>129998.52800000001</v>
          </cell>
          <cell r="H1270">
            <v>1479.65</v>
          </cell>
          <cell r="I1270">
            <v>0</v>
          </cell>
          <cell r="J1270">
            <v>1538.84</v>
          </cell>
        </row>
        <row r="1271">
          <cell r="A1271" t="str">
            <v>LU1883835057</v>
          </cell>
          <cell r="B1271" t="str">
            <v>AMUNDI FUNDS PIONEER GLOBAL HIGH YIELD BOND</v>
          </cell>
          <cell r="C1271" t="str">
            <v>Class A USD (C)</v>
          </cell>
          <cell r="D1271" t="str">
            <v>USD</v>
          </cell>
          <cell r="E1271" t="str">
            <v>03-Jan-2022</v>
          </cell>
          <cell r="F1271">
            <v>8907094.4299999997</v>
          </cell>
          <cell r="G1271">
            <v>62824.271000000001</v>
          </cell>
          <cell r="H1271">
            <v>141.78</v>
          </cell>
          <cell r="I1271">
            <v>0</v>
          </cell>
          <cell r="J1271">
            <v>147.44999999999999</v>
          </cell>
        </row>
        <row r="1272">
          <cell r="A1272" t="str">
            <v>LU1883835990</v>
          </cell>
          <cell r="B1272" t="str">
            <v>AMUNDI FUNDS PIONEER GLOBAL HIGH YIELD BOND</v>
          </cell>
          <cell r="C1272" t="str">
            <v>Class B USD MD3 (D)</v>
          </cell>
          <cell r="D1272" t="str">
            <v>USD</v>
          </cell>
          <cell r="E1272" t="str">
            <v>03-Jan-2022</v>
          </cell>
          <cell r="F1272">
            <v>3499.66</v>
          </cell>
          <cell r="G1272">
            <v>100.90300000000001</v>
          </cell>
          <cell r="H1272">
            <v>34.68</v>
          </cell>
          <cell r="I1272">
            <v>0.34670000000000001</v>
          </cell>
          <cell r="J1272">
            <v>34.68</v>
          </cell>
        </row>
        <row r="1273">
          <cell r="A1273" t="str">
            <v>LU1883837426</v>
          </cell>
          <cell r="B1273" t="str">
            <v>AMUNDI FUNDS PIONEER GLOBAL HIGH YIELD BOND</v>
          </cell>
          <cell r="C1273" t="str">
            <v>Class M2 EUR (C)</v>
          </cell>
          <cell r="D1273" t="str">
            <v>EUR</v>
          </cell>
          <cell r="E1273" t="str">
            <v>03-Jan-2022</v>
          </cell>
          <cell r="F1273">
            <v>739517.01</v>
          </cell>
          <cell r="G1273">
            <v>292.85199999999998</v>
          </cell>
          <cell r="H1273">
            <v>2525.2199999999998</v>
          </cell>
          <cell r="I1273">
            <v>0</v>
          </cell>
          <cell r="J1273">
            <v>2525.2199999999998</v>
          </cell>
        </row>
        <row r="1274">
          <cell r="A1274" t="str">
            <v>LU1883837699</v>
          </cell>
          <cell r="B1274" t="str">
            <v>AMUNDI FUNDS PIONEER GLOBAL HIGH YIELD BOND</v>
          </cell>
          <cell r="C1274" t="str">
            <v>Class M2 EUR AD (D)</v>
          </cell>
          <cell r="D1274" t="str">
            <v>EUR</v>
          </cell>
          <cell r="E1274" t="str">
            <v>03-Jan-2022</v>
          </cell>
          <cell r="F1274">
            <v>151948.63</v>
          </cell>
          <cell r="G1274">
            <v>153.34899999999999</v>
          </cell>
          <cell r="H1274">
            <v>990.87</v>
          </cell>
          <cell r="I1274">
            <v>0</v>
          </cell>
          <cell r="J1274">
            <v>990.87</v>
          </cell>
        </row>
        <row r="1275">
          <cell r="A1275" t="str">
            <v>LU1883837772</v>
          </cell>
          <cell r="B1275" t="str">
            <v>AMUNDI FUNDS PIONEER GLOBAL HIGH YIELD BOND</v>
          </cell>
          <cell r="C1275" t="str">
            <v>Class M2 EUR Hgd (C)</v>
          </cell>
          <cell r="D1275" t="str">
            <v>EUR</v>
          </cell>
          <cell r="E1275" t="str">
            <v>03-Jan-2022</v>
          </cell>
          <cell r="F1275">
            <v>4121175.1</v>
          </cell>
          <cell r="G1275">
            <v>2470.6689999999999</v>
          </cell>
          <cell r="H1275">
            <v>1668.04</v>
          </cell>
          <cell r="I1275">
            <v>0</v>
          </cell>
          <cell r="J1275">
            <v>1668.04</v>
          </cell>
        </row>
        <row r="1276">
          <cell r="A1276" t="str">
            <v>LU1883837855</v>
          </cell>
          <cell r="B1276" t="str">
            <v>AMUNDI FUNDS PIONEER GLOBAL HIGH YIELD BOND</v>
          </cell>
          <cell r="C1276" t="str">
            <v>Class M2 EUR Hgd QTD (D)</v>
          </cell>
          <cell r="D1276" t="str">
            <v>EUR</v>
          </cell>
          <cell r="E1276" t="str">
            <v>03-Jan-2022</v>
          </cell>
          <cell r="F1276">
            <v>498096.84</v>
          </cell>
          <cell r="G1276">
            <v>529.19500000000005</v>
          </cell>
          <cell r="H1276">
            <v>941.23</v>
          </cell>
          <cell r="I1276">
            <v>8.2449999999999992</v>
          </cell>
          <cell r="J1276">
            <v>941.23</v>
          </cell>
        </row>
        <row r="1277">
          <cell r="A1277" t="str">
            <v>LU1883836378</v>
          </cell>
          <cell r="B1277" t="str">
            <v>AMUNDI FUNDS PIONEER GLOBAL HIGH YIELD BOND</v>
          </cell>
          <cell r="C1277" t="str">
            <v>Class C EUR (C)</v>
          </cell>
          <cell r="D1277" t="str">
            <v>EUR</v>
          </cell>
          <cell r="E1277" t="str">
            <v>03-Jan-2022</v>
          </cell>
          <cell r="F1277">
            <v>391761.04</v>
          </cell>
          <cell r="G1277">
            <v>3554.8969999999999</v>
          </cell>
          <cell r="H1277">
            <v>110.2</v>
          </cell>
          <cell r="I1277">
            <v>0</v>
          </cell>
          <cell r="J1277">
            <v>110.2</v>
          </cell>
        </row>
        <row r="1278">
          <cell r="A1278" t="str">
            <v>LU1883836451</v>
          </cell>
          <cell r="B1278" t="str">
            <v>AMUNDI FUNDS PIONEER GLOBAL HIGH YIELD BOND</v>
          </cell>
          <cell r="C1278" t="str">
            <v>Class C USD (C)</v>
          </cell>
          <cell r="D1278" t="str">
            <v>USD</v>
          </cell>
          <cell r="E1278" t="str">
            <v>03-Jan-2022</v>
          </cell>
          <cell r="F1278">
            <v>5563069.0899999999</v>
          </cell>
          <cell r="G1278">
            <v>44697.341999999997</v>
          </cell>
          <cell r="H1278">
            <v>124.46</v>
          </cell>
          <cell r="I1278">
            <v>0</v>
          </cell>
          <cell r="J1278">
            <v>124.46</v>
          </cell>
        </row>
        <row r="1279">
          <cell r="A1279" t="str">
            <v>LU1883836535</v>
          </cell>
          <cell r="B1279" t="str">
            <v>AMUNDI FUNDS PIONEER GLOBAL HIGH YIELD BOND</v>
          </cell>
          <cell r="C1279" t="str">
            <v>Class C USD MD (D)</v>
          </cell>
          <cell r="D1279" t="str">
            <v>USD</v>
          </cell>
          <cell r="E1279" t="str">
            <v>03-Jan-2022</v>
          </cell>
          <cell r="F1279">
            <v>2335022.69</v>
          </cell>
          <cell r="G1279">
            <v>47729.648999999998</v>
          </cell>
          <cell r="H1279">
            <v>48.92</v>
          </cell>
          <cell r="I1279">
            <v>0.1429</v>
          </cell>
          <cell r="J1279">
            <v>48.92</v>
          </cell>
        </row>
        <row r="1280">
          <cell r="A1280" t="str">
            <v>LU1883835487</v>
          </cell>
          <cell r="B1280" t="str">
            <v>AMUNDI FUNDS PIONEER GLOBAL HIGH YIELD BOND</v>
          </cell>
          <cell r="C1280" t="str">
            <v>Class A ZAR MD3 (D)</v>
          </cell>
          <cell r="D1280" t="str">
            <v>ZAR</v>
          </cell>
          <cell r="E1280" t="str">
            <v>03-Jan-2022</v>
          </cell>
          <cell r="F1280">
            <v>333747669.58999997</v>
          </cell>
          <cell r="G1280">
            <v>731969.08799999999</v>
          </cell>
          <cell r="H1280">
            <v>455.96</v>
          </cell>
          <cell r="I1280">
            <v>7.5590000000000002</v>
          </cell>
          <cell r="J1280">
            <v>474.2</v>
          </cell>
        </row>
        <row r="1281">
          <cell r="A1281" t="str">
            <v>LU1883836618</v>
          </cell>
          <cell r="B1281" t="str">
            <v>AMUNDI FUNDS PIONEER GLOBAL HIGH YIELD BOND</v>
          </cell>
          <cell r="C1281" t="str">
            <v>Class E2 EUR (C)</v>
          </cell>
          <cell r="D1281" t="str">
            <v>EUR</v>
          </cell>
          <cell r="E1281" t="str">
            <v>03-Jan-2022</v>
          </cell>
          <cell r="F1281">
            <v>13034398.16</v>
          </cell>
          <cell r="G1281">
            <v>995411.05299999996</v>
          </cell>
          <cell r="H1281">
            <v>13.093999999999999</v>
          </cell>
          <cell r="I1281">
            <v>0</v>
          </cell>
          <cell r="J1281">
            <v>13.093999999999999</v>
          </cell>
        </row>
        <row r="1282">
          <cell r="A1282" t="str">
            <v>LU1883836881</v>
          </cell>
          <cell r="B1282" t="str">
            <v>AMUNDI FUNDS PIONEER GLOBAL HIGH YIELD BOND</v>
          </cell>
          <cell r="C1282" t="str">
            <v>Class F EUR (C)</v>
          </cell>
          <cell r="D1282" t="str">
            <v>EUR</v>
          </cell>
          <cell r="E1282" t="str">
            <v>03-Jan-2022</v>
          </cell>
          <cell r="F1282">
            <v>5250217.05</v>
          </cell>
          <cell r="G1282">
            <v>479987.73499999999</v>
          </cell>
          <cell r="H1282">
            <v>10.938000000000001</v>
          </cell>
          <cell r="I1282">
            <v>0</v>
          </cell>
          <cell r="J1282">
            <v>10.938000000000001</v>
          </cell>
        </row>
        <row r="1283">
          <cell r="A1283" t="str">
            <v>LU1883836964</v>
          </cell>
          <cell r="B1283" t="str">
            <v>AMUNDI FUNDS PIONEER GLOBAL HIGH YIELD BOND</v>
          </cell>
          <cell r="C1283" t="str">
            <v>Class F EUR QTD (D)</v>
          </cell>
          <cell r="D1283" t="str">
            <v>EUR</v>
          </cell>
          <cell r="E1283" t="str">
            <v>03-Jan-2022</v>
          </cell>
          <cell r="F1283">
            <v>4398486.95</v>
          </cell>
          <cell r="G1283">
            <v>812773.73100000003</v>
          </cell>
          <cell r="H1283">
            <v>5.4119999999999999</v>
          </cell>
          <cell r="I1283">
            <v>4.41E-2</v>
          </cell>
          <cell r="J1283">
            <v>5.4119999999999999</v>
          </cell>
        </row>
        <row r="1284">
          <cell r="A1284" t="str">
            <v>LU1883837343</v>
          </cell>
          <cell r="B1284" t="str">
            <v>AMUNDI FUNDS PIONEER GLOBAL HIGH YIELD BOND</v>
          </cell>
          <cell r="C1284" t="str">
            <v>Class I2 USD (C)</v>
          </cell>
          <cell r="D1284" t="str">
            <v>USD</v>
          </cell>
          <cell r="E1284" t="str">
            <v>03-Jan-2022</v>
          </cell>
          <cell r="F1284">
            <v>30026292.940000001</v>
          </cell>
          <cell r="G1284">
            <v>11086.004000000001</v>
          </cell>
          <cell r="H1284">
            <v>2708.49</v>
          </cell>
          <cell r="I1284">
            <v>0</v>
          </cell>
          <cell r="J1284">
            <v>2708.49</v>
          </cell>
        </row>
        <row r="1285">
          <cell r="A1285" t="str">
            <v>LU1883836709</v>
          </cell>
          <cell r="B1285" t="str">
            <v>AMUNDI FUNDS PIONEER GLOBAL HIGH YIELD BOND</v>
          </cell>
          <cell r="C1285" t="str">
            <v>Class E2 EUR QTD (D)</v>
          </cell>
          <cell r="D1285" t="str">
            <v>EUR</v>
          </cell>
          <cell r="E1285" t="str">
            <v>03-Jan-2022</v>
          </cell>
          <cell r="F1285">
            <v>43613062.119999997</v>
          </cell>
          <cell r="G1285">
            <v>7505605.3820000002</v>
          </cell>
          <cell r="H1285">
            <v>5.8109999999999999</v>
          </cell>
          <cell r="I1285">
            <v>4.6899999999999997E-2</v>
          </cell>
          <cell r="J1285">
            <v>5.8109999999999999</v>
          </cell>
        </row>
        <row r="1286">
          <cell r="A1286" t="str">
            <v>LU1883837186</v>
          </cell>
          <cell r="B1286" t="str">
            <v>AMUNDI FUNDS PIONEER GLOBAL HIGH YIELD BOND</v>
          </cell>
          <cell r="C1286" t="str">
            <v>Class I2 EUR Hgd (C)</v>
          </cell>
          <cell r="D1286" t="str">
            <v>EUR</v>
          </cell>
          <cell r="E1286" t="str">
            <v>03-Jan-2022</v>
          </cell>
          <cell r="F1286">
            <v>11297388.300000001</v>
          </cell>
          <cell r="G1286">
            <v>9743.75</v>
          </cell>
          <cell r="H1286">
            <v>1159.45</v>
          </cell>
          <cell r="I1286">
            <v>0</v>
          </cell>
          <cell r="J1286">
            <v>1159.45</v>
          </cell>
        </row>
        <row r="1287">
          <cell r="A1287" t="str">
            <v>LU1883837004</v>
          </cell>
          <cell r="B1287" t="str">
            <v>AMUNDI FUNDS PIONEER GLOBAL HIGH YIELD BOND</v>
          </cell>
          <cell r="C1287" t="str">
            <v>Class I2 EUR (C)</v>
          </cell>
          <cell r="D1287" t="str">
            <v>EUR</v>
          </cell>
          <cell r="E1287" t="str">
            <v>03-Jan-2022</v>
          </cell>
          <cell r="F1287">
            <v>9429949.4600000009</v>
          </cell>
          <cell r="G1287">
            <v>3932</v>
          </cell>
          <cell r="H1287">
            <v>2398.2600000000002</v>
          </cell>
          <cell r="I1287">
            <v>0</v>
          </cell>
          <cell r="J1287">
            <v>2398.2600000000002</v>
          </cell>
        </row>
        <row r="1288">
          <cell r="A1288" t="str">
            <v>LU1894680674</v>
          </cell>
          <cell r="B1288" t="str">
            <v>AMUNDI FUNDS PIONEER GLOBAL HIGH YIELD BOND</v>
          </cell>
          <cell r="C1288" t="str">
            <v>Class G EUR Hgd AD (D)</v>
          </cell>
          <cell r="D1288" t="str">
            <v>EUR</v>
          </cell>
          <cell r="E1288" t="str">
            <v>03-Jan-2022</v>
          </cell>
          <cell r="F1288">
            <v>184060.14</v>
          </cell>
          <cell r="G1288">
            <v>39929.650999999998</v>
          </cell>
          <cell r="H1288">
            <v>4.6100000000000003</v>
          </cell>
          <cell r="I1288">
            <v>0</v>
          </cell>
          <cell r="J1288">
            <v>4.6100000000000003</v>
          </cell>
        </row>
        <row r="1289">
          <cell r="A1289" t="str">
            <v>LU1883838747</v>
          </cell>
          <cell r="B1289" t="str">
            <v>AMUNDI FUNDS PIONEER GLOBAL HIGH YIELD BOND</v>
          </cell>
          <cell r="C1289" t="str">
            <v>Class T ZAR MD3 (D)</v>
          </cell>
          <cell r="D1289" t="str">
            <v>ZAR</v>
          </cell>
          <cell r="E1289" t="str">
            <v>03-Jan-2022</v>
          </cell>
          <cell r="F1289">
            <v>649310.77</v>
          </cell>
          <cell r="G1289">
            <v>1351.0740000000001</v>
          </cell>
          <cell r="H1289">
            <v>480.59</v>
          </cell>
          <cell r="I1289">
            <v>7.9244000000000003</v>
          </cell>
          <cell r="J1289">
            <v>480.59</v>
          </cell>
        </row>
        <row r="1290">
          <cell r="A1290" t="str">
            <v>LU1883838317</v>
          </cell>
          <cell r="B1290" t="str">
            <v>AMUNDI FUNDS PIONEER GLOBAL HIGH YIELD BOND</v>
          </cell>
          <cell r="C1290" t="str">
            <v>Class R2 GBP (C)</v>
          </cell>
          <cell r="D1290" t="str">
            <v>GBP</v>
          </cell>
          <cell r="E1290" t="str">
            <v>03-Jan-2022</v>
          </cell>
          <cell r="F1290">
            <v>39790.71</v>
          </cell>
          <cell r="G1290">
            <v>447.07799999999997</v>
          </cell>
          <cell r="H1290">
            <v>89</v>
          </cell>
          <cell r="I1290">
            <v>0</v>
          </cell>
          <cell r="J1290">
            <v>89</v>
          </cell>
        </row>
        <row r="1291">
          <cell r="A1291" t="str">
            <v>LU1883838077</v>
          </cell>
          <cell r="B1291" t="str">
            <v>AMUNDI FUNDS PIONEER GLOBAL HIGH YIELD BOND</v>
          </cell>
          <cell r="C1291" t="str">
            <v>Class P2 USD MD (D)</v>
          </cell>
          <cell r="D1291" t="str">
            <v>USD</v>
          </cell>
          <cell r="E1291" t="str">
            <v>03-Jan-2022</v>
          </cell>
          <cell r="F1291">
            <v>5305.15</v>
          </cell>
          <cell r="G1291">
            <v>106.52500000000001</v>
          </cell>
          <cell r="H1291">
            <v>49.8</v>
          </cell>
          <cell r="I1291">
            <v>0.14319999999999999</v>
          </cell>
          <cell r="J1291">
            <v>49.8</v>
          </cell>
        </row>
        <row r="1292">
          <cell r="A1292" t="str">
            <v>LU1883838150</v>
          </cell>
          <cell r="B1292" t="str">
            <v>AMUNDI FUNDS PIONEER GLOBAL HIGH YIELD BOND</v>
          </cell>
          <cell r="C1292" t="str">
            <v>Class Q-D USD MD (D)</v>
          </cell>
          <cell r="D1292" t="str">
            <v>USD</v>
          </cell>
          <cell r="E1292" t="str">
            <v>03-Jan-2022</v>
          </cell>
          <cell r="F1292">
            <v>46909.23</v>
          </cell>
          <cell r="G1292">
            <v>825.625</v>
          </cell>
          <cell r="H1292">
            <v>56.82</v>
          </cell>
          <cell r="I1292">
            <v>0.16589999999999999</v>
          </cell>
          <cell r="J1292">
            <v>58.52</v>
          </cell>
        </row>
        <row r="1293">
          <cell r="A1293" t="str">
            <v>LU1883839042</v>
          </cell>
          <cell r="B1293" t="str">
            <v>AMUNDI FUNDS PIONEER GLOBAL HIGH YIELD BOND</v>
          </cell>
          <cell r="C1293" t="str">
            <v>Class U USD MD3 (D)</v>
          </cell>
          <cell r="D1293" t="str">
            <v>USD</v>
          </cell>
          <cell r="E1293" t="str">
            <v>03-Jan-2022</v>
          </cell>
          <cell r="F1293">
            <v>31.26</v>
          </cell>
          <cell r="G1293">
            <v>0.90300000000000002</v>
          </cell>
          <cell r="H1293">
            <v>34.619999999999997</v>
          </cell>
          <cell r="I1293">
            <v>0.3407</v>
          </cell>
          <cell r="J1293">
            <v>34.619999999999997</v>
          </cell>
        </row>
        <row r="1294">
          <cell r="A1294" t="str">
            <v>LU1883838408</v>
          </cell>
          <cell r="B1294" t="str">
            <v>AMUNDI FUNDS PIONEER GLOBAL HIGH YIELD BOND</v>
          </cell>
          <cell r="C1294" t="str">
            <v>Class R2 USD (C)</v>
          </cell>
          <cell r="D1294" t="str">
            <v>USD</v>
          </cell>
          <cell r="E1294" t="str">
            <v>03-Jan-2022</v>
          </cell>
          <cell r="F1294">
            <v>39346.1</v>
          </cell>
          <cell r="G1294">
            <v>613.33600000000001</v>
          </cell>
          <cell r="H1294">
            <v>64.150000000000006</v>
          </cell>
          <cell r="I1294">
            <v>0</v>
          </cell>
          <cell r="J1294">
            <v>64.150000000000006</v>
          </cell>
        </row>
        <row r="1295">
          <cell r="A1295" t="str">
            <v>LU2031986123</v>
          </cell>
          <cell r="B1295" t="str">
            <v>AMUNDI FUNDS PIONEER GLOBAL HIGH YIELD BOND</v>
          </cell>
          <cell r="C1295" t="str">
            <v>Class Z USD (C)</v>
          </cell>
          <cell r="D1295" t="str">
            <v>USD</v>
          </cell>
          <cell r="E1295" t="str">
            <v>03-Jan-2022</v>
          </cell>
          <cell r="F1295">
            <v>6025128.29</v>
          </cell>
          <cell r="G1295">
            <v>4910.5789999999997</v>
          </cell>
          <cell r="H1295">
            <v>1226.97</v>
          </cell>
          <cell r="I1295">
            <v>0</v>
          </cell>
          <cell r="J1295">
            <v>1226.97</v>
          </cell>
        </row>
        <row r="1296">
          <cell r="A1296" t="str">
            <v>LU1998916263</v>
          </cell>
          <cell r="B1296" t="str">
            <v>AMUNDI FUNDS PIONEER GLOBAL HIGH YIELD BOND</v>
          </cell>
          <cell r="C1296" t="str">
            <v>Class H EUR Hgd QTD (D)</v>
          </cell>
          <cell r="D1296" t="str">
            <v>EUR</v>
          </cell>
          <cell r="E1296" t="str">
            <v>03-Jan-2022</v>
          </cell>
          <cell r="F1296">
            <v>8983015.4399999995</v>
          </cell>
          <cell r="G1296">
            <v>9180.9009999999998</v>
          </cell>
          <cell r="H1296">
            <v>978.45</v>
          </cell>
          <cell r="I1296">
            <v>8.5533999999999999</v>
          </cell>
          <cell r="J1296">
            <v>978.45</v>
          </cell>
        </row>
        <row r="1297">
          <cell r="A1297" t="str">
            <v>LU1883841022</v>
          </cell>
          <cell r="B1297" t="str">
            <v>AMUNDI FUNDS PIONEER STRATEGIC INCOME</v>
          </cell>
          <cell r="C1297" t="str">
            <v>Class A EUR (C)</v>
          </cell>
          <cell r="D1297" t="str">
            <v>EUR</v>
          </cell>
          <cell r="E1297" t="str">
            <v>03-Jan-2022</v>
          </cell>
          <cell r="F1297">
            <v>14007252.23</v>
          </cell>
          <cell r="G1297">
            <v>1205010.415</v>
          </cell>
          <cell r="H1297">
            <v>11.62</v>
          </cell>
          <cell r="I1297">
            <v>0</v>
          </cell>
          <cell r="J1297">
            <v>11.97</v>
          </cell>
        </row>
        <row r="1298">
          <cell r="A1298" t="str">
            <v>LU2070309294</v>
          </cell>
          <cell r="B1298" t="str">
            <v>AMUNDI FUNDS PIONEER STRATEGIC INCOME</v>
          </cell>
          <cell r="C1298" t="str">
            <v>Class A2 EUR (C)</v>
          </cell>
          <cell r="D1298" t="str">
            <v>EUR</v>
          </cell>
          <cell r="E1298" t="str">
            <v>03-Jan-2022</v>
          </cell>
          <cell r="F1298">
            <v>5333.73</v>
          </cell>
          <cell r="G1298">
            <v>100</v>
          </cell>
          <cell r="H1298">
            <v>53.34</v>
          </cell>
          <cell r="I1298">
            <v>0</v>
          </cell>
          <cell r="J1298">
            <v>54.94</v>
          </cell>
        </row>
        <row r="1299">
          <cell r="A1299" t="str">
            <v>LU1883840644</v>
          </cell>
          <cell r="B1299" t="str">
            <v>AMUNDI FUNDS PIONEER STRATEGIC INCOME</v>
          </cell>
          <cell r="C1299" t="str">
            <v>Class A AUD MD3 (D)</v>
          </cell>
          <cell r="D1299" t="str">
            <v>AUD</v>
          </cell>
          <cell r="E1299" t="str">
            <v>03-Jan-2022</v>
          </cell>
          <cell r="F1299">
            <v>61906487.960000001</v>
          </cell>
          <cell r="G1299">
            <v>1748856.2320000001</v>
          </cell>
          <cell r="H1299">
            <v>35.4</v>
          </cell>
          <cell r="I1299">
            <v>0.2306</v>
          </cell>
          <cell r="J1299">
            <v>36.46</v>
          </cell>
        </row>
        <row r="1300">
          <cell r="A1300" t="str">
            <v>LU2070308999</v>
          </cell>
          <cell r="B1300" t="str">
            <v>AMUNDI FUNDS PIONEER STRATEGIC INCOME</v>
          </cell>
          <cell r="C1300" t="str">
            <v>Class A2 EUR AD (D)</v>
          </cell>
          <cell r="D1300" t="str">
            <v>EUR</v>
          </cell>
          <cell r="E1300" t="str">
            <v>03-Jan-2022</v>
          </cell>
          <cell r="F1300">
            <v>5113.42</v>
          </cell>
          <cell r="G1300">
            <v>100</v>
          </cell>
          <cell r="H1300">
            <v>51.13</v>
          </cell>
          <cell r="I1300">
            <v>0</v>
          </cell>
          <cell r="J1300">
            <v>52.66</v>
          </cell>
        </row>
        <row r="1301">
          <cell r="A1301" t="str">
            <v>LU2032056512</v>
          </cell>
          <cell r="B1301" t="str">
            <v>AMUNDI FUNDS PIONEER STRATEGIC INCOME</v>
          </cell>
          <cell r="C1301" t="str">
            <v>Class A5 EUR (C)</v>
          </cell>
          <cell r="D1301" t="str">
            <v>EUR</v>
          </cell>
          <cell r="E1301" t="str">
            <v>03-Jan-2022</v>
          </cell>
          <cell r="F1301">
            <v>29405.35</v>
          </cell>
          <cell r="G1301">
            <v>549.36199999999997</v>
          </cell>
          <cell r="H1301">
            <v>53.53</v>
          </cell>
          <cell r="I1301">
            <v>0</v>
          </cell>
          <cell r="J1301">
            <v>53.53</v>
          </cell>
        </row>
        <row r="1302">
          <cell r="A1302" t="str">
            <v>LU1883841618</v>
          </cell>
          <cell r="B1302" t="str">
            <v>AMUNDI FUNDS PIONEER STRATEGIC INCOME</v>
          </cell>
          <cell r="C1302" t="str">
            <v>Class A USD MD (D)</v>
          </cell>
          <cell r="D1302" t="str">
            <v>USD</v>
          </cell>
          <cell r="E1302" t="str">
            <v>03-Jan-2022</v>
          </cell>
          <cell r="F1302">
            <v>27147037.859999999</v>
          </cell>
          <cell r="G1302">
            <v>4108949.8530000001</v>
          </cell>
          <cell r="H1302">
            <v>6.61</v>
          </cell>
          <cell r="I1302">
            <v>7.7999999999999996E-3</v>
          </cell>
          <cell r="J1302">
            <v>6.81</v>
          </cell>
        </row>
        <row r="1303">
          <cell r="A1303" t="str">
            <v>LU1883841709</v>
          </cell>
          <cell r="B1303" t="str">
            <v>AMUNDI FUNDS PIONEER STRATEGIC INCOME</v>
          </cell>
          <cell r="C1303" t="str">
            <v>Class A USD MD3 (D)</v>
          </cell>
          <cell r="D1303" t="str">
            <v>USD</v>
          </cell>
          <cell r="E1303" t="str">
            <v>03-Jan-2022</v>
          </cell>
          <cell r="F1303">
            <v>41631219.380000003</v>
          </cell>
          <cell r="G1303">
            <v>1001974.351</v>
          </cell>
          <cell r="H1303">
            <v>41.55</v>
          </cell>
          <cell r="I1303">
            <v>0.26869999999999999</v>
          </cell>
          <cell r="J1303">
            <v>42.8</v>
          </cell>
        </row>
        <row r="1304">
          <cell r="A1304" t="str">
            <v>LU1883841881</v>
          </cell>
          <cell r="B1304" t="str">
            <v>AMUNDI FUNDS PIONEER STRATEGIC INCOME</v>
          </cell>
          <cell r="C1304" t="str">
            <v>Class A USD MGI (D)</v>
          </cell>
          <cell r="D1304" t="str">
            <v>USD</v>
          </cell>
          <cell r="E1304" t="str">
            <v>03-Jan-2022</v>
          </cell>
          <cell r="F1304">
            <v>199575955.28999999</v>
          </cell>
          <cell r="G1304">
            <v>3809747.406</v>
          </cell>
          <cell r="H1304">
            <v>52.39</v>
          </cell>
          <cell r="I1304">
            <v>0.1777</v>
          </cell>
          <cell r="J1304">
            <v>53.96</v>
          </cell>
        </row>
        <row r="1305">
          <cell r="A1305" t="str">
            <v>LU1883841378</v>
          </cell>
          <cell r="B1305" t="str">
            <v>AMUNDI FUNDS PIONEER STRATEGIC INCOME</v>
          </cell>
          <cell r="C1305" t="str">
            <v>Class A EUR Hgd AD (D)</v>
          </cell>
          <cell r="D1305" t="str">
            <v>EUR</v>
          </cell>
          <cell r="E1305" t="str">
            <v>03-Jan-2022</v>
          </cell>
          <cell r="F1305">
            <v>1636381.58</v>
          </cell>
          <cell r="G1305">
            <v>34603.154999999999</v>
          </cell>
          <cell r="H1305">
            <v>47.29</v>
          </cell>
          <cell r="I1305">
            <v>0</v>
          </cell>
          <cell r="J1305">
            <v>48.71</v>
          </cell>
        </row>
        <row r="1306">
          <cell r="A1306" t="str">
            <v>LU1883841451</v>
          </cell>
          <cell r="B1306" t="str">
            <v>AMUNDI FUNDS PIONEER STRATEGIC INCOME</v>
          </cell>
          <cell r="C1306" t="str">
            <v>Class A EUR Hgd MGI (D)</v>
          </cell>
          <cell r="D1306" t="str">
            <v>EUR</v>
          </cell>
          <cell r="E1306" t="str">
            <v>03-Jan-2022</v>
          </cell>
          <cell r="F1306">
            <v>57172217.520000003</v>
          </cell>
          <cell r="G1306">
            <v>1656705.101</v>
          </cell>
          <cell r="H1306">
            <v>34.51</v>
          </cell>
          <cell r="I1306">
            <v>0.11723600000000001</v>
          </cell>
          <cell r="J1306">
            <v>35.549999999999997</v>
          </cell>
        </row>
        <row r="1307">
          <cell r="A1307" t="str">
            <v>LU1883840727</v>
          </cell>
          <cell r="B1307" t="str">
            <v>AMUNDI FUNDS PIONEER STRATEGIC INCOME</v>
          </cell>
          <cell r="C1307" t="str">
            <v>Class A CHF Hgd (C)</v>
          </cell>
          <cell r="D1307" t="str">
            <v>CHF</v>
          </cell>
          <cell r="E1307" t="str">
            <v>03-Jan-2022</v>
          </cell>
          <cell r="F1307">
            <v>492544.97</v>
          </cell>
          <cell r="G1307">
            <v>9195.1</v>
          </cell>
          <cell r="H1307">
            <v>53.57</v>
          </cell>
          <cell r="I1307">
            <v>0</v>
          </cell>
          <cell r="J1307">
            <v>55.18</v>
          </cell>
        </row>
        <row r="1308">
          <cell r="A1308" t="str">
            <v>LU1883841295</v>
          </cell>
          <cell r="B1308" t="str">
            <v>AMUNDI FUNDS PIONEER STRATEGIC INCOME</v>
          </cell>
          <cell r="C1308" t="str">
            <v>Class A EUR Hgd (C)</v>
          </cell>
          <cell r="D1308" t="str">
            <v>EUR</v>
          </cell>
          <cell r="E1308" t="str">
            <v>03-Jan-2022</v>
          </cell>
          <cell r="F1308">
            <v>20949795.609999999</v>
          </cell>
          <cell r="G1308">
            <v>231790.617</v>
          </cell>
          <cell r="H1308">
            <v>90.38</v>
          </cell>
          <cell r="I1308">
            <v>0</v>
          </cell>
          <cell r="J1308">
            <v>93.09</v>
          </cell>
        </row>
        <row r="1309">
          <cell r="A1309" t="str">
            <v>LU1883840990</v>
          </cell>
          <cell r="B1309" t="str">
            <v>AMUNDI FUNDS PIONEER STRATEGIC INCOME</v>
          </cell>
          <cell r="C1309" t="str">
            <v>Class A CZK Hgd (C)</v>
          </cell>
          <cell r="D1309" t="str">
            <v>CZK</v>
          </cell>
          <cell r="E1309" t="str">
            <v>03-Jan-2022</v>
          </cell>
          <cell r="F1309">
            <v>1630727281.4000001</v>
          </cell>
          <cell r="G1309">
            <v>1069200.111</v>
          </cell>
          <cell r="H1309">
            <v>1525.18</v>
          </cell>
          <cell r="I1309">
            <v>0</v>
          </cell>
          <cell r="J1309">
            <v>1570.94</v>
          </cell>
        </row>
        <row r="1310">
          <cell r="A1310" t="str">
            <v>LU1883841535</v>
          </cell>
          <cell r="B1310" t="str">
            <v>AMUNDI FUNDS PIONEER STRATEGIC INCOME</v>
          </cell>
          <cell r="C1310" t="str">
            <v>Class A USD (C)</v>
          </cell>
          <cell r="D1310" t="str">
            <v>USD</v>
          </cell>
          <cell r="E1310" t="str">
            <v>03-Jan-2022</v>
          </cell>
          <cell r="F1310">
            <v>156799438.94999999</v>
          </cell>
          <cell r="G1310">
            <v>11946909.99</v>
          </cell>
          <cell r="H1310">
            <v>13.12</v>
          </cell>
          <cell r="I1310">
            <v>0</v>
          </cell>
          <cell r="J1310">
            <v>13.51</v>
          </cell>
        </row>
        <row r="1311">
          <cell r="A1311" t="str">
            <v>LU1883842699</v>
          </cell>
          <cell r="B1311" t="str">
            <v>AMUNDI FUNDS PIONEER STRATEGIC INCOME</v>
          </cell>
          <cell r="C1311" t="str">
            <v>Class B ZAR MD3 (D)</v>
          </cell>
          <cell r="D1311" t="str">
            <v>ZAR</v>
          </cell>
          <cell r="E1311" t="str">
            <v>03-Jan-2022</v>
          </cell>
          <cell r="F1311">
            <v>822483807.58000004</v>
          </cell>
          <cell r="G1311">
            <v>1316150.7050000001</v>
          </cell>
          <cell r="H1311">
            <v>624.91999999999996</v>
          </cell>
          <cell r="I1311">
            <v>7.9649999999999999</v>
          </cell>
          <cell r="J1311">
            <v>624.91999999999996</v>
          </cell>
        </row>
        <row r="1312">
          <cell r="A1312" t="str">
            <v>LU1883842426</v>
          </cell>
          <cell r="B1312" t="str">
            <v>AMUNDI FUNDS PIONEER STRATEGIC INCOME</v>
          </cell>
          <cell r="C1312" t="str">
            <v>Class B USD MGI (D)</v>
          </cell>
          <cell r="D1312" t="str">
            <v>USD</v>
          </cell>
          <cell r="E1312" t="str">
            <v>03-Jan-2022</v>
          </cell>
          <cell r="F1312">
            <v>47254557.590000004</v>
          </cell>
          <cell r="G1312">
            <v>1004713.686</v>
          </cell>
          <cell r="H1312">
            <v>47.03</v>
          </cell>
          <cell r="I1312">
            <v>0.15948300000000001</v>
          </cell>
          <cell r="J1312">
            <v>47.03</v>
          </cell>
        </row>
        <row r="1313">
          <cell r="A1313" t="str">
            <v>LU1883842269</v>
          </cell>
          <cell r="B1313" t="str">
            <v>AMUNDI FUNDS PIONEER STRATEGIC INCOME</v>
          </cell>
          <cell r="C1313" t="str">
            <v>Class B USD MD (D)</v>
          </cell>
          <cell r="D1313" t="str">
            <v>USD</v>
          </cell>
          <cell r="E1313" t="str">
            <v>03-Jan-2022</v>
          </cell>
          <cell r="F1313">
            <v>48105.02</v>
          </cell>
          <cell r="G1313">
            <v>7231.93</v>
          </cell>
          <cell r="H1313">
            <v>6.65</v>
          </cell>
          <cell r="I1313">
            <v>7.9000000000000008E-3</v>
          </cell>
          <cell r="J1313">
            <v>6.65</v>
          </cell>
        </row>
        <row r="1314">
          <cell r="A1314" t="str">
            <v>LU1883842343</v>
          </cell>
          <cell r="B1314" t="str">
            <v>AMUNDI FUNDS PIONEER STRATEGIC INCOME</v>
          </cell>
          <cell r="C1314" t="str">
            <v>Class B USD MD3 (D)</v>
          </cell>
          <cell r="D1314" t="str">
            <v>USD</v>
          </cell>
          <cell r="E1314" t="str">
            <v>03-Jan-2022</v>
          </cell>
          <cell r="F1314">
            <v>152976796.18000001</v>
          </cell>
          <cell r="G1314">
            <v>3603714.236</v>
          </cell>
          <cell r="H1314">
            <v>42.45</v>
          </cell>
          <cell r="I1314">
            <v>0.27500000000000002</v>
          </cell>
          <cell r="J1314">
            <v>42.45</v>
          </cell>
        </row>
        <row r="1315">
          <cell r="A1315" t="str">
            <v>LU1883842004</v>
          </cell>
          <cell r="B1315" t="str">
            <v>AMUNDI FUNDS PIONEER STRATEGIC INCOME</v>
          </cell>
          <cell r="C1315" t="str">
            <v>Class B AUD MD3 (D)</v>
          </cell>
          <cell r="D1315" t="str">
            <v>AUD</v>
          </cell>
          <cell r="E1315" t="str">
            <v>03-Jan-2022</v>
          </cell>
          <cell r="F1315">
            <v>32509561.329999998</v>
          </cell>
          <cell r="G1315">
            <v>955809.98300000001</v>
          </cell>
          <cell r="H1315">
            <v>34.01</v>
          </cell>
          <cell r="I1315">
            <v>0.22189999999999999</v>
          </cell>
          <cell r="J1315">
            <v>34.01</v>
          </cell>
        </row>
        <row r="1316">
          <cell r="A1316" t="str">
            <v>LU1883845361</v>
          </cell>
          <cell r="B1316" t="str">
            <v>AMUNDI FUNDS PIONEER STRATEGIC INCOME</v>
          </cell>
          <cell r="C1316" t="str">
            <v>Class M2 EUR (C)</v>
          </cell>
          <cell r="D1316" t="str">
            <v>EUR</v>
          </cell>
          <cell r="E1316" t="str">
            <v>03-Jan-2022</v>
          </cell>
          <cell r="F1316">
            <v>66680673.140000001</v>
          </cell>
          <cell r="G1316">
            <v>25013.32</v>
          </cell>
          <cell r="H1316">
            <v>2665.81</v>
          </cell>
          <cell r="I1316">
            <v>0</v>
          </cell>
          <cell r="J1316">
            <v>2665.81</v>
          </cell>
        </row>
        <row r="1317">
          <cell r="A1317" t="str">
            <v>LU2002723232</v>
          </cell>
          <cell r="B1317" t="str">
            <v>AMUNDI FUNDS PIONEER STRATEGIC INCOME</v>
          </cell>
          <cell r="C1317" t="str">
            <v>Class M2 EUR Hgd (C)</v>
          </cell>
          <cell r="D1317" t="str">
            <v>EUR</v>
          </cell>
          <cell r="E1317" t="str">
            <v>03-Jan-2022</v>
          </cell>
          <cell r="F1317">
            <v>109209.16</v>
          </cell>
          <cell r="G1317">
            <v>100</v>
          </cell>
          <cell r="H1317">
            <v>1092.0899999999999</v>
          </cell>
          <cell r="I1317">
            <v>0</v>
          </cell>
          <cell r="J1317">
            <v>1092.0899999999999</v>
          </cell>
        </row>
        <row r="1318">
          <cell r="A1318" t="str">
            <v>LU1883842186</v>
          </cell>
          <cell r="B1318" t="str">
            <v>AMUNDI FUNDS PIONEER STRATEGIC INCOME</v>
          </cell>
          <cell r="C1318" t="str">
            <v>Class B USD (C)</v>
          </cell>
          <cell r="D1318" t="str">
            <v>USD</v>
          </cell>
          <cell r="E1318" t="str">
            <v>03-Jan-2022</v>
          </cell>
          <cell r="F1318">
            <v>25021785.449999999</v>
          </cell>
          <cell r="G1318">
            <v>2223268.375</v>
          </cell>
          <cell r="H1318">
            <v>11.25</v>
          </cell>
          <cell r="I1318">
            <v>0</v>
          </cell>
          <cell r="J1318">
            <v>11.25</v>
          </cell>
        </row>
        <row r="1319">
          <cell r="A1319" t="str">
            <v>LU1883842772</v>
          </cell>
          <cell r="B1319" t="str">
            <v>AMUNDI FUNDS PIONEER STRATEGIC INCOME</v>
          </cell>
          <cell r="C1319" t="str">
            <v>Class C EUR (C)</v>
          </cell>
          <cell r="D1319" t="str">
            <v>EUR</v>
          </cell>
          <cell r="E1319" t="str">
            <v>03-Jan-2022</v>
          </cell>
          <cell r="F1319">
            <v>1418430</v>
          </cell>
          <cell r="G1319">
            <v>131993.06899999999</v>
          </cell>
          <cell r="H1319">
            <v>10.75</v>
          </cell>
          <cell r="I1319">
            <v>0</v>
          </cell>
          <cell r="J1319">
            <v>10.75</v>
          </cell>
        </row>
        <row r="1320">
          <cell r="A1320" t="str">
            <v>LU1883843077</v>
          </cell>
          <cell r="B1320" t="str">
            <v>AMUNDI FUNDS PIONEER STRATEGIC INCOME</v>
          </cell>
          <cell r="C1320" t="str">
            <v>Class C USD (C)</v>
          </cell>
          <cell r="D1320" t="str">
            <v>USD</v>
          </cell>
          <cell r="E1320" t="str">
            <v>03-Jan-2022</v>
          </cell>
          <cell r="F1320">
            <v>58419756.939999998</v>
          </cell>
          <cell r="G1320">
            <v>4814764.1129999999</v>
          </cell>
          <cell r="H1320">
            <v>12.13</v>
          </cell>
          <cell r="I1320">
            <v>0</v>
          </cell>
          <cell r="J1320">
            <v>12.13</v>
          </cell>
        </row>
        <row r="1321">
          <cell r="A1321" t="str">
            <v>LU1883843150</v>
          </cell>
          <cell r="B1321" t="str">
            <v>AMUNDI FUNDS PIONEER STRATEGIC INCOME</v>
          </cell>
          <cell r="C1321" t="str">
            <v>Class C USD MD (D)</v>
          </cell>
          <cell r="D1321" t="str">
            <v>USD</v>
          </cell>
          <cell r="E1321" t="str">
            <v>03-Jan-2022</v>
          </cell>
          <cell r="F1321">
            <v>16642776.949999999</v>
          </cell>
          <cell r="G1321">
            <v>2495443.4190000002</v>
          </cell>
          <cell r="H1321">
            <v>6.67</v>
          </cell>
          <cell r="I1321">
            <v>7.9000000000000008E-3</v>
          </cell>
          <cell r="J1321">
            <v>6.67</v>
          </cell>
        </row>
        <row r="1322">
          <cell r="A1322" t="str">
            <v>LU1883842855</v>
          </cell>
          <cell r="B1322" t="str">
            <v>AMUNDI FUNDS PIONEER STRATEGIC INCOME</v>
          </cell>
          <cell r="C1322" t="str">
            <v>Class C EUR Hgd (C)</v>
          </cell>
          <cell r="D1322" t="str">
            <v>EUR</v>
          </cell>
          <cell r="E1322" t="str">
            <v>03-Jan-2022</v>
          </cell>
          <cell r="F1322">
            <v>366375.35</v>
          </cell>
          <cell r="G1322">
            <v>6942.84</v>
          </cell>
          <cell r="H1322">
            <v>52.77</v>
          </cell>
          <cell r="I1322">
            <v>0</v>
          </cell>
          <cell r="J1322">
            <v>52.77</v>
          </cell>
        </row>
        <row r="1323">
          <cell r="A1323" t="str">
            <v>LU1883842939</v>
          </cell>
          <cell r="B1323" t="str">
            <v>AMUNDI FUNDS PIONEER STRATEGIC INCOME</v>
          </cell>
          <cell r="C1323" t="str">
            <v>Class C EUR Hgd MGI (D)</v>
          </cell>
          <cell r="D1323" t="str">
            <v>EUR</v>
          </cell>
          <cell r="E1323" t="str">
            <v>03-Jan-2022</v>
          </cell>
          <cell r="F1323">
            <v>531541.37</v>
          </cell>
          <cell r="G1323">
            <v>14095.814</v>
          </cell>
          <cell r="H1323">
            <v>37.71</v>
          </cell>
          <cell r="I1323">
            <v>0.128079</v>
          </cell>
          <cell r="J1323">
            <v>37.71</v>
          </cell>
        </row>
        <row r="1324">
          <cell r="A1324" t="str">
            <v>LU1883841964</v>
          </cell>
          <cell r="B1324" t="str">
            <v>AMUNDI FUNDS PIONEER STRATEGIC INCOME</v>
          </cell>
          <cell r="C1324" t="str">
            <v>Class A ZAR MD3 (D)</v>
          </cell>
          <cell r="D1324" t="str">
            <v>ZAR</v>
          </cell>
          <cell r="E1324" t="str">
            <v>03-Jan-2022</v>
          </cell>
          <cell r="F1324">
            <v>1559550298.9100001</v>
          </cell>
          <cell r="G1324">
            <v>2542223.0389999999</v>
          </cell>
          <cell r="H1324">
            <v>613.46</v>
          </cell>
          <cell r="I1324">
            <v>7.8966000000000003</v>
          </cell>
          <cell r="J1324">
            <v>631.86</v>
          </cell>
        </row>
        <row r="1325">
          <cell r="A1325" t="str">
            <v>LU1883843234</v>
          </cell>
          <cell r="B1325" t="str">
            <v>AMUNDI FUNDS PIONEER STRATEGIC INCOME</v>
          </cell>
          <cell r="C1325" t="str">
            <v>Class E2 EUR (C)</v>
          </cell>
          <cell r="D1325" t="str">
            <v>EUR</v>
          </cell>
          <cell r="E1325" t="str">
            <v>03-Jan-2022</v>
          </cell>
          <cell r="F1325">
            <v>106807638.42</v>
          </cell>
          <cell r="G1325">
            <v>8203642.6289999997</v>
          </cell>
          <cell r="H1325">
            <v>13.02</v>
          </cell>
          <cell r="I1325">
            <v>0</v>
          </cell>
          <cell r="J1325">
            <v>13.02</v>
          </cell>
        </row>
        <row r="1326">
          <cell r="A1326" t="str">
            <v>LU1883843317</v>
          </cell>
          <cell r="B1326" t="str">
            <v>AMUNDI FUNDS PIONEER STRATEGIC INCOME</v>
          </cell>
          <cell r="C1326" t="str">
            <v>Class E2 EUR AD (D)</v>
          </cell>
          <cell r="D1326" t="str">
            <v>EUR</v>
          </cell>
          <cell r="E1326" t="str">
            <v>03-Jan-2022</v>
          </cell>
          <cell r="F1326">
            <v>16085823.16</v>
          </cell>
          <cell r="G1326">
            <v>2542581.6579999998</v>
          </cell>
          <cell r="H1326">
            <v>6.327</v>
          </cell>
          <cell r="I1326">
            <v>0</v>
          </cell>
          <cell r="J1326">
            <v>6.327</v>
          </cell>
        </row>
        <row r="1327">
          <cell r="A1327" t="str">
            <v>LU1883843408</v>
          </cell>
          <cell r="B1327" t="str">
            <v>AMUNDI FUNDS PIONEER STRATEGIC INCOME</v>
          </cell>
          <cell r="C1327" t="str">
            <v>Class E2 EUR Hgd (C)</v>
          </cell>
          <cell r="D1327" t="str">
            <v>EUR</v>
          </cell>
          <cell r="E1327" t="str">
            <v>03-Jan-2022</v>
          </cell>
          <cell r="F1327">
            <v>79421946.810000002</v>
          </cell>
          <cell r="G1327">
            <v>7681968.0640000002</v>
          </cell>
          <cell r="H1327">
            <v>10.339</v>
          </cell>
          <cell r="I1327">
            <v>0</v>
          </cell>
          <cell r="J1327">
            <v>10.339</v>
          </cell>
        </row>
        <row r="1328">
          <cell r="A1328" t="str">
            <v>LU1883843580</v>
          </cell>
          <cell r="B1328" t="str">
            <v>AMUNDI FUNDS PIONEER STRATEGIC INCOME</v>
          </cell>
          <cell r="C1328" t="str">
            <v>Class E2 EUR Hgd AD (D)</v>
          </cell>
          <cell r="D1328" t="str">
            <v>EUR</v>
          </cell>
          <cell r="E1328" t="str">
            <v>03-Jan-2022</v>
          </cell>
          <cell r="F1328">
            <v>236060786.68000001</v>
          </cell>
          <cell r="G1328">
            <v>47948944.413000003</v>
          </cell>
          <cell r="H1328">
            <v>4.923</v>
          </cell>
          <cell r="I1328">
            <v>0</v>
          </cell>
          <cell r="J1328">
            <v>4.923</v>
          </cell>
        </row>
        <row r="1329">
          <cell r="A1329" t="str">
            <v>LU1883843663</v>
          </cell>
          <cell r="B1329" t="str">
            <v>AMUNDI FUNDS PIONEER STRATEGIC INCOME</v>
          </cell>
          <cell r="C1329" t="str">
            <v>Class E2 EUR Hgd QTD (D)</v>
          </cell>
          <cell r="D1329" t="str">
            <v>EUR</v>
          </cell>
          <cell r="E1329" t="str">
            <v>03-Jan-2022</v>
          </cell>
          <cell r="F1329">
            <v>37545066.619999997</v>
          </cell>
          <cell r="G1329">
            <v>7705115.0549999997</v>
          </cell>
          <cell r="H1329">
            <v>4.8730000000000002</v>
          </cell>
          <cell r="I1329">
            <v>1.7399999999999999E-2</v>
          </cell>
          <cell r="J1329">
            <v>4.8730000000000002</v>
          </cell>
        </row>
        <row r="1330">
          <cell r="A1330" t="str">
            <v>LU1883844042</v>
          </cell>
          <cell r="B1330" t="str">
            <v>AMUNDI FUNDS PIONEER STRATEGIC INCOME</v>
          </cell>
          <cell r="C1330" t="str">
            <v>Class F EUR AD (D)</v>
          </cell>
          <cell r="D1330" t="str">
            <v>EUR</v>
          </cell>
          <cell r="E1330" t="str">
            <v>03-Jan-2022</v>
          </cell>
          <cell r="F1330">
            <v>1438202.83</v>
          </cell>
          <cell r="G1330">
            <v>224290.31700000001</v>
          </cell>
          <cell r="H1330">
            <v>6.4119999999999999</v>
          </cell>
          <cell r="I1330">
            <v>0</v>
          </cell>
          <cell r="J1330">
            <v>6.4119999999999999</v>
          </cell>
        </row>
        <row r="1331">
          <cell r="A1331" t="str">
            <v>LU1883843820</v>
          </cell>
          <cell r="B1331" t="str">
            <v>AMUNDI FUNDS PIONEER STRATEGIC INCOME</v>
          </cell>
          <cell r="C1331" t="str">
            <v>Class F EUR (C)</v>
          </cell>
          <cell r="D1331" t="str">
            <v>EUR</v>
          </cell>
          <cell r="E1331" t="str">
            <v>03-Jan-2022</v>
          </cell>
          <cell r="F1331">
            <v>8634216.8499999996</v>
          </cell>
          <cell r="G1331">
            <v>763345.35400000005</v>
          </cell>
          <cell r="H1331">
            <v>11.311</v>
          </cell>
          <cell r="I1331">
            <v>0</v>
          </cell>
          <cell r="J1331">
            <v>11.311</v>
          </cell>
        </row>
        <row r="1332">
          <cell r="A1332" t="str">
            <v>LU1883844471</v>
          </cell>
          <cell r="B1332" t="str">
            <v>AMUNDI FUNDS PIONEER STRATEGIC INCOME</v>
          </cell>
          <cell r="C1332" t="str">
            <v>Class F EUR QTD (D)</v>
          </cell>
          <cell r="D1332" t="str">
            <v>EUR</v>
          </cell>
          <cell r="E1332" t="str">
            <v>03-Jan-2022</v>
          </cell>
          <cell r="F1332">
            <v>3112220.78</v>
          </cell>
          <cell r="G1332">
            <v>486723.14399999997</v>
          </cell>
          <cell r="H1332">
            <v>6.3940000000000001</v>
          </cell>
          <cell r="I1332">
            <v>2.1000000000000001E-2</v>
          </cell>
          <cell r="J1332">
            <v>6.3940000000000001</v>
          </cell>
        </row>
        <row r="1333">
          <cell r="A1333" t="str">
            <v>LU1883844398</v>
          </cell>
          <cell r="B1333" t="str">
            <v>AMUNDI FUNDS PIONEER STRATEGIC INCOME</v>
          </cell>
          <cell r="C1333" t="str">
            <v>Class F EUR Hgd AD (D)</v>
          </cell>
          <cell r="D1333" t="str">
            <v>EUR</v>
          </cell>
          <cell r="E1333" t="str">
            <v>03-Jan-2022</v>
          </cell>
          <cell r="F1333">
            <v>6334201.9199999999</v>
          </cell>
          <cell r="G1333">
            <v>1348661.0560000001</v>
          </cell>
          <cell r="H1333">
            <v>4.6970000000000001</v>
          </cell>
          <cell r="I1333">
            <v>0</v>
          </cell>
          <cell r="J1333">
            <v>4.6970000000000001</v>
          </cell>
        </row>
        <row r="1334">
          <cell r="A1334" t="str">
            <v>LU1883844125</v>
          </cell>
          <cell r="B1334" t="str">
            <v>AMUNDI FUNDS PIONEER STRATEGIC INCOME</v>
          </cell>
          <cell r="C1334" t="str">
            <v>Class F EUR Hgd (C)</v>
          </cell>
          <cell r="D1334" t="str">
            <v>EUR</v>
          </cell>
          <cell r="E1334" t="str">
            <v>03-Jan-2022</v>
          </cell>
          <cell r="F1334">
            <v>13711454.960000001</v>
          </cell>
          <cell r="G1334">
            <v>1480856.3470000001</v>
          </cell>
          <cell r="H1334">
            <v>9.2590000000000003</v>
          </cell>
          <cell r="I1334">
            <v>0</v>
          </cell>
          <cell r="J1334">
            <v>9.2590000000000003</v>
          </cell>
        </row>
        <row r="1335">
          <cell r="A1335" t="str">
            <v>LU1883845288</v>
          </cell>
          <cell r="B1335" t="str">
            <v>AMUNDI FUNDS PIONEER STRATEGIC INCOME</v>
          </cell>
          <cell r="C1335" t="str">
            <v>Class I2 USD QD (D)</v>
          </cell>
          <cell r="D1335" t="str">
            <v>USD</v>
          </cell>
          <cell r="E1335" t="str">
            <v>03-Jan-2022</v>
          </cell>
          <cell r="F1335">
            <v>75496982.489999995</v>
          </cell>
          <cell r="G1335">
            <v>59946.108999999997</v>
          </cell>
          <cell r="H1335">
            <v>1259.4100000000001</v>
          </cell>
          <cell r="I1335">
            <v>0</v>
          </cell>
          <cell r="J1335">
            <v>1259.4100000000001</v>
          </cell>
        </row>
        <row r="1336">
          <cell r="A1336" t="str">
            <v>LU1883845106</v>
          </cell>
          <cell r="B1336" t="str">
            <v>AMUNDI FUNDS PIONEER STRATEGIC INCOME</v>
          </cell>
          <cell r="C1336" t="str">
            <v>Class I2 USD (C)</v>
          </cell>
          <cell r="D1336" t="str">
            <v>USD</v>
          </cell>
          <cell r="E1336" t="str">
            <v>03-Jan-2022</v>
          </cell>
          <cell r="F1336">
            <v>145207719.94999999</v>
          </cell>
          <cell r="G1336">
            <v>915171.51699999999</v>
          </cell>
          <cell r="H1336">
            <v>158.66999999999999</v>
          </cell>
          <cell r="I1336">
            <v>0</v>
          </cell>
          <cell r="J1336">
            <v>158.66999999999999</v>
          </cell>
        </row>
        <row r="1337">
          <cell r="A1337" t="str">
            <v>LU1883844802</v>
          </cell>
          <cell r="B1337" t="str">
            <v>AMUNDI FUNDS PIONEER STRATEGIC INCOME</v>
          </cell>
          <cell r="C1337" t="str">
            <v>Class I2 EUR QD (D)</v>
          </cell>
          <cell r="D1337" t="str">
            <v>EUR</v>
          </cell>
          <cell r="E1337" t="str">
            <v>03-Jan-2022</v>
          </cell>
          <cell r="F1337">
            <v>108213.1</v>
          </cell>
          <cell r="G1337">
            <v>97</v>
          </cell>
          <cell r="H1337">
            <v>1115.5999999999999</v>
          </cell>
          <cell r="I1337">
            <v>0</v>
          </cell>
          <cell r="J1337">
            <v>1115.5999999999999</v>
          </cell>
        </row>
        <row r="1338">
          <cell r="A1338" t="str">
            <v>LU1883843747</v>
          </cell>
          <cell r="B1338" t="str">
            <v>AMUNDI FUNDS PIONEER STRATEGIC INCOME</v>
          </cell>
          <cell r="C1338" t="str">
            <v>Class E2 EUR QTD (D)</v>
          </cell>
          <cell r="D1338" t="str">
            <v>EUR</v>
          </cell>
          <cell r="E1338" t="str">
            <v>03-Jan-2022</v>
          </cell>
          <cell r="F1338">
            <v>31860156.539999999</v>
          </cell>
          <cell r="G1338">
            <v>4742689.9400000004</v>
          </cell>
          <cell r="H1338">
            <v>6.718</v>
          </cell>
          <cell r="I1338">
            <v>2.1899999999999999E-2</v>
          </cell>
          <cell r="J1338">
            <v>6.718</v>
          </cell>
        </row>
        <row r="1339">
          <cell r="A1339" t="str">
            <v>LU2347634748</v>
          </cell>
          <cell r="B1339" t="str">
            <v>AMUNDI FUNDS PIONEER STRATEGIC INCOME</v>
          </cell>
          <cell r="C1339" t="str">
            <v>Class I4 USD QTD (D)</v>
          </cell>
          <cell r="D1339" t="str">
            <v>USD</v>
          </cell>
          <cell r="E1339" t="str">
            <v>03-Jan-2022</v>
          </cell>
          <cell r="F1339">
            <v>14802052.18</v>
          </cell>
          <cell r="G1339">
            <v>15160.584000000001</v>
          </cell>
          <cell r="H1339">
            <v>976.35</v>
          </cell>
          <cell r="I1339">
            <v>10.4148</v>
          </cell>
          <cell r="J1339">
            <v>976.35</v>
          </cell>
        </row>
        <row r="1340">
          <cell r="A1340" t="str">
            <v>LU1883844711</v>
          </cell>
          <cell r="B1340" t="str">
            <v>AMUNDI FUNDS PIONEER STRATEGIC INCOME</v>
          </cell>
          <cell r="C1340" t="str">
            <v>Class I2 EUR Hgd QTD (D)</v>
          </cell>
          <cell r="D1340" t="str">
            <v>EUR</v>
          </cell>
          <cell r="E1340" t="str">
            <v>03-Jan-2022</v>
          </cell>
          <cell r="F1340">
            <v>86424429.159999996</v>
          </cell>
          <cell r="G1340">
            <v>85640.327000000005</v>
          </cell>
          <cell r="H1340">
            <v>1009.16</v>
          </cell>
          <cell r="I1340">
            <v>3.5716000000000001</v>
          </cell>
          <cell r="J1340">
            <v>1009.16</v>
          </cell>
        </row>
        <row r="1341">
          <cell r="A1341" t="str">
            <v>LU1883844638</v>
          </cell>
          <cell r="B1341" t="str">
            <v>AMUNDI FUNDS PIONEER STRATEGIC INCOME</v>
          </cell>
          <cell r="C1341" t="str">
            <v>Class I2 EUR Hgd (C)</v>
          </cell>
          <cell r="D1341" t="str">
            <v>EUR</v>
          </cell>
          <cell r="E1341" t="str">
            <v>03-Jan-2022</v>
          </cell>
          <cell r="F1341">
            <v>8557179.3699999992</v>
          </cell>
          <cell r="G1341">
            <v>6862.1639999999998</v>
          </cell>
          <cell r="H1341">
            <v>1247.01</v>
          </cell>
          <cell r="I1341">
            <v>0</v>
          </cell>
          <cell r="J1341">
            <v>1247.01</v>
          </cell>
        </row>
        <row r="1342">
          <cell r="A1342" t="str">
            <v>LU1883844554</v>
          </cell>
          <cell r="B1342" t="str">
            <v>AMUNDI FUNDS PIONEER STRATEGIC INCOME</v>
          </cell>
          <cell r="C1342" t="str">
            <v>Class I2 EUR (C)</v>
          </cell>
          <cell r="D1342" t="str">
            <v>EUR</v>
          </cell>
          <cell r="E1342" t="str">
            <v>03-Jan-2022</v>
          </cell>
          <cell r="F1342">
            <v>6072591.2800000003</v>
          </cell>
          <cell r="G1342">
            <v>43217.58</v>
          </cell>
          <cell r="H1342">
            <v>140.51</v>
          </cell>
          <cell r="I1342">
            <v>0</v>
          </cell>
          <cell r="J1342">
            <v>140.51</v>
          </cell>
        </row>
        <row r="1343">
          <cell r="A1343" t="str">
            <v>LU1883844984</v>
          </cell>
          <cell r="B1343" t="str">
            <v>AMUNDI FUNDS PIONEER STRATEGIC INCOME</v>
          </cell>
          <cell r="C1343" t="str">
            <v>Class I2 GBP Hgd (C)</v>
          </cell>
          <cell r="D1343" t="str">
            <v>GBP</v>
          </cell>
          <cell r="E1343" t="str">
            <v>03-Jan-2022</v>
          </cell>
          <cell r="F1343">
            <v>15896718.83</v>
          </cell>
          <cell r="G1343">
            <v>12474.045</v>
          </cell>
          <cell r="H1343">
            <v>1274.3800000000001</v>
          </cell>
          <cell r="I1343">
            <v>0</v>
          </cell>
          <cell r="J1343">
            <v>1274.3800000000001</v>
          </cell>
        </row>
        <row r="1344">
          <cell r="A1344" t="str">
            <v>LU1883846849</v>
          </cell>
          <cell r="B1344" t="str">
            <v>AMUNDI FUNDS PIONEER STRATEGIC INCOME</v>
          </cell>
          <cell r="C1344" t="str">
            <v>Class R2 USD AD (D)</v>
          </cell>
          <cell r="D1344" t="str">
            <v>USD</v>
          </cell>
          <cell r="E1344" t="str">
            <v>03-Jan-2022</v>
          </cell>
          <cell r="F1344">
            <v>4482388.18</v>
          </cell>
          <cell r="G1344">
            <v>68812.966</v>
          </cell>
          <cell r="H1344">
            <v>65.14</v>
          </cell>
          <cell r="I1344">
            <v>0</v>
          </cell>
          <cell r="J1344">
            <v>65.14</v>
          </cell>
        </row>
        <row r="1345">
          <cell r="A1345" t="str">
            <v>LU1894682456</v>
          </cell>
          <cell r="B1345" t="str">
            <v>AMUNDI FUNDS PIONEER STRATEGIC INCOME</v>
          </cell>
          <cell r="C1345" t="str">
            <v>Class G EUR Hgd AD (D)</v>
          </cell>
          <cell r="D1345" t="str">
            <v>EUR</v>
          </cell>
          <cell r="E1345" t="str">
            <v>03-Jan-2022</v>
          </cell>
          <cell r="F1345">
            <v>7648320.4100000001</v>
          </cell>
          <cell r="G1345">
            <v>1508517.8149999999</v>
          </cell>
          <cell r="H1345">
            <v>5.07</v>
          </cell>
          <cell r="I1345">
            <v>0</v>
          </cell>
          <cell r="J1345">
            <v>5.07</v>
          </cell>
        </row>
        <row r="1346">
          <cell r="A1346" t="str">
            <v>LU1894682530</v>
          </cell>
          <cell r="B1346" t="str">
            <v>AMUNDI FUNDS PIONEER STRATEGIC INCOME</v>
          </cell>
          <cell r="C1346" t="str">
            <v>Class G EUR Hgd QD (D)</v>
          </cell>
          <cell r="D1346" t="str">
            <v>EUR</v>
          </cell>
          <cell r="E1346" t="str">
            <v>03-Jan-2022</v>
          </cell>
          <cell r="F1346">
            <v>6371369.8799999999</v>
          </cell>
          <cell r="G1346">
            <v>1275300.602</v>
          </cell>
          <cell r="H1346">
            <v>4.9960000000000004</v>
          </cell>
          <cell r="I1346">
            <v>0</v>
          </cell>
          <cell r="J1346">
            <v>4.9960000000000004</v>
          </cell>
        </row>
        <row r="1347">
          <cell r="A1347" t="str">
            <v>LU1883847227</v>
          </cell>
          <cell r="B1347" t="str">
            <v>AMUNDI FUNDS PIONEER STRATEGIC INCOME</v>
          </cell>
          <cell r="C1347" t="str">
            <v>Class T USD MD3 (D)</v>
          </cell>
          <cell r="D1347" t="str">
            <v>USD</v>
          </cell>
          <cell r="E1347" t="str">
            <v>03-Jan-2022</v>
          </cell>
          <cell r="F1347">
            <v>12839508.289999999</v>
          </cell>
          <cell r="G1347">
            <v>312044.37599999999</v>
          </cell>
          <cell r="H1347">
            <v>41.15</v>
          </cell>
          <cell r="I1347">
            <v>0.26650000000000001</v>
          </cell>
          <cell r="J1347">
            <v>41.15</v>
          </cell>
        </row>
        <row r="1348">
          <cell r="A1348" t="str">
            <v>LU1883847144</v>
          </cell>
          <cell r="B1348" t="str">
            <v>AMUNDI FUNDS PIONEER STRATEGIC INCOME</v>
          </cell>
          <cell r="C1348" t="str">
            <v>Class T USD (C)</v>
          </cell>
          <cell r="D1348" t="str">
            <v>USD</v>
          </cell>
          <cell r="E1348" t="str">
            <v>03-Jan-2022</v>
          </cell>
          <cell r="F1348">
            <v>3721918.44</v>
          </cell>
          <cell r="G1348">
            <v>63106.665000000001</v>
          </cell>
          <cell r="H1348">
            <v>58.98</v>
          </cell>
          <cell r="I1348">
            <v>0</v>
          </cell>
          <cell r="J1348">
            <v>58.98</v>
          </cell>
        </row>
        <row r="1349">
          <cell r="A1349" t="str">
            <v>LU1883847490</v>
          </cell>
          <cell r="B1349" t="str">
            <v>AMUNDI FUNDS PIONEER STRATEGIC INCOME</v>
          </cell>
          <cell r="C1349" t="str">
            <v>Class T USD MGI (D)</v>
          </cell>
          <cell r="D1349" t="str">
            <v>USD</v>
          </cell>
          <cell r="E1349" t="str">
            <v>03-Jan-2022</v>
          </cell>
          <cell r="F1349">
            <v>9949833.5299999993</v>
          </cell>
          <cell r="G1349">
            <v>225308.78099999999</v>
          </cell>
          <cell r="H1349">
            <v>44.16</v>
          </cell>
          <cell r="I1349">
            <v>0.14974399999999999</v>
          </cell>
          <cell r="J1349">
            <v>44.16</v>
          </cell>
        </row>
        <row r="1350">
          <cell r="A1350" t="str">
            <v>LU1883847060</v>
          </cell>
          <cell r="B1350" t="str">
            <v>AMUNDI FUNDS PIONEER STRATEGIC INCOME</v>
          </cell>
          <cell r="C1350" t="str">
            <v>Class T AUD MD3 (D)</v>
          </cell>
          <cell r="D1350" t="str">
            <v>AUD</v>
          </cell>
          <cell r="E1350" t="str">
            <v>03-Jan-2022</v>
          </cell>
          <cell r="F1350">
            <v>3718499.05</v>
          </cell>
          <cell r="G1350">
            <v>103032.106</v>
          </cell>
          <cell r="H1350">
            <v>36.090000000000003</v>
          </cell>
          <cell r="I1350">
            <v>0.23530000000000001</v>
          </cell>
          <cell r="J1350">
            <v>36.090000000000003</v>
          </cell>
        </row>
        <row r="1351">
          <cell r="A1351" t="str">
            <v>LU1883847573</v>
          </cell>
          <cell r="B1351" t="str">
            <v>AMUNDI FUNDS PIONEER STRATEGIC INCOME</v>
          </cell>
          <cell r="C1351" t="str">
            <v>Class T ZAR MD3 (D)</v>
          </cell>
          <cell r="D1351" t="str">
            <v>ZAR</v>
          </cell>
          <cell r="E1351" t="str">
            <v>03-Jan-2022</v>
          </cell>
          <cell r="F1351">
            <v>115725979.84999999</v>
          </cell>
          <cell r="G1351">
            <v>177995.92800000001</v>
          </cell>
          <cell r="H1351">
            <v>650.16</v>
          </cell>
          <cell r="I1351">
            <v>8.2852999999999994</v>
          </cell>
          <cell r="J1351">
            <v>650.16</v>
          </cell>
        </row>
        <row r="1352">
          <cell r="A1352" t="str">
            <v>LU1883846419</v>
          </cell>
          <cell r="B1352" t="str">
            <v>AMUNDI FUNDS PIONEER STRATEGIC INCOME</v>
          </cell>
          <cell r="C1352" t="str">
            <v>Class R2 EUR Hgd MGI (D)</v>
          </cell>
          <cell r="D1352" t="str">
            <v>EUR</v>
          </cell>
          <cell r="E1352" t="str">
            <v>03-Jan-2022</v>
          </cell>
          <cell r="F1352">
            <v>245909.67</v>
          </cell>
          <cell r="G1352">
            <v>5430.4780000000001</v>
          </cell>
          <cell r="H1352">
            <v>45.28</v>
          </cell>
          <cell r="I1352">
            <v>0.15370800000000001</v>
          </cell>
          <cell r="J1352">
            <v>45.28</v>
          </cell>
        </row>
        <row r="1353">
          <cell r="A1353" t="str">
            <v>LU1883846179</v>
          </cell>
          <cell r="B1353" t="str">
            <v>AMUNDI FUNDS PIONEER STRATEGIC INCOME</v>
          </cell>
          <cell r="C1353" t="str">
            <v>Class R2 EUR AD (D)</v>
          </cell>
          <cell r="D1353" t="str">
            <v>EUR</v>
          </cell>
          <cell r="E1353" t="str">
            <v>03-Jan-2022</v>
          </cell>
          <cell r="F1353">
            <v>670955.61</v>
          </cell>
          <cell r="G1353">
            <v>11643.84</v>
          </cell>
          <cell r="H1353">
            <v>57.62</v>
          </cell>
          <cell r="I1353">
            <v>0</v>
          </cell>
          <cell r="J1353">
            <v>57.62</v>
          </cell>
        </row>
        <row r="1354">
          <cell r="A1354" t="str">
            <v>LU1883846096</v>
          </cell>
          <cell r="B1354" t="str">
            <v>AMUNDI FUNDS PIONEER STRATEGIC INCOME</v>
          </cell>
          <cell r="C1354" t="str">
            <v>Class R2 EUR (C)</v>
          </cell>
          <cell r="D1354" t="str">
            <v>EUR</v>
          </cell>
          <cell r="E1354" t="str">
            <v>03-Jan-2022</v>
          </cell>
          <cell r="F1354">
            <v>12138983.050000001</v>
          </cell>
          <cell r="G1354">
            <v>149701.734</v>
          </cell>
          <cell r="H1354">
            <v>81.09</v>
          </cell>
          <cell r="I1354">
            <v>0</v>
          </cell>
          <cell r="J1354">
            <v>81.09</v>
          </cell>
        </row>
        <row r="1355">
          <cell r="A1355" t="str">
            <v>LU1883846500</v>
          </cell>
          <cell r="B1355" t="str">
            <v>AMUNDI FUNDS PIONEER STRATEGIC INCOME</v>
          </cell>
          <cell r="C1355" t="str">
            <v>Class R2 GBP (C)</v>
          </cell>
          <cell r="D1355" t="str">
            <v>GBP</v>
          </cell>
          <cell r="E1355" t="str">
            <v>03-Jan-2022</v>
          </cell>
          <cell r="F1355">
            <v>6155.74</v>
          </cell>
          <cell r="G1355">
            <v>72.596999999999994</v>
          </cell>
          <cell r="H1355">
            <v>84.79</v>
          </cell>
          <cell r="I1355">
            <v>0</v>
          </cell>
          <cell r="J1355">
            <v>84.79</v>
          </cell>
        </row>
        <row r="1356">
          <cell r="A1356" t="str">
            <v>LU1883846682</v>
          </cell>
          <cell r="B1356" t="str">
            <v>AMUNDI FUNDS PIONEER STRATEGIC INCOME</v>
          </cell>
          <cell r="C1356" t="str">
            <v>Class R2 GBP AD (D)</v>
          </cell>
          <cell r="D1356" t="str">
            <v>GBP</v>
          </cell>
          <cell r="E1356" t="str">
            <v>03-Jan-2022</v>
          </cell>
          <cell r="F1356">
            <v>114530.71</v>
          </cell>
          <cell r="G1356">
            <v>2366.5430000000001</v>
          </cell>
          <cell r="H1356">
            <v>48.4</v>
          </cell>
          <cell r="I1356">
            <v>0</v>
          </cell>
          <cell r="J1356">
            <v>48.4</v>
          </cell>
        </row>
        <row r="1357">
          <cell r="A1357" t="str">
            <v>LU1883846336</v>
          </cell>
          <cell r="B1357" t="str">
            <v>AMUNDI FUNDS PIONEER STRATEGIC INCOME</v>
          </cell>
          <cell r="C1357" t="str">
            <v>Class R2 EUR Hgd AD (D)</v>
          </cell>
          <cell r="D1357" t="str">
            <v>EUR</v>
          </cell>
          <cell r="E1357" t="str">
            <v>03-Jan-2022</v>
          </cell>
          <cell r="F1357">
            <v>100651.18</v>
          </cell>
          <cell r="G1357">
            <v>2098.4470000000001</v>
          </cell>
          <cell r="H1357">
            <v>47.96</v>
          </cell>
          <cell r="I1357">
            <v>0</v>
          </cell>
          <cell r="J1357">
            <v>47.96</v>
          </cell>
        </row>
        <row r="1358">
          <cell r="A1358" t="str">
            <v>LU1883846252</v>
          </cell>
          <cell r="B1358" t="str">
            <v>AMUNDI FUNDS PIONEER STRATEGIC INCOME</v>
          </cell>
          <cell r="C1358" t="str">
            <v>Class R2 EUR Hgd (C)</v>
          </cell>
          <cell r="D1358" t="str">
            <v>EUR</v>
          </cell>
          <cell r="E1358" t="str">
            <v>03-Jan-2022</v>
          </cell>
          <cell r="F1358">
            <v>23679468.039999999</v>
          </cell>
          <cell r="G1358">
            <v>402686.891</v>
          </cell>
          <cell r="H1358">
            <v>58.8</v>
          </cell>
          <cell r="I1358">
            <v>0</v>
          </cell>
          <cell r="J1358">
            <v>58.8</v>
          </cell>
        </row>
        <row r="1359">
          <cell r="A1359" t="str">
            <v>LU1883845528</v>
          </cell>
          <cell r="B1359" t="str">
            <v>AMUNDI FUNDS PIONEER STRATEGIC INCOME</v>
          </cell>
          <cell r="C1359" t="str">
            <v>Class P2 USD (C)</v>
          </cell>
          <cell r="D1359" t="str">
            <v>USD</v>
          </cell>
          <cell r="E1359" t="str">
            <v>03-Jan-2022</v>
          </cell>
          <cell r="F1359">
            <v>51911443.109999999</v>
          </cell>
          <cell r="G1359">
            <v>843770.45499999996</v>
          </cell>
          <cell r="H1359">
            <v>61.52</v>
          </cell>
          <cell r="I1359">
            <v>0</v>
          </cell>
          <cell r="J1359">
            <v>61.52</v>
          </cell>
        </row>
        <row r="1360">
          <cell r="A1360" t="str">
            <v>LU1883845791</v>
          </cell>
          <cell r="B1360" t="str">
            <v>AMUNDI FUNDS PIONEER STRATEGIC INCOME</v>
          </cell>
          <cell r="C1360" t="str">
            <v>Class P2 USD MD (D)</v>
          </cell>
          <cell r="D1360" t="str">
            <v>USD</v>
          </cell>
          <cell r="E1360" t="str">
            <v>03-Jan-2022</v>
          </cell>
          <cell r="F1360">
            <v>500119.81</v>
          </cell>
          <cell r="G1360">
            <v>9302.5169999999998</v>
          </cell>
          <cell r="H1360">
            <v>53.76</v>
          </cell>
          <cell r="I1360">
            <v>6.2799999999999995E-2</v>
          </cell>
          <cell r="J1360">
            <v>53.76</v>
          </cell>
        </row>
        <row r="1361">
          <cell r="A1361" t="str">
            <v>LU1883845874</v>
          </cell>
          <cell r="B1361" t="str">
            <v>AMUNDI FUNDS PIONEER STRATEGIC INCOME</v>
          </cell>
          <cell r="C1361" t="str">
            <v>Class Q-D USD MD (D)</v>
          </cell>
          <cell r="D1361" t="str">
            <v>USD</v>
          </cell>
          <cell r="E1361" t="str">
            <v>03-Jan-2022</v>
          </cell>
          <cell r="F1361">
            <v>4966934.1900000004</v>
          </cell>
          <cell r="G1361">
            <v>70510.017000000007</v>
          </cell>
          <cell r="H1361">
            <v>70.44</v>
          </cell>
          <cell r="I1361">
            <v>8.3299999999999999E-2</v>
          </cell>
          <cell r="J1361">
            <v>72.55</v>
          </cell>
        </row>
        <row r="1362">
          <cell r="A1362" t="str">
            <v>LU1883847730</v>
          </cell>
          <cell r="B1362" t="str">
            <v>AMUNDI FUNDS PIONEER STRATEGIC INCOME</v>
          </cell>
          <cell r="C1362" t="str">
            <v>Class U USD (C)</v>
          </cell>
          <cell r="D1362" t="str">
            <v>USD</v>
          </cell>
          <cell r="E1362" t="str">
            <v>03-Jan-2022</v>
          </cell>
          <cell r="F1362">
            <v>26063077.609999999</v>
          </cell>
          <cell r="G1362">
            <v>444342.603</v>
          </cell>
          <cell r="H1362">
            <v>58.66</v>
          </cell>
          <cell r="I1362">
            <v>0</v>
          </cell>
          <cell r="J1362">
            <v>58.66</v>
          </cell>
        </row>
        <row r="1363">
          <cell r="A1363" t="str">
            <v>LU1883847656</v>
          </cell>
          <cell r="B1363" t="str">
            <v>AMUNDI FUNDS PIONEER STRATEGIC INCOME</v>
          </cell>
          <cell r="C1363" t="str">
            <v>Class U AUD MD3 (D)</v>
          </cell>
          <cell r="D1363" t="str">
            <v>AUD</v>
          </cell>
          <cell r="E1363" t="str">
            <v>03-Jan-2022</v>
          </cell>
          <cell r="F1363">
            <v>89251675.170000002</v>
          </cell>
          <cell r="G1363">
            <v>2348727.3169999998</v>
          </cell>
          <cell r="H1363">
            <v>38</v>
          </cell>
          <cell r="I1363">
            <v>0.24790000000000001</v>
          </cell>
          <cell r="J1363">
            <v>38</v>
          </cell>
        </row>
        <row r="1364">
          <cell r="A1364" t="str">
            <v>LU1883847904</v>
          </cell>
          <cell r="B1364" t="str">
            <v>AMUNDI FUNDS PIONEER STRATEGIC INCOME</v>
          </cell>
          <cell r="C1364" t="str">
            <v>Class U USD MGI (D)</v>
          </cell>
          <cell r="D1364" t="str">
            <v>USD</v>
          </cell>
          <cell r="E1364" t="str">
            <v>03-Jan-2022</v>
          </cell>
          <cell r="F1364">
            <v>107043708.16</v>
          </cell>
          <cell r="G1364">
            <v>2443834.531</v>
          </cell>
          <cell r="H1364">
            <v>43.8</v>
          </cell>
          <cell r="I1364">
            <v>0.14852499999999999</v>
          </cell>
          <cell r="J1364">
            <v>43.8</v>
          </cell>
        </row>
        <row r="1365">
          <cell r="A1365" t="str">
            <v>LU1883848035</v>
          </cell>
          <cell r="B1365" t="str">
            <v>AMUNDI FUNDS PIONEER STRATEGIC INCOME</v>
          </cell>
          <cell r="C1365" t="str">
            <v>Class U ZAR MD3 (D)</v>
          </cell>
          <cell r="D1365" t="str">
            <v>ZAR</v>
          </cell>
          <cell r="E1365" t="str">
            <v>03-Jan-2022</v>
          </cell>
          <cell r="F1365">
            <v>1796996912.8699999</v>
          </cell>
          <cell r="G1365">
            <v>2587044.0959999999</v>
          </cell>
          <cell r="H1365">
            <v>694.61</v>
          </cell>
          <cell r="I1365">
            <v>8.8520000000000003</v>
          </cell>
          <cell r="J1365">
            <v>694.61</v>
          </cell>
        </row>
        <row r="1366">
          <cell r="A1366" t="str">
            <v>LU1883847813</v>
          </cell>
          <cell r="B1366" t="str">
            <v>AMUNDI FUNDS PIONEER STRATEGIC INCOME</v>
          </cell>
          <cell r="C1366" t="str">
            <v>Class U USD MD3 (D)</v>
          </cell>
          <cell r="D1366" t="str">
            <v>USD</v>
          </cell>
          <cell r="E1366" t="str">
            <v>03-Jan-2022</v>
          </cell>
          <cell r="F1366">
            <v>263283722.13999999</v>
          </cell>
          <cell r="G1366">
            <v>6395732.4009999996</v>
          </cell>
          <cell r="H1366">
            <v>41.17</v>
          </cell>
          <cell r="I1366">
            <v>0.2666</v>
          </cell>
          <cell r="J1366">
            <v>41.17</v>
          </cell>
        </row>
        <row r="1367">
          <cell r="A1367" t="str">
            <v>LU1883846765</v>
          </cell>
          <cell r="B1367" t="str">
            <v>AMUNDI FUNDS PIONEER STRATEGIC INCOME</v>
          </cell>
          <cell r="C1367" t="str">
            <v>Class R2 USD (C)</v>
          </cell>
          <cell r="D1367" t="str">
            <v>USD</v>
          </cell>
          <cell r="E1367" t="str">
            <v>03-Jan-2022</v>
          </cell>
          <cell r="F1367">
            <v>3553036.29</v>
          </cell>
          <cell r="G1367">
            <v>38807.557000000001</v>
          </cell>
          <cell r="H1367">
            <v>91.56</v>
          </cell>
          <cell r="I1367">
            <v>0</v>
          </cell>
          <cell r="J1367">
            <v>91.56</v>
          </cell>
        </row>
        <row r="1368">
          <cell r="A1368" t="str">
            <v>LU2036673379</v>
          </cell>
          <cell r="B1368" t="str">
            <v>AMUNDI FUNDS PIONEER STRATEGIC INCOME</v>
          </cell>
          <cell r="C1368" t="str">
            <v>Class G EUR (C)</v>
          </cell>
          <cell r="D1368" t="str">
            <v>EUR</v>
          </cell>
          <cell r="E1368" t="str">
            <v>03-Jan-2022</v>
          </cell>
          <cell r="F1368">
            <v>2945252.94</v>
          </cell>
          <cell r="G1368">
            <v>555146.14399999997</v>
          </cell>
          <cell r="H1368">
            <v>5.3049999999999997</v>
          </cell>
          <cell r="I1368">
            <v>0</v>
          </cell>
          <cell r="J1368">
            <v>5.3049999999999997</v>
          </cell>
        </row>
        <row r="1369">
          <cell r="A1369" t="str">
            <v>LU2036673452</v>
          </cell>
          <cell r="B1369" t="str">
            <v>AMUNDI FUNDS PIONEER STRATEGIC INCOME</v>
          </cell>
          <cell r="C1369" t="str">
            <v>Class G EUR QTD (D)</v>
          </cell>
          <cell r="D1369" t="str">
            <v>EUR</v>
          </cell>
          <cell r="E1369" t="str">
            <v>03-Jan-2022</v>
          </cell>
          <cell r="F1369">
            <v>1455926.92</v>
          </cell>
          <cell r="G1369">
            <v>288729.30300000001</v>
          </cell>
          <cell r="H1369">
            <v>5.0430000000000001</v>
          </cell>
          <cell r="I1369">
            <v>1.6500000000000001E-2</v>
          </cell>
          <cell r="J1369">
            <v>5.0430000000000001</v>
          </cell>
        </row>
        <row r="1370">
          <cell r="A1370" t="str">
            <v>LU2036673619</v>
          </cell>
          <cell r="B1370" t="str">
            <v>AMUNDI FUNDS PIONEER STRATEGIC INCOME</v>
          </cell>
          <cell r="C1370" t="str">
            <v>Class G EUR Hgd (C)</v>
          </cell>
          <cell r="D1370" t="str">
            <v>EUR</v>
          </cell>
          <cell r="E1370" t="str">
            <v>03-Jan-2022</v>
          </cell>
          <cell r="F1370">
            <v>1209904.6200000001</v>
          </cell>
          <cell r="G1370">
            <v>229156.67499999999</v>
          </cell>
          <cell r="H1370">
            <v>5.28</v>
          </cell>
          <cell r="I1370">
            <v>0</v>
          </cell>
          <cell r="J1370">
            <v>5.28</v>
          </cell>
        </row>
        <row r="1371">
          <cell r="A1371" t="str">
            <v>LU2085675515</v>
          </cell>
          <cell r="B1371" t="str">
            <v>AMUNDI FUNDS PIONEER STRATEGIC INCOME</v>
          </cell>
          <cell r="C1371" t="str">
            <v>Class Z EUR HGD QTD (D)</v>
          </cell>
          <cell r="D1371" t="str">
            <v>EUR</v>
          </cell>
          <cell r="E1371" t="str">
            <v>03-Jan-2022</v>
          </cell>
          <cell r="F1371">
            <v>417457.86</v>
          </cell>
          <cell r="G1371">
            <v>422</v>
          </cell>
          <cell r="H1371">
            <v>989.24</v>
          </cell>
          <cell r="I1371">
            <v>3.6394000000000002</v>
          </cell>
          <cell r="J1371">
            <v>989.24</v>
          </cell>
        </row>
        <row r="1372">
          <cell r="A1372" t="str">
            <v>LU1998916420</v>
          </cell>
          <cell r="B1372" t="str">
            <v>AMUNDI FUNDS PIONEER STRATEGIC INCOME</v>
          </cell>
          <cell r="C1372" t="str">
            <v>Class H EUR Hgd QTD (D)</v>
          </cell>
          <cell r="D1372" t="str">
            <v>EUR</v>
          </cell>
          <cell r="E1372" t="str">
            <v>03-Jan-2022</v>
          </cell>
          <cell r="F1372">
            <v>4177864.5</v>
          </cell>
          <cell r="G1372">
            <v>4018.308</v>
          </cell>
          <cell r="H1372">
            <v>1039.71</v>
          </cell>
          <cell r="I1372">
            <v>3.6682000000000001</v>
          </cell>
          <cell r="J1372">
            <v>1039.71</v>
          </cell>
        </row>
        <row r="1373">
          <cell r="A1373" t="str">
            <v>LU1880401283</v>
          </cell>
          <cell r="B1373" t="str">
            <v>AMUNDI FUNDS PIONEER US BOND</v>
          </cell>
          <cell r="C1373" t="str">
            <v>Class A EUR AD (D)</v>
          </cell>
          <cell r="D1373" t="str">
            <v>EUR</v>
          </cell>
          <cell r="E1373" t="str">
            <v>03-Jan-2022</v>
          </cell>
          <cell r="F1373">
            <v>10868.66</v>
          </cell>
          <cell r="G1373">
            <v>213.52600000000001</v>
          </cell>
          <cell r="H1373">
            <v>50.9</v>
          </cell>
          <cell r="I1373">
            <v>0</v>
          </cell>
          <cell r="J1373">
            <v>52.43</v>
          </cell>
        </row>
        <row r="1374">
          <cell r="A1374" t="str">
            <v>LU1880401101</v>
          </cell>
          <cell r="B1374" t="str">
            <v>AMUNDI FUNDS PIONEER US BOND</v>
          </cell>
          <cell r="C1374" t="str">
            <v>Class A EUR (C)</v>
          </cell>
          <cell r="D1374" t="str">
            <v>EUR</v>
          </cell>
          <cell r="E1374" t="str">
            <v>03-Jan-2022</v>
          </cell>
          <cell r="F1374">
            <v>4736521.41</v>
          </cell>
          <cell r="G1374">
            <v>86290.808000000005</v>
          </cell>
          <cell r="H1374">
            <v>54.89</v>
          </cell>
          <cell r="I1374">
            <v>0</v>
          </cell>
          <cell r="J1374">
            <v>56.54</v>
          </cell>
        </row>
        <row r="1375">
          <cell r="A1375" t="str">
            <v>LU2070305110</v>
          </cell>
          <cell r="B1375" t="str">
            <v>AMUNDI FUNDS PIONEER US BOND</v>
          </cell>
          <cell r="C1375" t="str">
            <v>Class A2 AUD Hgd MD3 (D)</v>
          </cell>
          <cell r="D1375" t="str">
            <v>AUD</v>
          </cell>
          <cell r="E1375" t="str">
            <v>03-Jan-2022</v>
          </cell>
          <cell r="F1375">
            <v>521748.01</v>
          </cell>
          <cell r="G1375">
            <v>10936.293</v>
          </cell>
          <cell r="H1375">
            <v>47.71</v>
          </cell>
          <cell r="I1375">
            <v>0.19550000000000001</v>
          </cell>
          <cell r="J1375">
            <v>47.71</v>
          </cell>
        </row>
        <row r="1376">
          <cell r="A1376" t="str">
            <v>LU2002723406</v>
          </cell>
          <cell r="B1376" t="str">
            <v>AMUNDI FUNDS PIONEER US BOND</v>
          </cell>
          <cell r="C1376" t="str">
            <v>Class M2 USD (C)</v>
          </cell>
          <cell r="D1376" t="str">
            <v>USD</v>
          </cell>
          <cell r="E1376" t="str">
            <v>03-Jan-2022</v>
          </cell>
          <cell r="F1376">
            <v>3038539.51</v>
          </cell>
          <cell r="G1376">
            <v>2773.9209999999998</v>
          </cell>
          <cell r="H1376">
            <v>1095.4000000000001</v>
          </cell>
          <cell r="I1376">
            <v>0</v>
          </cell>
          <cell r="J1376">
            <v>1095.4000000000001</v>
          </cell>
        </row>
        <row r="1377">
          <cell r="A1377" t="str">
            <v>LU2070309021</v>
          </cell>
          <cell r="B1377" t="str">
            <v>AMUNDI FUNDS PIONEER US BOND</v>
          </cell>
          <cell r="C1377" t="str">
            <v>Class A2 EUR AD (D)</v>
          </cell>
          <cell r="D1377" t="str">
            <v>EUR</v>
          </cell>
          <cell r="E1377" t="str">
            <v>03-Jan-2022</v>
          </cell>
          <cell r="F1377">
            <v>96173.01</v>
          </cell>
          <cell r="G1377">
            <v>1900</v>
          </cell>
          <cell r="H1377">
            <v>50.62</v>
          </cell>
          <cell r="I1377">
            <v>0</v>
          </cell>
          <cell r="J1377">
            <v>52.14</v>
          </cell>
        </row>
        <row r="1378">
          <cell r="A1378" t="str">
            <v>LU2070308304</v>
          </cell>
          <cell r="B1378" t="str">
            <v>AMUNDI FUNDS PIONEER US BOND</v>
          </cell>
          <cell r="C1378" t="str">
            <v>Class A5 EUR (C)</v>
          </cell>
          <cell r="D1378" t="str">
            <v>EUR</v>
          </cell>
          <cell r="E1378" t="str">
            <v>03-Jan-2022</v>
          </cell>
          <cell r="F1378">
            <v>5247.68</v>
          </cell>
          <cell r="G1378">
            <v>100</v>
          </cell>
          <cell r="H1378">
            <v>52.48</v>
          </cell>
          <cell r="I1378">
            <v>0</v>
          </cell>
          <cell r="J1378">
            <v>52.48</v>
          </cell>
        </row>
        <row r="1379">
          <cell r="A1379" t="str">
            <v>LU1880401796</v>
          </cell>
          <cell r="B1379" t="str">
            <v>AMUNDI FUNDS PIONEER US BOND</v>
          </cell>
          <cell r="C1379" t="str">
            <v>Class A USD AD (D)</v>
          </cell>
          <cell r="D1379" t="str">
            <v>USD</v>
          </cell>
          <cell r="E1379" t="str">
            <v>03-Jan-2022</v>
          </cell>
          <cell r="F1379">
            <v>5146325.79</v>
          </cell>
          <cell r="G1379">
            <v>101449.442</v>
          </cell>
          <cell r="H1379">
            <v>50.73</v>
          </cell>
          <cell r="I1379">
            <v>0</v>
          </cell>
          <cell r="J1379">
            <v>52.25</v>
          </cell>
        </row>
        <row r="1380">
          <cell r="A1380" t="str">
            <v>LU2347634235</v>
          </cell>
          <cell r="B1380" t="str">
            <v>AMUNDI FUNDS PIONEER US BOND</v>
          </cell>
          <cell r="C1380" t="str">
            <v>Class A2-7 USD (C)</v>
          </cell>
          <cell r="D1380" t="str">
            <v>USD</v>
          </cell>
          <cell r="E1380" t="str">
            <v>03-Jan-2022</v>
          </cell>
          <cell r="F1380">
            <v>8445.69</v>
          </cell>
          <cell r="G1380">
            <v>169.304</v>
          </cell>
          <cell r="H1380">
            <v>49.88</v>
          </cell>
          <cell r="I1380">
            <v>0</v>
          </cell>
          <cell r="J1380">
            <v>49.88</v>
          </cell>
        </row>
        <row r="1381">
          <cell r="A1381" t="str">
            <v>LU1880401366</v>
          </cell>
          <cell r="B1381" t="str">
            <v>AMUNDI FUNDS PIONEER US BOND</v>
          </cell>
          <cell r="C1381" t="str">
            <v>Class A EUR Hgd (C)</v>
          </cell>
          <cell r="D1381" t="str">
            <v>EUR</v>
          </cell>
          <cell r="E1381" t="str">
            <v>03-Jan-2022</v>
          </cell>
          <cell r="F1381">
            <v>12142137.189999999</v>
          </cell>
          <cell r="G1381">
            <v>233147.595</v>
          </cell>
          <cell r="H1381">
            <v>52.08</v>
          </cell>
          <cell r="I1381">
            <v>0</v>
          </cell>
          <cell r="J1381">
            <v>53.64</v>
          </cell>
        </row>
        <row r="1382">
          <cell r="A1382" t="str">
            <v>LU1883848894</v>
          </cell>
          <cell r="B1382" t="str">
            <v>AMUNDI FUNDS PIONEER US BOND</v>
          </cell>
          <cell r="C1382" t="str">
            <v>Class A2 CHF Hgd (C)</v>
          </cell>
          <cell r="D1382" t="str">
            <v>CHF</v>
          </cell>
          <cell r="E1382" t="str">
            <v>03-Jan-2022</v>
          </cell>
          <cell r="F1382">
            <v>22484.82</v>
          </cell>
          <cell r="G1382">
            <v>350</v>
          </cell>
          <cell r="H1382">
            <v>64.239999999999995</v>
          </cell>
          <cell r="I1382">
            <v>0</v>
          </cell>
          <cell r="J1382">
            <v>66.17</v>
          </cell>
        </row>
        <row r="1383">
          <cell r="A1383" t="str">
            <v>LU1883849199</v>
          </cell>
          <cell r="B1383" t="str">
            <v>AMUNDI FUNDS PIONEER US BOND</v>
          </cell>
          <cell r="C1383" t="str">
            <v>Class A2 EUR Hgd (C)</v>
          </cell>
          <cell r="D1383" t="str">
            <v>EUR</v>
          </cell>
          <cell r="E1383" t="str">
            <v>03-Jan-2022</v>
          </cell>
          <cell r="F1383">
            <v>6028670.3899999997</v>
          </cell>
          <cell r="G1383">
            <v>110085.474</v>
          </cell>
          <cell r="H1383">
            <v>54.76</v>
          </cell>
          <cell r="I1383">
            <v>0</v>
          </cell>
          <cell r="J1383">
            <v>56.4</v>
          </cell>
        </row>
        <row r="1384">
          <cell r="A1384" t="str">
            <v>LU2237438549</v>
          </cell>
          <cell r="B1384" t="str">
            <v>AMUNDI FUNDS PIONEER US BOND</v>
          </cell>
          <cell r="C1384" t="str">
            <v>Class A2 SGD Hgd MGI (D)</v>
          </cell>
          <cell r="D1384" t="str">
            <v>SGD</v>
          </cell>
          <cell r="E1384" t="str">
            <v>03-Jan-2022</v>
          </cell>
          <cell r="F1384">
            <v>159492.32</v>
          </cell>
          <cell r="G1384">
            <v>3260.6840000000002</v>
          </cell>
          <cell r="H1384">
            <v>48.91</v>
          </cell>
          <cell r="I1384">
            <v>9.9764000000000005E-2</v>
          </cell>
          <cell r="J1384">
            <v>48.91</v>
          </cell>
        </row>
        <row r="1385">
          <cell r="A1385" t="str">
            <v>LU1880401523</v>
          </cell>
          <cell r="B1385" t="str">
            <v>AMUNDI FUNDS PIONEER US BOND</v>
          </cell>
          <cell r="C1385" t="str">
            <v>Class A USD (C)</v>
          </cell>
          <cell r="D1385" t="str">
            <v>USD</v>
          </cell>
          <cell r="E1385" t="str">
            <v>03-Jan-2022</v>
          </cell>
          <cell r="F1385">
            <v>32018165.120000001</v>
          </cell>
          <cell r="G1385">
            <v>584732.76300000004</v>
          </cell>
          <cell r="H1385">
            <v>54.76</v>
          </cell>
          <cell r="I1385">
            <v>0</v>
          </cell>
          <cell r="J1385">
            <v>56.4</v>
          </cell>
        </row>
        <row r="1386">
          <cell r="A1386" t="str">
            <v>LU1883849439</v>
          </cell>
          <cell r="B1386" t="str">
            <v>AMUNDI FUNDS PIONEER US BOND</v>
          </cell>
          <cell r="C1386" t="str">
            <v>Class A2 GBP Hgd QD (D)</v>
          </cell>
          <cell r="D1386" t="str">
            <v>GBP</v>
          </cell>
          <cell r="E1386" t="str">
            <v>03-Jan-2022</v>
          </cell>
          <cell r="F1386">
            <v>228697.93</v>
          </cell>
          <cell r="G1386">
            <v>4620</v>
          </cell>
          <cell r="H1386">
            <v>49.5</v>
          </cell>
          <cell r="I1386">
            <v>0</v>
          </cell>
          <cell r="J1386">
            <v>50.99</v>
          </cell>
        </row>
        <row r="1387">
          <cell r="A1387" t="str">
            <v>LU2070305201</v>
          </cell>
          <cell r="B1387" t="str">
            <v>AMUNDI FUNDS PIONEER US BOND</v>
          </cell>
          <cell r="C1387" t="str">
            <v>Class B AUD Hgd MD3 (D)</v>
          </cell>
          <cell r="D1387" t="str">
            <v>AUD</v>
          </cell>
          <cell r="E1387" t="str">
            <v>03-Jan-2022</v>
          </cell>
          <cell r="F1387">
            <v>2517796.1</v>
          </cell>
          <cell r="G1387">
            <v>53719.248</v>
          </cell>
          <cell r="H1387">
            <v>46.87</v>
          </cell>
          <cell r="I1387">
            <v>0.19539999999999999</v>
          </cell>
          <cell r="J1387">
            <v>46.87</v>
          </cell>
        </row>
        <row r="1388">
          <cell r="A1388" t="str">
            <v>LU2070305383</v>
          </cell>
          <cell r="B1388" t="str">
            <v>AMUNDI FUNDS PIONEER US BOND</v>
          </cell>
          <cell r="C1388" t="str">
            <v>Class B ZAR Hgd MD3 (D)</v>
          </cell>
          <cell r="D1388" t="str">
            <v>ZAR</v>
          </cell>
          <cell r="E1388" t="str">
            <v>03-Jan-2022</v>
          </cell>
          <cell r="F1388">
            <v>80742829.930000007</v>
          </cell>
          <cell r="G1388">
            <v>1790511.831</v>
          </cell>
          <cell r="H1388">
            <v>45.09</v>
          </cell>
          <cell r="I1388">
            <v>0.46150000000000002</v>
          </cell>
          <cell r="J1388">
            <v>45.09</v>
          </cell>
        </row>
        <row r="1389">
          <cell r="A1389" t="str">
            <v>LU1883850791</v>
          </cell>
          <cell r="B1389" t="str">
            <v>AMUNDI FUNDS PIONEER US BOND</v>
          </cell>
          <cell r="C1389" t="str">
            <v>Class B USD MGI (D)</v>
          </cell>
          <cell r="D1389" t="str">
            <v>USD</v>
          </cell>
          <cell r="E1389" t="str">
            <v>03-Jan-2022</v>
          </cell>
          <cell r="F1389">
            <v>18450990.09</v>
          </cell>
          <cell r="G1389">
            <v>326901.85700000002</v>
          </cell>
          <cell r="H1389">
            <v>56.44</v>
          </cell>
          <cell r="I1389">
            <v>0.116143</v>
          </cell>
          <cell r="J1389">
            <v>56.44</v>
          </cell>
        </row>
        <row r="1390">
          <cell r="A1390" t="str">
            <v>LU1883850528</v>
          </cell>
          <cell r="B1390" t="str">
            <v>AMUNDI FUNDS PIONEER US BOND</v>
          </cell>
          <cell r="C1390" t="str">
            <v>Class B USD MD3 (D)</v>
          </cell>
          <cell r="D1390" t="str">
            <v>USD</v>
          </cell>
          <cell r="E1390" t="str">
            <v>03-Jan-2022</v>
          </cell>
          <cell r="F1390">
            <v>48147036.969999999</v>
          </cell>
          <cell r="G1390">
            <v>1050007.9939999999</v>
          </cell>
          <cell r="H1390">
            <v>45.85</v>
          </cell>
          <cell r="I1390">
            <v>0.18970000000000001</v>
          </cell>
          <cell r="J1390">
            <v>45.85</v>
          </cell>
        </row>
        <row r="1391">
          <cell r="A1391" t="str">
            <v>LU1883851922</v>
          </cell>
          <cell r="B1391" t="str">
            <v>AMUNDI FUNDS PIONEER US BOND</v>
          </cell>
          <cell r="C1391" t="str">
            <v>Class M2 EUR (C)</v>
          </cell>
          <cell r="D1391" t="str">
            <v>EUR</v>
          </cell>
          <cell r="E1391" t="str">
            <v>03-Jan-2022</v>
          </cell>
          <cell r="F1391">
            <v>83913620.469999999</v>
          </cell>
          <cell r="G1391">
            <v>33298.249000000003</v>
          </cell>
          <cell r="H1391">
            <v>2520.06</v>
          </cell>
          <cell r="I1391">
            <v>0</v>
          </cell>
          <cell r="J1391">
            <v>2520.06</v>
          </cell>
        </row>
        <row r="1392">
          <cell r="A1392" t="str">
            <v>LU1883850361</v>
          </cell>
          <cell r="B1392" t="str">
            <v>AMUNDI FUNDS PIONEER US BOND</v>
          </cell>
          <cell r="C1392" t="str">
            <v>Class B USD (C)</v>
          </cell>
          <cell r="D1392" t="str">
            <v>USD</v>
          </cell>
          <cell r="E1392" t="str">
            <v>03-Jan-2022</v>
          </cell>
          <cell r="F1392">
            <v>20548860.899999999</v>
          </cell>
          <cell r="G1392">
            <v>235772.821</v>
          </cell>
          <cell r="H1392">
            <v>87.16</v>
          </cell>
          <cell r="I1392">
            <v>0</v>
          </cell>
          <cell r="J1392">
            <v>87.16</v>
          </cell>
        </row>
        <row r="1393">
          <cell r="A1393" t="str">
            <v>LU1883850874</v>
          </cell>
          <cell r="B1393" t="str">
            <v>AMUNDI FUNDS PIONEER US BOND</v>
          </cell>
          <cell r="C1393" t="str">
            <v>Class C USD (C)</v>
          </cell>
          <cell r="D1393" t="str">
            <v>USD</v>
          </cell>
          <cell r="E1393" t="str">
            <v>03-Jan-2022</v>
          </cell>
          <cell r="F1393">
            <v>54369867.960000001</v>
          </cell>
          <cell r="G1393">
            <v>666502.37399999995</v>
          </cell>
          <cell r="H1393">
            <v>81.569999999999993</v>
          </cell>
          <cell r="I1393">
            <v>0</v>
          </cell>
          <cell r="J1393">
            <v>81.569999999999993</v>
          </cell>
        </row>
        <row r="1394">
          <cell r="A1394" t="str">
            <v>LU1883850957</v>
          </cell>
          <cell r="B1394" t="str">
            <v>AMUNDI FUNDS PIONEER US BOND</v>
          </cell>
          <cell r="C1394" t="str">
            <v>Class C USD MD (D)</v>
          </cell>
          <cell r="D1394" t="str">
            <v>USD</v>
          </cell>
          <cell r="E1394" t="str">
            <v>03-Jan-2022</v>
          </cell>
          <cell r="F1394">
            <v>6932787.6100000003</v>
          </cell>
          <cell r="G1394">
            <v>101309.75199999999</v>
          </cell>
          <cell r="H1394">
            <v>68.430000000000007</v>
          </cell>
          <cell r="I1394">
            <v>5.8900000000000001E-2</v>
          </cell>
          <cell r="J1394">
            <v>68.430000000000007</v>
          </cell>
        </row>
        <row r="1395">
          <cell r="A1395" t="str">
            <v>LU1883849512</v>
          </cell>
          <cell r="B1395" t="str">
            <v>AMUNDI FUNDS PIONEER US BOND</v>
          </cell>
          <cell r="C1395" t="str">
            <v>Class A2 SGD Hgd (C)</v>
          </cell>
          <cell r="D1395" t="str">
            <v>SGD</v>
          </cell>
          <cell r="E1395" t="str">
            <v>03-Jan-2022</v>
          </cell>
          <cell r="F1395">
            <v>1626138.27</v>
          </cell>
          <cell r="G1395">
            <v>25723.418000000001</v>
          </cell>
          <cell r="H1395">
            <v>63.22</v>
          </cell>
          <cell r="I1395">
            <v>0</v>
          </cell>
          <cell r="J1395">
            <v>65.12</v>
          </cell>
        </row>
        <row r="1396">
          <cell r="A1396" t="str">
            <v>LU1883849868</v>
          </cell>
          <cell r="B1396" t="str">
            <v>AMUNDI FUNDS PIONEER US BOND</v>
          </cell>
          <cell r="C1396" t="str">
            <v>Class A2 USD MD (D)</v>
          </cell>
          <cell r="D1396" t="str">
            <v>USD</v>
          </cell>
          <cell r="E1396" t="str">
            <v>03-Jan-2022</v>
          </cell>
          <cell r="F1396">
            <v>5791180.6500000004</v>
          </cell>
          <cell r="G1396">
            <v>88065.415999999997</v>
          </cell>
          <cell r="H1396">
            <v>65.760000000000005</v>
          </cell>
          <cell r="I1396">
            <v>5.6099999999999997E-2</v>
          </cell>
          <cell r="J1396">
            <v>67.73</v>
          </cell>
        </row>
        <row r="1397">
          <cell r="A1397" t="str">
            <v>LU2098275063</v>
          </cell>
          <cell r="B1397" t="str">
            <v>AMUNDI FUNDS PIONEER US BOND</v>
          </cell>
          <cell r="C1397" t="str">
            <v>Class A2 ZAR Hgd MD3 (D)</v>
          </cell>
          <cell r="D1397" t="str">
            <v>ZAR</v>
          </cell>
          <cell r="E1397" t="str">
            <v>03-Jan-2022</v>
          </cell>
          <cell r="F1397">
            <v>1653762.25</v>
          </cell>
          <cell r="G1397">
            <v>1650</v>
          </cell>
          <cell r="H1397">
            <v>1002.28</v>
          </cell>
          <cell r="I1397">
            <v>10.051</v>
          </cell>
          <cell r="J1397">
            <v>1002.28</v>
          </cell>
        </row>
        <row r="1398">
          <cell r="A1398" t="str">
            <v>LU1883848977</v>
          </cell>
          <cell r="B1398" t="str">
            <v>AMUNDI FUNDS PIONEER US BOND</v>
          </cell>
          <cell r="C1398" t="str">
            <v>Class A2 EUR (C)</v>
          </cell>
          <cell r="D1398" t="str">
            <v>EUR</v>
          </cell>
          <cell r="E1398" t="str">
            <v>03-Jan-2022</v>
          </cell>
          <cell r="F1398">
            <v>6130639.1799999997</v>
          </cell>
          <cell r="G1398">
            <v>61174.06</v>
          </cell>
          <cell r="H1398">
            <v>100.22</v>
          </cell>
          <cell r="I1398">
            <v>0</v>
          </cell>
          <cell r="J1398">
            <v>103.23</v>
          </cell>
        </row>
        <row r="1399">
          <cell r="A1399" t="str">
            <v>LU1883849272</v>
          </cell>
          <cell r="B1399" t="str">
            <v>AMUNDI FUNDS PIONEER US BOND</v>
          </cell>
          <cell r="C1399" t="str">
            <v>Class A2 EUR MD (D)</v>
          </cell>
          <cell r="D1399" t="str">
            <v>EUR</v>
          </cell>
          <cell r="E1399" t="str">
            <v>03-Jan-2022</v>
          </cell>
          <cell r="F1399">
            <v>70319.53</v>
          </cell>
          <cell r="G1399">
            <v>1204.444</v>
          </cell>
          <cell r="H1399">
            <v>58.38</v>
          </cell>
          <cell r="I1399">
            <v>4.5900000000000003E-2</v>
          </cell>
          <cell r="J1399">
            <v>60.13</v>
          </cell>
        </row>
        <row r="1400">
          <cell r="A1400" t="str">
            <v>LU1883849355</v>
          </cell>
          <cell r="B1400" t="str">
            <v>AMUNDI FUNDS PIONEER US BOND</v>
          </cell>
          <cell r="C1400" t="str">
            <v>Class A2 EUR QD (D)</v>
          </cell>
          <cell r="D1400" t="str">
            <v>EUR</v>
          </cell>
          <cell r="E1400" t="str">
            <v>03-Jan-2022</v>
          </cell>
          <cell r="F1400">
            <v>55350.3</v>
          </cell>
          <cell r="G1400">
            <v>963.43399999999997</v>
          </cell>
          <cell r="H1400">
            <v>57.45</v>
          </cell>
          <cell r="I1400">
            <v>0</v>
          </cell>
          <cell r="J1400">
            <v>59.17</v>
          </cell>
        </row>
        <row r="1401">
          <cell r="A1401" t="str">
            <v>LU1883851179</v>
          </cell>
          <cell r="B1401" t="str">
            <v>AMUNDI FUNDS PIONEER US BOND</v>
          </cell>
          <cell r="C1401" t="str">
            <v>Class E2 EUR (C)</v>
          </cell>
          <cell r="D1401" t="str">
            <v>EUR</v>
          </cell>
          <cell r="E1401" t="str">
            <v>03-Jan-2022</v>
          </cell>
          <cell r="F1401">
            <v>117211248.73</v>
          </cell>
          <cell r="G1401">
            <v>11593888.344000001</v>
          </cell>
          <cell r="H1401">
            <v>10.11</v>
          </cell>
          <cell r="I1401">
            <v>0</v>
          </cell>
          <cell r="J1401">
            <v>10.11</v>
          </cell>
        </row>
        <row r="1402">
          <cell r="A1402" t="str">
            <v>LU1883851336</v>
          </cell>
          <cell r="B1402" t="str">
            <v>AMUNDI FUNDS PIONEER US BOND</v>
          </cell>
          <cell r="C1402" t="str">
            <v>Class E2 USD (C)</v>
          </cell>
          <cell r="D1402" t="str">
            <v>USD</v>
          </cell>
          <cell r="E1402" t="str">
            <v>03-Jan-2022</v>
          </cell>
          <cell r="F1402">
            <v>1707893.39</v>
          </cell>
          <cell r="G1402">
            <v>149638.25899999999</v>
          </cell>
          <cell r="H1402">
            <v>11.413</v>
          </cell>
          <cell r="I1402">
            <v>0</v>
          </cell>
          <cell r="J1402">
            <v>11.413</v>
          </cell>
        </row>
        <row r="1403">
          <cell r="A1403" t="str">
            <v>LU1883851096</v>
          </cell>
          <cell r="B1403" t="str">
            <v>AMUNDI FUNDS PIONEER US BOND</v>
          </cell>
          <cell r="C1403" t="str">
            <v>Class E2 CHF Hgd (C)</v>
          </cell>
          <cell r="D1403" t="str">
            <v>CHF</v>
          </cell>
          <cell r="E1403" t="str">
            <v>03-Jan-2022</v>
          </cell>
          <cell r="F1403">
            <v>516014.82</v>
          </cell>
          <cell r="G1403">
            <v>98267.285000000003</v>
          </cell>
          <cell r="H1403">
            <v>5.2510000000000003</v>
          </cell>
          <cell r="I1403">
            <v>0</v>
          </cell>
          <cell r="J1403">
            <v>5.2510000000000003</v>
          </cell>
        </row>
        <row r="1404">
          <cell r="A1404" t="str">
            <v>LU1883851252</v>
          </cell>
          <cell r="B1404" t="str">
            <v>AMUNDI FUNDS PIONEER US BOND</v>
          </cell>
          <cell r="C1404" t="str">
            <v>Class E2 EUR Hgd (C)</v>
          </cell>
          <cell r="D1404" t="str">
            <v>EUR</v>
          </cell>
          <cell r="E1404" t="str">
            <v>03-Jan-2022</v>
          </cell>
          <cell r="F1404">
            <v>5760894.5499999998</v>
          </cell>
          <cell r="G1404">
            <v>1050219.9509999999</v>
          </cell>
          <cell r="H1404">
            <v>5.4850000000000003</v>
          </cell>
          <cell r="I1404">
            <v>0</v>
          </cell>
          <cell r="J1404">
            <v>5.4850000000000003</v>
          </cell>
        </row>
        <row r="1405">
          <cell r="A1405" t="str">
            <v>LU2018722947</v>
          </cell>
          <cell r="B1405" t="str">
            <v>AMUNDI FUNDS PIONEER US BOND</v>
          </cell>
          <cell r="C1405" t="str">
            <v>Class F EUR Hgd QTD (D)</v>
          </cell>
          <cell r="D1405" t="str">
            <v>EUR</v>
          </cell>
          <cell r="E1405" t="str">
            <v>03-Jan-2022</v>
          </cell>
          <cell r="F1405">
            <v>135714.01</v>
          </cell>
          <cell r="G1405">
            <v>27784.973000000002</v>
          </cell>
          <cell r="H1405">
            <v>4.8840000000000003</v>
          </cell>
          <cell r="I1405">
            <v>1.2699999999999999E-2</v>
          </cell>
          <cell r="J1405">
            <v>4.8840000000000003</v>
          </cell>
        </row>
        <row r="1406">
          <cell r="A1406" t="str">
            <v>LU1883851419</v>
          </cell>
          <cell r="B1406" t="str">
            <v>AMUNDI FUNDS PIONEER US BOND</v>
          </cell>
          <cell r="C1406" t="str">
            <v>Class F EUR (C)</v>
          </cell>
          <cell r="D1406" t="str">
            <v>EUR</v>
          </cell>
          <cell r="E1406" t="str">
            <v>03-Jan-2022</v>
          </cell>
          <cell r="F1406">
            <v>6978870.46</v>
          </cell>
          <cell r="G1406">
            <v>752051.67099999997</v>
          </cell>
          <cell r="H1406">
            <v>9.2799999999999994</v>
          </cell>
          <cell r="I1406">
            <v>0</v>
          </cell>
          <cell r="J1406">
            <v>9.2799999999999994</v>
          </cell>
        </row>
        <row r="1407">
          <cell r="A1407" t="str">
            <v>LU1880402257</v>
          </cell>
          <cell r="B1407" t="str">
            <v>AMUNDI FUNDS PIONEER US BOND</v>
          </cell>
          <cell r="C1407" t="str">
            <v>Class F2 USD (C)</v>
          </cell>
          <cell r="D1407" t="str">
            <v>USD</v>
          </cell>
          <cell r="E1407" t="str">
            <v>03-Jan-2022</v>
          </cell>
          <cell r="F1407">
            <v>4239245.7300000004</v>
          </cell>
          <cell r="G1407">
            <v>784231.38500000001</v>
          </cell>
          <cell r="H1407">
            <v>5.4059999999999997</v>
          </cell>
          <cell r="I1407">
            <v>0</v>
          </cell>
          <cell r="J1407">
            <v>5.4059999999999997</v>
          </cell>
        </row>
        <row r="1408">
          <cell r="A1408" t="str">
            <v>LU2208987094</v>
          </cell>
          <cell r="B1408" t="str">
            <v>AMUNDI FUNDS PIONEER US BOND</v>
          </cell>
          <cell r="C1408" t="str">
            <v>Class F USD (C)</v>
          </cell>
          <cell r="D1408" t="str">
            <v>USD</v>
          </cell>
          <cell r="E1408" t="str">
            <v>03-Jan-2022</v>
          </cell>
          <cell r="F1408">
            <v>55293.69</v>
          </cell>
          <cell r="G1408">
            <v>11061.315000000001</v>
          </cell>
          <cell r="H1408">
            <v>4.9989999999999997</v>
          </cell>
          <cell r="I1408">
            <v>0</v>
          </cell>
          <cell r="J1408">
            <v>4.9989999999999997</v>
          </cell>
        </row>
        <row r="1409">
          <cell r="A1409" t="str">
            <v>LU1880402091</v>
          </cell>
          <cell r="B1409" t="str">
            <v>AMUNDI FUNDS PIONEER US BOND</v>
          </cell>
          <cell r="C1409" t="str">
            <v>Class F2 EUR Hgd (C)</v>
          </cell>
          <cell r="D1409" t="str">
            <v>EUR</v>
          </cell>
          <cell r="E1409" t="str">
            <v>03-Jan-2022</v>
          </cell>
          <cell r="F1409">
            <v>2754122.55</v>
          </cell>
          <cell r="G1409">
            <v>530523.66500000004</v>
          </cell>
          <cell r="H1409">
            <v>5.1909999999999998</v>
          </cell>
          <cell r="I1409">
            <v>0</v>
          </cell>
          <cell r="J1409">
            <v>5.1909999999999998</v>
          </cell>
        </row>
        <row r="1410">
          <cell r="A1410" t="str">
            <v>LU1880402174</v>
          </cell>
          <cell r="B1410" t="str">
            <v>AMUNDI FUNDS PIONEER US BOND</v>
          </cell>
          <cell r="C1410" t="str">
            <v>Class F2 EUR Hgd QTD (D)</v>
          </cell>
          <cell r="D1410" t="str">
            <v>EUR</v>
          </cell>
          <cell r="E1410" t="str">
            <v>03-Jan-2022</v>
          </cell>
          <cell r="F1410">
            <v>360794.31</v>
          </cell>
          <cell r="G1410">
            <v>73823.641000000003</v>
          </cell>
          <cell r="H1410">
            <v>4.8869999999999996</v>
          </cell>
          <cell r="I1410">
            <v>1.2699999999999999E-2</v>
          </cell>
          <cell r="J1410">
            <v>4.8869999999999996</v>
          </cell>
        </row>
        <row r="1411">
          <cell r="A1411" t="str">
            <v>LU1883850288</v>
          </cell>
          <cell r="B1411" t="str">
            <v>AMUNDI FUNDS PIONEER US BOND</v>
          </cell>
          <cell r="C1411" t="str">
            <v>Class A2 ZAR MD3 (D)</v>
          </cell>
          <cell r="D1411" t="str">
            <v>ZAR</v>
          </cell>
          <cell r="E1411" t="str">
            <v>03-Jan-2022</v>
          </cell>
          <cell r="F1411">
            <v>185109972.71000001</v>
          </cell>
          <cell r="G1411">
            <v>221513.459</v>
          </cell>
          <cell r="H1411">
            <v>835.66</v>
          </cell>
          <cell r="I1411">
            <v>8.4784000000000006</v>
          </cell>
          <cell r="J1411">
            <v>860.73</v>
          </cell>
        </row>
        <row r="1412">
          <cell r="A1412" t="str">
            <v>LU1998916693</v>
          </cell>
          <cell r="B1412" t="str">
            <v>AMUNDI FUNDS PIONEER US BOND</v>
          </cell>
          <cell r="C1412" t="str">
            <v>Class H EUR (C)</v>
          </cell>
          <cell r="D1412" t="str">
            <v>EUR</v>
          </cell>
          <cell r="E1412" t="str">
            <v>03-Jan-2022</v>
          </cell>
          <cell r="F1412">
            <v>415772.63</v>
          </cell>
          <cell r="G1412">
            <v>379.976</v>
          </cell>
          <cell r="H1412">
            <v>1094.21</v>
          </cell>
          <cell r="I1412">
            <v>0</v>
          </cell>
          <cell r="J1412">
            <v>1094.21</v>
          </cell>
        </row>
        <row r="1413">
          <cell r="A1413" t="str">
            <v>LU1897310782</v>
          </cell>
          <cell r="B1413" t="str">
            <v>AMUNDI FUNDS PIONEER US BOND</v>
          </cell>
          <cell r="C1413" t="str">
            <v>Class I2 GBP (C)</v>
          </cell>
          <cell r="D1413" t="str">
            <v>GBP</v>
          </cell>
          <cell r="E1413" t="str">
            <v>03-Jan-2022</v>
          </cell>
          <cell r="F1413">
            <v>4921.79</v>
          </cell>
          <cell r="G1413">
            <v>5</v>
          </cell>
          <cell r="H1413">
            <v>984.36</v>
          </cell>
          <cell r="I1413">
            <v>0</v>
          </cell>
          <cell r="J1413">
            <v>984.36</v>
          </cell>
        </row>
        <row r="1414">
          <cell r="A1414" t="str">
            <v>LU1883851765</v>
          </cell>
          <cell r="B1414" t="str">
            <v>AMUNDI FUNDS PIONEER US BOND</v>
          </cell>
          <cell r="C1414" t="str">
            <v>Class I2 USD (C)</v>
          </cell>
          <cell r="D1414" t="str">
            <v>USD</v>
          </cell>
          <cell r="E1414" t="str">
            <v>03-Jan-2022</v>
          </cell>
          <cell r="F1414">
            <v>350247243.88999999</v>
          </cell>
          <cell r="G1414">
            <v>123206.261</v>
          </cell>
          <cell r="H1414">
            <v>2842.77</v>
          </cell>
          <cell r="I1414">
            <v>0</v>
          </cell>
          <cell r="J1414">
            <v>2842.77</v>
          </cell>
        </row>
        <row r="1415">
          <cell r="A1415" t="str">
            <v>LU1883851849</v>
          </cell>
          <cell r="B1415" t="str">
            <v>AMUNDI FUNDS PIONEER US BOND</v>
          </cell>
          <cell r="C1415" t="str">
            <v>Class I2 USD AD (D)</v>
          </cell>
          <cell r="D1415" t="str">
            <v>USD</v>
          </cell>
          <cell r="E1415" t="str">
            <v>03-Jan-2022</v>
          </cell>
          <cell r="F1415">
            <v>33359077.460000001</v>
          </cell>
          <cell r="G1415">
            <v>22727.317999999999</v>
          </cell>
          <cell r="H1415">
            <v>1467.8</v>
          </cell>
          <cell r="I1415">
            <v>0</v>
          </cell>
          <cell r="J1415">
            <v>1467.8</v>
          </cell>
        </row>
        <row r="1416">
          <cell r="A1416" t="str">
            <v>LU2031984185</v>
          </cell>
          <cell r="B1416" t="str">
            <v>AMUNDI FUNDS PIONEER US BOND</v>
          </cell>
          <cell r="C1416" t="str">
            <v>Class I2 GBP QD (D)</v>
          </cell>
          <cell r="D1416" t="str">
            <v>GBP</v>
          </cell>
          <cell r="E1416" t="str">
            <v>03-Jan-2022</v>
          </cell>
          <cell r="F1416">
            <v>4720.8100000000004</v>
          </cell>
          <cell r="G1416">
            <v>5</v>
          </cell>
          <cell r="H1416">
            <v>944.16</v>
          </cell>
          <cell r="I1416">
            <v>0</v>
          </cell>
          <cell r="J1416">
            <v>944.16</v>
          </cell>
        </row>
        <row r="1417">
          <cell r="A1417" t="str">
            <v>LU1883851682</v>
          </cell>
          <cell r="B1417" t="str">
            <v>AMUNDI FUNDS PIONEER US BOND</v>
          </cell>
          <cell r="C1417" t="str">
            <v>Class I2 EUR Hgd (C)</v>
          </cell>
          <cell r="D1417" t="str">
            <v>EUR</v>
          </cell>
          <cell r="E1417" t="str">
            <v>03-Jan-2022</v>
          </cell>
          <cell r="F1417">
            <v>16947607.52</v>
          </cell>
          <cell r="G1417">
            <v>14714.714</v>
          </cell>
          <cell r="H1417">
            <v>1151.75</v>
          </cell>
          <cell r="I1417">
            <v>0</v>
          </cell>
          <cell r="J1417">
            <v>1151.75</v>
          </cell>
        </row>
        <row r="1418">
          <cell r="A1418" t="str">
            <v>LU1883851500</v>
          </cell>
          <cell r="B1418" t="str">
            <v>AMUNDI FUNDS PIONEER US BOND</v>
          </cell>
          <cell r="C1418" t="str">
            <v>Class I2 EUR (C)</v>
          </cell>
          <cell r="D1418" t="str">
            <v>EUR</v>
          </cell>
          <cell r="E1418" t="str">
            <v>03-Jan-2022</v>
          </cell>
          <cell r="F1418">
            <v>4909818.59</v>
          </cell>
          <cell r="G1418">
            <v>1950.23</v>
          </cell>
          <cell r="H1418">
            <v>2517.56</v>
          </cell>
          <cell r="I1418">
            <v>0</v>
          </cell>
          <cell r="J1418">
            <v>2517.56</v>
          </cell>
        </row>
        <row r="1419">
          <cell r="A1419" t="str">
            <v>LU2162036151</v>
          </cell>
          <cell r="B1419" t="str">
            <v>AMUNDI FUNDS PIONEER US BOND</v>
          </cell>
          <cell r="C1419" t="str">
            <v>Class I2 CHF Hgd (C)</v>
          </cell>
          <cell r="D1419" t="str">
            <v>CHF</v>
          </cell>
          <cell r="E1419" t="str">
            <v>03-Jan-2022</v>
          </cell>
          <cell r="F1419">
            <v>288759.69</v>
          </cell>
          <cell r="G1419">
            <v>272</v>
          </cell>
          <cell r="H1419">
            <v>1061.6199999999999</v>
          </cell>
          <cell r="I1419">
            <v>0</v>
          </cell>
          <cell r="J1419">
            <v>1061.6199999999999</v>
          </cell>
        </row>
        <row r="1420">
          <cell r="A1420" t="str">
            <v>LU2176990534</v>
          </cell>
          <cell r="B1420" t="str">
            <v>AMUNDI FUNDS PIONEER US BOND</v>
          </cell>
          <cell r="C1420" t="str">
            <v>Class J2 USD (C)</v>
          </cell>
          <cell r="D1420" t="str">
            <v>USD</v>
          </cell>
          <cell r="E1420" t="str">
            <v>03-Jan-2022</v>
          </cell>
          <cell r="F1420">
            <v>144525489.44999999</v>
          </cell>
          <cell r="G1420">
            <v>141302.56</v>
          </cell>
          <cell r="H1420">
            <v>1022.81</v>
          </cell>
          <cell r="I1420">
            <v>0</v>
          </cell>
          <cell r="J1420">
            <v>1022.81</v>
          </cell>
        </row>
        <row r="1421">
          <cell r="A1421" t="str">
            <v>LU1880402687</v>
          </cell>
          <cell r="B1421" t="str">
            <v>AMUNDI FUNDS PIONEER US BOND</v>
          </cell>
          <cell r="C1421" t="str">
            <v>Class G USD (C)</v>
          </cell>
          <cell r="D1421" t="str">
            <v>USD</v>
          </cell>
          <cell r="E1421" t="str">
            <v>03-Jan-2022</v>
          </cell>
          <cell r="F1421">
            <v>12857740.060000001</v>
          </cell>
          <cell r="G1421">
            <v>2360328.5699999998</v>
          </cell>
          <cell r="H1421">
            <v>5.4470000000000001</v>
          </cell>
          <cell r="I1421">
            <v>0</v>
          </cell>
          <cell r="J1421">
            <v>5.61</v>
          </cell>
        </row>
        <row r="1422">
          <cell r="A1422" t="str">
            <v>LU1880402505</v>
          </cell>
          <cell r="B1422" t="str">
            <v>AMUNDI FUNDS PIONEER US BOND</v>
          </cell>
          <cell r="C1422" t="str">
            <v>Class G EUR Hgd QTD (D)</v>
          </cell>
          <cell r="D1422" t="str">
            <v>EUR</v>
          </cell>
          <cell r="E1422" t="str">
            <v>03-Jan-2022</v>
          </cell>
          <cell r="F1422">
            <v>5890226.7199999997</v>
          </cell>
          <cell r="G1422">
            <v>1193422.0209999999</v>
          </cell>
          <cell r="H1422">
            <v>4.9359999999999999</v>
          </cell>
          <cell r="I1422">
            <v>1.2800000000000001E-2</v>
          </cell>
          <cell r="J1422">
            <v>5.0839999999999996</v>
          </cell>
        </row>
        <row r="1423">
          <cell r="A1423" t="str">
            <v>LU1880402331</v>
          </cell>
          <cell r="B1423" t="str">
            <v>AMUNDI FUNDS PIONEER US BOND</v>
          </cell>
          <cell r="C1423" t="str">
            <v>Class G EUR Hgd (C)</v>
          </cell>
          <cell r="D1423" t="str">
            <v>EUR</v>
          </cell>
          <cell r="E1423" t="str">
            <v>03-Jan-2022</v>
          </cell>
          <cell r="F1423">
            <v>5474338.9000000004</v>
          </cell>
          <cell r="G1423">
            <v>1045348.803</v>
          </cell>
          <cell r="H1423">
            <v>5.2370000000000001</v>
          </cell>
          <cell r="I1423">
            <v>0</v>
          </cell>
          <cell r="J1423">
            <v>5.3940000000000001</v>
          </cell>
        </row>
        <row r="1424">
          <cell r="A1424" t="str">
            <v>LU1880402414</v>
          </cell>
          <cell r="B1424" t="str">
            <v>AMUNDI FUNDS PIONEER US BOND</v>
          </cell>
          <cell r="C1424" t="str">
            <v>Class G EUR Hgd MD (D)</v>
          </cell>
          <cell r="D1424" t="str">
            <v>EUR</v>
          </cell>
          <cell r="E1424" t="str">
            <v>03-Jan-2022</v>
          </cell>
          <cell r="F1424">
            <v>868136.09</v>
          </cell>
          <cell r="G1424">
            <v>174644.829</v>
          </cell>
          <cell r="H1424">
            <v>4.9710000000000001</v>
          </cell>
          <cell r="I1424">
            <v>4.3E-3</v>
          </cell>
          <cell r="J1424">
            <v>4.9710000000000001</v>
          </cell>
        </row>
        <row r="1425">
          <cell r="A1425" t="str">
            <v>LU1883853209</v>
          </cell>
          <cell r="B1425" t="str">
            <v>AMUNDI FUNDS PIONEER US BOND</v>
          </cell>
          <cell r="C1425" t="str">
            <v>Class T USD MD3 (D)</v>
          </cell>
          <cell r="D1425" t="str">
            <v>USD</v>
          </cell>
          <cell r="E1425" t="str">
            <v>03-Jan-2022</v>
          </cell>
          <cell r="F1425">
            <v>5690017.6500000004</v>
          </cell>
          <cell r="G1425">
            <v>126596.99</v>
          </cell>
          <cell r="H1425">
            <v>44.95</v>
          </cell>
          <cell r="I1425">
            <v>0.186</v>
          </cell>
          <cell r="J1425">
            <v>44.95</v>
          </cell>
        </row>
        <row r="1426">
          <cell r="A1426" t="str">
            <v>LU1883853118</v>
          </cell>
          <cell r="B1426" t="str">
            <v>AMUNDI FUNDS PIONEER US BOND</v>
          </cell>
          <cell r="C1426" t="str">
            <v>Class T USD (C)</v>
          </cell>
          <cell r="D1426" t="str">
            <v>USD</v>
          </cell>
          <cell r="E1426" t="str">
            <v>03-Jan-2022</v>
          </cell>
          <cell r="F1426">
            <v>2474154.75</v>
          </cell>
          <cell r="G1426">
            <v>43636.281000000003</v>
          </cell>
          <cell r="H1426">
            <v>56.7</v>
          </cell>
          <cell r="I1426">
            <v>0</v>
          </cell>
          <cell r="J1426">
            <v>56.7</v>
          </cell>
        </row>
        <row r="1427">
          <cell r="A1427" t="str">
            <v>LU1883853381</v>
          </cell>
          <cell r="B1427" t="str">
            <v>AMUNDI FUNDS PIONEER US BOND</v>
          </cell>
          <cell r="C1427" t="str">
            <v>Class T USD MGI (D)</v>
          </cell>
          <cell r="D1427" t="str">
            <v>USD</v>
          </cell>
          <cell r="E1427" t="str">
            <v>03-Jan-2022</v>
          </cell>
          <cell r="F1427">
            <v>7342759.1299999999</v>
          </cell>
          <cell r="G1427">
            <v>163279.83100000001</v>
          </cell>
          <cell r="H1427">
            <v>44.97</v>
          </cell>
          <cell r="I1427">
            <v>9.2536999999999994E-2</v>
          </cell>
          <cell r="J1427">
            <v>44.97</v>
          </cell>
        </row>
        <row r="1428">
          <cell r="A1428" t="str">
            <v>LU1883853464</v>
          </cell>
          <cell r="B1428" t="str">
            <v>AMUNDI FUNDS PIONEER US BOND</v>
          </cell>
          <cell r="C1428" t="str">
            <v>Class T ZAR MD3 (D)</v>
          </cell>
          <cell r="D1428" t="str">
            <v>ZAR</v>
          </cell>
          <cell r="E1428" t="str">
            <v>03-Jan-2022</v>
          </cell>
          <cell r="F1428">
            <v>52071612.859999999</v>
          </cell>
          <cell r="G1428">
            <v>65386.071000000004</v>
          </cell>
          <cell r="H1428">
            <v>796.37</v>
          </cell>
          <cell r="I1428">
            <v>8.1692</v>
          </cell>
          <cell r="J1428">
            <v>796.37</v>
          </cell>
        </row>
        <row r="1429">
          <cell r="A1429" t="str">
            <v>LU1880403065</v>
          </cell>
          <cell r="B1429" t="str">
            <v>AMUNDI FUNDS PIONEER US BOND</v>
          </cell>
          <cell r="C1429" t="str">
            <v>Class M EUR Hgd (C)</v>
          </cell>
          <cell r="D1429" t="str">
            <v>EUR</v>
          </cell>
          <cell r="E1429" t="str">
            <v>03-Jan-2022</v>
          </cell>
          <cell r="F1429">
            <v>22338854.030000001</v>
          </cell>
          <cell r="G1429">
            <v>21047.892</v>
          </cell>
          <cell r="H1429">
            <v>1061.33</v>
          </cell>
          <cell r="I1429">
            <v>0</v>
          </cell>
          <cell r="J1429">
            <v>1061.33</v>
          </cell>
        </row>
        <row r="1430">
          <cell r="A1430" t="str">
            <v>LU1880403149</v>
          </cell>
          <cell r="B1430" t="str">
            <v>AMUNDI FUNDS PIONEER US BOND</v>
          </cell>
          <cell r="C1430" t="str">
            <v>Class M USD (C)</v>
          </cell>
          <cell r="D1430" t="str">
            <v>USD</v>
          </cell>
          <cell r="E1430" t="str">
            <v>03-Jan-2022</v>
          </cell>
          <cell r="F1430">
            <v>60735.14</v>
          </cell>
          <cell r="G1430">
            <v>54.895000000000003</v>
          </cell>
          <cell r="H1430">
            <v>1106.3900000000001</v>
          </cell>
          <cell r="I1430">
            <v>0</v>
          </cell>
          <cell r="J1430">
            <v>1106.3900000000001</v>
          </cell>
        </row>
        <row r="1431">
          <cell r="A1431" t="str">
            <v>LU1883852730</v>
          </cell>
          <cell r="B1431" t="str">
            <v>AMUNDI FUNDS PIONEER US BOND</v>
          </cell>
          <cell r="C1431" t="str">
            <v>Class R2 EUR QD (D)</v>
          </cell>
          <cell r="D1431" t="str">
            <v>EUR</v>
          </cell>
          <cell r="E1431" t="str">
            <v>03-Jan-2022</v>
          </cell>
          <cell r="F1431">
            <v>5216.13</v>
          </cell>
          <cell r="G1431">
            <v>100</v>
          </cell>
          <cell r="H1431">
            <v>52.16</v>
          </cell>
          <cell r="I1431">
            <v>0</v>
          </cell>
          <cell r="J1431">
            <v>52.16</v>
          </cell>
        </row>
        <row r="1432">
          <cell r="A1432" t="str">
            <v>LU1883852573</v>
          </cell>
          <cell r="B1432" t="str">
            <v>AMUNDI FUNDS PIONEER US BOND</v>
          </cell>
          <cell r="C1432" t="str">
            <v>Class R2 EUR (C)</v>
          </cell>
          <cell r="D1432" t="str">
            <v>EUR</v>
          </cell>
          <cell r="E1432" t="str">
            <v>03-Jan-2022</v>
          </cell>
          <cell r="F1432">
            <v>400620.49</v>
          </cell>
          <cell r="G1432">
            <v>5226.9620000000004</v>
          </cell>
          <cell r="H1432">
            <v>76.64</v>
          </cell>
          <cell r="I1432">
            <v>0</v>
          </cell>
          <cell r="J1432">
            <v>76.64</v>
          </cell>
        </row>
        <row r="1433">
          <cell r="A1433" t="str">
            <v>LU1883852656</v>
          </cell>
          <cell r="B1433" t="str">
            <v>AMUNDI FUNDS PIONEER US BOND</v>
          </cell>
          <cell r="C1433" t="str">
            <v>Class R2 EUR Hgd (C)</v>
          </cell>
          <cell r="D1433" t="str">
            <v>EUR</v>
          </cell>
          <cell r="E1433" t="str">
            <v>03-Jan-2022</v>
          </cell>
          <cell r="F1433">
            <v>2104514.2799999998</v>
          </cell>
          <cell r="G1433">
            <v>37313.377999999997</v>
          </cell>
          <cell r="H1433">
            <v>56.4</v>
          </cell>
          <cell r="I1433">
            <v>0</v>
          </cell>
          <cell r="J1433">
            <v>56.4</v>
          </cell>
        </row>
        <row r="1434">
          <cell r="A1434" t="str">
            <v>LU1880403222</v>
          </cell>
          <cell r="B1434" t="str">
            <v>AMUNDI FUNDS PIONEER US BOND</v>
          </cell>
          <cell r="C1434" t="str">
            <v>Class O USD (C)</v>
          </cell>
          <cell r="D1434" t="str">
            <v>USD</v>
          </cell>
          <cell r="E1434" t="str">
            <v>03-Jan-2022</v>
          </cell>
          <cell r="F1434">
            <v>2195227.7000000002</v>
          </cell>
          <cell r="G1434">
            <v>1948.0930000000001</v>
          </cell>
          <cell r="H1434">
            <v>1126.8599999999999</v>
          </cell>
          <cell r="I1434">
            <v>0</v>
          </cell>
          <cell r="J1434">
            <v>1126.8599999999999</v>
          </cell>
        </row>
        <row r="1435">
          <cell r="A1435" t="str">
            <v>LU1883849603</v>
          </cell>
          <cell r="B1435" t="str">
            <v>AMUNDI FUNDS PIONEER US BOND</v>
          </cell>
          <cell r="C1435" t="str">
            <v>Class A2 USD (C)</v>
          </cell>
          <cell r="D1435" t="str">
            <v>USD</v>
          </cell>
          <cell r="E1435" t="str">
            <v>03-Jan-2022</v>
          </cell>
          <cell r="F1435">
            <v>190880379.24000001</v>
          </cell>
          <cell r="G1435">
            <v>1686751.199</v>
          </cell>
          <cell r="H1435">
            <v>113.16</v>
          </cell>
          <cell r="I1435">
            <v>0</v>
          </cell>
          <cell r="J1435">
            <v>116.55</v>
          </cell>
        </row>
        <row r="1436">
          <cell r="A1436" t="str">
            <v>LU1883849785</v>
          </cell>
          <cell r="B1436" t="str">
            <v>AMUNDI FUNDS PIONEER US BOND</v>
          </cell>
          <cell r="C1436" t="str">
            <v>Class A2 USD AD (D)</v>
          </cell>
          <cell r="D1436" t="str">
            <v>USD</v>
          </cell>
          <cell r="E1436" t="str">
            <v>03-Jan-2022</v>
          </cell>
          <cell r="F1436">
            <v>16077148.23</v>
          </cell>
          <cell r="G1436">
            <v>205304.429</v>
          </cell>
          <cell r="H1436">
            <v>78.31</v>
          </cell>
          <cell r="I1436">
            <v>0</v>
          </cell>
          <cell r="J1436">
            <v>80.66</v>
          </cell>
        </row>
        <row r="1437">
          <cell r="A1437" t="str">
            <v>LU1883852060</v>
          </cell>
          <cell r="B1437" t="str">
            <v>AMUNDI FUNDS PIONEER US BOND</v>
          </cell>
          <cell r="C1437" t="str">
            <v>Class P2 USD (C)</v>
          </cell>
          <cell r="D1437" t="str">
            <v>USD</v>
          </cell>
          <cell r="E1437" t="str">
            <v>03-Jan-2022</v>
          </cell>
          <cell r="F1437">
            <v>114092144.63</v>
          </cell>
          <cell r="G1437">
            <v>1905147.04</v>
          </cell>
          <cell r="H1437">
            <v>59.89</v>
          </cell>
          <cell r="I1437">
            <v>0</v>
          </cell>
          <cell r="J1437">
            <v>59.89</v>
          </cell>
        </row>
        <row r="1438">
          <cell r="A1438" t="str">
            <v>LU1883852144</v>
          </cell>
          <cell r="B1438" t="str">
            <v>AMUNDI FUNDS PIONEER US BOND</v>
          </cell>
          <cell r="C1438" t="str">
            <v>Class P2 USD MD (D)</v>
          </cell>
          <cell r="D1438" t="str">
            <v>USD</v>
          </cell>
          <cell r="E1438" t="str">
            <v>03-Jan-2022</v>
          </cell>
          <cell r="F1438">
            <v>4170391.15</v>
          </cell>
          <cell r="G1438">
            <v>78517.839000000007</v>
          </cell>
          <cell r="H1438">
            <v>53.11</v>
          </cell>
          <cell r="I1438">
            <v>4.5100000000000001E-2</v>
          </cell>
          <cell r="J1438">
            <v>53.11</v>
          </cell>
        </row>
        <row r="1439">
          <cell r="A1439" t="str">
            <v>LU1883852227</v>
          </cell>
          <cell r="B1439" t="str">
            <v>AMUNDI FUNDS PIONEER US BOND</v>
          </cell>
          <cell r="C1439" t="str">
            <v>Class Q-D USD MD (D)</v>
          </cell>
          <cell r="D1439" t="str">
            <v>USD</v>
          </cell>
          <cell r="E1439" t="str">
            <v>03-Jan-2022</v>
          </cell>
          <cell r="F1439">
            <v>7850122.25</v>
          </cell>
          <cell r="G1439">
            <v>111606.18399999999</v>
          </cell>
          <cell r="H1439">
            <v>70.34</v>
          </cell>
          <cell r="I1439">
            <v>6.0600000000000001E-2</v>
          </cell>
          <cell r="J1439">
            <v>72.45</v>
          </cell>
        </row>
        <row r="1440">
          <cell r="A1440" t="str">
            <v>LU1883853548</v>
          </cell>
          <cell r="B1440" t="str">
            <v>AMUNDI FUNDS PIONEER US BOND</v>
          </cell>
          <cell r="C1440" t="str">
            <v>Class U USD (C)</v>
          </cell>
          <cell r="D1440" t="str">
            <v>USD</v>
          </cell>
          <cell r="E1440" t="str">
            <v>03-Jan-2022</v>
          </cell>
          <cell r="F1440">
            <v>16999910.41</v>
          </cell>
          <cell r="G1440">
            <v>301894.02100000001</v>
          </cell>
          <cell r="H1440">
            <v>56.31</v>
          </cell>
          <cell r="I1440">
            <v>0</v>
          </cell>
          <cell r="J1440">
            <v>56.31</v>
          </cell>
        </row>
        <row r="1441">
          <cell r="A1441" t="str">
            <v>LU1883853894</v>
          </cell>
          <cell r="B1441" t="str">
            <v>AMUNDI FUNDS PIONEER US BOND</v>
          </cell>
          <cell r="C1441" t="str">
            <v>Class U USD MGI (D)</v>
          </cell>
          <cell r="D1441" t="str">
            <v>USD</v>
          </cell>
          <cell r="E1441" t="str">
            <v>03-Jan-2022</v>
          </cell>
          <cell r="F1441">
            <v>29634539.280000001</v>
          </cell>
          <cell r="G1441">
            <v>664113.17599999998</v>
          </cell>
          <cell r="H1441">
            <v>44.62</v>
          </cell>
          <cell r="I1441">
            <v>9.1821E-2</v>
          </cell>
          <cell r="J1441">
            <v>44.62</v>
          </cell>
        </row>
        <row r="1442">
          <cell r="A1442" t="str">
            <v>LU1883853977</v>
          </cell>
          <cell r="B1442" t="str">
            <v>AMUNDI FUNDS PIONEER US BOND</v>
          </cell>
          <cell r="C1442" t="str">
            <v>Class U ZAR MD3 (D)</v>
          </cell>
          <cell r="D1442" t="str">
            <v>ZAR</v>
          </cell>
          <cell r="E1442" t="str">
            <v>03-Jan-2022</v>
          </cell>
          <cell r="F1442">
            <v>579235347.63</v>
          </cell>
          <cell r="G1442">
            <v>730204.75800000003</v>
          </cell>
          <cell r="H1442">
            <v>793.25</v>
          </cell>
          <cell r="I1442">
            <v>8.1270000000000007</v>
          </cell>
          <cell r="J1442">
            <v>793.25</v>
          </cell>
        </row>
        <row r="1443">
          <cell r="A1443" t="str">
            <v>LU1883853621</v>
          </cell>
          <cell r="B1443" t="str">
            <v>AMUNDI FUNDS PIONEER US BOND</v>
          </cell>
          <cell r="C1443" t="str">
            <v>Class U USD MD3 (D)</v>
          </cell>
          <cell r="D1443" t="str">
            <v>USD</v>
          </cell>
          <cell r="E1443" t="str">
            <v>03-Jan-2022</v>
          </cell>
          <cell r="F1443">
            <v>56723483.009999998</v>
          </cell>
          <cell r="G1443">
            <v>1267973.075</v>
          </cell>
          <cell r="H1443">
            <v>44.74</v>
          </cell>
          <cell r="I1443">
            <v>0.18509999999999999</v>
          </cell>
          <cell r="J1443">
            <v>44.74</v>
          </cell>
        </row>
        <row r="1444">
          <cell r="A1444" t="str">
            <v>LU2070305466</v>
          </cell>
          <cell r="B1444" t="str">
            <v>AMUNDI FUNDS PIONEER US BOND</v>
          </cell>
          <cell r="C1444" t="str">
            <v>Class U AUD Hgd MD3 (D)</v>
          </cell>
          <cell r="D1444" t="str">
            <v>AUD</v>
          </cell>
          <cell r="E1444" t="str">
            <v>03-Jan-2022</v>
          </cell>
          <cell r="F1444">
            <v>900652.72</v>
          </cell>
          <cell r="G1444">
            <v>19226.865000000002</v>
          </cell>
          <cell r="H1444">
            <v>46.84</v>
          </cell>
          <cell r="I1444">
            <v>0.19539999999999999</v>
          </cell>
          <cell r="J1444">
            <v>46.84</v>
          </cell>
        </row>
        <row r="1445">
          <cell r="A1445" t="str">
            <v>LU2183144067</v>
          </cell>
          <cell r="B1445" t="str">
            <v>AMUNDI FUNDS PIONEER US BOND</v>
          </cell>
          <cell r="C1445" t="str">
            <v>Class R EUR (C)</v>
          </cell>
          <cell r="D1445" t="str">
            <v>EUR</v>
          </cell>
          <cell r="E1445" t="str">
            <v>03-Jan-2022</v>
          </cell>
          <cell r="F1445">
            <v>1612361.67</v>
          </cell>
          <cell r="G1445">
            <v>31440.977999999999</v>
          </cell>
          <cell r="H1445">
            <v>51.28</v>
          </cell>
          <cell r="I1445">
            <v>0</v>
          </cell>
          <cell r="J1445">
            <v>51.28</v>
          </cell>
        </row>
        <row r="1446">
          <cell r="A1446" t="str">
            <v>LU1880405276</v>
          </cell>
          <cell r="B1446" t="str">
            <v>AMUNDI FUNDS PIONEER US BOND</v>
          </cell>
          <cell r="C1446" t="str">
            <v>Class R USD (C)</v>
          </cell>
          <cell r="D1446" t="str">
            <v>USD</v>
          </cell>
          <cell r="E1446" t="str">
            <v>03-Jan-2022</v>
          </cell>
          <cell r="F1446">
            <v>3680594.1</v>
          </cell>
          <cell r="G1446">
            <v>66763.263000000006</v>
          </cell>
          <cell r="H1446">
            <v>55.13</v>
          </cell>
          <cell r="I1446">
            <v>0</v>
          </cell>
          <cell r="J1446">
            <v>55.13</v>
          </cell>
        </row>
        <row r="1447">
          <cell r="A1447" t="str">
            <v>LU1880405359</v>
          </cell>
          <cell r="B1447" t="str">
            <v>AMUNDI FUNDS PIONEER US BOND</v>
          </cell>
          <cell r="C1447" t="str">
            <v>Class R USD AD (D)</v>
          </cell>
          <cell r="D1447" t="str">
            <v>USD</v>
          </cell>
          <cell r="E1447" t="str">
            <v>03-Jan-2022</v>
          </cell>
          <cell r="F1447">
            <v>85734.59</v>
          </cell>
          <cell r="G1447">
            <v>1694.0239999999999</v>
          </cell>
          <cell r="H1447">
            <v>50.61</v>
          </cell>
          <cell r="I1447">
            <v>0</v>
          </cell>
          <cell r="J1447">
            <v>50.61</v>
          </cell>
        </row>
        <row r="1448">
          <cell r="A1448" t="str">
            <v>LU1880404626</v>
          </cell>
          <cell r="B1448" t="str">
            <v>AMUNDI FUNDS PIONEER US BOND</v>
          </cell>
          <cell r="C1448" t="str">
            <v>Class R EUR Hgd (C)</v>
          </cell>
          <cell r="D1448" t="str">
            <v>EUR</v>
          </cell>
          <cell r="E1448" t="str">
            <v>03-Jan-2022</v>
          </cell>
          <cell r="F1448">
            <v>99192.88</v>
          </cell>
          <cell r="G1448">
            <v>2000</v>
          </cell>
          <cell r="H1448">
            <v>49.6</v>
          </cell>
          <cell r="I1448">
            <v>0</v>
          </cell>
          <cell r="J1448">
            <v>49.6</v>
          </cell>
        </row>
        <row r="1449">
          <cell r="A1449" t="str">
            <v>LU1883852904</v>
          </cell>
          <cell r="B1449" t="str">
            <v>AMUNDI FUNDS PIONEER US BOND</v>
          </cell>
          <cell r="C1449" t="str">
            <v>Class R2 USD (C)</v>
          </cell>
          <cell r="D1449" t="str">
            <v>USD</v>
          </cell>
          <cell r="E1449" t="str">
            <v>03-Jan-2022</v>
          </cell>
          <cell r="F1449">
            <v>40546076.82</v>
          </cell>
          <cell r="G1449">
            <v>468555.234</v>
          </cell>
          <cell r="H1449">
            <v>86.53</v>
          </cell>
          <cell r="I1449">
            <v>0</v>
          </cell>
          <cell r="J1449">
            <v>86.53</v>
          </cell>
        </row>
        <row r="1450">
          <cell r="A1450" t="str">
            <v>LU1880404204</v>
          </cell>
          <cell r="B1450" t="str">
            <v>AMUNDI FUNDS PIONEER US BOND</v>
          </cell>
          <cell r="C1450" t="str">
            <v>Class Q-OF EUR (C)</v>
          </cell>
          <cell r="D1450" t="str">
            <v>EUR</v>
          </cell>
          <cell r="E1450" t="str">
            <v>03-Jan-2022</v>
          </cell>
          <cell r="F1450">
            <v>13249522.880000001</v>
          </cell>
          <cell r="G1450">
            <v>11770.383</v>
          </cell>
          <cell r="H1450">
            <v>1125.67</v>
          </cell>
          <cell r="I1450">
            <v>0</v>
          </cell>
          <cell r="J1450">
            <v>1125.67</v>
          </cell>
        </row>
        <row r="1451">
          <cell r="A1451" t="str">
            <v>LU1883850015</v>
          </cell>
          <cell r="B1451" t="str">
            <v>AMUNDI FUNDS PIONEER US BOND</v>
          </cell>
          <cell r="C1451" t="str">
            <v>Class A2 USD MGI (D)</v>
          </cell>
          <cell r="D1451" t="str">
            <v>USD</v>
          </cell>
          <cell r="E1451" t="str">
            <v>03-Jan-2022</v>
          </cell>
          <cell r="F1451">
            <v>22960456.510000002</v>
          </cell>
          <cell r="G1451">
            <v>352902.97</v>
          </cell>
          <cell r="H1451">
            <v>65.06</v>
          </cell>
          <cell r="I1451">
            <v>0.13381199999999999</v>
          </cell>
          <cell r="J1451">
            <v>67.010000000000005</v>
          </cell>
        </row>
        <row r="1452">
          <cell r="A1452" t="str">
            <v>LU1883849942</v>
          </cell>
          <cell r="B1452" t="str">
            <v>AMUNDI FUNDS PIONEER US BOND</v>
          </cell>
          <cell r="C1452" t="str">
            <v>Class A2 USD MD3 (D)</v>
          </cell>
          <cell r="D1452" t="str">
            <v>USD</v>
          </cell>
          <cell r="E1452" t="str">
            <v>03-Jan-2022</v>
          </cell>
          <cell r="F1452">
            <v>17221258.75</v>
          </cell>
          <cell r="G1452">
            <v>367596.83299999998</v>
          </cell>
          <cell r="H1452">
            <v>46.85</v>
          </cell>
          <cell r="I1452">
            <v>0.188</v>
          </cell>
          <cell r="J1452">
            <v>48.26</v>
          </cell>
        </row>
        <row r="1453">
          <cell r="A1453" t="str">
            <v>LU1880402760</v>
          </cell>
          <cell r="B1453" t="str">
            <v>AMUNDI FUNDS PIONEER US BOND</v>
          </cell>
          <cell r="C1453" t="str">
            <v>Class I EUR Hgd (C)</v>
          </cell>
          <cell r="D1453" t="str">
            <v>EUR</v>
          </cell>
          <cell r="E1453" t="str">
            <v>03-Jan-2022</v>
          </cell>
          <cell r="F1453">
            <v>157219178.74000001</v>
          </cell>
          <cell r="G1453">
            <v>147503.356</v>
          </cell>
          <cell r="H1453">
            <v>1065.8699999999999</v>
          </cell>
          <cell r="I1453">
            <v>0</v>
          </cell>
          <cell r="J1453">
            <v>1065.8699999999999</v>
          </cell>
        </row>
        <row r="1454">
          <cell r="A1454" t="str">
            <v>LU1880402844</v>
          </cell>
          <cell r="B1454" t="str">
            <v>AMUNDI FUNDS PIONEER US BOND</v>
          </cell>
          <cell r="C1454" t="str">
            <v>Class I USD (C)</v>
          </cell>
          <cell r="D1454" t="str">
            <v>USD</v>
          </cell>
          <cell r="E1454" t="str">
            <v>03-Jan-2022</v>
          </cell>
          <cell r="F1454">
            <v>29207117.809999999</v>
          </cell>
          <cell r="G1454">
            <v>26355.544999999998</v>
          </cell>
          <cell r="H1454">
            <v>1108.2</v>
          </cell>
          <cell r="I1454">
            <v>0</v>
          </cell>
          <cell r="J1454">
            <v>1108.2</v>
          </cell>
        </row>
        <row r="1455">
          <cell r="A1455" t="str">
            <v>LU1880402927</v>
          </cell>
          <cell r="B1455" t="str">
            <v>AMUNDI FUNDS PIONEER US BOND</v>
          </cell>
          <cell r="C1455" t="str">
            <v>Class I USD AD (D)</v>
          </cell>
          <cell r="D1455" t="str">
            <v>USD</v>
          </cell>
          <cell r="E1455" t="str">
            <v>03-Jan-2022</v>
          </cell>
          <cell r="F1455">
            <v>5015691.92</v>
          </cell>
          <cell r="G1455">
            <v>4995.5649999999996</v>
          </cell>
          <cell r="H1455">
            <v>1004.03</v>
          </cell>
          <cell r="I1455">
            <v>0</v>
          </cell>
          <cell r="J1455">
            <v>1004.03</v>
          </cell>
        </row>
        <row r="1456">
          <cell r="A1456" t="str">
            <v>LU1998916776</v>
          </cell>
          <cell r="B1456" t="str">
            <v>AMUNDI FUNDS PIONEER US BOND</v>
          </cell>
          <cell r="C1456" t="str">
            <v>Class H USD (C)</v>
          </cell>
          <cell r="D1456" t="str">
            <v>USD</v>
          </cell>
          <cell r="E1456" t="str">
            <v>03-Jan-2022</v>
          </cell>
          <cell r="F1456">
            <v>5520.06</v>
          </cell>
          <cell r="G1456">
            <v>5</v>
          </cell>
          <cell r="H1456">
            <v>1104.01</v>
          </cell>
          <cell r="I1456">
            <v>0</v>
          </cell>
          <cell r="J1456">
            <v>1104.01</v>
          </cell>
        </row>
        <row r="1457">
          <cell r="A1457" t="str">
            <v>LU1883320720</v>
          </cell>
          <cell r="B1457" t="str">
            <v>AMUNDI FUNDS GLOBAL EQUITY SUSTAINABLE INCOME</v>
          </cell>
          <cell r="C1457" t="str">
            <v>Class A2 CZK Hgd QTI (D)</v>
          </cell>
          <cell r="D1457" t="str">
            <v>CZK</v>
          </cell>
          <cell r="E1457" t="str">
            <v>03-Jan-2022</v>
          </cell>
          <cell r="F1457">
            <v>1368638125.03</v>
          </cell>
          <cell r="G1457">
            <v>1236049.8759999999</v>
          </cell>
          <cell r="H1457">
            <v>1107.27</v>
          </cell>
          <cell r="I1457">
            <v>0</v>
          </cell>
          <cell r="J1457">
            <v>1157.0999999999999</v>
          </cell>
        </row>
        <row r="1458">
          <cell r="A1458" t="str">
            <v>LU1883321538</v>
          </cell>
          <cell r="B1458" t="str">
            <v>AMUNDI FUNDS GLOBAL EQUITY SUSTAINABLE INCOME</v>
          </cell>
          <cell r="C1458" t="str">
            <v>Class A2 USD QTI (D)</v>
          </cell>
          <cell r="D1458" t="str">
            <v>USD</v>
          </cell>
          <cell r="E1458" t="str">
            <v>03-Jan-2022</v>
          </cell>
          <cell r="F1458">
            <v>54900906.829999998</v>
          </cell>
          <cell r="G1458">
            <v>774186.67599999998</v>
          </cell>
          <cell r="H1458">
            <v>70.91</v>
          </cell>
          <cell r="I1458">
            <v>0</v>
          </cell>
          <cell r="J1458">
            <v>74.099999999999994</v>
          </cell>
        </row>
        <row r="1459">
          <cell r="A1459" t="str">
            <v>LU2002722341</v>
          </cell>
          <cell r="B1459" t="str">
            <v>AMUNDI FUNDS GLOBAL EQUITY SUSTAINABLE INCOME</v>
          </cell>
          <cell r="C1459" t="str">
            <v>Class M2 EUR ( C )</v>
          </cell>
          <cell r="D1459" t="str">
            <v>EUR</v>
          </cell>
          <cell r="E1459" t="str">
            <v>03-Jan-2022</v>
          </cell>
          <cell r="F1459">
            <v>185164241.63</v>
          </cell>
          <cell r="G1459">
            <v>129060.728</v>
          </cell>
          <cell r="H1459">
            <v>1434.71</v>
          </cell>
          <cell r="I1459">
            <v>0</v>
          </cell>
          <cell r="J1459">
            <v>1434.71</v>
          </cell>
        </row>
        <row r="1460">
          <cell r="A1460" t="str">
            <v>LU1883323310</v>
          </cell>
          <cell r="B1460" t="str">
            <v>AMUNDI FUNDS GLOBAL EQUITY SUSTAINABLE INCOME</v>
          </cell>
          <cell r="C1460" t="str">
            <v>Class M2 EUR Hgd QTI (D)</v>
          </cell>
          <cell r="D1460" t="str">
            <v>EUR</v>
          </cell>
          <cell r="E1460" t="str">
            <v>03-Jan-2022</v>
          </cell>
          <cell r="F1460">
            <v>1775481.46</v>
          </cell>
          <cell r="G1460">
            <v>1829.664</v>
          </cell>
          <cell r="H1460">
            <v>970.39</v>
          </cell>
          <cell r="I1460">
            <v>0</v>
          </cell>
          <cell r="J1460">
            <v>970.39</v>
          </cell>
        </row>
        <row r="1461">
          <cell r="A1461" t="str">
            <v>LU1883321611</v>
          </cell>
          <cell r="B1461" t="str">
            <v>AMUNDI FUNDS GLOBAL EQUITY SUSTAINABLE INCOME</v>
          </cell>
          <cell r="C1461" t="str">
            <v>Class C USD (C)</v>
          </cell>
          <cell r="D1461" t="str">
            <v>USD</v>
          </cell>
          <cell r="E1461" t="str">
            <v>03-Jan-2022</v>
          </cell>
          <cell r="F1461">
            <v>3362832.95</v>
          </cell>
          <cell r="G1461">
            <v>28241.862000000001</v>
          </cell>
          <cell r="H1461">
            <v>119.07</v>
          </cell>
          <cell r="I1461">
            <v>0</v>
          </cell>
          <cell r="J1461">
            <v>119.07</v>
          </cell>
        </row>
        <row r="1462">
          <cell r="A1462" t="str">
            <v>LU1883321702</v>
          </cell>
          <cell r="B1462" t="str">
            <v>AMUNDI FUNDS GLOBAL EQUITY SUSTAINABLE INCOME</v>
          </cell>
          <cell r="C1462" t="str">
            <v>Class C USD QTI (D)</v>
          </cell>
          <cell r="D1462" t="str">
            <v>USD</v>
          </cell>
          <cell r="E1462" t="str">
            <v>03-Jan-2022</v>
          </cell>
          <cell r="F1462">
            <v>3982426.38</v>
          </cell>
          <cell r="G1462">
            <v>63474.714999999997</v>
          </cell>
          <cell r="H1462">
            <v>62.74</v>
          </cell>
          <cell r="I1462">
            <v>0</v>
          </cell>
          <cell r="J1462">
            <v>62.74</v>
          </cell>
        </row>
        <row r="1463">
          <cell r="A1463" t="str">
            <v>LU1883320993</v>
          </cell>
          <cell r="B1463" t="str">
            <v>AMUNDI FUNDS GLOBAL EQUITY SUSTAINABLE INCOME</v>
          </cell>
          <cell r="C1463" t="str">
            <v>Class A2 EUR (C)</v>
          </cell>
          <cell r="D1463" t="str">
            <v>EUR</v>
          </cell>
          <cell r="E1463" t="str">
            <v>03-Jan-2022</v>
          </cell>
          <cell r="F1463">
            <v>41042007.049999997</v>
          </cell>
          <cell r="G1463">
            <v>353007.245</v>
          </cell>
          <cell r="H1463">
            <v>116.26</v>
          </cell>
          <cell r="I1463">
            <v>0</v>
          </cell>
          <cell r="J1463">
            <v>121.49</v>
          </cell>
        </row>
        <row r="1464">
          <cell r="A1464" t="str">
            <v>LU1883321025</v>
          </cell>
          <cell r="B1464" t="str">
            <v>AMUNDI FUNDS GLOBAL EQUITY SUSTAINABLE INCOME</v>
          </cell>
          <cell r="C1464" t="str">
            <v>Class A2 EUR MTI (D)</v>
          </cell>
          <cell r="D1464" t="str">
            <v>EUR</v>
          </cell>
          <cell r="E1464" t="str">
            <v>03-Jan-2022</v>
          </cell>
          <cell r="F1464">
            <v>188838.13</v>
          </cell>
          <cell r="G1464">
            <v>3110.5230000000001</v>
          </cell>
          <cell r="H1464">
            <v>60.71</v>
          </cell>
          <cell r="I1464">
            <v>0</v>
          </cell>
          <cell r="J1464">
            <v>63.44</v>
          </cell>
        </row>
        <row r="1465">
          <cell r="A1465" t="str">
            <v>LU1883321884</v>
          </cell>
          <cell r="B1465" t="str">
            <v>AMUNDI FUNDS GLOBAL EQUITY SUSTAINABLE INCOME</v>
          </cell>
          <cell r="C1465" t="str">
            <v>Class E2 EUR (C)</v>
          </cell>
          <cell r="D1465" t="str">
            <v>EUR</v>
          </cell>
          <cell r="E1465" t="str">
            <v>03-Jan-2022</v>
          </cell>
          <cell r="F1465">
            <v>175164005.84999999</v>
          </cell>
          <cell r="G1465">
            <v>15072833.025</v>
          </cell>
          <cell r="H1465">
            <v>11.621</v>
          </cell>
          <cell r="I1465">
            <v>0</v>
          </cell>
          <cell r="J1465">
            <v>11.621</v>
          </cell>
        </row>
        <row r="1466">
          <cell r="A1466" t="str">
            <v>LU1883321967</v>
          </cell>
          <cell r="B1466" t="str">
            <v>AMUNDI FUNDS GLOBAL EQUITY SUSTAINABLE INCOME</v>
          </cell>
          <cell r="C1466" t="str">
            <v>Class E2 EUR QTI (D)</v>
          </cell>
          <cell r="D1466" t="str">
            <v>EUR</v>
          </cell>
          <cell r="E1466" t="str">
            <v>03-Jan-2022</v>
          </cell>
          <cell r="F1466">
            <v>7468042.4500000002</v>
          </cell>
          <cell r="G1466">
            <v>1489177.61</v>
          </cell>
          <cell r="H1466">
            <v>5.0149999999999997</v>
          </cell>
          <cell r="I1466">
            <v>0</v>
          </cell>
          <cell r="J1466">
            <v>5.0149999999999997</v>
          </cell>
        </row>
        <row r="1467">
          <cell r="A1467" t="str">
            <v>LU1883322007</v>
          </cell>
          <cell r="B1467" t="str">
            <v>AMUNDI FUNDS GLOBAL EQUITY SUSTAINABLE INCOME</v>
          </cell>
          <cell r="C1467" t="str">
            <v>Class E2 EUR SATI (D)</v>
          </cell>
          <cell r="D1467" t="str">
            <v>EUR</v>
          </cell>
          <cell r="E1467" t="str">
            <v>03-Jan-2022</v>
          </cell>
          <cell r="F1467">
            <v>26068217.760000002</v>
          </cell>
          <cell r="G1467">
            <v>4628517.3600000003</v>
          </cell>
          <cell r="H1467">
            <v>5.6319999999999997</v>
          </cell>
          <cell r="I1467">
            <v>0</v>
          </cell>
          <cell r="J1467">
            <v>5.6319999999999997</v>
          </cell>
        </row>
        <row r="1468">
          <cell r="A1468" t="str">
            <v>LU1883322429</v>
          </cell>
          <cell r="B1468" t="str">
            <v>AMUNDI FUNDS GLOBAL EQUITY SUSTAINABLE INCOME</v>
          </cell>
          <cell r="C1468" t="str">
            <v>Class F2 EUR (C)</v>
          </cell>
          <cell r="D1468" t="str">
            <v>EUR</v>
          </cell>
          <cell r="E1468" t="str">
            <v>03-Jan-2022</v>
          </cell>
          <cell r="F1468">
            <v>6282320.3399999999</v>
          </cell>
          <cell r="G1468">
            <v>598622.58900000004</v>
          </cell>
          <cell r="H1468">
            <v>10.494999999999999</v>
          </cell>
          <cell r="I1468">
            <v>0</v>
          </cell>
          <cell r="J1468">
            <v>10.494999999999999</v>
          </cell>
        </row>
        <row r="1469">
          <cell r="A1469" t="str">
            <v>LU2002722424</v>
          </cell>
          <cell r="B1469" t="str">
            <v>AMUNDI FUNDS GLOBAL EQUITY SUSTAINABLE INCOME</v>
          </cell>
          <cell r="C1469" t="str">
            <v>Class M2 EUR SATI ( D )</v>
          </cell>
          <cell r="D1469" t="str">
            <v>EUR</v>
          </cell>
          <cell r="E1469" t="str">
            <v>03-Jan-2022</v>
          </cell>
          <cell r="F1469">
            <v>64375081.659999996</v>
          </cell>
          <cell r="G1469">
            <v>48887.974999999999</v>
          </cell>
          <cell r="H1469">
            <v>1316.79</v>
          </cell>
          <cell r="I1469">
            <v>0</v>
          </cell>
          <cell r="J1469">
            <v>1316.79</v>
          </cell>
        </row>
        <row r="1470">
          <cell r="A1470" t="str">
            <v>LU1883323153</v>
          </cell>
          <cell r="B1470" t="str">
            <v>AMUNDI FUNDS GLOBAL EQUITY SUSTAINABLE INCOME</v>
          </cell>
          <cell r="C1470" t="str">
            <v>Class I2 USD (C)</v>
          </cell>
          <cell r="D1470" t="str">
            <v>USD</v>
          </cell>
          <cell r="E1470" t="str">
            <v>03-Jan-2022</v>
          </cell>
          <cell r="F1470">
            <v>674327.11</v>
          </cell>
          <cell r="G1470">
            <v>222.452</v>
          </cell>
          <cell r="H1470">
            <v>3031.34</v>
          </cell>
          <cell r="I1470">
            <v>0</v>
          </cell>
          <cell r="J1470">
            <v>3031.34</v>
          </cell>
        </row>
        <row r="1471">
          <cell r="A1471" t="str">
            <v>LU1883323070</v>
          </cell>
          <cell r="B1471" t="str">
            <v>AMUNDI FUNDS GLOBAL EQUITY SUSTAINABLE INCOME</v>
          </cell>
          <cell r="C1471" t="str">
            <v>Class I2 EUR QTI (D)</v>
          </cell>
          <cell r="D1471" t="str">
            <v>EUR</v>
          </cell>
          <cell r="E1471" t="str">
            <v>03-Jan-2022</v>
          </cell>
          <cell r="F1471">
            <v>4374674.67</v>
          </cell>
          <cell r="G1471">
            <v>3552</v>
          </cell>
          <cell r="H1471">
            <v>1231.6099999999999</v>
          </cell>
          <cell r="I1471">
            <v>0</v>
          </cell>
          <cell r="J1471">
            <v>1231.6099999999999</v>
          </cell>
        </row>
        <row r="1472">
          <cell r="A1472" t="str">
            <v>LU1883322932</v>
          </cell>
          <cell r="B1472" t="str">
            <v>AMUNDI FUNDS GLOBAL EQUITY SUSTAINABLE INCOME</v>
          </cell>
          <cell r="C1472" t="str">
            <v>Class I2 EUR (C)</v>
          </cell>
          <cell r="D1472" t="str">
            <v>EUR</v>
          </cell>
          <cell r="E1472" t="str">
            <v>03-Jan-2022</v>
          </cell>
          <cell r="F1472">
            <v>1507891.82</v>
          </cell>
          <cell r="G1472">
            <v>561.51199999999994</v>
          </cell>
          <cell r="H1472">
            <v>2685.41</v>
          </cell>
          <cell r="I1472">
            <v>0</v>
          </cell>
          <cell r="J1472">
            <v>2685.41</v>
          </cell>
        </row>
        <row r="1473">
          <cell r="A1473" t="str">
            <v>LU1883322775</v>
          </cell>
          <cell r="B1473" t="str">
            <v>AMUNDI FUNDS GLOBAL EQUITY SUSTAINABLE INCOME</v>
          </cell>
          <cell r="C1473" t="str">
            <v>Class G2 EUR SATI (D)</v>
          </cell>
          <cell r="D1473" t="str">
            <v>EUR</v>
          </cell>
          <cell r="E1473" t="str">
            <v>03-Jan-2022</v>
          </cell>
          <cell r="F1473">
            <v>2323073.7999999998</v>
          </cell>
          <cell r="G1473">
            <v>403919.255</v>
          </cell>
          <cell r="H1473">
            <v>5.7510000000000003</v>
          </cell>
          <cell r="I1473">
            <v>0</v>
          </cell>
          <cell r="J1473">
            <v>5.7510000000000003</v>
          </cell>
        </row>
        <row r="1474">
          <cell r="A1474" t="str">
            <v>LU1883324631</v>
          </cell>
          <cell r="B1474" t="str">
            <v>AMUNDI FUNDS GLOBAL EQUITY SUSTAINABLE INCOME</v>
          </cell>
          <cell r="C1474" t="str">
            <v>Class R2 USD MTI (D)</v>
          </cell>
          <cell r="D1474" t="str">
            <v>USD</v>
          </cell>
          <cell r="E1474" t="str">
            <v>03-Jan-2022</v>
          </cell>
          <cell r="F1474">
            <v>1434523.22</v>
          </cell>
          <cell r="G1474">
            <v>19886.674999999999</v>
          </cell>
          <cell r="H1474">
            <v>72.13</v>
          </cell>
          <cell r="I1474">
            <v>0</v>
          </cell>
          <cell r="J1474">
            <v>72.13</v>
          </cell>
        </row>
        <row r="1475">
          <cell r="A1475" t="str">
            <v>LU1883324714</v>
          </cell>
          <cell r="B1475" t="str">
            <v>AMUNDI FUNDS GLOBAL EQUITY SUSTAINABLE INCOME</v>
          </cell>
          <cell r="C1475" t="str">
            <v>Class R2 USD QTI (D)</v>
          </cell>
          <cell r="D1475" t="str">
            <v>USD</v>
          </cell>
          <cell r="E1475" t="str">
            <v>03-Jan-2022</v>
          </cell>
          <cell r="F1475">
            <v>6273.22</v>
          </cell>
          <cell r="G1475">
            <v>100</v>
          </cell>
          <cell r="H1475">
            <v>62.73</v>
          </cell>
          <cell r="I1475">
            <v>0</v>
          </cell>
          <cell r="J1475">
            <v>62.73</v>
          </cell>
        </row>
        <row r="1476">
          <cell r="A1476" t="str">
            <v>LU1883324474</v>
          </cell>
          <cell r="B1476" t="str">
            <v>AMUNDI FUNDS GLOBAL EQUITY SUSTAINABLE INCOME</v>
          </cell>
          <cell r="C1476" t="str">
            <v>Class R2 EUR QTI (D)</v>
          </cell>
          <cell r="D1476" t="str">
            <v>EUR</v>
          </cell>
          <cell r="E1476" t="str">
            <v>03-Jan-2022</v>
          </cell>
          <cell r="F1476">
            <v>1159583.8600000001</v>
          </cell>
          <cell r="G1476">
            <v>19077.553</v>
          </cell>
          <cell r="H1476">
            <v>60.78</v>
          </cell>
          <cell r="I1476">
            <v>0</v>
          </cell>
          <cell r="J1476">
            <v>60.78</v>
          </cell>
        </row>
        <row r="1477">
          <cell r="A1477" t="str">
            <v>LU1883324128</v>
          </cell>
          <cell r="B1477" t="str">
            <v>AMUNDI FUNDS GLOBAL EQUITY SUSTAINABLE INCOME</v>
          </cell>
          <cell r="C1477" t="str">
            <v>Class R2 EUR (C)</v>
          </cell>
          <cell r="D1477" t="str">
            <v>EUR</v>
          </cell>
          <cell r="E1477" t="str">
            <v>03-Jan-2022</v>
          </cell>
          <cell r="F1477">
            <v>7336.24</v>
          </cell>
          <cell r="G1477">
            <v>100</v>
          </cell>
          <cell r="H1477">
            <v>73.36</v>
          </cell>
          <cell r="I1477">
            <v>0</v>
          </cell>
          <cell r="J1477">
            <v>73.36</v>
          </cell>
        </row>
        <row r="1478">
          <cell r="A1478" t="str">
            <v>LU1883324391</v>
          </cell>
          <cell r="B1478" t="str">
            <v>AMUNDI FUNDS GLOBAL EQUITY SUSTAINABLE INCOME</v>
          </cell>
          <cell r="C1478" t="str">
            <v>Class R2 EUR MTI (D)</v>
          </cell>
          <cell r="D1478" t="str">
            <v>EUR</v>
          </cell>
          <cell r="E1478" t="str">
            <v>03-Jan-2022</v>
          </cell>
          <cell r="F1478">
            <v>2485444.48</v>
          </cell>
          <cell r="G1478">
            <v>38880.125999999997</v>
          </cell>
          <cell r="H1478">
            <v>63.93</v>
          </cell>
          <cell r="I1478">
            <v>0</v>
          </cell>
          <cell r="J1478">
            <v>63.93</v>
          </cell>
        </row>
        <row r="1479">
          <cell r="A1479" t="str">
            <v>LU1883321298</v>
          </cell>
          <cell r="B1479" t="str">
            <v>AMUNDI FUNDS GLOBAL EQUITY SUSTAINABLE INCOME</v>
          </cell>
          <cell r="C1479" t="str">
            <v>Class A2 EUR QTI (D)</v>
          </cell>
          <cell r="D1479" t="str">
            <v>EUR</v>
          </cell>
          <cell r="E1479" t="str">
            <v>03-Jan-2022</v>
          </cell>
          <cell r="F1479">
            <v>296864946.42000002</v>
          </cell>
          <cell r="G1479">
            <v>4729387.93</v>
          </cell>
          <cell r="H1479">
            <v>62.77</v>
          </cell>
          <cell r="I1479">
            <v>0</v>
          </cell>
          <cell r="J1479">
            <v>65.59</v>
          </cell>
        </row>
        <row r="1480">
          <cell r="A1480" t="str">
            <v>LU1883321371</v>
          </cell>
          <cell r="B1480" t="str">
            <v>AMUNDI FUNDS GLOBAL EQUITY SUSTAINABLE INCOME</v>
          </cell>
          <cell r="C1480" t="str">
            <v>Class A2 USD (C)</v>
          </cell>
          <cell r="D1480" t="str">
            <v>USD</v>
          </cell>
          <cell r="E1480" t="str">
            <v>03-Jan-2022</v>
          </cell>
          <cell r="F1480">
            <v>11307711.029999999</v>
          </cell>
          <cell r="G1480">
            <v>86140.216</v>
          </cell>
          <cell r="H1480">
            <v>131.27000000000001</v>
          </cell>
          <cell r="I1480">
            <v>0</v>
          </cell>
          <cell r="J1480">
            <v>137.18</v>
          </cell>
        </row>
        <row r="1481">
          <cell r="A1481" t="str">
            <v>LU1883323666</v>
          </cell>
          <cell r="B1481" t="str">
            <v>AMUNDI FUNDS GLOBAL EQUITY SUSTAINABLE INCOME</v>
          </cell>
          <cell r="C1481" t="str">
            <v>Class P2 USD (C)</v>
          </cell>
          <cell r="D1481" t="str">
            <v>USD</v>
          </cell>
          <cell r="E1481" t="str">
            <v>03-Jan-2022</v>
          </cell>
          <cell r="F1481">
            <v>213641.78</v>
          </cell>
          <cell r="G1481">
            <v>2582.7370000000001</v>
          </cell>
          <cell r="H1481">
            <v>82.72</v>
          </cell>
          <cell r="I1481">
            <v>0</v>
          </cell>
          <cell r="J1481">
            <v>82.72</v>
          </cell>
        </row>
        <row r="1482">
          <cell r="A1482" t="str">
            <v>LU1883323740</v>
          </cell>
          <cell r="B1482" t="str">
            <v>AMUNDI FUNDS GLOBAL EQUITY SUSTAINABLE INCOME</v>
          </cell>
          <cell r="C1482" t="str">
            <v>Class P2 USD QTI (D)</v>
          </cell>
          <cell r="D1482" t="str">
            <v>USD</v>
          </cell>
          <cell r="E1482" t="str">
            <v>03-Jan-2022</v>
          </cell>
          <cell r="F1482">
            <v>6916.75</v>
          </cell>
          <cell r="G1482">
            <v>107.69</v>
          </cell>
          <cell r="H1482">
            <v>64.23</v>
          </cell>
          <cell r="I1482">
            <v>0</v>
          </cell>
          <cell r="J1482">
            <v>64.23</v>
          </cell>
        </row>
        <row r="1483">
          <cell r="A1483" t="str">
            <v>LU1883324557</v>
          </cell>
          <cell r="B1483" t="str">
            <v>AMUNDI FUNDS GLOBAL EQUITY SUSTAINABLE INCOME</v>
          </cell>
          <cell r="C1483" t="str">
            <v>Class R2 GBP MTI (D)</v>
          </cell>
          <cell r="D1483" t="str">
            <v>GBP</v>
          </cell>
          <cell r="E1483" t="str">
            <v>03-Jan-2022</v>
          </cell>
          <cell r="F1483">
            <v>155424.21</v>
          </cell>
          <cell r="G1483">
            <v>2891.2629999999999</v>
          </cell>
          <cell r="H1483">
            <v>53.76</v>
          </cell>
          <cell r="I1483">
            <v>0</v>
          </cell>
          <cell r="J1483">
            <v>53.76</v>
          </cell>
        </row>
        <row r="1484">
          <cell r="A1484" t="str">
            <v>LU1883324045</v>
          </cell>
          <cell r="B1484" t="str">
            <v>AMUNDI FUNDS GLOBAL EQUITY SUSTAINABLE INCOME</v>
          </cell>
          <cell r="C1484" t="str">
            <v>Class Q-D USD QTI (D)</v>
          </cell>
          <cell r="D1484" t="str">
            <v>USD</v>
          </cell>
          <cell r="E1484" t="str">
            <v>03-Jan-2022</v>
          </cell>
          <cell r="F1484">
            <v>900785.37</v>
          </cell>
          <cell r="G1484">
            <v>15158.535</v>
          </cell>
          <cell r="H1484">
            <v>59.42</v>
          </cell>
          <cell r="I1484">
            <v>0</v>
          </cell>
          <cell r="J1484">
            <v>59.42</v>
          </cell>
        </row>
        <row r="1485">
          <cell r="A1485" t="str">
            <v>LU1998915612</v>
          </cell>
          <cell r="B1485" t="str">
            <v>AMUNDI FUNDS GLOBAL EQUITY SUSTAINABLE INCOME</v>
          </cell>
          <cell r="C1485" t="str">
            <v>Class H EUR QTI (D)</v>
          </cell>
          <cell r="D1485" t="str">
            <v>EUR</v>
          </cell>
          <cell r="E1485" t="str">
            <v>03-Jan-2022</v>
          </cell>
          <cell r="F1485">
            <v>9085116.6799999997</v>
          </cell>
          <cell r="G1485">
            <v>6900.1580000000004</v>
          </cell>
          <cell r="H1485">
            <v>1316.65</v>
          </cell>
          <cell r="I1485">
            <v>0</v>
          </cell>
          <cell r="J1485">
            <v>1316.65</v>
          </cell>
        </row>
        <row r="1486">
          <cell r="A1486" t="str">
            <v>LU1883314327</v>
          </cell>
          <cell r="B1486" t="str">
            <v>AMUNDI FUNDS EUROPEAN EQUITY VALUE</v>
          </cell>
          <cell r="C1486" t="str">
            <v>Class A EUR AD (D)</v>
          </cell>
          <cell r="D1486" t="str">
            <v>EUR</v>
          </cell>
          <cell r="E1486" t="str">
            <v>03-Jan-2022</v>
          </cell>
          <cell r="F1486">
            <v>8835240.9399999995</v>
          </cell>
          <cell r="G1486">
            <v>128196.261</v>
          </cell>
          <cell r="H1486">
            <v>68.92</v>
          </cell>
          <cell r="I1486">
            <v>0</v>
          </cell>
          <cell r="J1486">
            <v>72.02</v>
          </cell>
        </row>
        <row r="1487">
          <cell r="A1487" t="str">
            <v>LU1883314244</v>
          </cell>
          <cell r="B1487" t="str">
            <v>AMUNDI FUNDS EUROPEAN EQUITY VALUE</v>
          </cell>
          <cell r="C1487" t="str">
            <v>Class A EUR (C)</v>
          </cell>
          <cell r="D1487" t="str">
            <v>EUR</v>
          </cell>
          <cell r="E1487" t="str">
            <v>03-Jan-2022</v>
          </cell>
          <cell r="F1487">
            <v>577661712.90999997</v>
          </cell>
          <cell r="G1487">
            <v>4037529.946</v>
          </cell>
          <cell r="H1487">
            <v>143.07</v>
          </cell>
          <cell r="I1487">
            <v>0</v>
          </cell>
          <cell r="J1487">
            <v>149.51</v>
          </cell>
        </row>
        <row r="1488">
          <cell r="A1488" t="str">
            <v>LU2339089836</v>
          </cell>
          <cell r="B1488" t="str">
            <v>AMUNDI FUNDS EUROPEAN EQUITY VALUE</v>
          </cell>
          <cell r="C1488" t="str">
            <v>Class A2 EUR (C)</v>
          </cell>
          <cell r="D1488" t="str">
            <v>EUR</v>
          </cell>
          <cell r="E1488" t="str">
            <v>03-Jan-2022</v>
          </cell>
          <cell r="F1488">
            <v>172204.13</v>
          </cell>
          <cell r="G1488">
            <v>3214.279</v>
          </cell>
          <cell r="H1488">
            <v>53.57</v>
          </cell>
          <cell r="I1488">
            <v>0</v>
          </cell>
          <cell r="J1488">
            <v>55.98</v>
          </cell>
        </row>
        <row r="1489">
          <cell r="A1489" t="str">
            <v>LU2032056272</v>
          </cell>
          <cell r="B1489" t="str">
            <v>AMUNDI FUNDS EUROPEAN EQUITY VALUE</v>
          </cell>
          <cell r="C1489" t="str">
            <v>Class A5 EUR (C)</v>
          </cell>
          <cell r="D1489" t="str">
            <v>EUR</v>
          </cell>
          <cell r="E1489" t="str">
            <v>03-Jan-2022</v>
          </cell>
          <cell r="F1489">
            <v>61892312.090000004</v>
          </cell>
          <cell r="G1489">
            <v>1024686.4620000001</v>
          </cell>
          <cell r="H1489">
            <v>60.4</v>
          </cell>
          <cell r="I1489">
            <v>0</v>
          </cell>
          <cell r="J1489">
            <v>60.4</v>
          </cell>
        </row>
        <row r="1490">
          <cell r="A1490" t="str">
            <v>LU1883314673</v>
          </cell>
          <cell r="B1490" t="str">
            <v>AMUNDI FUNDS EUROPEAN EQUITY VALUE</v>
          </cell>
          <cell r="C1490" t="str">
            <v>Class A EUR QD (D)</v>
          </cell>
          <cell r="D1490" t="str">
            <v>EUR</v>
          </cell>
          <cell r="E1490" t="str">
            <v>03-Jan-2022</v>
          </cell>
          <cell r="F1490">
            <v>7794318.54</v>
          </cell>
          <cell r="G1490">
            <v>143713.622</v>
          </cell>
          <cell r="H1490">
            <v>54.24</v>
          </cell>
          <cell r="I1490">
            <v>0</v>
          </cell>
          <cell r="J1490">
            <v>56.68</v>
          </cell>
        </row>
        <row r="1491">
          <cell r="A1491" t="str">
            <v>LU2032056199</v>
          </cell>
          <cell r="B1491" t="str">
            <v>AMUNDI FUNDS EUROPEAN EQUITY VALUE</v>
          </cell>
          <cell r="C1491" t="str">
            <v>Class A6 EUR (C)</v>
          </cell>
          <cell r="D1491" t="str">
            <v>EUR</v>
          </cell>
          <cell r="E1491" t="str">
            <v>03-Jan-2022</v>
          </cell>
          <cell r="F1491">
            <v>427780.95</v>
          </cell>
          <cell r="G1491">
            <v>7112.3310000000001</v>
          </cell>
          <cell r="H1491">
            <v>60.15</v>
          </cell>
          <cell r="I1491">
            <v>0</v>
          </cell>
          <cell r="J1491">
            <v>60.15</v>
          </cell>
        </row>
        <row r="1492">
          <cell r="A1492" t="str">
            <v>LU2339090099</v>
          </cell>
          <cell r="B1492" t="str">
            <v>AMUNDI FUNDS EUROPEAN EQUITY VALUE</v>
          </cell>
          <cell r="C1492" t="str">
            <v>Class A2 USD (C)</v>
          </cell>
          <cell r="D1492" t="str">
            <v>USD</v>
          </cell>
          <cell r="E1492" t="str">
            <v>03-Jan-2022</v>
          </cell>
          <cell r="F1492">
            <v>96015.82</v>
          </cell>
          <cell r="G1492">
            <v>2000</v>
          </cell>
          <cell r="H1492">
            <v>48.01</v>
          </cell>
          <cell r="I1492">
            <v>0</v>
          </cell>
          <cell r="J1492">
            <v>50.17</v>
          </cell>
        </row>
        <row r="1493">
          <cell r="A1493" t="str">
            <v>LU1883314830</v>
          </cell>
          <cell r="B1493" t="str">
            <v>AMUNDI FUNDS EUROPEAN EQUITY VALUE</v>
          </cell>
          <cell r="C1493" t="str">
            <v>Class A USD Hgd (C)</v>
          </cell>
          <cell r="D1493" t="str">
            <v>USD</v>
          </cell>
          <cell r="E1493" t="str">
            <v>03-Jan-2022</v>
          </cell>
          <cell r="F1493">
            <v>2698467.76</v>
          </cell>
          <cell r="G1493">
            <v>45247.881000000001</v>
          </cell>
          <cell r="H1493">
            <v>59.64</v>
          </cell>
          <cell r="I1493">
            <v>0</v>
          </cell>
          <cell r="J1493">
            <v>62.32</v>
          </cell>
        </row>
        <row r="1494">
          <cell r="A1494" t="str">
            <v>LU2176991771</v>
          </cell>
          <cell r="B1494" t="str">
            <v>AMUNDI FUNDS EUROPEAN EQUITY VALUE</v>
          </cell>
          <cell r="C1494" t="str">
            <v>Class A CZK Hgd (C)</v>
          </cell>
          <cell r="D1494" t="str">
            <v>CZK</v>
          </cell>
          <cell r="E1494" t="str">
            <v>03-Jan-2022</v>
          </cell>
          <cell r="F1494">
            <v>32401828.969999999</v>
          </cell>
          <cell r="G1494">
            <v>22778.406999999999</v>
          </cell>
          <cell r="H1494">
            <v>1422.48</v>
          </cell>
          <cell r="I1494">
            <v>0</v>
          </cell>
          <cell r="J1494">
            <v>1422.48</v>
          </cell>
        </row>
        <row r="1495">
          <cell r="A1495" t="str">
            <v>LU1883314756</v>
          </cell>
          <cell r="B1495" t="str">
            <v>AMUNDI FUNDS EUROPEAN EQUITY VALUE</v>
          </cell>
          <cell r="C1495" t="str">
            <v>Class A USD (C)</v>
          </cell>
          <cell r="D1495" t="str">
            <v>USD</v>
          </cell>
          <cell r="E1495" t="str">
            <v>03-Jan-2022</v>
          </cell>
          <cell r="F1495">
            <v>14350857.16</v>
          </cell>
          <cell r="G1495">
            <v>88716.415999999997</v>
          </cell>
          <cell r="H1495">
            <v>161.76</v>
          </cell>
          <cell r="I1495">
            <v>0</v>
          </cell>
          <cell r="J1495">
            <v>169.04</v>
          </cell>
        </row>
        <row r="1496">
          <cell r="A1496" t="str">
            <v>LU1883315993</v>
          </cell>
          <cell r="B1496" t="str">
            <v>AMUNDI FUNDS EUROPEAN EQUITY VALUE</v>
          </cell>
          <cell r="C1496" t="str">
            <v>Class M2 EUR (C)</v>
          </cell>
          <cell r="D1496" t="str">
            <v>EUR</v>
          </cell>
          <cell r="E1496" t="str">
            <v>03-Jan-2022</v>
          </cell>
          <cell r="F1496">
            <v>331966877.81</v>
          </cell>
          <cell r="G1496">
            <v>160494.21400000001</v>
          </cell>
          <cell r="H1496">
            <v>2068.4</v>
          </cell>
          <cell r="I1496">
            <v>0</v>
          </cell>
          <cell r="J1496">
            <v>2068.4</v>
          </cell>
        </row>
        <row r="1497">
          <cell r="A1497" t="str">
            <v>LU1883314913</v>
          </cell>
          <cell r="B1497" t="str">
            <v>AMUNDI FUNDS EUROPEAN EQUITY VALUE</v>
          </cell>
          <cell r="C1497" t="str">
            <v>Class C EUR (C)</v>
          </cell>
          <cell r="D1497" t="str">
            <v>EUR</v>
          </cell>
          <cell r="E1497" t="str">
            <v>03-Jan-2022</v>
          </cell>
          <cell r="F1497">
            <v>3555009.32</v>
          </cell>
          <cell r="G1497">
            <v>37724.377999999997</v>
          </cell>
          <cell r="H1497">
            <v>94.24</v>
          </cell>
          <cell r="I1497">
            <v>0</v>
          </cell>
          <cell r="J1497">
            <v>94.24</v>
          </cell>
        </row>
        <row r="1498">
          <cell r="A1498" t="str">
            <v>LU1883315134</v>
          </cell>
          <cell r="B1498" t="str">
            <v>AMUNDI FUNDS EUROPEAN EQUITY VALUE</v>
          </cell>
          <cell r="C1498" t="str">
            <v>Class E2 EUR (C)</v>
          </cell>
          <cell r="D1498" t="str">
            <v>EUR</v>
          </cell>
          <cell r="E1498" t="str">
            <v>03-Jan-2022</v>
          </cell>
          <cell r="F1498">
            <v>49850596.859999999</v>
          </cell>
          <cell r="G1498">
            <v>5323374.0089999996</v>
          </cell>
          <cell r="H1498">
            <v>9.3640000000000008</v>
          </cell>
          <cell r="I1498">
            <v>0</v>
          </cell>
          <cell r="J1498">
            <v>9.3640000000000008</v>
          </cell>
        </row>
        <row r="1499">
          <cell r="A1499" t="str">
            <v>LU1883315217</v>
          </cell>
          <cell r="B1499" t="str">
            <v>AMUNDI FUNDS EUROPEAN EQUITY VALUE</v>
          </cell>
          <cell r="C1499" t="str">
            <v>Class F EUR (C)</v>
          </cell>
          <cell r="D1499" t="str">
            <v>EUR</v>
          </cell>
          <cell r="E1499" t="str">
            <v>03-Jan-2022</v>
          </cell>
          <cell r="F1499">
            <v>10949026.18</v>
          </cell>
          <cell r="G1499">
            <v>826506.32499999995</v>
          </cell>
          <cell r="H1499">
            <v>13.247</v>
          </cell>
          <cell r="I1499">
            <v>0</v>
          </cell>
          <cell r="J1499">
            <v>13.247</v>
          </cell>
        </row>
        <row r="1500">
          <cell r="A1500" t="str">
            <v>LU1998915455</v>
          </cell>
          <cell r="B1500" t="str">
            <v>AMUNDI FUNDS EUROPEAN EQUITY VALUE</v>
          </cell>
          <cell r="C1500" t="str">
            <v>Class H EUR (C)</v>
          </cell>
          <cell r="D1500" t="str">
            <v>EUR</v>
          </cell>
          <cell r="E1500" t="str">
            <v>03-Jan-2022</v>
          </cell>
          <cell r="F1500">
            <v>9929990.0999999996</v>
          </cell>
          <cell r="G1500">
            <v>7416.0889999999999</v>
          </cell>
          <cell r="H1500">
            <v>1338.98</v>
          </cell>
          <cell r="I1500">
            <v>0</v>
          </cell>
          <cell r="J1500">
            <v>1338.98</v>
          </cell>
        </row>
        <row r="1501">
          <cell r="A1501" t="str">
            <v>LU1897305436</v>
          </cell>
          <cell r="B1501" t="str">
            <v>AMUNDI FUNDS EUROPEAN EQUITY VALUE</v>
          </cell>
          <cell r="C1501" t="str">
            <v>Class I2 GBP (C)</v>
          </cell>
          <cell r="D1501" t="str">
            <v>GBP</v>
          </cell>
          <cell r="E1501" t="str">
            <v>03-Jan-2022</v>
          </cell>
          <cell r="F1501">
            <v>5965.83</v>
          </cell>
          <cell r="G1501">
            <v>5</v>
          </cell>
          <cell r="H1501">
            <v>1193.17</v>
          </cell>
          <cell r="I1501">
            <v>0</v>
          </cell>
          <cell r="J1501">
            <v>1193.17</v>
          </cell>
        </row>
        <row r="1502">
          <cell r="A1502" t="str">
            <v>LU1883315480</v>
          </cell>
          <cell r="B1502" t="str">
            <v>AMUNDI FUNDS EUROPEAN EQUITY VALUE</v>
          </cell>
          <cell r="C1502" t="str">
            <v>Class I2 EUR (C)</v>
          </cell>
          <cell r="D1502" t="str">
            <v>EUR</v>
          </cell>
          <cell r="E1502" t="str">
            <v>03-Jan-2022</v>
          </cell>
          <cell r="F1502">
            <v>1122429176.9200001</v>
          </cell>
          <cell r="G1502">
            <v>465396.97399999999</v>
          </cell>
          <cell r="H1502">
            <v>2411.77</v>
          </cell>
          <cell r="I1502">
            <v>0</v>
          </cell>
          <cell r="J1502">
            <v>2411.77</v>
          </cell>
        </row>
        <row r="1503">
          <cell r="A1503" t="str">
            <v>LU1883315647</v>
          </cell>
          <cell r="B1503" t="str">
            <v>AMUNDI FUNDS EUROPEAN EQUITY VALUE</v>
          </cell>
          <cell r="C1503" t="str">
            <v>Class J2 EUR (C)</v>
          </cell>
          <cell r="D1503" t="str">
            <v>EUR</v>
          </cell>
          <cell r="E1503" t="str">
            <v>03-Jan-2022</v>
          </cell>
          <cell r="F1503">
            <v>451904760.97000003</v>
          </cell>
          <cell r="G1503">
            <v>383084.41899999999</v>
          </cell>
          <cell r="H1503">
            <v>1179.6500000000001</v>
          </cell>
          <cell r="I1503">
            <v>0</v>
          </cell>
          <cell r="J1503">
            <v>1179.6500000000001</v>
          </cell>
        </row>
        <row r="1504">
          <cell r="A1504" t="str">
            <v>LU1883315720</v>
          </cell>
          <cell r="B1504" t="str">
            <v>AMUNDI FUNDS EUROPEAN EQUITY VALUE</v>
          </cell>
          <cell r="C1504" t="str">
            <v>Class J2 EUR AD (D)</v>
          </cell>
          <cell r="D1504" t="str">
            <v>EUR</v>
          </cell>
          <cell r="E1504" t="str">
            <v>03-Jan-2022</v>
          </cell>
          <cell r="F1504">
            <v>11423.5</v>
          </cell>
          <cell r="G1504">
            <v>10.260999999999999</v>
          </cell>
          <cell r="H1504">
            <v>1113.29</v>
          </cell>
          <cell r="I1504">
            <v>0</v>
          </cell>
          <cell r="J1504">
            <v>1113.29</v>
          </cell>
        </row>
        <row r="1505">
          <cell r="A1505" t="str">
            <v>LU2052286916</v>
          </cell>
          <cell r="B1505" t="str">
            <v>AMUNDI FUNDS EUROPEAN EQUITY VALUE</v>
          </cell>
          <cell r="C1505" t="str">
            <v>Class J3 GBP (C)</v>
          </cell>
          <cell r="D1505" t="str">
            <v>GBP</v>
          </cell>
          <cell r="E1505" t="str">
            <v>03-Jan-2022</v>
          </cell>
          <cell r="F1505">
            <v>5770.65</v>
          </cell>
          <cell r="G1505">
            <v>5</v>
          </cell>
          <cell r="H1505">
            <v>1154.1300000000001</v>
          </cell>
          <cell r="I1505">
            <v>0</v>
          </cell>
          <cell r="J1505">
            <v>1154.1300000000001</v>
          </cell>
        </row>
        <row r="1506">
          <cell r="A1506" t="str">
            <v>LU2052287054</v>
          </cell>
          <cell r="B1506" t="str">
            <v>AMUNDI FUNDS EUROPEAN EQUITY VALUE</v>
          </cell>
          <cell r="C1506" t="str">
            <v>Class J3 GBP AD (D)</v>
          </cell>
          <cell r="D1506" t="str">
            <v>GBP</v>
          </cell>
          <cell r="E1506" t="str">
            <v>03-Jan-2022</v>
          </cell>
          <cell r="F1506">
            <v>5605.51</v>
          </cell>
          <cell r="G1506">
            <v>5</v>
          </cell>
          <cell r="H1506">
            <v>1121.0999999999999</v>
          </cell>
          <cell r="I1506">
            <v>0</v>
          </cell>
          <cell r="J1506">
            <v>1121.0999999999999</v>
          </cell>
        </row>
        <row r="1507">
          <cell r="A1507" t="str">
            <v>LU1883315308</v>
          </cell>
          <cell r="B1507" t="str">
            <v>AMUNDI FUNDS EUROPEAN EQUITY VALUE</v>
          </cell>
          <cell r="C1507" t="str">
            <v>Class G EUR (C)</v>
          </cell>
          <cell r="D1507" t="str">
            <v>EUR</v>
          </cell>
          <cell r="E1507" t="str">
            <v>03-Jan-2022</v>
          </cell>
          <cell r="F1507">
            <v>27076397.5</v>
          </cell>
          <cell r="G1507">
            <v>4912172.9139999999</v>
          </cell>
          <cell r="H1507">
            <v>5.5119999999999996</v>
          </cell>
          <cell r="I1507">
            <v>0</v>
          </cell>
          <cell r="J1507">
            <v>5.5119999999999996</v>
          </cell>
        </row>
        <row r="1508">
          <cell r="A1508" t="str">
            <v>LU1883316298</v>
          </cell>
          <cell r="B1508" t="str">
            <v>AMUNDI FUNDS EUROPEAN EQUITY VALUE</v>
          </cell>
          <cell r="C1508" t="str">
            <v>Class R2 EUR (C)</v>
          </cell>
          <cell r="D1508" t="str">
            <v>EUR</v>
          </cell>
          <cell r="E1508" t="str">
            <v>03-Jan-2022</v>
          </cell>
          <cell r="F1508">
            <v>185110914.28999999</v>
          </cell>
          <cell r="G1508">
            <v>2855156.5750000002</v>
          </cell>
          <cell r="H1508">
            <v>64.83</v>
          </cell>
          <cell r="I1508">
            <v>0</v>
          </cell>
          <cell r="J1508">
            <v>64.83</v>
          </cell>
        </row>
        <row r="1509">
          <cell r="A1509" t="str">
            <v>LU1883316025</v>
          </cell>
          <cell r="B1509" t="str">
            <v>AMUNDI FUNDS EUROPEAN EQUITY VALUE</v>
          </cell>
          <cell r="C1509" t="str">
            <v>Class P2 USD (C)</v>
          </cell>
          <cell r="D1509" t="str">
            <v>USD</v>
          </cell>
          <cell r="E1509" t="str">
            <v>03-Jan-2022</v>
          </cell>
          <cell r="F1509">
            <v>5374.47</v>
          </cell>
          <cell r="G1509">
            <v>100</v>
          </cell>
          <cell r="H1509">
            <v>53.74</v>
          </cell>
          <cell r="I1509">
            <v>0</v>
          </cell>
          <cell r="J1509">
            <v>53.74</v>
          </cell>
        </row>
        <row r="1510">
          <cell r="A1510" t="str">
            <v>LU2259108558</v>
          </cell>
          <cell r="B1510" t="str">
            <v>AMUNDI FUNDS EUROPEAN EQUITY VALUE</v>
          </cell>
          <cell r="C1510" t="str">
            <v>Class R3 GBP AD (D)</v>
          </cell>
          <cell r="D1510" t="str">
            <v>GBP</v>
          </cell>
          <cell r="E1510" t="str">
            <v>03-Jan-2022</v>
          </cell>
          <cell r="F1510">
            <v>546007.56999999995</v>
          </cell>
          <cell r="G1510">
            <v>47360</v>
          </cell>
          <cell r="H1510">
            <v>11.53</v>
          </cell>
          <cell r="I1510">
            <v>0</v>
          </cell>
          <cell r="J1510">
            <v>11.53</v>
          </cell>
        </row>
        <row r="1511">
          <cell r="A1511" t="str">
            <v>LU2183143846</v>
          </cell>
          <cell r="B1511" t="str">
            <v>AMUNDI FUNDS EUROPEAN EQUITY VALUE</v>
          </cell>
          <cell r="C1511" t="str">
            <v>Class R EUR (C)</v>
          </cell>
          <cell r="D1511" t="str">
            <v>EUR</v>
          </cell>
          <cell r="E1511" t="str">
            <v>03-Jan-2022</v>
          </cell>
          <cell r="F1511">
            <v>323855062.44</v>
          </cell>
          <cell r="G1511">
            <v>4520949.05</v>
          </cell>
          <cell r="H1511">
            <v>71.63</v>
          </cell>
          <cell r="I1511">
            <v>0</v>
          </cell>
          <cell r="J1511">
            <v>71.63</v>
          </cell>
        </row>
        <row r="1512">
          <cell r="A1512" t="str">
            <v>LU2259108475</v>
          </cell>
          <cell r="B1512" t="str">
            <v>AMUNDI FUNDS EUROPEAN EQUITY VALUE</v>
          </cell>
          <cell r="C1512" t="str">
            <v>Class R3 GBP (C)</v>
          </cell>
          <cell r="D1512" t="str">
            <v>GBP</v>
          </cell>
          <cell r="E1512" t="str">
            <v>03-Jan-2022</v>
          </cell>
          <cell r="F1512">
            <v>547334.77</v>
          </cell>
          <cell r="G1512">
            <v>46719.241000000002</v>
          </cell>
          <cell r="H1512">
            <v>11.72</v>
          </cell>
          <cell r="I1512">
            <v>0</v>
          </cell>
          <cell r="J1512">
            <v>11.72</v>
          </cell>
        </row>
        <row r="1513">
          <cell r="A1513" t="str">
            <v>LU1894679239</v>
          </cell>
          <cell r="B1513" t="str">
            <v>AMUNDI FUNDS EUROPEAN EQUITY VALUE</v>
          </cell>
          <cell r="C1513" t="str">
            <v>Class X EUR (C)</v>
          </cell>
          <cell r="D1513" t="str">
            <v>EUR</v>
          </cell>
          <cell r="E1513" t="str">
            <v>03-Jan-2022</v>
          </cell>
          <cell r="F1513">
            <v>6637.15</v>
          </cell>
          <cell r="G1513">
            <v>5</v>
          </cell>
          <cell r="H1513">
            <v>1327.43</v>
          </cell>
          <cell r="I1513">
            <v>0</v>
          </cell>
          <cell r="J1513">
            <v>1327.43</v>
          </cell>
        </row>
        <row r="1514">
          <cell r="A1514" t="str">
            <v>LU2040440310</v>
          </cell>
          <cell r="B1514" t="str">
            <v>AMUNDI FUNDS EUROPEAN EQUITY VALUE</v>
          </cell>
          <cell r="C1514" t="str">
            <v>Class Z EUR (C)</v>
          </cell>
          <cell r="D1514" t="str">
            <v>EUR</v>
          </cell>
          <cell r="E1514" t="str">
            <v>03-Jan-2022</v>
          </cell>
          <cell r="F1514">
            <v>10049677.869999999</v>
          </cell>
          <cell r="G1514">
            <v>8211.2189999999991</v>
          </cell>
          <cell r="H1514">
            <v>1223.9000000000001</v>
          </cell>
          <cell r="I1514">
            <v>0</v>
          </cell>
          <cell r="J1514">
            <v>1223.9000000000001</v>
          </cell>
        </row>
        <row r="1515">
          <cell r="A1515" t="str">
            <v>LU1883335249</v>
          </cell>
          <cell r="B1515" t="str">
            <v>AMUNDI FUNDS MULTI-STRATEGY GROWTH</v>
          </cell>
          <cell r="C1515" t="str">
            <v>Class A EUR AD (D)</v>
          </cell>
          <cell r="D1515" t="str">
            <v>EUR</v>
          </cell>
          <cell r="E1515" t="str">
            <v>03-Jan-2022</v>
          </cell>
          <cell r="F1515">
            <v>13037543.699999999</v>
          </cell>
          <cell r="G1515">
            <v>236840.21599999999</v>
          </cell>
          <cell r="H1515">
            <v>55.05</v>
          </cell>
          <cell r="I1515">
            <v>0</v>
          </cell>
          <cell r="J1515">
            <v>57.53</v>
          </cell>
        </row>
        <row r="1516">
          <cell r="A1516" t="str">
            <v>LU1883335165</v>
          </cell>
          <cell r="B1516" t="str">
            <v>AMUNDI FUNDS MULTI-STRATEGY GROWTH</v>
          </cell>
          <cell r="C1516" t="str">
            <v>Class A EUR (C)</v>
          </cell>
          <cell r="D1516" t="str">
            <v>EUR</v>
          </cell>
          <cell r="E1516" t="str">
            <v>03-Jan-2022</v>
          </cell>
          <cell r="F1516">
            <v>19301649.079999998</v>
          </cell>
          <cell r="G1516">
            <v>252166.601</v>
          </cell>
          <cell r="H1516">
            <v>76.540000000000006</v>
          </cell>
          <cell r="I1516">
            <v>0</v>
          </cell>
          <cell r="J1516">
            <v>79.98</v>
          </cell>
        </row>
        <row r="1517">
          <cell r="A1517" t="str">
            <v>LU1883335322</v>
          </cell>
          <cell r="B1517" t="str">
            <v>AMUNDI FUNDS MULTI-STRATEGY GROWTH</v>
          </cell>
          <cell r="C1517" t="str">
            <v>Class A USD Hgd (C)</v>
          </cell>
          <cell r="D1517" t="str">
            <v>USD</v>
          </cell>
          <cell r="E1517" t="str">
            <v>03-Jan-2022</v>
          </cell>
          <cell r="F1517">
            <v>8828045.7400000002</v>
          </cell>
          <cell r="G1517">
            <v>134277.42800000001</v>
          </cell>
          <cell r="H1517">
            <v>65.739999999999995</v>
          </cell>
          <cell r="I1517">
            <v>0</v>
          </cell>
          <cell r="J1517">
            <v>68.7</v>
          </cell>
        </row>
        <row r="1518">
          <cell r="A1518" t="str">
            <v>LU1883336213</v>
          </cell>
          <cell r="B1518" t="str">
            <v>AMUNDI FUNDS MULTI-STRATEGY GROWTH</v>
          </cell>
          <cell r="C1518" t="str">
            <v>Class M2 EUR (C)</v>
          </cell>
          <cell r="D1518" t="str">
            <v>EUR</v>
          </cell>
          <cell r="E1518" t="str">
            <v>03-Jan-2022</v>
          </cell>
          <cell r="F1518">
            <v>521609608.43000001</v>
          </cell>
          <cell r="G1518">
            <v>286465.65399999998</v>
          </cell>
          <cell r="H1518">
            <v>1820.85</v>
          </cell>
          <cell r="I1518">
            <v>0</v>
          </cell>
          <cell r="J1518">
            <v>1820.85</v>
          </cell>
        </row>
        <row r="1519">
          <cell r="A1519" t="str">
            <v>LU1883336304</v>
          </cell>
          <cell r="B1519" t="str">
            <v>AMUNDI FUNDS MULTI-STRATEGY GROWTH</v>
          </cell>
          <cell r="C1519" t="str">
            <v>Class M2 EUR AD (D)</v>
          </cell>
          <cell r="D1519" t="str">
            <v>EUR</v>
          </cell>
          <cell r="E1519" t="str">
            <v>03-Jan-2022</v>
          </cell>
          <cell r="F1519">
            <v>2083485.59</v>
          </cell>
          <cell r="G1519">
            <v>1298.5</v>
          </cell>
          <cell r="H1519">
            <v>1604.53</v>
          </cell>
          <cell r="I1519">
            <v>0</v>
          </cell>
          <cell r="J1519">
            <v>1604.53</v>
          </cell>
        </row>
        <row r="1520">
          <cell r="A1520" t="str">
            <v>LU1883335678</v>
          </cell>
          <cell r="B1520" t="str">
            <v>AMUNDI FUNDS MULTI-STRATEGY GROWTH</v>
          </cell>
          <cell r="C1520" t="str">
            <v>Class E2 EUR (C)</v>
          </cell>
          <cell r="D1520" t="str">
            <v>EUR</v>
          </cell>
          <cell r="E1520" t="str">
            <v>03-Jan-2022</v>
          </cell>
          <cell r="F1520">
            <v>56730919.109999999</v>
          </cell>
          <cell r="G1520">
            <v>7057744.1979999999</v>
          </cell>
          <cell r="H1520">
            <v>8.0380000000000003</v>
          </cell>
          <cell r="I1520">
            <v>0</v>
          </cell>
          <cell r="J1520">
            <v>8.0380000000000003</v>
          </cell>
        </row>
        <row r="1521">
          <cell r="A1521" t="str">
            <v>LU1998915968</v>
          </cell>
          <cell r="B1521" t="str">
            <v>AMUNDI FUNDS MULTI-STRATEGY GROWTH</v>
          </cell>
          <cell r="C1521" t="str">
            <v>Class H EUR (C)</v>
          </cell>
          <cell r="D1521" t="str">
            <v>EUR</v>
          </cell>
          <cell r="E1521" t="str">
            <v>03-Jan-2022</v>
          </cell>
          <cell r="F1521">
            <v>203206558.66999999</v>
          </cell>
          <cell r="G1521">
            <v>163341.15700000001</v>
          </cell>
          <cell r="H1521">
            <v>1244.06</v>
          </cell>
          <cell r="I1521">
            <v>0</v>
          </cell>
          <cell r="J1521">
            <v>1244.06</v>
          </cell>
        </row>
        <row r="1522">
          <cell r="A1522" t="str">
            <v>LU1897309008</v>
          </cell>
          <cell r="B1522" t="str">
            <v>AMUNDI FUNDS MULTI-STRATEGY GROWTH</v>
          </cell>
          <cell r="C1522" t="str">
            <v>Class I2 GBP (C)</v>
          </cell>
          <cell r="D1522" t="str">
            <v>GBP</v>
          </cell>
          <cell r="E1522" t="str">
            <v>03-Jan-2022</v>
          </cell>
          <cell r="F1522">
            <v>5650.5</v>
          </cell>
          <cell r="G1522">
            <v>5</v>
          </cell>
          <cell r="H1522">
            <v>1130.0999999999999</v>
          </cell>
          <cell r="I1522">
            <v>0</v>
          </cell>
          <cell r="J1522">
            <v>1130.0999999999999</v>
          </cell>
        </row>
        <row r="1523">
          <cell r="A1523" t="str">
            <v>LU2049412971</v>
          </cell>
          <cell r="B1523" t="str">
            <v>AMUNDI FUNDS MULTI-STRATEGY GROWTH</v>
          </cell>
          <cell r="C1523" t="str">
            <v>Class I2 GBP Hgd (C)</v>
          </cell>
          <cell r="D1523" t="str">
            <v>GBP</v>
          </cell>
          <cell r="E1523" t="str">
            <v>03-Jan-2022</v>
          </cell>
          <cell r="F1523">
            <v>123111352.88</v>
          </cell>
          <cell r="G1523">
            <v>100852.022</v>
          </cell>
          <cell r="H1523">
            <v>1220.71</v>
          </cell>
          <cell r="I1523">
            <v>0</v>
          </cell>
          <cell r="J1523">
            <v>1220.71</v>
          </cell>
        </row>
        <row r="1524">
          <cell r="A1524" t="str">
            <v>LU1894679585</v>
          </cell>
          <cell r="B1524" t="str">
            <v>AMUNDI FUNDS MULTI-STRATEGY GROWTH</v>
          </cell>
          <cell r="C1524" t="str">
            <v>Class I2 EUR AD (D)</v>
          </cell>
          <cell r="D1524" t="str">
            <v>EUR</v>
          </cell>
          <cell r="E1524" t="str">
            <v>03-Jan-2022</v>
          </cell>
          <cell r="F1524">
            <v>5128260.45</v>
          </cell>
          <cell r="G1524">
            <v>4255</v>
          </cell>
          <cell r="H1524">
            <v>1205.23</v>
          </cell>
          <cell r="I1524">
            <v>0</v>
          </cell>
          <cell r="J1524">
            <v>1205.23</v>
          </cell>
        </row>
        <row r="1525">
          <cell r="A1525" t="str">
            <v>LU1894679742</v>
          </cell>
          <cell r="B1525" t="str">
            <v>AMUNDI FUNDS MULTI-STRATEGY GROWTH</v>
          </cell>
          <cell r="C1525" t="str">
            <v>Class I2 NOK Hgd (C)</v>
          </cell>
          <cell r="D1525" t="str">
            <v>NOK</v>
          </cell>
          <cell r="E1525" t="str">
            <v>03-Jan-2022</v>
          </cell>
          <cell r="F1525">
            <v>283625419.43000001</v>
          </cell>
          <cell r="G1525">
            <v>22641.298999999999</v>
          </cell>
          <cell r="H1525">
            <v>12526.91</v>
          </cell>
          <cell r="I1525">
            <v>0</v>
          </cell>
          <cell r="J1525">
            <v>12526.91</v>
          </cell>
        </row>
        <row r="1526">
          <cell r="A1526" t="str">
            <v>LU1883336130</v>
          </cell>
          <cell r="B1526" t="str">
            <v>AMUNDI FUNDS MULTI-STRATEGY GROWTH</v>
          </cell>
          <cell r="C1526" t="str">
            <v>Class I2 EUR (C)</v>
          </cell>
          <cell r="D1526" t="str">
            <v>EUR</v>
          </cell>
          <cell r="E1526" t="str">
            <v>03-Jan-2022</v>
          </cell>
          <cell r="F1526">
            <v>46235688.350000001</v>
          </cell>
          <cell r="G1526">
            <v>35881.050999999999</v>
          </cell>
          <cell r="H1526">
            <v>1288.58</v>
          </cell>
          <cell r="I1526">
            <v>0</v>
          </cell>
          <cell r="J1526">
            <v>1288.58</v>
          </cell>
        </row>
        <row r="1527">
          <cell r="A1527" t="str">
            <v>LU2359308207</v>
          </cell>
          <cell r="B1527" t="str">
            <v>AMUNDI FUNDS MULTI-STRATEGY GROWTH</v>
          </cell>
          <cell r="C1527" t="str">
            <v>Class I2 CHF Hgd (C)</v>
          </cell>
          <cell r="D1527" t="str">
            <v>CHF</v>
          </cell>
          <cell r="E1527" t="str">
            <v>03-Jan-2022</v>
          </cell>
          <cell r="F1527">
            <v>45336642.689999998</v>
          </cell>
          <cell r="G1527">
            <v>45316.400999999998</v>
          </cell>
          <cell r="H1527">
            <v>1000.45</v>
          </cell>
          <cell r="I1527">
            <v>0</v>
          </cell>
          <cell r="J1527">
            <v>1000.45</v>
          </cell>
        </row>
        <row r="1528">
          <cell r="A1528" t="str">
            <v>LU2052287302</v>
          </cell>
          <cell r="B1528" t="str">
            <v>AMUNDI FUNDS MULTI-STRATEGY GROWTH</v>
          </cell>
          <cell r="C1528" t="str">
            <v>Class J3 GBP (C)</v>
          </cell>
          <cell r="D1528" t="str">
            <v>GBP</v>
          </cell>
          <cell r="E1528" t="str">
            <v>03-Jan-2022</v>
          </cell>
          <cell r="F1528">
            <v>5730.31</v>
          </cell>
          <cell r="G1528">
            <v>5</v>
          </cell>
          <cell r="H1528">
            <v>1146.06</v>
          </cell>
          <cell r="I1528">
            <v>0</v>
          </cell>
          <cell r="J1528">
            <v>1146.06</v>
          </cell>
        </row>
        <row r="1529">
          <cell r="A1529" t="str">
            <v>LU1883335751</v>
          </cell>
          <cell r="B1529" t="str">
            <v>AMUNDI FUNDS MULTI-STRATEGY GROWTH</v>
          </cell>
          <cell r="C1529" t="str">
            <v>Class G EUR (C)</v>
          </cell>
          <cell r="D1529" t="str">
            <v>EUR</v>
          </cell>
          <cell r="E1529" t="str">
            <v>03-Jan-2022</v>
          </cell>
          <cell r="F1529">
            <v>6976151.46</v>
          </cell>
          <cell r="G1529">
            <v>1266795.6499999999</v>
          </cell>
          <cell r="H1529">
            <v>5.5069999999999997</v>
          </cell>
          <cell r="I1529">
            <v>0</v>
          </cell>
          <cell r="J1529">
            <v>5.5069999999999997</v>
          </cell>
        </row>
        <row r="1530">
          <cell r="A1530" t="str">
            <v>LU2098276467</v>
          </cell>
          <cell r="B1530" t="str">
            <v>AMUNDI FUNDS MULTI-STRATEGY GROWTH</v>
          </cell>
          <cell r="C1530" t="str">
            <v>Class P2 USD Hgd (C)</v>
          </cell>
          <cell r="D1530" t="str">
            <v>USD</v>
          </cell>
          <cell r="E1530" t="str">
            <v>03-Jan-2022</v>
          </cell>
          <cell r="F1530">
            <v>5832.52</v>
          </cell>
          <cell r="G1530">
            <v>100</v>
          </cell>
          <cell r="H1530">
            <v>58.33</v>
          </cell>
          <cell r="I1530">
            <v>0</v>
          </cell>
          <cell r="J1530">
            <v>58.33</v>
          </cell>
        </row>
        <row r="1531">
          <cell r="A1531" t="str">
            <v>LU2259109101</v>
          </cell>
          <cell r="B1531" t="str">
            <v>AMUNDI FUNDS MULTI-STRATEGY GROWTH</v>
          </cell>
          <cell r="C1531" t="str">
            <v>Class R3 GBP (C)</v>
          </cell>
          <cell r="D1531" t="str">
            <v>GBP</v>
          </cell>
          <cell r="E1531" t="str">
            <v>03-Jan-2022</v>
          </cell>
          <cell r="F1531">
            <v>4862.8999999999996</v>
          </cell>
          <cell r="G1531">
            <v>500</v>
          </cell>
          <cell r="H1531">
            <v>9.73</v>
          </cell>
          <cell r="I1531">
            <v>0</v>
          </cell>
          <cell r="J1531">
            <v>9.73</v>
          </cell>
        </row>
        <row r="1532">
          <cell r="A1532" t="str">
            <v>LU1837136479</v>
          </cell>
          <cell r="B1532" t="str">
            <v>AMUNDI FUNDS MULTI-STRATEGY GROWTH</v>
          </cell>
          <cell r="C1532" t="str">
            <v>Class R EUR (C)</v>
          </cell>
          <cell r="D1532" t="str">
            <v>EUR</v>
          </cell>
          <cell r="E1532" t="str">
            <v>03-Jan-2022</v>
          </cell>
          <cell r="F1532">
            <v>2526687.19</v>
          </cell>
          <cell r="G1532">
            <v>43889.411</v>
          </cell>
          <cell r="H1532">
            <v>57.57</v>
          </cell>
          <cell r="I1532">
            <v>0</v>
          </cell>
          <cell r="J1532">
            <v>57.57</v>
          </cell>
        </row>
        <row r="1533">
          <cell r="A1533" t="str">
            <v>LU2330498242</v>
          </cell>
          <cell r="B1533" t="str">
            <v>AMUNDI FUNDS MULTI-STRATEGY GROWTH</v>
          </cell>
          <cell r="C1533" t="str">
            <v>Class R3 GBP Hgd (C)</v>
          </cell>
          <cell r="D1533" t="str">
            <v>GBP</v>
          </cell>
          <cell r="E1533" t="str">
            <v>03-Jan-2022</v>
          </cell>
          <cell r="F1533">
            <v>15386293.539999999</v>
          </cell>
          <cell r="G1533">
            <v>1498017.1850000001</v>
          </cell>
          <cell r="H1533">
            <v>10.27</v>
          </cell>
          <cell r="I1533">
            <v>0</v>
          </cell>
          <cell r="J1533">
            <v>10.27</v>
          </cell>
        </row>
        <row r="1534">
          <cell r="A1534" t="str">
            <v>LU2224462288</v>
          </cell>
          <cell r="B1534" t="str">
            <v>AMUNDI FUNDS MULTI-STRATEGY GROWTH</v>
          </cell>
          <cell r="C1534" t="str">
            <v>Class X USD Hgd (C)</v>
          </cell>
          <cell r="D1534" t="str">
            <v>USD</v>
          </cell>
          <cell r="E1534" t="str">
            <v>03-Jan-2022</v>
          </cell>
          <cell r="F1534">
            <v>30025055.609999999</v>
          </cell>
          <cell r="G1534">
            <v>30000</v>
          </cell>
          <cell r="H1534">
            <v>1000.84</v>
          </cell>
          <cell r="I1534">
            <v>0</v>
          </cell>
          <cell r="J1534">
            <v>1000.84</v>
          </cell>
        </row>
        <row r="1535">
          <cell r="A1535" t="str">
            <v>LU1894679825</v>
          </cell>
          <cell r="B1535" t="str">
            <v>AMUNDI FUNDS MULTI-STRATEGY GROWTH</v>
          </cell>
          <cell r="C1535" t="str">
            <v>Class X EUR (C)</v>
          </cell>
          <cell r="D1535" t="str">
            <v>EUR</v>
          </cell>
          <cell r="E1535" t="str">
            <v>03-Jan-2022</v>
          </cell>
          <cell r="F1535">
            <v>5536353.3799999999</v>
          </cell>
          <cell r="G1535">
            <v>4355</v>
          </cell>
          <cell r="H1535">
            <v>1271.26</v>
          </cell>
          <cell r="I1535">
            <v>0</v>
          </cell>
          <cell r="J1535">
            <v>1271.26</v>
          </cell>
        </row>
        <row r="1536">
          <cell r="A1536" t="str">
            <v>LU1883335835</v>
          </cell>
          <cell r="B1536" t="str">
            <v>AMUNDI FUNDS MULTI-STRATEGY GROWTH</v>
          </cell>
          <cell r="C1536" t="str">
            <v>Class I EUR (C)</v>
          </cell>
          <cell r="D1536" t="str">
            <v>EUR</v>
          </cell>
          <cell r="E1536" t="str">
            <v>03-Jan-2022</v>
          </cell>
          <cell r="F1536">
            <v>37416865.100000001</v>
          </cell>
          <cell r="G1536">
            <v>21764.626</v>
          </cell>
          <cell r="H1536">
            <v>1719.16</v>
          </cell>
          <cell r="I1536">
            <v>0</v>
          </cell>
          <cell r="J1536">
            <v>1719.16</v>
          </cell>
        </row>
        <row r="1537">
          <cell r="A1537" t="str">
            <v>LU1883335918</v>
          </cell>
          <cell r="B1537" t="str">
            <v>AMUNDI FUNDS MULTI-STRATEGY GROWTH</v>
          </cell>
          <cell r="C1537" t="str">
            <v>Class I EUR AD (D)</v>
          </cell>
          <cell r="D1537" t="str">
            <v>EUR</v>
          </cell>
          <cell r="E1537" t="str">
            <v>03-Jan-2022</v>
          </cell>
          <cell r="F1537">
            <v>16700276.630000001</v>
          </cell>
          <cell r="G1537">
            <v>10480.746999999999</v>
          </cell>
          <cell r="H1537">
            <v>1593.42</v>
          </cell>
          <cell r="I1537">
            <v>0</v>
          </cell>
          <cell r="J1537">
            <v>1593.42</v>
          </cell>
        </row>
        <row r="1538">
          <cell r="A1538" t="str">
            <v>LU1894679403</v>
          </cell>
          <cell r="B1538" t="str">
            <v>AMUNDI FUNDS MULTI-STRATEGY GROWTH</v>
          </cell>
          <cell r="C1538" t="str">
            <v>Class I GBP Hgd (C)</v>
          </cell>
          <cell r="D1538" t="str">
            <v>GBP</v>
          </cell>
          <cell r="E1538" t="str">
            <v>03-Jan-2022</v>
          </cell>
          <cell r="F1538">
            <v>118659.3</v>
          </cell>
          <cell r="G1538">
            <v>100</v>
          </cell>
          <cell r="H1538">
            <v>1186.5899999999999</v>
          </cell>
          <cell r="I1538">
            <v>0</v>
          </cell>
          <cell r="J1538">
            <v>1186.5899999999999</v>
          </cell>
        </row>
        <row r="1539">
          <cell r="A1539" t="str">
            <v>LU1894679312</v>
          </cell>
          <cell r="B1539" t="str">
            <v>AMUNDI FUNDS MULTI-STRATEGY GROWTH</v>
          </cell>
          <cell r="C1539" t="str">
            <v>Class I GBP (C)</v>
          </cell>
          <cell r="D1539" t="str">
            <v>GBP</v>
          </cell>
          <cell r="E1539" t="str">
            <v>03-Jan-2022</v>
          </cell>
          <cell r="F1539">
            <v>5804.19</v>
          </cell>
          <cell r="G1539">
            <v>4.0129999999999999</v>
          </cell>
          <cell r="H1539">
            <v>1446.35</v>
          </cell>
          <cell r="I1539">
            <v>0</v>
          </cell>
          <cell r="J1539">
            <v>1446.35</v>
          </cell>
        </row>
        <row r="1540">
          <cell r="A1540" t="str">
            <v>LU1883336056</v>
          </cell>
          <cell r="B1540" t="str">
            <v>AMUNDI FUNDS MULTI-STRATEGY GROWTH</v>
          </cell>
          <cell r="C1540" t="str">
            <v>Class I USD Hgd (C)</v>
          </cell>
          <cell r="D1540" t="str">
            <v>USD</v>
          </cell>
          <cell r="E1540" t="str">
            <v>03-Jan-2022</v>
          </cell>
          <cell r="F1540">
            <v>126887.24</v>
          </cell>
          <cell r="G1540">
            <v>93.42</v>
          </cell>
          <cell r="H1540">
            <v>1358.24</v>
          </cell>
          <cell r="I1540">
            <v>0</v>
          </cell>
          <cell r="J1540">
            <v>1358.24</v>
          </cell>
        </row>
        <row r="1541">
          <cell r="A1541" t="str">
            <v>LU1882439323</v>
          </cell>
          <cell r="B1541" t="str">
            <v>AMUNDI FUNDS ABSOLUTE RETURN MULTI-STRATEGY</v>
          </cell>
          <cell r="C1541" t="str">
            <v>Class A EUR (C)</v>
          </cell>
          <cell r="D1541" t="str">
            <v>EUR</v>
          </cell>
          <cell r="E1541" t="str">
            <v>03-Jan-2022</v>
          </cell>
          <cell r="F1541">
            <v>217583188.91</v>
          </cell>
          <cell r="G1541">
            <v>3374529.04</v>
          </cell>
          <cell r="H1541">
            <v>64.48</v>
          </cell>
          <cell r="I1541">
            <v>0</v>
          </cell>
          <cell r="J1541">
            <v>67.38</v>
          </cell>
        </row>
        <row r="1542">
          <cell r="A1542" t="str">
            <v>LU2070310201</v>
          </cell>
          <cell r="B1542" t="str">
            <v>AMUNDI FUNDS ABSOLUTE RETURN MULTI-STRATEGY</v>
          </cell>
          <cell r="C1542" t="str">
            <v>Class A2 EUR (C)</v>
          </cell>
          <cell r="D1542" t="str">
            <v>EUR</v>
          </cell>
          <cell r="E1542" t="str">
            <v>03-Jan-2022</v>
          </cell>
          <cell r="F1542">
            <v>5410.49</v>
          </cell>
          <cell r="G1542">
            <v>100</v>
          </cell>
          <cell r="H1542">
            <v>54.1</v>
          </cell>
          <cell r="I1542">
            <v>0</v>
          </cell>
          <cell r="J1542">
            <v>56.53</v>
          </cell>
        </row>
        <row r="1543">
          <cell r="A1543" t="str">
            <v>LU2032054905</v>
          </cell>
          <cell r="B1543" t="str">
            <v>AMUNDI FUNDS ABSOLUTE RETURN MULTI-STRATEGY</v>
          </cell>
          <cell r="C1543" t="str">
            <v>Class A5 EUR (C)</v>
          </cell>
          <cell r="D1543" t="str">
            <v>EUR</v>
          </cell>
          <cell r="E1543" t="str">
            <v>03-Jan-2022</v>
          </cell>
          <cell r="F1543">
            <v>54093087.159999996</v>
          </cell>
          <cell r="G1543">
            <v>1007722.885</v>
          </cell>
          <cell r="H1543">
            <v>53.68</v>
          </cell>
          <cell r="I1543">
            <v>0</v>
          </cell>
          <cell r="J1543">
            <v>53.68</v>
          </cell>
        </row>
        <row r="1544">
          <cell r="A1544" t="str">
            <v>LU1882439679</v>
          </cell>
          <cell r="B1544" t="str">
            <v>AMUNDI FUNDS ABSOLUTE RETURN MULTI-STRATEGY</v>
          </cell>
          <cell r="C1544" t="str">
            <v>Class A USD Hgd (C)</v>
          </cell>
          <cell r="D1544" t="str">
            <v>USD</v>
          </cell>
          <cell r="E1544" t="str">
            <v>03-Jan-2022</v>
          </cell>
          <cell r="F1544">
            <v>1759950.5</v>
          </cell>
          <cell r="G1544">
            <v>29874.883999999998</v>
          </cell>
          <cell r="H1544">
            <v>58.91</v>
          </cell>
          <cell r="I1544">
            <v>0</v>
          </cell>
          <cell r="J1544">
            <v>61.56</v>
          </cell>
        </row>
        <row r="1545">
          <cell r="A1545" t="str">
            <v>LU1882439240</v>
          </cell>
          <cell r="B1545" t="str">
            <v>AMUNDI FUNDS ABSOLUTE RETURN MULTI-STRATEGY</v>
          </cell>
          <cell r="C1545" t="str">
            <v>Class A CZK Hgd (C)</v>
          </cell>
          <cell r="D1545" t="str">
            <v>CZK</v>
          </cell>
          <cell r="E1545" t="str">
            <v>03-Jan-2022</v>
          </cell>
          <cell r="F1545">
            <v>858252881.13999999</v>
          </cell>
          <cell r="G1545">
            <v>777406.78500000003</v>
          </cell>
          <cell r="H1545">
            <v>1103.99</v>
          </cell>
          <cell r="I1545">
            <v>0</v>
          </cell>
          <cell r="J1545">
            <v>1148.1500000000001</v>
          </cell>
        </row>
        <row r="1546">
          <cell r="A1546" t="str">
            <v>LU1882441147</v>
          </cell>
          <cell r="B1546" t="str">
            <v>AMUNDI FUNDS ABSOLUTE RETURN MULTI-STRATEGY</v>
          </cell>
          <cell r="C1546" t="str">
            <v>Class M2 EUR (C)</v>
          </cell>
          <cell r="D1546" t="str">
            <v>EUR</v>
          </cell>
          <cell r="E1546" t="str">
            <v>03-Jan-2022</v>
          </cell>
          <cell r="F1546">
            <v>309317258.06999999</v>
          </cell>
          <cell r="G1546">
            <v>208410.524</v>
          </cell>
          <cell r="H1546">
            <v>1484.17</v>
          </cell>
          <cell r="I1546">
            <v>0</v>
          </cell>
          <cell r="J1546">
            <v>1484.17</v>
          </cell>
        </row>
        <row r="1547">
          <cell r="A1547" t="str">
            <v>LU1882439752</v>
          </cell>
          <cell r="B1547" t="str">
            <v>AMUNDI FUNDS ABSOLUTE RETURN MULTI-STRATEGY</v>
          </cell>
          <cell r="C1547" t="str">
            <v>Class C EUR (C)</v>
          </cell>
          <cell r="D1547" t="str">
            <v>EUR</v>
          </cell>
          <cell r="E1547" t="str">
            <v>03-Jan-2022</v>
          </cell>
          <cell r="F1547">
            <v>443409.41</v>
          </cell>
          <cell r="G1547">
            <v>8753.6929999999993</v>
          </cell>
          <cell r="H1547">
            <v>50.65</v>
          </cell>
          <cell r="I1547">
            <v>0</v>
          </cell>
          <cell r="J1547">
            <v>50.65</v>
          </cell>
        </row>
        <row r="1548">
          <cell r="A1548" t="str">
            <v>LU1882439919</v>
          </cell>
          <cell r="B1548" t="str">
            <v>AMUNDI FUNDS ABSOLUTE RETURN MULTI-STRATEGY</v>
          </cell>
          <cell r="C1548" t="str">
            <v>Class C USD Hgd (C)</v>
          </cell>
          <cell r="D1548" t="str">
            <v>USD</v>
          </cell>
          <cell r="E1548" t="str">
            <v>03-Jan-2022</v>
          </cell>
          <cell r="F1548">
            <v>162409.14000000001</v>
          </cell>
          <cell r="G1548">
            <v>2916.922</v>
          </cell>
          <cell r="H1548">
            <v>55.68</v>
          </cell>
          <cell r="I1548">
            <v>0</v>
          </cell>
          <cell r="J1548">
            <v>55.68</v>
          </cell>
        </row>
        <row r="1549">
          <cell r="A1549" t="str">
            <v>LU1882440099</v>
          </cell>
          <cell r="B1549" t="str">
            <v>AMUNDI FUNDS ABSOLUTE RETURN MULTI-STRATEGY</v>
          </cell>
          <cell r="C1549" t="str">
            <v>Class E2 EUR (C)</v>
          </cell>
          <cell r="D1549" t="str">
            <v>EUR</v>
          </cell>
          <cell r="E1549" t="str">
            <v>03-Jan-2022</v>
          </cell>
          <cell r="F1549">
            <v>479279198.22000003</v>
          </cell>
          <cell r="G1549">
            <v>71722860.729000002</v>
          </cell>
          <cell r="H1549">
            <v>6.6820000000000004</v>
          </cell>
          <cell r="I1549">
            <v>0</v>
          </cell>
          <cell r="J1549">
            <v>6.6820000000000004</v>
          </cell>
        </row>
        <row r="1550">
          <cell r="A1550" t="str">
            <v>LU1882440255</v>
          </cell>
          <cell r="B1550" t="str">
            <v>AMUNDI FUNDS ABSOLUTE RETURN MULTI-STRATEGY</v>
          </cell>
          <cell r="C1550" t="str">
            <v>Class F EUR (C)</v>
          </cell>
          <cell r="D1550" t="str">
            <v>EUR</v>
          </cell>
          <cell r="E1550" t="str">
            <v>03-Jan-2022</v>
          </cell>
          <cell r="F1550">
            <v>20649939.960000001</v>
          </cell>
          <cell r="G1550">
            <v>3659297.4309999999</v>
          </cell>
          <cell r="H1550">
            <v>5.6429999999999998</v>
          </cell>
          <cell r="I1550">
            <v>0</v>
          </cell>
          <cell r="J1550">
            <v>5.6429999999999998</v>
          </cell>
        </row>
        <row r="1551">
          <cell r="A1551" t="str">
            <v>LU1998913914</v>
          </cell>
          <cell r="B1551" t="str">
            <v>AMUNDI FUNDS ABSOLUTE RETURN MULTI-STRATEGY</v>
          </cell>
          <cell r="C1551" t="str">
            <v>Class H EUR (C)</v>
          </cell>
          <cell r="D1551" t="str">
            <v>EUR</v>
          </cell>
          <cell r="E1551" t="str">
            <v>03-Jan-2022</v>
          </cell>
          <cell r="F1551">
            <v>60779870.380000003</v>
          </cell>
          <cell r="G1551">
            <v>53853.334000000003</v>
          </cell>
          <cell r="H1551">
            <v>1128.6199999999999</v>
          </cell>
          <cell r="I1551">
            <v>0</v>
          </cell>
          <cell r="J1551">
            <v>1128.6199999999999</v>
          </cell>
        </row>
        <row r="1552">
          <cell r="A1552" t="str">
            <v>LU2047618173</v>
          </cell>
          <cell r="B1552" t="str">
            <v>AMUNDI FUNDS ABSOLUTE RETURN MULTI-STRATEGY</v>
          </cell>
          <cell r="C1552" t="str">
            <v>Class I2 GBP Hgd (C)</v>
          </cell>
          <cell r="D1552" t="str">
            <v>GBP</v>
          </cell>
          <cell r="E1552" t="str">
            <v>03-Jan-2022</v>
          </cell>
          <cell r="F1552">
            <v>112054.05</v>
          </cell>
          <cell r="G1552">
            <v>100</v>
          </cell>
          <cell r="H1552">
            <v>1120.54</v>
          </cell>
          <cell r="I1552">
            <v>0</v>
          </cell>
          <cell r="J1552">
            <v>1120.54</v>
          </cell>
        </row>
        <row r="1553">
          <cell r="A1553" t="str">
            <v>LU1897298045</v>
          </cell>
          <cell r="B1553" t="str">
            <v>AMUNDI FUNDS ABSOLUTE RETURN MULTI-STRATEGY</v>
          </cell>
          <cell r="C1553" t="str">
            <v>Class I2 GBP (C)</v>
          </cell>
          <cell r="D1553" t="str">
            <v>GBP</v>
          </cell>
          <cell r="E1553" t="str">
            <v>03-Jan-2022</v>
          </cell>
          <cell r="F1553">
            <v>744527.71</v>
          </cell>
          <cell r="G1553">
            <v>726.80700000000002</v>
          </cell>
          <cell r="H1553">
            <v>1024.3800000000001</v>
          </cell>
          <cell r="I1553">
            <v>0</v>
          </cell>
          <cell r="J1553">
            <v>1024.3800000000001</v>
          </cell>
        </row>
        <row r="1554">
          <cell r="A1554" t="str">
            <v>LU1894676565</v>
          </cell>
          <cell r="B1554" t="str">
            <v>AMUNDI FUNDS ABSOLUTE RETURN MULTI-STRATEGY</v>
          </cell>
          <cell r="C1554" t="str">
            <v>Class Q-I22 EUR QTD (D)</v>
          </cell>
          <cell r="D1554" t="str">
            <v>EUR</v>
          </cell>
          <cell r="E1554" t="str">
            <v>03-Jan-2022</v>
          </cell>
          <cell r="F1554">
            <v>292957537.91000003</v>
          </cell>
          <cell r="G1554">
            <v>263510.95400000003</v>
          </cell>
          <cell r="H1554">
            <v>1111.75</v>
          </cell>
          <cell r="I1554">
            <v>0</v>
          </cell>
          <cell r="J1554">
            <v>1111.75</v>
          </cell>
        </row>
        <row r="1555">
          <cell r="A1555" t="str">
            <v>LU1882440685</v>
          </cell>
          <cell r="B1555" t="str">
            <v>AMUNDI FUNDS ABSOLUTE RETURN MULTI-STRATEGY</v>
          </cell>
          <cell r="C1555" t="str">
            <v>Class I2 EUR (C)</v>
          </cell>
          <cell r="D1555" t="str">
            <v>EUR</v>
          </cell>
          <cell r="E1555" t="str">
            <v>03-Jan-2022</v>
          </cell>
          <cell r="F1555">
            <v>32315168.960000001</v>
          </cell>
          <cell r="G1555">
            <v>28439.394</v>
          </cell>
          <cell r="H1555">
            <v>1136.28</v>
          </cell>
          <cell r="I1555">
            <v>0</v>
          </cell>
          <cell r="J1555">
            <v>1136.28</v>
          </cell>
        </row>
        <row r="1556">
          <cell r="A1556" t="str">
            <v>LU2052286833</v>
          </cell>
          <cell r="B1556" t="str">
            <v>AMUNDI FUNDS ABSOLUTE RETURN MULTI-STRATEGY</v>
          </cell>
          <cell r="C1556" t="str">
            <v>Class J3 GBP (C)</v>
          </cell>
          <cell r="D1556" t="str">
            <v>GBP</v>
          </cell>
          <cell r="E1556" t="str">
            <v>03-Jan-2022</v>
          </cell>
          <cell r="F1556">
            <v>5237.62</v>
          </cell>
          <cell r="G1556">
            <v>5</v>
          </cell>
          <cell r="H1556">
            <v>1047.52</v>
          </cell>
          <cell r="I1556">
            <v>0</v>
          </cell>
          <cell r="J1556">
            <v>1047.52</v>
          </cell>
        </row>
        <row r="1557">
          <cell r="A1557" t="str">
            <v>LU1882440925</v>
          </cell>
          <cell r="B1557" t="str">
            <v>AMUNDI FUNDS ABSOLUTE RETURN MULTI-STRATEGY</v>
          </cell>
          <cell r="C1557" t="str">
            <v>Class J EUR (C)</v>
          </cell>
          <cell r="D1557" t="str">
            <v>EUR</v>
          </cell>
          <cell r="E1557" t="str">
            <v>03-Jan-2022</v>
          </cell>
          <cell r="F1557">
            <v>130349708.2</v>
          </cell>
          <cell r="G1557">
            <v>122900.97900000001</v>
          </cell>
          <cell r="H1557">
            <v>1060.6099999999999</v>
          </cell>
          <cell r="I1557">
            <v>0</v>
          </cell>
          <cell r="J1557">
            <v>1060.6099999999999</v>
          </cell>
        </row>
        <row r="1558">
          <cell r="A1558" t="str">
            <v>LU1882440339</v>
          </cell>
          <cell r="B1558" t="str">
            <v>AMUNDI FUNDS ABSOLUTE RETURN MULTI-STRATEGY</v>
          </cell>
          <cell r="C1558" t="str">
            <v>Class G EUR (C)</v>
          </cell>
          <cell r="D1558" t="str">
            <v>EUR</v>
          </cell>
          <cell r="E1558" t="str">
            <v>03-Jan-2022</v>
          </cell>
          <cell r="F1558">
            <v>40899224.759999998</v>
          </cell>
          <cell r="G1558">
            <v>7955274.1440000003</v>
          </cell>
          <cell r="H1558">
            <v>5.141</v>
          </cell>
          <cell r="I1558">
            <v>0</v>
          </cell>
          <cell r="J1558">
            <v>5.141</v>
          </cell>
        </row>
        <row r="1559">
          <cell r="A1559" t="str">
            <v>LU2098276384</v>
          </cell>
          <cell r="B1559" t="str">
            <v>AMUNDI FUNDS ABSOLUTE RETURN MULTI-STRATEGY</v>
          </cell>
          <cell r="C1559" t="str">
            <v>Class P2 USD Hgd (C)</v>
          </cell>
          <cell r="D1559" t="str">
            <v>USD</v>
          </cell>
          <cell r="E1559" t="str">
            <v>03-Jan-2022</v>
          </cell>
          <cell r="F1559">
            <v>5433.91</v>
          </cell>
          <cell r="G1559">
            <v>100</v>
          </cell>
          <cell r="H1559">
            <v>54.34</v>
          </cell>
          <cell r="I1559">
            <v>0</v>
          </cell>
          <cell r="J1559">
            <v>54.34</v>
          </cell>
        </row>
        <row r="1560">
          <cell r="A1560" t="str">
            <v>LU2259108392</v>
          </cell>
          <cell r="B1560" t="str">
            <v>AMUNDI FUNDS ABSOLUTE RETURN MULTI-STRATEGY</v>
          </cell>
          <cell r="C1560" t="str">
            <v>Class R3 GBP (C)</v>
          </cell>
          <cell r="D1560" t="str">
            <v>GBP</v>
          </cell>
          <cell r="E1560" t="str">
            <v>03-Jan-2022</v>
          </cell>
          <cell r="F1560">
            <v>4743.76</v>
          </cell>
          <cell r="G1560">
            <v>500</v>
          </cell>
          <cell r="H1560">
            <v>9.49</v>
          </cell>
          <cell r="I1560">
            <v>0</v>
          </cell>
          <cell r="J1560">
            <v>9.49</v>
          </cell>
        </row>
        <row r="1561">
          <cell r="A1561" t="str">
            <v>LU1882441220</v>
          </cell>
          <cell r="B1561" t="str">
            <v>AMUNDI FUNDS ABSOLUTE RETURN MULTI-STRATEGY</v>
          </cell>
          <cell r="C1561" t="str">
            <v>Class R EUR (C)</v>
          </cell>
          <cell r="D1561" t="str">
            <v>EUR</v>
          </cell>
          <cell r="E1561" t="str">
            <v>03-Jan-2022</v>
          </cell>
          <cell r="F1561">
            <v>1368901.29</v>
          </cell>
          <cell r="G1561">
            <v>25699.282999999999</v>
          </cell>
          <cell r="H1561">
            <v>53.27</v>
          </cell>
          <cell r="I1561">
            <v>0</v>
          </cell>
          <cell r="J1561">
            <v>53.27</v>
          </cell>
        </row>
        <row r="1562">
          <cell r="A1562" t="str">
            <v>LU1882441576</v>
          </cell>
          <cell r="B1562" t="str">
            <v>AMUNDI FUNDS ABSOLUTE RETURN MULTI-STRATEGY</v>
          </cell>
          <cell r="C1562" t="str">
            <v>Class R GBP Hgd (C)</v>
          </cell>
          <cell r="D1562" t="str">
            <v>GBP</v>
          </cell>
          <cell r="E1562" t="str">
            <v>03-Jan-2022</v>
          </cell>
          <cell r="F1562">
            <v>95121.64</v>
          </cell>
          <cell r="G1562">
            <v>1708.4639999999999</v>
          </cell>
          <cell r="H1562">
            <v>55.68</v>
          </cell>
          <cell r="I1562">
            <v>0</v>
          </cell>
          <cell r="J1562">
            <v>55.68</v>
          </cell>
        </row>
        <row r="1563">
          <cell r="A1563" t="str">
            <v>LU1882441659</v>
          </cell>
          <cell r="B1563" t="str">
            <v>AMUNDI FUNDS ABSOLUTE RETURN MULTI-STRATEGY</v>
          </cell>
          <cell r="C1563" t="str">
            <v>Class R USD Hgd (C)</v>
          </cell>
          <cell r="D1563" t="str">
            <v>USD</v>
          </cell>
          <cell r="E1563" t="str">
            <v>03-Jan-2022</v>
          </cell>
          <cell r="F1563">
            <v>640457.02</v>
          </cell>
          <cell r="G1563">
            <v>11147.484</v>
          </cell>
          <cell r="H1563">
            <v>57.45</v>
          </cell>
          <cell r="I1563">
            <v>0</v>
          </cell>
          <cell r="J1563">
            <v>57.45</v>
          </cell>
        </row>
        <row r="1564">
          <cell r="A1564" t="str">
            <v>LU1894676649</v>
          </cell>
          <cell r="B1564" t="str">
            <v>AMUNDI FUNDS ABSOLUTE RETURN MULTI-STRATEGY</v>
          </cell>
          <cell r="C1564" t="str">
            <v>Class X EUR (C)</v>
          </cell>
          <cell r="D1564" t="str">
            <v>EUR</v>
          </cell>
          <cell r="E1564" t="str">
            <v>03-Jan-2022</v>
          </cell>
          <cell r="F1564">
            <v>5527550.7000000002</v>
          </cell>
          <cell r="G1564">
            <v>4805</v>
          </cell>
          <cell r="H1564">
            <v>1150.3699999999999</v>
          </cell>
          <cell r="I1564">
            <v>0</v>
          </cell>
          <cell r="J1564">
            <v>1150.3699999999999</v>
          </cell>
        </row>
        <row r="1565">
          <cell r="A1565" t="str">
            <v>LU1882440503</v>
          </cell>
          <cell r="B1565" t="str">
            <v>AMUNDI FUNDS ABSOLUTE RETURN MULTI-STRATEGY</v>
          </cell>
          <cell r="C1565" t="str">
            <v>Class I EUR (C)</v>
          </cell>
          <cell r="D1565" t="str">
            <v>EUR</v>
          </cell>
          <cell r="E1565" t="str">
            <v>03-Jan-2022</v>
          </cell>
          <cell r="F1565">
            <v>237479618.06</v>
          </cell>
          <cell r="G1565">
            <v>159508.465</v>
          </cell>
          <cell r="H1565">
            <v>1488.82</v>
          </cell>
          <cell r="I1565">
            <v>0</v>
          </cell>
          <cell r="J1565">
            <v>1488.82</v>
          </cell>
        </row>
        <row r="1566">
          <cell r="A1566" t="str">
            <v>LU1894676482</v>
          </cell>
          <cell r="B1566" t="str">
            <v>AMUNDI FUNDS ABSOLUTE RETURN MULTI-STRATEGY</v>
          </cell>
          <cell r="C1566" t="str">
            <v>Class I GBP Hgd (C)</v>
          </cell>
          <cell r="D1566" t="str">
            <v>GBP</v>
          </cell>
          <cell r="E1566" t="str">
            <v>03-Jan-2022</v>
          </cell>
          <cell r="F1566">
            <v>109636.21</v>
          </cell>
          <cell r="G1566">
            <v>99.998999999999995</v>
          </cell>
          <cell r="H1566">
            <v>1096.3699999999999</v>
          </cell>
          <cell r="I1566">
            <v>0</v>
          </cell>
          <cell r="J1566">
            <v>1096.3699999999999</v>
          </cell>
        </row>
        <row r="1567">
          <cell r="A1567" t="str">
            <v>LU1894676300</v>
          </cell>
          <cell r="B1567" t="str">
            <v>AMUNDI FUNDS ABSOLUTE RETURN MULTI-STRATEGY</v>
          </cell>
          <cell r="C1567" t="str">
            <v>Class I GBP (C)</v>
          </cell>
          <cell r="D1567" t="str">
            <v>GBP</v>
          </cell>
          <cell r="E1567" t="str">
            <v>03-Jan-2022</v>
          </cell>
          <cell r="F1567">
            <v>5332.3</v>
          </cell>
          <cell r="G1567">
            <v>4.2649999999999997</v>
          </cell>
          <cell r="H1567">
            <v>1250.25</v>
          </cell>
          <cell r="I1567">
            <v>0</v>
          </cell>
          <cell r="J1567">
            <v>1250.25</v>
          </cell>
        </row>
        <row r="1568">
          <cell r="A1568" t="str">
            <v>LU2110859837</v>
          </cell>
          <cell r="B1568" t="str">
            <v>AMUNDI FUNDS ABSOLUTE RETURN MULTI-STRATEGY</v>
          </cell>
          <cell r="C1568" t="str">
            <v>Class Z EUR (C)</v>
          </cell>
          <cell r="D1568" t="str">
            <v>EUR</v>
          </cell>
          <cell r="E1568" t="str">
            <v>03-Jan-2022</v>
          </cell>
          <cell r="F1568">
            <v>19862192.48</v>
          </cell>
          <cell r="G1568">
            <v>19433.571</v>
          </cell>
          <cell r="H1568">
            <v>1022.06</v>
          </cell>
          <cell r="I1568">
            <v>0</v>
          </cell>
          <cell r="J1568">
            <v>1022.06</v>
          </cell>
        </row>
        <row r="1569">
          <cell r="A1569" t="str">
            <v>LU1894683348</v>
          </cell>
          <cell r="B1569" t="str">
            <v>AMUNDI FUNDS PIONEER US EQUITY RESEARCH VALUE</v>
          </cell>
          <cell r="C1569" t="str">
            <v>Class A2 USD AD (D)</v>
          </cell>
          <cell r="D1569" t="str">
            <v>USD</v>
          </cell>
          <cell r="E1569" t="str">
            <v>03-Jan-2022</v>
          </cell>
          <cell r="F1569">
            <v>7300.3</v>
          </cell>
          <cell r="G1569">
            <v>100</v>
          </cell>
          <cell r="H1569">
            <v>73</v>
          </cell>
          <cell r="I1569">
            <v>0</v>
          </cell>
          <cell r="J1569">
            <v>73</v>
          </cell>
        </row>
        <row r="1570">
          <cell r="A1570" t="str">
            <v>LU1894682886</v>
          </cell>
          <cell r="B1570" t="str">
            <v>AMUNDI FUNDS PIONEER US EQUITY RESEARCH VALUE</v>
          </cell>
          <cell r="C1570" t="str">
            <v>Class A EUR AD (D)</v>
          </cell>
          <cell r="D1570" t="str">
            <v>EUR</v>
          </cell>
          <cell r="E1570" t="str">
            <v>03-Jan-2022</v>
          </cell>
          <cell r="F1570">
            <v>1248309.3400000001</v>
          </cell>
          <cell r="G1570">
            <v>17253.644</v>
          </cell>
          <cell r="H1570">
            <v>72.349999999999994</v>
          </cell>
          <cell r="I1570">
            <v>0</v>
          </cell>
          <cell r="J1570">
            <v>75.61</v>
          </cell>
        </row>
        <row r="1571">
          <cell r="A1571" t="str">
            <v>LU1894682704</v>
          </cell>
          <cell r="B1571" t="str">
            <v>AMUNDI FUNDS PIONEER US EQUITY RESEARCH VALUE</v>
          </cell>
          <cell r="C1571" t="str">
            <v>Class A EUR (C)</v>
          </cell>
          <cell r="D1571" t="str">
            <v>EUR</v>
          </cell>
          <cell r="E1571" t="str">
            <v>03-Jan-2022</v>
          </cell>
          <cell r="F1571">
            <v>337300478.33999997</v>
          </cell>
          <cell r="G1571">
            <v>1466147.496</v>
          </cell>
          <cell r="H1571">
            <v>230.06</v>
          </cell>
          <cell r="I1571">
            <v>0</v>
          </cell>
          <cell r="J1571">
            <v>240.41</v>
          </cell>
        </row>
        <row r="1572">
          <cell r="A1572" t="str">
            <v>LU1894683264</v>
          </cell>
          <cell r="B1572" t="str">
            <v>AMUNDI FUNDS PIONEER US EQUITY RESEARCH VALUE</v>
          </cell>
          <cell r="C1572" t="str">
            <v>Class A2 USD (C)</v>
          </cell>
          <cell r="D1572" t="str">
            <v>USD</v>
          </cell>
          <cell r="E1572" t="str">
            <v>03-Jan-2022</v>
          </cell>
          <cell r="F1572">
            <v>7300.24</v>
          </cell>
          <cell r="G1572">
            <v>100</v>
          </cell>
          <cell r="H1572">
            <v>73</v>
          </cell>
          <cell r="I1572">
            <v>0</v>
          </cell>
          <cell r="J1572">
            <v>73</v>
          </cell>
        </row>
        <row r="1573">
          <cell r="A1573" t="str">
            <v>LU1894683181</v>
          </cell>
          <cell r="B1573" t="str">
            <v>AMUNDI FUNDS PIONEER US EQUITY RESEARCH VALUE</v>
          </cell>
          <cell r="C1573" t="str">
            <v>Class A USD AD (D)</v>
          </cell>
          <cell r="D1573" t="str">
            <v>USD</v>
          </cell>
          <cell r="E1573" t="str">
            <v>03-Jan-2022</v>
          </cell>
          <cell r="F1573">
            <v>1705187.95</v>
          </cell>
          <cell r="G1573">
            <v>23538.187000000002</v>
          </cell>
          <cell r="H1573">
            <v>72.44</v>
          </cell>
          <cell r="I1573">
            <v>0</v>
          </cell>
          <cell r="J1573">
            <v>75.7</v>
          </cell>
        </row>
        <row r="1574">
          <cell r="A1574" t="str">
            <v>LU1894682969</v>
          </cell>
          <cell r="B1574" t="str">
            <v>AMUNDI FUNDS PIONEER US EQUITY RESEARCH VALUE</v>
          </cell>
          <cell r="C1574" t="str">
            <v>Class A EUR Hgd (C)</v>
          </cell>
          <cell r="D1574" t="str">
            <v>EUR</v>
          </cell>
          <cell r="E1574" t="str">
            <v>03-Jan-2022</v>
          </cell>
          <cell r="F1574">
            <v>99494560.459999993</v>
          </cell>
          <cell r="G1574">
            <v>1434224.973</v>
          </cell>
          <cell r="H1574">
            <v>69.37</v>
          </cell>
          <cell r="I1574">
            <v>0</v>
          </cell>
          <cell r="J1574">
            <v>72.489999999999995</v>
          </cell>
        </row>
        <row r="1575">
          <cell r="A1575" t="str">
            <v>LU1894682613</v>
          </cell>
          <cell r="B1575" t="str">
            <v>AMUNDI FUNDS PIONEER US EQUITY RESEARCH VALUE</v>
          </cell>
          <cell r="C1575" t="str">
            <v>Class A CZK Hgd (C)</v>
          </cell>
          <cell r="D1575" t="str">
            <v>CZK</v>
          </cell>
          <cell r="E1575" t="str">
            <v>03-Jan-2022</v>
          </cell>
          <cell r="F1575">
            <v>247066410.21000001</v>
          </cell>
          <cell r="G1575">
            <v>177120.78200000001</v>
          </cell>
          <cell r="H1575">
            <v>1394.9</v>
          </cell>
          <cell r="I1575">
            <v>0</v>
          </cell>
          <cell r="J1575">
            <v>1457.67</v>
          </cell>
        </row>
        <row r="1576">
          <cell r="A1576" t="str">
            <v>LU1894683009</v>
          </cell>
          <cell r="B1576" t="str">
            <v>AMUNDI FUNDS PIONEER US EQUITY RESEARCH VALUE</v>
          </cell>
          <cell r="C1576" t="str">
            <v>Class A USD (C)</v>
          </cell>
          <cell r="D1576" t="str">
            <v>USD</v>
          </cell>
          <cell r="E1576" t="str">
            <v>03-Jan-2022</v>
          </cell>
          <cell r="F1576">
            <v>93997658.75</v>
          </cell>
          <cell r="G1576">
            <v>360788.163</v>
          </cell>
          <cell r="H1576">
            <v>260.52999999999997</v>
          </cell>
          <cell r="I1576">
            <v>0</v>
          </cell>
          <cell r="J1576">
            <v>272.25</v>
          </cell>
        </row>
        <row r="1577">
          <cell r="A1577" t="str">
            <v>LU1894685558</v>
          </cell>
          <cell r="B1577" t="str">
            <v>AMUNDI FUNDS PIONEER US EQUITY RESEARCH VALUE</v>
          </cell>
          <cell r="C1577" t="str">
            <v>Class M2 EUR (C)</v>
          </cell>
          <cell r="D1577" t="str">
            <v>EUR</v>
          </cell>
          <cell r="E1577" t="str">
            <v>03-Jan-2022</v>
          </cell>
          <cell r="F1577">
            <v>66661239.5</v>
          </cell>
          <cell r="G1577">
            <v>44402.347000000002</v>
          </cell>
          <cell r="H1577">
            <v>1501.3</v>
          </cell>
          <cell r="I1577">
            <v>0</v>
          </cell>
          <cell r="J1577">
            <v>1501.3</v>
          </cell>
        </row>
        <row r="1578">
          <cell r="A1578" t="str">
            <v>LU1894683421</v>
          </cell>
          <cell r="B1578" t="str">
            <v>AMUNDI FUNDS PIONEER US EQUITY RESEARCH VALUE</v>
          </cell>
          <cell r="C1578" t="str">
            <v>Class B USD (C)</v>
          </cell>
          <cell r="D1578" t="str">
            <v>USD</v>
          </cell>
          <cell r="E1578" t="str">
            <v>03-Jan-2022</v>
          </cell>
          <cell r="F1578">
            <v>7098.75</v>
          </cell>
          <cell r="G1578">
            <v>99.593999999999994</v>
          </cell>
          <cell r="H1578">
            <v>71.28</v>
          </cell>
          <cell r="I1578">
            <v>0</v>
          </cell>
          <cell r="J1578">
            <v>74.13</v>
          </cell>
        </row>
        <row r="1579">
          <cell r="A1579" t="str">
            <v>LU1894683694</v>
          </cell>
          <cell r="B1579" t="str">
            <v>AMUNDI FUNDS PIONEER US EQUITY RESEARCH VALUE</v>
          </cell>
          <cell r="C1579" t="str">
            <v>Class C EUR (C)</v>
          </cell>
          <cell r="D1579" t="str">
            <v>EUR</v>
          </cell>
          <cell r="E1579" t="str">
            <v>03-Jan-2022</v>
          </cell>
          <cell r="F1579">
            <v>582863.02</v>
          </cell>
          <cell r="G1579">
            <v>2833.4430000000002</v>
          </cell>
          <cell r="H1579">
            <v>205.71</v>
          </cell>
          <cell r="I1579">
            <v>0</v>
          </cell>
          <cell r="J1579">
            <v>205.71</v>
          </cell>
        </row>
        <row r="1580">
          <cell r="A1580" t="str">
            <v>LU1894683777</v>
          </cell>
          <cell r="B1580" t="str">
            <v>AMUNDI FUNDS PIONEER US EQUITY RESEARCH VALUE</v>
          </cell>
          <cell r="C1580" t="str">
            <v>Class C USD (C)</v>
          </cell>
          <cell r="D1580" t="str">
            <v>USD</v>
          </cell>
          <cell r="E1580" t="str">
            <v>03-Jan-2022</v>
          </cell>
          <cell r="F1580">
            <v>9427066.7899999991</v>
          </cell>
          <cell r="G1580">
            <v>40583.42</v>
          </cell>
          <cell r="H1580">
            <v>232.29</v>
          </cell>
          <cell r="I1580">
            <v>0</v>
          </cell>
          <cell r="J1580">
            <v>232.29</v>
          </cell>
        </row>
        <row r="1581">
          <cell r="A1581" t="str">
            <v>LU1894683850</v>
          </cell>
          <cell r="B1581" t="str">
            <v>AMUNDI FUNDS PIONEER US EQUITY RESEARCH VALUE</v>
          </cell>
          <cell r="C1581" t="str">
            <v>Class E2 EUR (C)</v>
          </cell>
          <cell r="D1581" t="str">
            <v>EUR</v>
          </cell>
          <cell r="E1581" t="str">
            <v>03-Jan-2022</v>
          </cell>
          <cell r="F1581">
            <v>41618098.259999998</v>
          </cell>
          <cell r="G1581">
            <v>2066129.152</v>
          </cell>
          <cell r="H1581">
            <v>20.143000000000001</v>
          </cell>
          <cell r="I1581">
            <v>0</v>
          </cell>
          <cell r="J1581">
            <v>20.143000000000001</v>
          </cell>
        </row>
        <row r="1582">
          <cell r="A1582" t="str">
            <v>LU1894683934</v>
          </cell>
          <cell r="B1582" t="str">
            <v>AMUNDI FUNDS PIONEER US EQUITY RESEARCH VALUE</v>
          </cell>
          <cell r="C1582" t="str">
            <v>Class E2 EUR Hgd (C)</v>
          </cell>
          <cell r="D1582" t="str">
            <v>EUR</v>
          </cell>
          <cell r="E1582" t="str">
            <v>03-Jan-2022</v>
          </cell>
          <cell r="F1582">
            <v>3145118.55</v>
          </cell>
          <cell r="G1582">
            <v>450132.30800000002</v>
          </cell>
          <cell r="H1582">
            <v>6.9870000000000001</v>
          </cell>
          <cell r="I1582">
            <v>0</v>
          </cell>
          <cell r="J1582">
            <v>6.9870000000000001</v>
          </cell>
        </row>
        <row r="1583">
          <cell r="A1583" t="str">
            <v>LU1894684072</v>
          </cell>
          <cell r="B1583" t="str">
            <v>AMUNDI FUNDS PIONEER US EQUITY RESEARCH VALUE</v>
          </cell>
          <cell r="C1583" t="str">
            <v>Class F EUR (C)</v>
          </cell>
          <cell r="D1583" t="str">
            <v>EUR</v>
          </cell>
          <cell r="E1583" t="str">
            <v>03-Jan-2022</v>
          </cell>
          <cell r="F1583">
            <v>4938747.38</v>
          </cell>
          <cell r="G1583">
            <v>234435.63</v>
          </cell>
          <cell r="H1583">
            <v>21.067</v>
          </cell>
          <cell r="I1583">
            <v>0</v>
          </cell>
          <cell r="J1583">
            <v>21.067</v>
          </cell>
        </row>
        <row r="1584">
          <cell r="A1584" t="str">
            <v>LU1894684239</v>
          </cell>
          <cell r="B1584" t="str">
            <v>AMUNDI FUNDS PIONEER US EQUITY RESEARCH VALUE</v>
          </cell>
          <cell r="C1584" t="str">
            <v>Class F2 USD (C)</v>
          </cell>
          <cell r="D1584" t="str">
            <v>USD</v>
          </cell>
          <cell r="E1584" t="str">
            <v>03-Jan-2022</v>
          </cell>
          <cell r="F1584">
            <v>1160667.03</v>
          </cell>
          <cell r="G1584">
            <v>162430.12</v>
          </cell>
          <cell r="H1584">
            <v>7.1459999999999999</v>
          </cell>
          <cell r="I1584">
            <v>0</v>
          </cell>
          <cell r="J1584">
            <v>7.1459999999999999</v>
          </cell>
        </row>
        <row r="1585">
          <cell r="A1585" t="str">
            <v>LU1894684155</v>
          </cell>
          <cell r="B1585" t="str">
            <v>AMUNDI FUNDS PIONEER US EQUITY RESEARCH VALUE</v>
          </cell>
          <cell r="C1585" t="str">
            <v>Class F2 EUR Hgd (C)</v>
          </cell>
          <cell r="D1585" t="str">
            <v>EUR</v>
          </cell>
          <cell r="E1585" t="str">
            <v>03-Jan-2022</v>
          </cell>
          <cell r="F1585">
            <v>302451.84999999998</v>
          </cell>
          <cell r="G1585">
            <v>44256.932000000001</v>
          </cell>
          <cell r="H1585">
            <v>6.8339999999999996</v>
          </cell>
          <cell r="I1585">
            <v>0</v>
          </cell>
          <cell r="J1585">
            <v>6.8339999999999996</v>
          </cell>
        </row>
        <row r="1586">
          <cell r="A1586" t="str">
            <v>LU1998916859</v>
          </cell>
          <cell r="B1586" t="str">
            <v>AMUNDI FUNDS PIONEER US EQUITY RESEARCH VALUE</v>
          </cell>
          <cell r="C1586" t="str">
            <v>Class H EUR (C)</v>
          </cell>
          <cell r="D1586" t="str">
            <v>EUR</v>
          </cell>
          <cell r="E1586" t="str">
            <v>03-Jan-2022</v>
          </cell>
          <cell r="F1586">
            <v>7554.2</v>
          </cell>
          <cell r="G1586">
            <v>5</v>
          </cell>
          <cell r="H1586">
            <v>1510.84</v>
          </cell>
          <cell r="I1586">
            <v>0</v>
          </cell>
          <cell r="J1586">
            <v>1510.84</v>
          </cell>
        </row>
        <row r="1587">
          <cell r="A1587" t="str">
            <v>LU1894685129</v>
          </cell>
          <cell r="B1587" t="str">
            <v>AMUNDI FUNDS PIONEER US EQUITY RESEARCH VALUE</v>
          </cell>
          <cell r="C1587" t="str">
            <v>Class I2 USD (C)</v>
          </cell>
          <cell r="D1587" t="str">
            <v>USD</v>
          </cell>
          <cell r="E1587" t="str">
            <v>03-Jan-2022</v>
          </cell>
          <cell r="F1587">
            <v>63843738.240000002</v>
          </cell>
          <cell r="G1587">
            <v>10715.02</v>
          </cell>
          <cell r="H1587">
            <v>5958.34</v>
          </cell>
          <cell r="I1587">
            <v>0</v>
          </cell>
          <cell r="J1587">
            <v>5958.34</v>
          </cell>
        </row>
        <row r="1588">
          <cell r="A1588" t="str">
            <v>LU1894685046</v>
          </cell>
          <cell r="B1588" t="str">
            <v>AMUNDI FUNDS PIONEER US EQUITY RESEARCH VALUE</v>
          </cell>
          <cell r="C1588" t="str">
            <v>Class I2 EUR (C)</v>
          </cell>
          <cell r="D1588" t="str">
            <v>EUR</v>
          </cell>
          <cell r="E1588" t="str">
            <v>03-Jan-2022</v>
          </cell>
          <cell r="F1588">
            <v>65447088.329999998</v>
          </cell>
          <cell r="G1588">
            <v>12403.064</v>
          </cell>
          <cell r="H1588">
            <v>5276.69</v>
          </cell>
          <cell r="I1588">
            <v>0</v>
          </cell>
          <cell r="J1588">
            <v>5276.69</v>
          </cell>
        </row>
        <row r="1589">
          <cell r="A1589" t="str">
            <v>LU1894684585</v>
          </cell>
          <cell r="B1589" t="str">
            <v>AMUNDI FUNDS PIONEER US EQUITY RESEARCH VALUE</v>
          </cell>
          <cell r="C1589" t="str">
            <v>Class G USD (C)</v>
          </cell>
          <cell r="D1589" t="str">
            <v>USD</v>
          </cell>
          <cell r="E1589" t="str">
            <v>03-Jan-2022</v>
          </cell>
          <cell r="F1589">
            <v>3252960.55</v>
          </cell>
          <cell r="G1589">
            <v>451148.99699999997</v>
          </cell>
          <cell r="H1589">
            <v>7.21</v>
          </cell>
          <cell r="I1589">
            <v>0</v>
          </cell>
          <cell r="J1589">
            <v>7.4260000000000002</v>
          </cell>
        </row>
        <row r="1590">
          <cell r="A1590" t="str">
            <v>LU1894684312</v>
          </cell>
          <cell r="B1590" t="str">
            <v>AMUNDI FUNDS PIONEER US EQUITY RESEARCH VALUE</v>
          </cell>
          <cell r="C1590" t="str">
            <v>Class G EUR (C)</v>
          </cell>
          <cell r="D1590" t="str">
            <v>EUR</v>
          </cell>
          <cell r="E1590" t="str">
            <v>03-Jan-2022</v>
          </cell>
          <cell r="F1590">
            <v>487240.42</v>
          </cell>
          <cell r="G1590">
            <v>66135.335000000006</v>
          </cell>
          <cell r="H1590">
            <v>7.367</v>
          </cell>
          <cell r="I1590">
            <v>0</v>
          </cell>
          <cell r="J1590">
            <v>7.367</v>
          </cell>
        </row>
        <row r="1591">
          <cell r="A1591" t="str">
            <v>LU1894684403</v>
          </cell>
          <cell r="B1591" t="str">
            <v>AMUNDI FUNDS PIONEER US EQUITY RESEARCH VALUE</v>
          </cell>
          <cell r="C1591" t="str">
            <v>Class G EUR Hgd (C)</v>
          </cell>
          <cell r="D1591" t="str">
            <v>EUR</v>
          </cell>
          <cell r="E1591" t="str">
            <v>03-Jan-2022</v>
          </cell>
          <cell r="F1591">
            <v>1414500.83</v>
          </cell>
          <cell r="G1591">
            <v>205058.72899999999</v>
          </cell>
          <cell r="H1591">
            <v>6.8979999999999997</v>
          </cell>
          <cell r="I1591">
            <v>0</v>
          </cell>
          <cell r="J1591">
            <v>7.1050000000000004</v>
          </cell>
        </row>
        <row r="1592">
          <cell r="A1592" t="str">
            <v>LU1894685392</v>
          </cell>
          <cell r="B1592" t="str">
            <v>AMUNDI FUNDS PIONEER US EQUITY RESEARCH VALUE</v>
          </cell>
          <cell r="C1592" t="str">
            <v>Class M EUR Hgd (C)</v>
          </cell>
          <cell r="D1592" t="str">
            <v>EUR</v>
          </cell>
          <cell r="E1592" t="str">
            <v>03-Jan-2022</v>
          </cell>
          <cell r="F1592">
            <v>7412.64</v>
          </cell>
          <cell r="G1592">
            <v>5.2370000000000001</v>
          </cell>
          <cell r="H1592">
            <v>1415.44</v>
          </cell>
          <cell r="I1592">
            <v>0</v>
          </cell>
          <cell r="J1592">
            <v>1415.44</v>
          </cell>
        </row>
        <row r="1593">
          <cell r="A1593" t="str">
            <v>LU1894685475</v>
          </cell>
          <cell r="B1593" t="str">
            <v>AMUNDI FUNDS PIONEER US EQUITY RESEARCH VALUE</v>
          </cell>
          <cell r="C1593" t="str">
            <v>Class M USD (C)</v>
          </cell>
          <cell r="D1593" t="str">
            <v>USD</v>
          </cell>
          <cell r="E1593" t="str">
            <v>03-Jan-2022</v>
          </cell>
          <cell r="F1593">
            <v>9899845.4700000007</v>
          </cell>
          <cell r="G1593">
            <v>6692.2759999999998</v>
          </cell>
          <cell r="H1593">
            <v>1479.29</v>
          </cell>
          <cell r="I1593">
            <v>0</v>
          </cell>
          <cell r="J1593">
            <v>1479.29</v>
          </cell>
        </row>
        <row r="1594">
          <cell r="A1594" t="str">
            <v>LU1894686523</v>
          </cell>
          <cell r="B1594" t="str">
            <v>AMUNDI FUNDS PIONEER US EQUITY RESEARCH VALUE</v>
          </cell>
          <cell r="C1594" t="str">
            <v>Class R2 EUR (C)</v>
          </cell>
          <cell r="D1594" t="str">
            <v>EUR</v>
          </cell>
          <cell r="E1594" t="str">
            <v>03-Jan-2022</v>
          </cell>
          <cell r="F1594">
            <v>20722982.129999999</v>
          </cell>
          <cell r="G1594">
            <v>260035.37100000001</v>
          </cell>
          <cell r="H1594">
            <v>79.69</v>
          </cell>
          <cell r="I1594">
            <v>0</v>
          </cell>
          <cell r="J1594">
            <v>79.69</v>
          </cell>
        </row>
        <row r="1595">
          <cell r="A1595" t="str">
            <v>LU1894686796</v>
          </cell>
          <cell r="B1595" t="str">
            <v>AMUNDI FUNDS PIONEER US EQUITY RESEARCH VALUE</v>
          </cell>
          <cell r="C1595" t="str">
            <v>Class R2 EUR Hgd (C)</v>
          </cell>
          <cell r="D1595" t="str">
            <v>EUR</v>
          </cell>
          <cell r="E1595" t="str">
            <v>03-Jan-2022</v>
          </cell>
          <cell r="F1595">
            <v>487711.14</v>
          </cell>
          <cell r="G1595">
            <v>6874.3869999999997</v>
          </cell>
          <cell r="H1595">
            <v>70.95</v>
          </cell>
          <cell r="I1595">
            <v>0</v>
          </cell>
          <cell r="J1595">
            <v>70.95</v>
          </cell>
        </row>
        <row r="1596">
          <cell r="A1596" t="str">
            <v>LU1894685632</v>
          </cell>
          <cell r="B1596" t="str">
            <v>AMUNDI FUNDS PIONEER US EQUITY RESEARCH VALUE</v>
          </cell>
          <cell r="C1596" t="str">
            <v>Class P2 USD (C)</v>
          </cell>
          <cell r="D1596" t="str">
            <v>USD</v>
          </cell>
          <cell r="E1596" t="str">
            <v>03-Jan-2022</v>
          </cell>
          <cell r="F1596">
            <v>8863.4699999999993</v>
          </cell>
          <cell r="G1596">
            <v>119.556</v>
          </cell>
          <cell r="H1596">
            <v>74.14</v>
          </cell>
          <cell r="I1596">
            <v>0</v>
          </cell>
          <cell r="J1596">
            <v>74.14</v>
          </cell>
        </row>
        <row r="1597">
          <cell r="A1597" t="str">
            <v>LU1894685715</v>
          </cell>
          <cell r="B1597" t="str">
            <v>AMUNDI FUNDS PIONEER US EQUITY RESEARCH VALUE</v>
          </cell>
          <cell r="C1597" t="str">
            <v>Class Q-D USD (C)</v>
          </cell>
          <cell r="D1597" t="str">
            <v>USD</v>
          </cell>
          <cell r="E1597" t="str">
            <v>03-Jan-2022</v>
          </cell>
          <cell r="F1597">
            <v>353335.36</v>
          </cell>
          <cell r="G1597">
            <v>4696.1989999999996</v>
          </cell>
          <cell r="H1597">
            <v>75.239999999999995</v>
          </cell>
          <cell r="I1597">
            <v>0</v>
          </cell>
          <cell r="J1597">
            <v>77.5</v>
          </cell>
        </row>
        <row r="1598">
          <cell r="A1598" t="str">
            <v>LU1894686366</v>
          </cell>
          <cell r="B1598" t="str">
            <v>AMUNDI FUNDS PIONEER US EQUITY RESEARCH VALUE</v>
          </cell>
          <cell r="C1598" t="str">
            <v>Class R USD (C)</v>
          </cell>
          <cell r="D1598" t="str">
            <v>USD</v>
          </cell>
          <cell r="E1598" t="str">
            <v>03-Jan-2022</v>
          </cell>
          <cell r="F1598">
            <v>1237069.55</v>
          </cell>
          <cell r="G1598">
            <v>16772.538</v>
          </cell>
          <cell r="H1598">
            <v>73.760000000000005</v>
          </cell>
          <cell r="I1598">
            <v>0</v>
          </cell>
          <cell r="J1598">
            <v>73.760000000000005</v>
          </cell>
        </row>
        <row r="1599">
          <cell r="A1599" t="str">
            <v>LU1894686440</v>
          </cell>
          <cell r="B1599" t="str">
            <v>AMUNDI FUNDS PIONEER US EQUITY RESEARCH VALUE</v>
          </cell>
          <cell r="C1599" t="str">
            <v>Class R USD AD (D)</v>
          </cell>
          <cell r="D1599" t="str">
            <v>USD</v>
          </cell>
          <cell r="E1599" t="str">
            <v>03-Jan-2022</v>
          </cell>
          <cell r="F1599">
            <v>755532.46</v>
          </cell>
          <cell r="G1599">
            <v>10474.481</v>
          </cell>
          <cell r="H1599">
            <v>72.13</v>
          </cell>
          <cell r="I1599">
            <v>0</v>
          </cell>
          <cell r="J1599">
            <v>72.13</v>
          </cell>
        </row>
        <row r="1600">
          <cell r="A1600" t="str">
            <v>LU1894686879</v>
          </cell>
          <cell r="B1600" t="str">
            <v>AMUNDI FUNDS PIONEER US EQUITY RESEARCH VALUE</v>
          </cell>
          <cell r="C1600" t="str">
            <v>Class R2 USD (C)</v>
          </cell>
          <cell r="D1600" t="str">
            <v>USD</v>
          </cell>
          <cell r="E1600" t="str">
            <v>03-Jan-2022</v>
          </cell>
          <cell r="F1600">
            <v>44071.12</v>
          </cell>
          <cell r="G1600">
            <v>489.69200000000001</v>
          </cell>
          <cell r="H1600">
            <v>90</v>
          </cell>
          <cell r="I1600">
            <v>0</v>
          </cell>
          <cell r="J1600">
            <v>90</v>
          </cell>
        </row>
        <row r="1601">
          <cell r="A1601" t="str">
            <v>LU1894684668</v>
          </cell>
          <cell r="B1601" t="str">
            <v>AMUNDI FUNDS PIONEER US EQUITY RESEARCH VALUE</v>
          </cell>
          <cell r="C1601" t="str">
            <v>Class I EUR Hgd (C)</v>
          </cell>
          <cell r="D1601" t="str">
            <v>EUR</v>
          </cell>
          <cell r="E1601" t="str">
            <v>03-Jan-2022</v>
          </cell>
          <cell r="F1601">
            <v>5601455.8499999996</v>
          </cell>
          <cell r="G1601">
            <v>3958.85</v>
          </cell>
          <cell r="H1601">
            <v>1414.92</v>
          </cell>
          <cell r="I1601">
            <v>0</v>
          </cell>
          <cell r="J1601">
            <v>1414.92</v>
          </cell>
        </row>
        <row r="1602">
          <cell r="A1602" t="str">
            <v>LU1894684742</v>
          </cell>
          <cell r="B1602" t="str">
            <v>AMUNDI FUNDS PIONEER US EQUITY RESEARCH VALUE</v>
          </cell>
          <cell r="C1602" t="str">
            <v>Class I USD (C)</v>
          </cell>
          <cell r="D1602" t="str">
            <v>USD</v>
          </cell>
          <cell r="E1602" t="str">
            <v>03-Jan-2022</v>
          </cell>
          <cell r="F1602">
            <v>33437221.870000001</v>
          </cell>
          <cell r="G1602">
            <v>22648.898000000001</v>
          </cell>
          <cell r="H1602">
            <v>1476.33</v>
          </cell>
          <cell r="I1602">
            <v>0</v>
          </cell>
          <cell r="J1602">
            <v>1476.33</v>
          </cell>
        </row>
        <row r="1603">
          <cell r="A1603" t="str">
            <v>LU1894684825</v>
          </cell>
          <cell r="B1603" t="str">
            <v>AMUNDI FUNDS PIONEER US EQUITY RESEARCH VALUE</v>
          </cell>
          <cell r="C1603" t="str">
            <v>Class I USD AD (D)</v>
          </cell>
          <cell r="D1603" t="str">
            <v>USD</v>
          </cell>
          <cell r="E1603" t="str">
            <v>03-Jan-2022</v>
          </cell>
          <cell r="F1603">
            <v>9241977.8499999996</v>
          </cell>
          <cell r="G1603">
            <v>6423.2529999999997</v>
          </cell>
          <cell r="H1603">
            <v>1438.83</v>
          </cell>
          <cell r="I1603">
            <v>0</v>
          </cell>
          <cell r="J1603">
            <v>1438.83</v>
          </cell>
        </row>
        <row r="1604">
          <cell r="A1604" t="str">
            <v>LU2110862203</v>
          </cell>
          <cell r="B1604" t="str">
            <v>AMUNDI FUNDS PIONEER US EQUITY RESEARCH VALUE</v>
          </cell>
          <cell r="C1604" t="str">
            <v>Class Z USD ( C )</v>
          </cell>
          <cell r="D1604" t="str">
            <v>USD</v>
          </cell>
          <cell r="E1604" t="str">
            <v>03-Jan-2022</v>
          </cell>
          <cell r="F1604">
            <v>9990803.6699999999</v>
          </cell>
          <cell r="G1604">
            <v>6317.6229999999996</v>
          </cell>
          <cell r="H1604">
            <v>1581.42</v>
          </cell>
          <cell r="I1604">
            <v>0</v>
          </cell>
          <cell r="J1604">
            <v>1581.42</v>
          </cell>
        </row>
        <row r="1605">
          <cell r="A1605" t="str">
            <v>LU1883854199</v>
          </cell>
          <cell r="B1605" t="str">
            <v>AMUNDI FUNDS PIONEER US EQUITY FUNDAMENTAL GROWTH</v>
          </cell>
          <cell r="C1605" t="str">
            <v>Class A EUR (C)</v>
          </cell>
          <cell r="D1605" t="str">
            <v>EUR</v>
          </cell>
          <cell r="E1605" t="str">
            <v>03-Jan-2022</v>
          </cell>
          <cell r="F1605">
            <v>553947806.80999994</v>
          </cell>
          <cell r="G1605">
            <v>1231176.5160000001</v>
          </cell>
          <cell r="H1605">
            <v>449.93</v>
          </cell>
          <cell r="I1605">
            <v>0</v>
          </cell>
          <cell r="J1605">
            <v>470.18</v>
          </cell>
        </row>
        <row r="1606">
          <cell r="A1606" t="str">
            <v>LU2032056603</v>
          </cell>
          <cell r="B1606" t="str">
            <v>AMUNDI FUNDS PIONEER US EQUITY FUNDAMENTAL GROWTH</v>
          </cell>
          <cell r="C1606" t="str">
            <v>Class A5 EUR (C)</v>
          </cell>
          <cell r="D1606" t="str">
            <v>EUR</v>
          </cell>
          <cell r="E1606" t="str">
            <v>03-Jan-2022</v>
          </cell>
          <cell r="F1606">
            <v>638105.52</v>
          </cell>
          <cell r="G1606">
            <v>7919.835</v>
          </cell>
          <cell r="H1606">
            <v>80.569999999999993</v>
          </cell>
          <cell r="I1606">
            <v>0</v>
          </cell>
          <cell r="J1606">
            <v>80.569999999999993</v>
          </cell>
        </row>
        <row r="1607">
          <cell r="A1607" t="str">
            <v>LU1883854439</v>
          </cell>
          <cell r="B1607" t="str">
            <v>AMUNDI FUNDS PIONEER US EQUITY FUNDAMENTAL GROWTH</v>
          </cell>
          <cell r="C1607" t="str">
            <v>Class A USD AD (D)</v>
          </cell>
          <cell r="D1607" t="str">
            <v>USD</v>
          </cell>
          <cell r="E1607" t="str">
            <v>03-Jan-2022</v>
          </cell>
          <cell r="F1607">
            <v>5416094.0099999998</v>
          </cell>
          <cell r="G1607">
            <v>43271.273999999998</v>
          </cell>
          <cell r="H1607">
            <v>125.17</v>
          </cell>
          <cell r="I1607">
            <v>0</v>
          </cell>
          <cell r="J1607">
            <v>130.80000000000001</v>
          </cell>
        </row>
        <row r="1608">
          <cell r="A1608" t="str">
            <v>LU1883854272</v>
          </cell>
          <cell r="B1608" t="str">
            <v>AMUNDI FUNDS PIONEER US EQUITY FUNDAMENTAL GROWTH</v>
          </cell>
          <cell r="C1608" t="str">
            <v>Class A EUR Hgd (C)</v>
          </cell>
          <cell r="D1608" t="str">
            <v>EUR</v>
          </cell>
          <cell r="E1608" t="str">
            <v>03-Jan-2022</v>
          </cell>
          <cell r="F1608">
            <v>65246914.090000004</v>
          </cell>
          <cell r="G1608">
            <v>365756.32699999999</v>
          </cell>
          <cell r="H1608">
            <v>178.39</v>
          </cell>
          <cell r="I1608">
            <v>0</v>
          </cell>
          <cell r="J1608">
            <v>186.42</v>
          </cell>
        </row>
        <row r="1609">
          <cell r="A1609" t="str">
            <v>LU1883854355</v>
          </cell>
          <cell r="B1609" t="str">
            <v>AMUNDI FUNDS PIONEER US EQUITY FUNDAMENTAL GROWTH</v>
          </cell>
          <cell r="C1609" t="str">
            <v>Class A USD (C)</v>
          </cell>
          <cell r="D1609" t="str">
            <v>USD</v>
          </cell>
          <cell r="E1609" t="str">
            <v>03-Jan-2022</v>
          </cell>
          <cell r="F1609">
            <v>414078493.69999999</v>
          </cell>
          <cell r="G1609">
            <v>814651.23699999996</v>
          </cell>
          <cell r="H1609">
            <v>508.29</v>
          </cell>
          <cell r="I1609">
            <v>0</v>
          </cell>
          <cell r="J1609">
            <v>531.16</v>
          </cell>
        </row>
        <row r="1610">
          <cell r="A1610" t="str">
            <v>LU1883856053</v>
          </cell>
          <cell r="B1610" t="str">
            <v>AMUNDI FUNDS PIONEER US EQUITY FUNDAMENTAL GROWTH</v>
          </cell>
          <cell r="C1610" t="str">
            <v>Class M2 EUR (C)</v>
          </cell>
          <cell r="D1610" t="str">
            <v>EUR</v>
          </cell>
          <cell r="E1610" t="str">
            <v>03-Jan-2022</v>
          </cell>
          <cell r="F1610">
            <v>127380413.11</v>
          </cell>
          <cell r="G1610">
            <v>15829.031999999999</v>
          </cell>
          <cell r="H1610">
            <v>8047.26</v>
          </cell>
          <cell r="I1610">
            <v>0</v>
          </cell>
          <cell r="J1610">
            <v>8047.26</v>
          </cell>
        </row>
        <row r="1611">
          <cell r="A1611" t="str">
            <v>LU2002723661</v>
          </cell>
          <cell r="B1611" t="str">
            <v>AMUNDI FUNDS PIONEER US EQUITY FUNDAMENTAL GROWTH</v>
          </cell>
          <cell r="C1611" t="str">
            <v>Class M2 EUR Hgd (C)</v>
          </cell>
          <cell r="D1611" t="str">
            <v>EUR</v>
          </cell>
          <cell r="E1611" t="str">
            <v>03-Jan-2022</v>
          </cell>
          <cell r="F1611">
            <v>168162.94</v>
          </cell>
          <cell r="G1611">
            <v>100</v>
          </cell>
          <cell r="H1611">
            <v>1681.63</v>
          </cell>
          <cell r="I1611">
            <v>0</v>
          </cell>
          <cell r="J1611">
            <v>1681.63</v>
          </cell>
        </row>
        <row r="1612">
          <cell r="A1612" t="str">
            <v>LU1883854603</v>
          </cell>
          <cell r="B1612" t="str">
            <v>AMUNDI FUNDS PIONEER US EQUITY FUNDAMENTAL GROWTH</v>
          </cell>
          <cell r="C1612" t="str">
            <v>Class C EUR (C)</v>
          </cell>
          <cell r="D1612" t="str">
            <v>EUR</v>
          </cell>
          <cell r="E1612" t="str">
            <v>03-Jan-2022</v>
          </cell>
          <cell r="F1612">
            <v>15805635.26</v>
          </cell>
          <cell r="G1612">
            <v>39759.752999999997</v>
          </cell>
          <cell r="H1612">
            <v>397.53</v>
          </cell>
          <cell r="I1612">
            <v>0</v>
          </cell>
          <cell r="J1612">
            <v>397.53</v>
          </cell>
        </row>
        <row r="1613">
          <cell r="A1613" t="str">
            <v>LU1883854785</v>
          </cell>
          <cell r="B1613" t="str">
            <v>AMUNDI FUNDS PIONEER US EQUITY FUNDAMENTAL GROWTH</v>
          </cell>
          <cell r="C1613" t="str">
            <v>Class C USD (C)</v>
          </cell>
          <cell r="D1613" t="str">
            <v>USD</v>
          </cell>
          <cell r="E1613" t="str">
            <v>03-Jan-2022</v>
          </cell>
          <cell r="F1613">
            <v>120550769.88</v>
          </cell>
          <cell r="G1613">
            <v>268544.87300000002</v>
          </cell>
          <cell r="H1613">
            <v>448.9</v>
          </cell>
          <cell r="I1613">
            <v>0</v>
          </cell>
          <cell r="J1613">
            <v>448.9</v>
          </cell>
        </row>
        <row r="1614">
          <cell r="A1614" t="str">
            <v>LU1883854868</v>
          </cell>
          <cell r="B1614" t="str">
            <v>AMUNDI FUNDS PIONEER US EQUITY FUNDAMENTAL GROWTH</v>
          </cell>
          <cell r="C1614" t="str">
            <v>Class E2 EUR (C)</v>
          </cell>
          <cell r="D1614" t="str">
            <v>EUR</v>
          </cell>
          <cell r="E1614" t="str">
            <v>03-Jan-2022</v>
          </cell>
          <cell r="F1614">
            <v>406350426.24000001</v>
          </cell>
          <cell r="G1614">
            <v>11238100.345000001</v>
          </cell>
          <cell r="H1614">
            <v>36.158000000000001</v>
          </cell>
          <cell r="I1614">
            <v>0</v>
          </cell>
          <cell r="J1614">
            <v>36.158000000000001</v>
          </cell>
        </row>
        <row r="1615">
          <cell r="A1615" t="str">
            <v>LU1883854942</v>
          </cell>
          <cell r="B1615" t="str">
            <v>AMUNDI FUNDS PIONEER US EQUITY FUNDAMENTAL GROWTH</v>
          </cell>
          <cell r="C1615" t="str">
            <v>Class E2 EUR Hgd (C)</v>
          </cell>
          <cell r="D1615" t="str">
            <v>EUR</v>
          </cell>
          <cell r="E1615" t="str">
            <v>03-Jan-2022</v>
          </cell>
          <cell r="F1615">
            <v>62169428.890000001</v>
          </cell>
          <cell r="G1615">
            <v>190691.38800000001</v>
          </cell>
          <cell r="H1615">
            <v>326.02100000000002</v>
          </cell>
          <cell r="I1615">
            <v>0</v>
          </cell>
          <cell r="J1615">
            <v>326.02100000000002</v>
          </cell>
        </row>
        <row r="1616">
          <cell r="A1616" t="str">
            <v>LU1883855089</v>
          </cell>
          <cell r="B1616" t="str">
            <v>AMUNDI FUNDS PIONEER US EQUITY FUNDAMENTAL GROWTH</v>
          </cell>
          <cell r="C1616" t="str">
            <v>Class F EUR (C)</v>
          </cell>
          <cell r="D1616" t="str">
            <v>EUR</v>
          </cell>
          <cell r="E1616" t="str">
            <v>03-Jan-2022</v>
          </cell>
          <cell r="F1616">
            <v>53836429.219999999</v>
          </cell>
          <cell r="G1616">
            <v>1311261.773</v>
          </cell>
          <cell r="H1616">
            <v>41.057000000000002</v>
          </cell>
          <cell r="I1616">
            <v>0</v>
          </cell>
          <cell r="J1616">
            <v>41.057000000000002</v>
          </cell>
        </row>
        <row r="1617">
          <cell r="A1617" t="str">
            <v>LU1897311590</v>
          </cell>
          <cell r="B1617" t="str">
            <v>AMUNDI FUNDS PIONEER US EQUITY FUNDAMENTAL GROWTH</v>
          </cell>
          <cell r="C1617" t="str">
            <v>Class I2 GBP (C)</v>
          </cell>
          <cell r="D1617" t="str">
            <v>GBP</v>
          </cell>
          <cell r="E1617" t="str">
            <v>03-Jan-2022</v>
          </cell>
          <cell r="F1617">
            <v>7753.4</v>
          </cell>
          <cell r="G1617">
            <v>5</v>
          </cell>
          <cell r="H1617">
            <v>1550.68</v>
          </cell>
          <cell r="I1617">
            <v>0</v>
          </cell>
          <cell r="J1617">
            <v>1550.68</v>
          </cell>
        </row>
        <row r="1618">
          <cell r="A1618" t="str">
            <v>LU2361678019</v>
          </cell>
          <cell r="B1618" t="str">
            <v>AMUNDI FUNDS PIONEER US EQUITY FUNDAMENTAL GROWTH</v>
          </cell>
          <cell r="C1618" t="str">
            <v>Class I EUR (C)</v>
          </cell>
          <cell r="D1618" t="str">
            <v>EUR</v>
          </cell>
          <cell r="E1618" t="str">
            <v>03-Jan-2022</v>
          </cell>
          <cell r="F1618">
            <v>43010050.829999998</v>
          </cell>
          <cell r="G1618">
            <v>37436.688999999998</v>
          </cell>
          <cell r="H1618">
            <v>1148.8699999999999</v>
          </cell>
          <cell r="I1618">
            <v>0</v>
          </cell>
          <cell r="J1618">
            <v>1148.8699999999999</v>
          </cell>
        </row>
        <row r="1619">
          <cell r="A1619" t="str">
            <v>LU1883855675</v>
          </cell>
          <cell r="B1619" t="str">
            <v>AMUNDI FUNDS PIONEER US EQUITY FUNDAMENTAL GROWTH</v>
          </cell>
          <cell r="C1619" t="str">
            <v>Class I2 USD (C)</v>
          </cell>
          <cell r="D1619" t="str">
            <v>USD</v>
          </cell>
          <cell r="E1619" t="str">
            <v>03-Jan-2022</v>
          </cell>
          <cell r="F1619">
            <v>336452508.51999998</v>
          </cell>
          <cell r="G1619">
            <v>29213.303</v>
          </cell>
          <cell r="H1619">
            <v>11517.1</v>
          </cell>
          <cell r="I1619">
            <v>0</v>
          </cell>
          <cell r="J1619">
            <v>11517.1</v>
          </cell>
        </row>
        <row r="1620">
          <cell r="A1620" t="str">
            <v>LU1883855758</v>
          </cell>
          <cell r="B1620" t="str">
            <v>AMUNDI FUNDS PIONEER US EQUITY FUNDAMENTAL GROWTH</v>
          </cell>
          <cell r="C1620" t="str">
            <v>Class I2 USD AD (D)</v>
          </cell>
          <cell r="D1620" t="str">
            <v>USD</v>
          </cell>
          <cell r="E1620" t="str">
            <v>03-Jan-2022</v>
          </cell>
          <cell r="F1620">
            <v>487416.29</v>
          </cell>
          <cell r="G1620">
            <v>190.636</v>
          </cell>
          <cell r="H1620">
            <v>2556.79</v>
          </cell>
          <cell r="I1620">
            <v>0</v>
          </cell>
          <cell r="J1620">
            <v>2556.79</v>
          </cell>
        </row>
        <row r="1621">
          <cell r="A1621" t="str">
            <v>LU1883855592</v>
          </cell>
          <cell r="B1621" t="str">
            <v>AMUNDI FUNDS PIONEER US EQUITY FUNDAMENTAL GROWTH</v>
          </cell>
          <cell r="C1621" t="str">
            <v>Class I2 EUR Hgd AD (D)</v>
          </cell>
          <cell r="D1621" t="str">
            <v>EUR</v>
          </cell>
          <cell r="E1621" t="str">
            <v>03-Jan-2022</v>
          </cell>
          <cell r="F1621">
            <v>33236102.73</v>
          </cell>
          <cell r="G1621">
            <v>13814</v>
          </cell>
          <cell r="H1621">
            <v>2405.9699999999998</v>
          </cell>
          <cell r="I1621">
            <v>0</v>
          </cell>
          <cell r="J1621">
            <v>2405.9699999999998</v>
          </cell>
        </row>
        <row r="1622">
          <cell r="A1622" t="str">
            <v>LU1883855329</v>
          </cell>
          <cell r="B1622" t="str">
            <v>AMUNDI FUNDS PIONEER US EQUITY FUNDAMENTAL GROWTH</v>
          </cell>
          <cell r="C1622" t="str">
            <v>Class I2 EUR Hgd (C)</v>
          </cell>
          <cell r="D1622" t="str">
            <v>EUR</v>
          </cell>
          <cell r="E1622" t="str">
            <v>03-Jan-2022</v>
          </cell>
          <cell r="F1622">
            <v>18479914.66</v>
          </cell>
          <cell r="G1622">
            <v>7956.5940000000001</v>
          </cell>
          <cell r="H1622">
            <v>2322.59</v>
          </cell>
          <cell r="I1622">
            <v>0</v>
          </cell>
          <cell r="J1622">
            <v>2322.59</v>
          </cell>
        </row>
        <row r="1623">
          <cell r="A1623" t="str">
            <v>LU1883855246</v>
          </cell>
          <cell r="B1623" t="str">
            <v>AMUNDI FUNDS PIONEER US EQUITY FUNDAMENTAL GROWTH</v>
          </cell>
          <cell r="C1623" t="str">
            <v>Class I2 EUR (C)</v>
          </cell>
          <cell r="D1623" t="str">
            <v>EUR</v>
          </cell>
          <cell r="E1623" t="str">
            <v>03-Jan-2022</v>
          </cell>
          <cell r="F1623">
            <v>48447129.229999997</v>
          </cell>
          <cell r="G1623">
            <v>4750.0219999999999</v>
          </cell>
          <cell r="H1623">
            <v>10199.35</v>
          </cell>
          <cell r="I1623">
            <v>0</v>
          </cell>
          <cell r="J1623">
            <v>10199.35</v>
          </cell>
        </row>
        <row r="1624">
          <cell r="A1624" t="str">
            <v>LU2052287567</v>
          </cell>
          <cell r="B1624" t="str">
            <v>AMUNDI FUNDS PIONEER US EQUITY FUNDAMENTAL GROWTH</v>
          </cell>
          <cell r="C1624" t="str">
            <v>Class J3 GBP AD (D)</v>
          </cell>
          <cell r="D1624" t="str">
            <v>GBP</v>
          </cell>
          <cell r="E1624" t="str">
            <v>03-Jan-2022</v>
          </cell>
          <cell r="F1624">
            <v>7814.89</v>
          </cell>
          <cell r="G1624">
            <v>5</v>
          </cell>
          <cell r="H1624">
            <v>1562.98</v>
          </cell>
          <cell r="I1624">
            <v>0</v>
          </cell>
          <cell r="J1624">
            <v>1562.98</v>
          </cell>
        </row>
        <row r="1625">
          <cell r="A1625" t="str">
            <v>LU2052287484</v>
          </cell>
          <cell r="B1625" t="str">
            <v>AMUNDI FUNDS PIONEER US EQUITY FUNDAMENTAL GROWTH</v>
          </cell>
          <cell r="C1625" t="str">
            <v>Class J3 GBP (C)</v>
          </cell>
          <cell r="D1625" t="str">
            <v>GBP</v>
          </cell>
          <cell r="E1625" t="str">
            <v>03-Jan-2022</v>
          </cell>
          <cell r="F1625">
            <v>7823.8</v>
          </cell>
          <cell r="G1625">
            <v>5</v>
          </cell>
          <cell r="H1625">
            <v>1564.76</v>
          </cell>
          <cell r="I1625">
            <v>0</v>
          </cell>
          <cell r="J1625">
            <v>1564.76</v>
          </cell>
        </row>
        <row r="1626">
          <cell r="A1626" t="str">
            <v>LU1883855832</v>
          </cell>
          <cell r="B1626" t="str">
            <v>AMUNDI FUNDS PIONEER US EQUITY FUNDAMENTAL GROWTH</v>
          </cell>
          <cell r="C1626" t="str">
            <v>Class J2 GBP (C)</v>
          </cell>
          <cell r="D1626" t="str">
            <v>GBP</v>
          </cell>
          <cell r="E1626" t="str">
            <v>03-Jan-2022</v>
          </cell>
          <cell r="F1626">
            <v>52013162.450000003</v>
          </cell>
          <cell r="G1626">
            <v>26277.478999999999</v>
          </cell>
          <cell r="H1626">
            <v>1979.38</v>
          </cell>
          <cell r="I1626">
            <v>0</v>
          </cell>
          <cell r="J1626">
            <v>1979.38</v>
          </cell>
        </row>
        <row r="1627">
          <cell r="A1627" t="str">
            <v>LU1883855915</v>
          </cell>
          <cell r="B1627" t="str">
            <v>AMUNDI FUNDS PIONEER US EQUITY FUNDAMENTAL GROWTH</v>
          </cell>
          <cell r="C1627" t="str">
            <v>Class J2 USD (C)</v>
          </cell>
          <cell r="D1627" t="str">
            <v>USD</v>
          </cell>
          <cell r="E1627" t="str">
            <v>03-Jan-2022</v>
          </cell>
          <cell r="F1627">
            <v>333677937.55000001</v>
          </cell>
          <cell r="G1627">
            <v>125360.01700000001</v>
          </cell>
          <cell r="H1627">
            <v>2661.76</v>
          </cell>
          <cell r="I1627">
            <v>0</v>
          </cell>
          <cell r="J1627">
            <v>2661.76</v>
          </cell>
        </row>
        <row r="1628">
          <cell r="A1628" t="str">
            <v>LU1883855162</v>
          </cell>
          <cell r="B1628" t="str">
            <v>AMUNDI FUNDS PIONEER US EQUITY FUNDAMENTAL GROWTH</v>
          </cell>
          <cell r="C1628" t="str">
            <v>Class G EUR (C)</v>
          </cell>
          <cell r="D1628" t="str">
            <v>EUR</v>
          </cell>
          <cell r="E1628" t="str">
            <v>03-Jan-2022</v>
          </cell>
          <cell r="F1628">
            <v>49904176.420000002</v>
          </cell>
          <cell r="G1628">
            <v>4986376.7050000001</v>
          </cell>
          <cell r="H1628">
            <v>10.007999999999999</v>
          </cell>
          <cell r="I1628">
            <v>0</v>
          </cell>
          <cell r="J1628">
            <v>10.007999999999999</v>
          </cell>
        </row>
        <row r="1629">
          <cell r="A1629" t="str">
            <v>LU1883856301</v>
          </cell>
          <cell r="B1629" t="str">
            <v>AMUNDI FUNDS PIONEER US EQUITY FUNDAMENTAL GROWTH</v>
          </cell>
          <cell r="C1629" t="str">
            <v>Class R2 EUR (C)</v>
          </cell>
          <cell r="D1629" t="str">
            <v>EUR</v>
          </cell>
          <cell r="E1629" t="str">
            <v>03-Jan-2022</v>
          </cell>
          <cell r="F1629">
            <v>9436944.0899999999</v>
          </cell>
          <cell r="G1629">
            <v>49571.853999999999</v>
          </cell>
          <cell r="H1629">
            <v>190.37</v>
          </cell>
          <cell r="I1629">
            <v>0</v>
          </cell>
          <cell r="J1629">
            <v>190.37</v>
          </cell>
        </row>
        <row r="1630">
          <cell r="A1630" t="str">
            <v>LU1883856566</v>
          </cell>
          <cell r="B1630" t="str">
            <v>AMUNDI FUNDS PIONEER US EQUITY FUNDAMENTAL GROWTH</v>
          </cell>
          <cell r="C1630" t="str">
            <v>Class R2 GBP (C)</v>
          </cell>
          <cell r="D1630" t="str">
            <v>GBP</v>
          </cell>
          <cell r="E1630" t="str">
            <v>03-Jan-2022</v>
          </cell>
          <cell r="F1630">
            <v>4080970</v>
          </cell>
          <cell r="G1630">
            <v>17064.737000000001</v>
          </cell>
          <cell r="H1630">
            <v>239.15</v>
          </cell>
          <cell r="I1630">
            <v>0</v>
          </cell>
          <cell r="J1630">
            <v>239.15</v>
          </cell>
        </row>
        <row r="1631">
          <cell r="A1631" t="str">
            <v>LU1883856483</v>
          </cell>
          <cell r="B1631" t="str">
            <v>AMUNDI FUNDS PIONEER US EQUITY FUNDAMENTAL GROWTH</v>
          </cell>
          <cell r="C1631" t="str">
            <v>Class R2 EUR Hgd (C)</v>
          </cell>
          <cell r="D1631" t="str">
            <v>EUR</v>
          </cell>
          <cell r="E1631" t="str">
            <v>03-Jan-2022</v>
          </cell>
          <cell r="F1631">
            <v>7983184.8399999999</v>
          </cell>
          <cell r="G1631">
            <v>83022.877999999997</v>
          </cell>
          <cell r="H1631">
            <v>96.16</v>
          </cell>
          <cell r="I1631">
            <v>0</v>
          </cell>
          <cell r="J1631">
            <v>96.16</v>
          </cell>
        </row>
        <row r="1632">
          <cell r="A1632" t="str">
            <v>LU1883856137</v>
          </cell>
          <cell r="B1632" t="str">
            <v>AMUNDI FUNDS PIONEER US EQUITY FUNDAMENTAL GROWTH</v>
          </cell>
          <cell r="C1632" t="str">
            <v>Class P2 USD (C)</v>
          </cell>
          <cell r="D1632" t="str">
            <v>USD</v>
          </cell>
          <cell r="E1632" t="str">
            <v>03-Jan-2022</v>
          </cell>
          <cell r="F1632">
            <v>28760506.739999998</v>
          </cell>
          <cell r="G1632">
            <v>227336.15</v>
          </cell>
          <cell r="H1632">
            <v>126.51</v>
          </cell>
          <cell r="I1632">
            <v>0</v>
          </cell>
          <cell r="J1632">
            <v>126.51</v>
          </cell>
        </row>
        <row r="1633">
          <cell r="A1633" t="str">
            <v>LU1883856210</v>
          </cell>
          <cell r="B1633" t="str">
            <v>AMUNDI FUNDS PIONEER US EQUITY FUNDAMENTAL GROWTH</v>
          </cell>
          <cell r="C1633" t="str">
            <v>Class Q-D USD (C)</v>
          </cell>
          <cell r="D1633" t="str">
            <v>USD</v>
          </cell>
          <cell r="E1633" t="str">
            <v>03-Jan-2022</v>
          </cell>
          <cell r="F1633">
            <v>14681422.91</v>
          </cell>
          <cell r="G1633">
            <v>70657.440000000002</v>
          </cell>
          <cell r="H1633">
            <v>207.78</v>
          </cell>
          <cell r="I1633">
            <v>0</v>
          </cell>
          <cell r="J1633">
            <v>214.01</v>
          </cell>
        </row>
        <row r="1634">
          <cell r="A1634" t="str">
            <v>LU2259109366</v>
          </cell>
          <cell r="B1634" t="str">
            <v>AMUNDI FUNDS PIONEER US EQUITY FUNDAMENTAL GROWTH</v>
          </cell>
          <cell r="C1634" t="str">
            <v>Class R3 GBP AD (D)</v>
          </cell>
          <cell r="D1634" t="str">
            <v>GBP</v>
          </cell>
          <cell r="E1634" t="str">
            <v>03-Jan-2022</v>
          </cell>
          <cell r="F1634">
            <v>6344.08</v>
          </cell>
          <cell r="G1634">
            <v>500</v>
          </cell>
          <cell r="H1634">
            <v>12.69</v>
          </cell>
          <cell r="I1634">
            <v>0</v>
          </cell>
          <cell r="J1634">
            <v>12.69</v>
          </cell>
        </row>
        <row r="1635">
          <cell r="A1635" t="str">
            <v>LU2259109283</v>
          </cell>
          <cell r="B1635" t="str">
            <v>AMUNDI FUNDS PIONEER US EQUITY FUNDAMENTAL GROWTH</v>
          </cell>
          <cell r="C1635" t="str">
            <v>Class R3 GBP (C)</v>
          </cell>
          <cell r="D1635" t="str">
            <v>GBP</v>
          </cell>
          <cell r="E1635" t="str">
            <v>03-Jan-2022</v>
          </cell>
          <cell r="F1635">
            <v>6344.08</v>
          </cell>
          <cell r="G1635">
            <v>500</v>
          </cell>
          <cell r="H1635">
            <v>12.69</v>
          </cell>
          <cell r="I1635">
            <v>0</v>
          </cell>
          <cell r="J1635">
            <v>12.69</v>
          </cell>
        </row>
        <row r="1636">
          <cell r="A1636" t="str">
            <v>LU1883856640</v>
          </cell>
          <cell r="B1636" t="str">
            <v>AMUNDI FUNDS PIONEER US EQUITY FUNDAMENTAL GROWTH</v>
          </cell>
          <cell r="C1636" t="str">
            <v>Class R2 USD (C)</v>
          </cell>
          <cell r="D1636" t="str">
            <v>USD</v>
          </cell>
          <cell r="E1636" t="str">
            <v>03-Jan-2022</v>
          </cell>
          <cell r="F1636">
            <v>21400335.149999999</v>
          </cell>
          <cell r="G1636">
            <v>99548.762000000002</v>
          </cell>
          <cell r="H1636">
            <v>214.97</v>
          </cell>
          <cell r="I1636">
            <v>0</v>
          </cell>
          <cell r="J1636">
            <v>214.97</v>
          </cell>
        </row>
        <row r="1637">
          <cell r="A1637" t="str">
            <v>LU2036673700</v>
          </cell>
          <cell r="B1637" t="str">
            <v>AMUNDI FUNDS PIONEER US EQUITY FUNDAMENTAL GROWTH</v>
          </cell>
          <cell r="C1637" t="str">
            <v>Class G EUR Hgd (C)</v>
          </cell>
          <cell r="D1637" t="str">
            <v>EUR</v>
          </cell>
          <cell r="E1637" t="str">
            <v>03-Jan-2022</v>
          </cell>
          <cell r="F1637">
            <v>9437657.0199999996</v>
          </cell>
          <cell r="G1637">
            <v>1186113.1129999999</v>
          </cell>
          <cell r="H1637">
            <v>7.9569999999999999</v>
          </cell>
          <cell r="I1637">
            <v>0</v>
          </cell>
          <cell r="J1637">
            <v>7.9569999999999999</v>
          </cell>
        </row>
        <row r="1638">
          <cell r="A1638" t="str">
            <v>LU2034727813</v>
          </cell>
          <cell r="B1638" t="str">
            <v>AMUNDI FUNDS PIONEER US EQUITY FUNDAMENTAL GROWTH</v>
          </cell>
          <cell r="C1638" t="str">
            <v>Class X USD (C)</v>
          </cell>
          <cell r="D1638" t="str">
            <v>USD</v>
          </cell>
          <cell r="E1638" t="str">
            <v>03-Jan-2022</v>
          </cell>
          <cell r="F1638">
            <v>8950.2999999999993</v>
          </cell>
          <cell r="G1638">
            <v>5</v>
          </cell>
          <cell r="H1638">
            <v>1790.06</v>
          </cell>
          <cell r="I1638">
            <v>0</v>
          </cell>
          <cell r="J1638">
            <v>1790.06</v>
          </cell>
        </row>
        <row r="1639">
          <cell r="A1639" t="str">
            <v>LU2040440740</v>
          </cell>
          <cell r="B1639" t="str">
            <v>AMUNDI FUNDS PIONEER US EQUITY FUNDAMENTAL GROWTH</v>
          </cell>
          <cell r="C1639" t="str">
            <v>Class Z USD (C)</v>
          </cell>
          <cell r="D1639" t="str">
            <v>USD</v>
          </cell>
          <cell r="E1639" t="str">
            <v>03-Jan-2022</v>
          </cell>
          <cell r="F1639">
            <v>6459530.7400000002</v>
          </cell>
          <cell r="G1639">
            <v>3793.1709999999998</v>
          </cell>
          <cell r="H1639">
            <v>1702.94</v>
          </cell>
          <cell r="I1639">
            <v>0</v>
          </cell>
          <cell r="J1639">
            <v>1702.94</v>
          </cell>
        </row>
        <row r="1640">
          <cell r="A1640" t="str">
            <v>LU2183143762</v>
          </cell>
          <cell r="B1640" t="str">
            <v>AMUNDI FUNDS GLOBAL MULTI-ASSET</v>
          </cell>
          <cell r="C1640" t="str">
            <v>Class A2 USD (C)</v>
          </cell>
          <cell r="D1640" t="str">
            <v>USD</v>
          </cell>
          <cell r="E1640" t="str">
            <v>03-Jan-2022</v>
          </cell>
          <cell r="F1640">
            <v>559465.13</v>
          </cell>
          <cell r="G1640">
            <v>8670</v>
          </cell>
          <cell r="H1640">
            <v>64.53</v>
          </cell>
          <cell r="I1640">
            <v>0</v>
          </cell>
          <cell r="J1640">
            <v>64.53</v>
          </cell>
        </row>
        <row r="1641">
          <cell r="A1641" t="str">
            <v>LU1883327816</v>
          </cell>
          <cell r="B1641" t="str">
            <v>AMUNDI FUNDS GLOBAL MULTI-ASSET</v>
          </cell>
          <cell r="C1641" t="str">
            <v>Class A EUR (C)</v>
          </cell>
          <cell r="D1641" t="str">
            <v>EUR</v>
          </cell>
          <cell r="E1641" t="str">
            <v>03-Jan-2022</v>
          </cell>
          <cell r="F1641">
            <v>41748800.079999998</v>
          </cell>
          <cell r="G1641">
            <v>327525.62699999998</v>
          </cell>
          <cell r="H1641">
            <v>127.47</v>
          </cell>
          <cell r="I1641">
            <v>0</v>
          </cell>
          <cell r="J1641">
            <v>133.21</v>
          </cell>
        </row>
        <row r="1642">
          <cell r="A1642" t="str">
            <v>LU2183143689</v>
          </cell>
          <cell r="B1642" t="str">
            <v>AMUNDI FUNDS GLOBAL MULTI-ASSET</v>
          </cell>
          <cell r="C1642" t="str">
            <v>Class A2 EUR (C)</v>
          </cell>
          <cell r="D1642" t="str">
            <v>EUR</v>
          </cell>
          <cell r="E1642" t="str">
            <v>03-Jan-2022</v>
          </cell>
          <cell r="F1642">
            <v>30500169.859999999</v>
          </cell>
          <cell r="G1642">
            <v>477401.33299999998</v>
          </cell>
          <cell r="H1642">
            <v>63.89</v>
          </cell>
          <cell r="I1642">
            <v>0</v>
          </cell>
          <cell r="J1642">
            <v>63.89</v>
          </cell>
        </row>
        <row r="1643">
          <cell r="A1643" t="str">
            <v>LU1883327907</v>
          </cell>
          <cell r="B1643" t="str">
            <v>AMUNDI FUNDS GLOBAL MULTI-ASSET</v>
          </cell>
          <cell r="C1643" t="str">
            <v>Class A USD (C)</v>
          </cell>
          <cell r="D1643" t="str">
            <v>USD</v>
          </cell>
          <cell r="E1643" t="str">
            <v>03-Jan-2022</v>
          </cell>
          <cell r="F1643">
            <v>2812201.04</v>
          </cell>
          <cell r="G1643">
            <v>19667.695</v>
          </cell>
          <cell r="H1643">
            <v>142.99</v>
          </cell>
          <cell r="I1643">
            <v>0</v>
          </cell>
          <cell r="J1643">
            <v>149.41999999999999</v>
          </cell>
        </row>
        <row r="1644">
          <cell r="A1644" t="str">
            <v>LU1883328970</v>
          </cell>
          <cell r="B1644" t="str">
            <v>AMUNDI FUNDS GLOBAL MULTI-ASSET</v>
          </cell>
          <cell r="C1644" t="str">
            <v>Class M2 EUR (C)</v>
          </cell>
          <cell r="D1644" t="str">
            <v>EUR</v>
          </cell>
          <cell r="E1644" t="str">
            <v>03-Jan-2022</v>
          </cell>
          <cell r="F1644">
            <v>192085756.50999999</v>
          </cell>
          <cell r="G1644">
            <v>118380.488</v>
          </cell>
          <cell r="H1644">
            <v>1622.61</v>
          </cell>
          <cell r="I1644">
            <v>0</v>
          </cell>
          <cell r="J1644">
            <v>1622.61</v>
          </cell>
        </row>
        <row r="1645">
          <cell r="A1645" t="str">
            <v>LU1883328038</v>
          </cell>
          <cell r="B1645" t="str">
            <v>AMUNDI FUNDS GLOBAL MULTI-ASSET</v>
          </cell>
          <cell r="C1645" t="str">
            <v>Class C EUR (C)</v>
          </cell>
          <cell r="D1645" t="str">
            <v>EUR</v>
          </cell>
          <cell r="E1645" t="str">
            <v>03-Jan-2022</v>
          </cell>
          <cell r="F1645">
            <v>5016907.2300000004</v>
          </cell>
          <cell r="G1645">
            <v>44006.087</v>
          </cell>
          <cell r="H1645">
            <v>114</v>
          </cell>
          <cell r="I1645">
            <v>0</v>
          </cell>
          <cell r="J1645">
            <v>114</v>
          </cell>
        </row>
        <row r="1646">
          <cell r="A1646" t="str">
            <v>LU1883328111</v>
          </cell>
          <cell r="B1646" t="str">
            <v>AMUNDI FUNDS GLOBAL MULTI-ASSET</v>
          </cell>
          <cell r="C1646" t="str">
            <v>Class C USD (C)</v>
          </cell>
          <cell r="D1646" t="str">
            <v>USD</v>
          </cell>
          <cell r="E1646" t="str">
            <v>03-Jan-2022</v>
          </cell>
          <cell r="F1646">
            <v>2300635.16</v>
          </cell>
          <cell r="G1646">
            <v>17872.083999999999</v>
          </cell>
          <cell r="H1646">
            <v>128.72999999999999</v>
          </cell>
          <cell r="I1646">
            <v>0</v>
          </cell>
          <cell r="J1646">
            <v>128.72999999999999</v>
          </cell>
        </row>
        <row r="1647">
          <cell r="A1647" t="str">
            <v>LU2199618633</v>
          </cell>
          <cell r="B1647" t="str">
            <v>AMUNDI FUNDS GLOBAL MULTI-ASSET</v>
          </cell>
          <cell r="C1647" t="str">
            <v>Class I2 CZK Hgd (C)</v>
          </cell>
          <cell r="D1647" t="str">
            <v>CZK</v>
          </cell>
          <cell r="E1647" t="str">
            <v>03-Jan-2022</v>
          </cell>
          <cell r="F1647">
            <v>42811501.859999999</v>
          </cell>
          <cell r="G1647">
            <v>3912.6260000000002</v>
          </cell>
          <cell r="H1647">
            <v>10941.88</v>
          </cell>
          <cell r="I1647">
            <v>0</v>
          </cell>
          <cell r="J1647">
            <v>10941.88</v>
          </cell>
        </row>
        <row r="1648">
          <cell r="A1648" t="str">
            <v>LU1883328202</v>
          </cell>
          <cell r="B1648" t="str">
            <v>AMUNDI FUNDS GLOBAL MULTI-ASSET</v>
          </cell>
          <cell r="C1648" t="str">
            <v>Class E2 EUR (C)</v>
          </cell>
          <cell r="D1648" t="str">
            <v>EUR</v>
          </cell>
          <cell r="E1648" t="str">
            <v>03-Jan-2022</v>
          </cell>
          <cell r="F1648">
            <v>153489393.33000001</v>
          </cell>
          <cell r="G1648">
            <v>11954116.824999999</v>
          </cell>
          <cell r="H1648">
            <v>12.84</v>
          </cell>
          <cell r="I1648">
            <v>0</v>
          </cell>
          <cell r="J1648">
            <v>12.84</v>
          </cell>
        </row>
        <row r="1649">
          <cell r="A1649" t="str">
            <v>LU1883328384</v>
          </cell>
          <cell r="B1649" t="str">
            <v>AMUNDI FUNDS GLOBAL MULTI-ASSET</v>
          </cell>
          <cell r="C1649" t="str">
            <v>Class F EUR (C)</v>
          </cell>
          <cell r="D1649" t="str">
            <v>EUR</v>
          </cell>
          <cell r="E1649" t="str">
            <v>03-Jan-2022</v>
          </cell>
          <cell r="F1649">
            <v>23548207.609999999</v>
          </cell>
          <cell r="G1649">
            <v>2014932.7709999999</v>
          </cell>
          <cell r="H1649">
            <v>11.686999999999999</v>
          </cell>
          <cell r="I1649">
            <v>0</v>
          </cell>
          <cell r="J1649">
            <v>11.686999999999999</v>
          </cell>
        </row>
        <row r="1650">
          <cell r="A1650" t="str">
            <v>LU1897306830</v>
          </cell>
          <cell r="B1650" t="str">
            <v>AMUNDI FUNDS GLOBAL MULTI-ASSET</v>
          </cell>
          <cell r="C1650" t="str">
            <v>Class I2 GBP (C)</v>
          </cell>
          <cell r="D1650" t="str">
            <v>GBP</v>
          </cell>
          <cell r="E1650" t="str">
            <v>03-Jan-2022</v>
          </cell>
          <cell r="F1650">
            <v>5951.36</v>
          </cell>
          <cell r="G1650">
            <v>5</v>
          </cell>
          <cell r="H1650">
            <v>1190.27</v>
          </cell>
          <cell r="I1650">
            <v>0</v>
          </cell>
          <cell r="J1650">
            <v>1190.27</v>
          </cell>
        </row>
        <row r="1651">
          <cell r="A1651" t="str">
            <v>LU1883328624</v>
          </cell>
          <cell r="B1651" t="str">
            <v>AMUNDI FUNDS GLOBAL MULTI-ASSET</v>
          </cell>
          <cell r="C1651" t="str">
            <v>Class I2 USD (C)</v>
          </cell>
          <cell r="D1651" t="str">
            <v>USD</v>
          </cell>
          <cell r="E1651" t="str">
            <v>03-Jan-2022</v>
          </cell>
          <cell r="F1651">
            <v>6735.2</v>
          </cell>
          <cell r="G1651">
            <v>3.6280000000000001</v>
          </cell>
          <cell r="H1651">
            <v>1856.45</v>
          </cell>
          <cell r="I1651">
            <v>0</v>
          </cell>
          <cell r="J1651">
            <v>1856.45</v>
          </cell>
        </row>
        <row r="1652">
          <cell r="A1652" t="str">
            <v>LU1883328897</v>
          </cell>
          <cell r="B1652" t="str">
            <v>AMUNDI FUNDS GLOBAL MULTI-ASSET</v>
          </cell>
          <cell r="C1652" t="str">
            <v>Class I2 USD Hgd (C)</v>
          </cell>
          <cell r="D1652" t="str">
            <v>USD</v>
          </cell>
          <cell r="E1652" t="str">
            <v>03-Jan-2022</v>
          </cell>
          <cell r="F1652">
            <v>171716.92</v>
          </cell>
          <cell r="G1652">
            <v>112</v>
          </cell>
          <cell r="H1652">
            <v>1533.19</v>
          </cell>
          <cell r="I1652">
            <v>0</v>
          </cell>
          <cell r="J1652">
            <v>1533.19</v>
          </cell>
        </row>
        <row r="1653">
          <cell r="A1653" t="str">
            <v>LU1883328541</v>
          </cell>
          <cell r="B1653" t="str">
            <v>AMUNDI FUNDS GLOBAL MULTI-ASSET</v>
          </cell>
          <cell r="C1653" t="str">
            <v>Class I2 EUR (C)</v>
          </cell>
          <cell r="D1653" t="str">
            <v>EUR</v>
          </cell>
          <cell r="E1653" t="str">
            <v>03-Jan-2022</v>
          </cell>
          <cell r="F1653">
            <v>29049807.609999999</v>
          </cell>
          <cell r="G1653">
            <v>17667.881000000001</v>
          </cell>
          <cell r="H1653">
            <v>1644.22</v>
          </cell>
          <cell r="I1653">
            <v>0</v>
          </cell>
          <cell r="J1653">
            <v>1644.22</v>
          </cell>
        </row>
        <row r="1654">
          <cell r="A1654" t="str">
            <v>LU1883328467</v>
          </cell>
          <cell r="B1654" t="str">
            <v>AMUNDI FUNDS GLOBAL MULTI-ASSET</v>
          </cell>
          <cell r="C1654" t="str">
            <v>Class G EUR (C)</v>
          </cell>
          <cell r="D1654" t="str">
            <v>EUR</v>
          </cell>
          <cell r="E1654" t="str">
            <v>03-Jan-2022</v>
          </cell>
          <cell r="F1654">
            <v>148397426</v>
          </cell>
          <cell r="G1654">
            <v>23775633.765000001</v>
          </cell>
          <cell r="H1654">
            <v>6.242</v>
          </cell>
          <cell r="I1654">
            <v>0</v>
          </cell>
          <cell r="J1654">
            <v>6.242</v>
          </cell>
        </row>
        <row r="1655">
          <cell r="A1655" t="str">
            <v>LU1883329192</v>
          </cell>
          <cell r="B1655" t="str">
            <v>AMUNDI FUNDS GLOBAL MULTI-ASSET</v>
          </cell>
          <cell r="C1655" t="str">
            <v>Class R2 EUR (C)</v>
          </cell>
          <cell r="D1655" t="str">
            <v>EUR</v>
          </cell>
          <cell r="E1655" t="str">
            <v>03-Jan-2022</v>
          </cell>
          <cell r="F1655">
            <v>31629.68</v>
          </cell>
          <cell r="G1655">
            <v>475</v>
          </cell>
          <cell r="H1655">
            <v>66.59</v>
          </cell>
          <cell r="I1655">
            <v>0</v>
          </cell>
          <cell r="J1655">
            <v>66.59</v>
          </cell>
        </row>
        <row r="1656">
          <cell r="A1656" t="str">
            <v>LU1883867761</v>
          </cell>
          <cell r="B1656" t="str">
            <v>AMUNDI FUNDS RUSSIAN EQUITY</v>
          </cell>
          <cell r="C1656" t="str">
            <v>Class A EUR (C)</v>
          </cell>
          <cell r="D1656" t="str">
            <v>EUR</v>
          </cell>
          <cell r="E1656" t="str">
            <v>03-Jan-2022</v>
          </cell>
          <cell r="F1656">
            <v>14013236.59</v>
          </cell>
          <cell r="G1656">
            <v>172111.66800000001</v>
          </cell>
          <cell r="H1656">
            <v>81.42</v>
          </cell>
          <cell r="I1656">
            <v>0</v>
          </cell>
          <cell r="J1656">
            <v>85.08</v>
          </cell>
        </row>
        <row r="1657">
          <cell r="A1657" t="str">
            <v>LU1883867845</v>
          </cell>
          <cell r="B1657" t="str">
            <v>AMUNDI FUNDS RUSSIAN EQUITY</v>
          </cell>
          <cell r="C1657" t="str">
            <v>Class A USD (C)</v>
          </cell>
          <cell r="D1657" t="str">
            <v>USD</v>
          </cell>
          <cell r="E1657" t="str">
            <v>03-Jan-2022</v>
          </cell>
          <cell r="F1657">
            <v>4058003.09</v>
          </cell>
          <cell r="G1657">
            <v>44017.101000000002</v>
          </cell>
          <cell r="H1657">
            <v>92.19</v>
          </cell>
          <cell r="I1657">
            <v>0</v>
          </cell>
          <cell r="J1657">
            <v>96.34</v>
          </cell>
        </row>
        <row r="1658">
          <cell r="A1658" t="str">
            <v>LU1883868579</v>
          </cell>
          <cell r="B1658" t="str">
            <v>AMUNDI FUNDS RUSSIAN EQUITY</v>
          </cell>
          <cell r="C1658" t="str">
            <v>Class M2 EUR (C)</v>
          </cell>
          <cell r="D1658" t="str">
            <v>EUR</v>
          </cell>
          <cell r="E1658" t="str">
            <v>03-Jan-2022</v>
          </cell>
          <cell r="F1658">
            <v>2907050.83</v>
          </cell>
          <cell r="G1658">
            <v>1611</v>
          </cell>
          <cell r="H1658">
            <v>1804.5</v>
          </cell>
          <cell r="I1658">
            <v>0</v>
          </cell>
          <cell r="J1658">
            <v>1804.5</v>
          </cell>
        </row>
        <row r="1659">
          <cell r="A1659" t="str">
            <v>LU1883867928</v>
          </cell>
          <cell r="B1659" t="str">
            <v>AMUNDI FUNDS RUSSIAN EQUITY</v>
          </cell>
          <cell r="C1659" t="str">
            <v>Class C EUR (C)</v>
          </cell>
          <cell r="D1659" t="str">
            <v>EUR</v>
          </cell>
          <cell r="E1659" t="str">
            <v>03-Jan-2022</v>
          </cell>
          <cell r="F1659">
            <v>406220.14</v>
          </cell>
          <cell r="G1659">
            <v>4425.8490000000002</v>
          </cell>
          <cell r="H1659">
            <v>91.78</v>
          </cell>
          <cell r="I1659">
            <v>0</v>
          </cell>
          <cell r="J1659">
            <v>91.78</v>
          </cell>
        </row>
        <row r="1660">
          <cell r="A1660" t="str">
            <v>LU1883868066</v>
          </cell>
          <cell r="B1660" t="str">
            <v>AMUNDI FUNDS RUSSIAN EQUITY</v>
          </cell>
          <cell r="C1660" t="str">
            <v>Class C HUF (C)</v>
          </cell>
          <cell r="D1660" t="str">
            <v>HUF</v>
          </cell>
          <cell r="E1660" t="str">
            <v>03-Jan-2022</v>
          </cell>
          <cell r="F1660">
            <v>15824759.58</v>
          </cell>
          <cell r="G1660">
            <v>469.726</v>
          </cell>
          <cell r="H1660">
            <v>33689.339999999997</v>
          </cell>
          <cell r="I1660">
            <v>0</v>
          </cell>
          <cell r="J1660">
            <v>33689.339999999997</v>
          </cell>
        </row>
        <row r="1661">
          <cell r="A1661" t="str">
            <v>LU1883868140</v>
          </cell>
          <cell r="B1661" t="str">
            <v>AMUNDI FUNDS RUSSIAN EQUITY</v>
          </cell>
          <cell r="C1661" t="str">
            <v>Class E2 EUR (C)</v>
          </cell>
          <cell r="D1661" t="str">
            <v>EUR</v>
          </cell>
          <cell r="E1661" t="str">
            <v>03-Jan-2022</v>
          </cell>
          <cell r="F1661">
            <v>19488705.710000001</v>
          </cell>
          <cell r="G1661">
            <v>2305804.0049999999</v>
          </cell>
          <cell r="H1661">
            <v>8.452</v>
          </cell>
          <cell r="I1661">
            <v>0</v>
          </cell>
          <cell r="J1661">
            <v>8.452</v>
          </cell>
        </row>
        <row r="1662">
          <cell r="A1662" t="str">
            <v>LU1883868223</v>
          </cell>
          <cell r="B1662" t="str">
            <v>AMUNDI FUNDS RUSSIAN EQUITY</v>
          </cell>
          <cell r="C1662" t="str">
            <v>Class F EUR (C)</v>
          </cell>
          <cell r="D1662" t="str">
            <v>EUR</v>
          </cell>
          <cell r="E1662" t="str">
            <v>03-Jan-2022</v>
          </cell>
          <cell r="F1662">
            <v>9318854.3200000003</v>
          </cell>
          <cell r="G1662">
            <v>1205115.1839999999</v>
          </cell>
          <cell r="H1662">
            <v>7.7329999999999997</v>
          </cell>
          <cell r="I1662">
            <v>0</v>
          </cell>
          <cell r="J1662">
            <v>7.7329999999999997</v>
          </cell>
        </row>
        <row r="1663">
          <cell r="A1663" t="str">
            <v>LU1883868496</v>
          </cell>
          <cell r="B1663" t="str">
            <v>AMUNDI FUNDS RUSSIAN EQUITY</v>
          </cell>
          <cell r="C1663" t="str">
            <v>Class G EUR (C)</v>
          </cell>
          <cell r="D1663" t="str">
            <v>EUR</v>
          </cell>
          <cell r="E1663" t="str">
            <v>03-Jan-2022</v>
          </cell>
          <cell r="F1663">
            <v>5214894.13</v>
          </cell>
          <cell r="G1663">
            <v>663003.98800000001</v>
          </cell>
          <cell r="H1663">
            <v>7.8659999999999997</v>
          </cell>
          <cell r="I1663">
            <v>0</v>
          </cell>
          <cell r="J1663">
            <v>7.8659999999999997</v>
          </cell>
        </row>
        <row r="1664">
          <cell r="A1664" t="str">
            <v>LU1883868652</v>
          </cell>
          <cell r="B1664" t="str">
            <v>AMUNDI FUNDS RUSSIAN EQUITY</v>
          </cell>
          <cell r="C1664" t="str">
            <v>Class R2 EUR (C)</v>
          </cell>
          <cell r="D1664" t="str">
            <v>EUR</v>
          </cell>
          <cell r="E1664" t="str">
            <v>03-Jan-2022</v>
          </cell>
          <cell r="F1664">
            <v>853402.7</v>
          </cell>
          <cell r="G1664">
            <v>9872.0130000000008</v>
          </cell>
          <cell r="H1664">
            <v>86.45</v>
          </cell>
          <cell r="I1664">
            <v>0</v>
          </cell>
          <cell r="J1664">
            <v>86.45</v>
          </cell>
        </row>
        <row r="1665">
          <cell r="A1665" t="str">
            <v>LU2070307595</v>
          </cell>
          <cell r="B1665" t="str">
            <v>AMUNDI FUNDS EUROPEAN EQUITY SUSTAINABLE INCOME</v>
          </cell>
          <cell r="C1665" t="str">
            <v>Class A5 EUR (C)</v>
          </cell>
          <cell r="D1665" t="str">
            <v>EUR</v>
          </cell>
          <cell r="E1665" t="str">
            <v>03-Jan-2022</v>
          </cell>
          <cell r="F1665">
            <v>8785.8799999999992</v>
          </cell>
          <cell r="G1665">
            <v>100</v>
          </cell>
          <cell r="H1665">
            <v>87.86</v>
          </cell>
          <cell r="I1665">
            <v>0</v>
          </cell>
          <cell r="J1665">
            <v>87.86</v>
          </cell>
        </row>
        <row r="1666">
          <cell r="A1666" t="str">
            <v>LU1883311497</v>
          </cell>
          <cell r="B1666" t="str">
            <v>AMUNDI FUNDS EUROPEAN EQUITY SUSTAINABLE INCOME</v>
          </cell>
          <cell r="C1666" t="str">
            <v>Class A2 EUR Hgd QTI (D)</v>
          </cell>
          <cell r="D1666" t="str">
            <v>EUR</v>
          </cell>
          <cell r="E1666" t="str">
            <v>03-Jan-2022</v>
          </cell>
          <cell r="F1666">
            <v>92982.86</v>
          </cell>
          <cell r="G1666">
            <v>1922.71</v>
          </cell>
          <cell r="H1666">
            <v>48.36</v>
          </cell>
          <cell r="I1666">
            <v>0</v>
          </cell>
          <cell r="J1666">
            <v>50.54</v>
          </cell>
        </row>
        <row r="1667">
          <cell r="A1667" t="str">
            <v>LU1883310846</v>
          </cell>
          <cell r="B1667" t="str">
            <v>AMUNDI FUNDS EUROPEAN EQUITY SUSTAINABLE INCOME</v>
          </cell>
          <cell r="C1667" t="str">
            <v>Class A2 AUD Hgd QTI (D)</v>
          </cell>
          <cell r="D1667" t="str">
            <v>AUD</v>
          </cell>
          <cell r="E1667" t="str">
            <v>03-Jan-2022</v>
          </cell>
          <cell r="F1667">
            <v>2268266.2799999998</v>
          </cell>
          <cell r="G1667">
            <v>48852.936999999998</v>
          </cell>
          <cell r="H1667">
            <v>46.43</v>
          </cell>
          <cell r="I1667">
            <v>0</v>
          </cell>
          <cell r="J1667">
            <v>48.52</v>
          </cell>
        </row>
        <row r="1668">
          <cell r="A1668" t="str">
            <v>LU1883310929</v>
          </cell>
          <cell r="B1668" t="str">
            <v>AMUNDI FUNDS EUROPEAN EQUITY SUSTAINABLE INCOME</v>
          </cell>
          <cell r="C1668" t="str">
            <v>Class A2 CHF Hgd SATI (D)</v>
          </cell>
          <cell r="D1668" t="str">
            <v>CHF</v>
          </cell>
          <cell r="E1668" t="str">
            <v>03-Jan-2022</v>
          </cell>
          <cell r="F1668">
            <v>1083877.99</v>
          </cell>
          <cell r="G1668">
            <v>29046.111000000001</v>
          </cell>
          <cell r="H1668">
            <v>37.32</v>
          </cell>
          <cell r="I1668">
            <v>0</v>
          </cell>
          <cell r="J1668">
            <v>39</v>
          </cell>
        </row>
        <row r="1669">
          <cell r="A1669" t="str">
            <v>LU1883311067</v>
          </cell>
          <cell r="B1669" t="str">
            <v>AMUNDI FUNDS EUROPEAN EQUITY SUSTAINABLE INCOME</v>
          </cell>
          <cell r="C1669" t="str">
            <v>Class A2 CZK Hgd (C)</v>
          </cell>
          <cell r="D1669" t="str">
            <v>CZK</v>
          </cell>
          <cell r="E1669" t="str">
            <v>03-Jan-2022</v>
          </cell>
          <cell r="F1669">
            <v>351991009.29000002</v>
          </cell>
          <cell r="G1669">
            <v>275466.50300000003</v>
          </cell>
          <cell r="H1669">
            <v>1277.8</v>
          </cell>
          <cell r="I1669">
            <v>0</v>
          </cell>
          <cell r="J1669">
            <v>1335.3</v>
          </cell>
        </row>
        <row r="1670">
          <cell r="A1670" t="str">
            <v>LU1883311141</v>
          </cell>
          <cell r="B1670" t="str">
            <v>AMUNDI FUNDS EUROPEAN EQUITY SUSTAINABLE INCOME</v>
          </cell>
          <cell r="C1670" t="str">
            <v>Class A2 CZK Hgd SATI (D)</v>
          </cell>
          <cell r="D1670" t="str">
            <v>CZK</v>
          </cell>
          <cell r="E1670" t="str">
            <v>03-Jan-2022</v>
          </cell>
          <cell r="F1670">
            <v>1395858152.0999999</v>
          </cell>
          <cell r="G1670">
            <v>1231919.8559999999</v>
          </cell>
          <cell r="H1670">
            <v>1133.08</v>
          </cell>
          <cell r="I1670">
            <v>0</v>
          </cell>
          <cell r="J1670">
            <v>1184.07</v>
          </cell>
        </row>
        <row r="1671">
          <cell r="A1671" t="str">
            <v>LU1883313279</v>
          </cell>
          <cell r="B1671" t="str">
            <v>AMUNDI FUNDS EUROPEAN EQUITY SUSTAINABLE INCOME</v>
          </cell>
          <cell r="C1671" t="str">
            <v>Class M2 EUR (C)</v>
          </cell>
          <cell r="D1671" t="str">
            <v>EUR</v>
          </cell>
          <cell r="E1671" t="str">
            <v>03-Jan-2022</v>
          </cell>
          <cell r="F1671">
            <v>32827.949999999997</v>
          </cell>
          <cell r="G1671">
            <v>15</v>
          </cell>
          <cell r="H1671">
            <v>2188.5300000000002</v>
          </cell>
          <cell r="I1671">
            <v>0</v>
          </cell>
          <cell r="J1671">
            <v>2188.5300000000002</v>
          </cell>
        </row>
        <row r="1672">
          <cell r="A1672" t="str">
            <v>LU1883312032</v>
          </cell>
          <cell r="B1672" t="str">
            <v>AMUNDI FUNDS EUROPEAN EQUITY SUSTAINABLE INCOME</v>
          </cell>
          <cell r="C1672" t="str">
            <v>Class C EUR (C)</v>
          </cell>
          <cell r="D1672" t="str">
            <v>EUR</v>
          </cell>
          <cell r="E1672" t="str">
            <v>03-Jan-2022</v>
          </cell>
          <cell r="F1672">
            <v>1189961.95</v>
          </cell>
          <cell r="G1672">
            <v>16001.519</v>
          </cell>
          <cell r="H1672">
            <v>74.37</v>
          </cell>
          <cell r="I1672">
            <v>0</v>
          </cell>
          <cell r="J1672">
            <v>74.37</v>
          </cell>
        </row>
        <row r="1673">
          <cell r="A1673" t="str">
            <v>LU1883312115</v>
          </cell>
          <cell r="B1673" t="str">
            <v>AMUNDI FUNDS EUROPEAN EQUITY SUSTAINABLE INCOME</v>
          </cell>
          <cell r="C1673" t="str">
            <v>Class C EUR SATI (D)</v>
          </cell>
          <cell r="D1673" t="str">
            <v>EUR</v>
          </cell>
          <cell r="E1673" t="str">
            <v>03-Jan-2022</v>
          </cell>
          <cell r="F1673">
            <v>570793.66</v>
          </cell>
          <cell r="G1673">
            <v>14639.993</v>
          </cell>
          <cell r="H1673">
            <v>38.99</v>
          </cell>
          <cell r="I1673">
            <v>0</v>
          </cell>
          <cell r="J1673">
            <v>38.99</v>
          </cell>
        </row>
        <row r="1674">
          <cell r="A1674" t="str">
            <v>LU1883311737</v>
          </cell>
          <cell r="B1674" t="str">
            <v>AMUNDI FUNDS EUROPEAN EQUITY SUSTAINABLE INCOME</v>
          </cell>
          <cell r="C1674" t="str">
            <v>Class A2 SGD Hgd QTI (D)</v>
          </cell>
          <cell r="D1674" t="str">
            <v>SGD</v>
          </cell>
          <cell r="E1674" t="str">
            <v>03-Jan-2022</v>
          </cell>
          <cell r="F1674">
            <v>366928.23</v>
          </cell>
          <cell r="G1674">
            <v>8048.1319999999996</v>
          </cell>
          <cell r="H1674">
            <v>45.59</v>
          </cell>
          <cell r="I1674">
            <v>0</v>
          </cell>
          <cell r="J1674">
            <v>47.64</v>
          </cell>
        </row>
        <row r="1675">
          <cell r="A1675" t="str">
            <v>LU1883311810</v>
          </cell>
          <cell r="B1675" t="str">
            <v>AMUNDI FUNDS EUROPEAN EQUITY SUSTAINABLE INCOME</v>
          </cell>
          <cell r="C1675" t="str">
            <v>Class A2 USD Hgd QTI (D)</v>
          </cell>
          <cell r="D1675" t="str">
            <v>USD</v>
          </cell>
          <cell r="E1675" t="str">
            <v>03-Jan-2022</v>
          </cell>
          <cell r="F1675">
            <v>10172668.67</v>
          </cell>
          <cell r="G1675">
            <v>221223.524</v>
          </cell>
          <cell r="H1675">
            <v>45.98</v>
          </cell>
          <cell r="I1675">
            <v>0</v>
          </cell>
          <cell r="J1675">
            <v>48.05</v>
          </cell>
        </row>
        <row r="1676">
          <cell r="A1676" t="str">
            <v>LU1883311224</v>
          </cell>
          <cell r="B1676" t="str">
            <v>AMUNDI FUNDS EUROPEAN EQUITY SUSTAINABLE INCOME</v>
          </cell>
          <cell r="C1676" t="str">
            <v>Class A2 EUR (C)</v>
          </cell>
          <cell r="D1676" t="str">
            <v>EUR</v>
          </cell>
          <cell r="E1676" t="str">
            <v>03-Jan-2022</v>
          </cell>
          <cell r="F1676">
            <v>31517466.27</v>
          </cell>
          <cell r="G1676">
            <v>431516.49400000001</v>
          </cell>
          <cell r="H1676">
            <v>73.040000000000006</v>
          </cell>
          <cell r="I1676">
            <v>0</v>
          </cell>
          <cell r="J1676">
            <v>76.33</v>
          </cell>
        </row>
        <row r="1677">
          <cell r="A1677" t="str">
            <v>LU1883311570</v>
          </cell>
          <cell r="B1677" t="str">
            <v>AMUNDI FUNDS EUROPEAN EQUITY SUSTAINABLE INCOME</v>
          </cell>
          <cell r="C1677" t="str">
            <v>Class A2 EUR MTI (D)</v>
          </cell>
          <cell r="D1677" t="str">
            <v>EUR</v>
          </cell>
          <cell r="E1677" t="str">
            <v>03-Jan-2022</v>
          </cell>
          <cell r="F1677">
            <v>452682.57</v>
          </cell>
          <cell r="G1677">
            <v>9116.44</v>
          </cell>
          <cell r="H1677">
            <v>49.66</v>
          </cell>
          <cell r="I1677">
            <v>0</v>
          </cell>
          <cell r="J1677">
            <v>51.89</v>
          </cell>
        </row>
        <row r="1678">
          <cell r="A1678" t="str">
            <v>LU1883312206</v>
          </cell>
          <cell r="B1678" t="str">
            <v>AMUNDI FUNDS EUROPEAN EQUITY SUSTAINABLE INCOME</v>
          </cell>
          <cell r="C1678" t="str">
            <v>Class E2 EUR (C)</v>
          </cell>
          <cell r="D1678" t="str">
            <v>EUR</v>
          </cell>
          <cell r="E1678" t="str">
            <v>03-Jan-2022</v>
          </cell>
          <cell r="F1678">
            <v>2621786.98</v>
          </cell>
          <cell r="G1678">
            <v>274186.62199999997</v>
          </cell>
          <cell r="H1678">
            <v>9.5619999999999994</v>
          </cell>
          <cell r="I1678">
            <v>0</v>
          </cell>
          <cell r="J1678">
            <v>9.5619999999999994</v>
          </cell>
        </row>
        <row r="1679">
          <cell r="A1679" t="str">
            <v>LU1883312388</v>
          </cell>
          <cell r="B1679" t="str">
            <v>AMUNDI FUNDS EUROPEAN EQUITY SUSTAINABLE INCOME</v>
          </cell>
          <cell r="C1679" t="str">
            <v>Class E2 EUR SATI (D)</v>
          </cell>
          <cell r="D1679" t="str">
            <v>EUR</v>
          </cell>
          <cell r="E1679" t="str">
            <v>03-Jan-2022</v>
          </cell>
          <cell r="F1679">
            <v>95392624.920000002</v>
          </cell>
          <cell r="G1679">
            <v>17597488.278000001</v>
          </cell>
          <cell r="H1679">
            <v>5.4210000000000003</v>
          </cell>
          <cell r="I1679">
            <v>0</v>
          </cell>
          <cell r="J1679">
            <v>5.4210000000000003</v>
          </cell>
        </row>
        <row r="1680">
          <cell r="A1680" t="str">
            <v>LU1883313436</v>
          </cell>
          <cell r="B1680" t="str">
            <v>AMUNDI FUNDS EUROPEAN EQUITY SUSTAINABLE INCOME</v>
          </cell>
          <cell r="C1680" t="str">
            <v>Class M2 EUR SATI (D)</v>
          </cell>
          <cell r="D1680" t="str">
            <v>EUR</v>
          </cell>
          <cell r="E1680" t="str">
            <v>03-Jan-2022</v>
          </cell>
          <cell r="F1680">
            <v>89591902.629999995</v>
          </cell>
          <cell r="G1680">
            <v>87664.290999999997</v>
          </cell>
          <cell r="H1680">
            <v>1021.99</v>
          </cell>
          <cell r="I1680">
            <v>0</v>
          </cell>
          <cell r="J1680">
            <v>1021.99</v>
          </cell>
        </row>
        <row r="1681">
          <cell r="A1681" t="str">
            <v>LU1883312891</v>
          </cell>
          <cell r="B1681" t="str">
            <v>AMUNDI FUNDS EUROPEAN EQUITY SUSTAINABLE INCOME</v>
          </cell>
          <cell r="C1681" t="str">
            <v>Class I2 EUR SATI (D)</v>
          </cell>
          <cell r="D1681" t="str">
            <v>EUR</v>
          </cell>
          <cell r="E1681" t="str">
            <v>03-Jan-2022</v>
          </cell>
          <cell r="F1681">
            <v>36338771.640000001</v>
          </cell>
          <cell r="G1681">
            <v>29992.826000000001</v>
          </cell>
          <cell r="H1681">
            <v>1211.58</v>
          </cell>
          <cell r="I1681">
            <v>0</v>
          </cell>
          <cell r="J1681">
            <v>1211.58</v>
          </cell>
        </row>
        <row r="1682">
          <cell r="A1682" t="str">
            <v>LU1883312545</v>
          </cell>
          <cell r="B1682" t="str">
            <v>AMUNDI FUNDS EUROPEAN EQUITY SUSTAINABLE INCOME</v>
          </cell>
          <cell r="C1682" t="str">
            <v>Class I2 EUR (C)</v>
          </cell>
          <cell r="D1682" t="str">
            <v>EUR</v>
          </cell>
          <cell r="E1682" t="str">
            <v>03-Jan-2022</v>
          </cell>
          <cell r="F1682">
            <v>21614873.02</v>
          </cell>
          <cell r="G1682">
            <v>13340.056</v>
          </cell>
          <cell r="H1682">
            <v>1620.3</v>
          </cell>
          <cell r="I1682">
            <v>0</v>
          </cell>
          <cell r="J1682">
            <v>1620.3</v>
          </cell>
        </row>
        <row r="1683">
          <cell r="A1683" t="str">
            <v>LU1883312628</v>
          </cell>
          <cell r="B1683" t="str">
            <v>AMUNDI FUNDS EUROPEAN EQUITY SUSTAINABLE INCOME</v>
          </cell>
          <cell r="C1683" t="str">
            <v>Class I2 EUR Hgd SATI (D)</v>
          </cell>
          <cell r="D1683" t="str">
            <v>EUR</v>
          </cell>
          <cell r="E1683" t="str">
            <v>03-Jan-2022</v>
          </cell>
          <cell r="F1683">
            <v>4107.8100000000004</v>
          </cell>
          <cell r="G1683">
            <v>4</v>
          </cell>
          <cell r="H1683">
            <v>1026.95</v>
          </cell>
          <cell r="I1683">
            <v>0</v>
          </cell>
          <cell r="J1683">
            <v>1026.95</v>
          </cell>
        </row>
        <row r="1684">
          <cell r="A1684" t="str">
            <v>LU1883312974</v>
          </cell>
          <cell r="B1684" t="str">
            <v>AMUNDI FUNDS EUROPEAN EQUITY SUSTAINABLE INCOME</v>
          </cell>
          <cell r="C1684" t="str">
            <v>Class J2 EUR (C)</v>
          </cell>
          <cell r="D1684" t="str">
            <v>EUR</v>
          </cell>
          <cell r="E1684" t="str">
            <v>03-Jan-2022</v>
          </cell>
          <cell r="F1684">
            <v>12917.37</v>
          </cell>
          <cell r="G1684">
            <v>10</v>
          </cell>
          <cell r="H1684">
            <v>1291.74</v>
          </cell>
          <cell r="I1684">
            <v>0</v>
          </cell>
          <cell r="J1684">
            <v>1291.74</v>
          </cell>
        </row>
        <row r="1685">
          <cell r="A1685" t="str">
            <v>LU1883313196</v>
          </cell>
          <cell r="B1685" t="str">
            <v>AMUNDI FUNDS EUROPEAN EQUITY SUSTAINABLE INCOME</v>
          </cell>
          <cell r="C1685" t="str">
            <v>Class J2 EUR ATI (D)</v>
          </cell>
          <cell r="D1685" t="str">
            <v>EUR</v>
          </cell>
          <cell r="E1685" t="str">
            <v>03-Jan-2022</v>
          </cell>
          <cell r="F1685">
            <v>11676.36</v>
          </cell>
          <cell r="G1685">
            <v>10.58</v>
          </cell>
          <cell r="H1685">
            <v>1103.6300000000001</v>
          </cell>
          <cell r="I1685">
            <v>0</v>
          </cell>
          <cell r="J1685">
            <v>1103.6300000000001</v>
          </cell>
        </row>
        <row r="1686">
          <cell r="A1686" t="str">
            <v>LU1883312461</v>
          </cell>
          <cell r="B1686" t="str">
            <v>AMUNDI FUNDS EUROPEAN EQUITY SUSTAINABLE INCOME</v>
          </cell>
          <cell r="C1686" t="str">
            <v>Class G2 EUR SATI (D)</v>
          </cell>
          <cell r="D1686" t="str">
            <v>EUR</v>
          </cell>
          <cell r="E1686" t="str">
            <v>03-Jan-2022</v>
          </cell>
          <cell r="F1686">
            <v>613980.59</v>
          </cell>
          <cell r="G1686">
            <v>130707.452</v>
          </cell>
          <cell r="H1686">
            <v>4.6970000000000001</v>
          </cell>
          <cell r="I1686">
            <v>0</v>
          </cell>
          <cell r="J1686">
            <v>4.6970000000000001</v>
          </cell>
        </row>
        <row r="1687">
          <cell r="A1687" t="str">
            <v>LU1883313519</v>
          </cell>
          <cell r="B1687" t="str">
            <v>AMUNDI FUNDS EUROPEAN EQUITY SUSTAINABLE INCOME</v>
          </cell>
          <cell r="C1687" t="str">
            <v>Class R2 EUR (C)</v>
          </cell>
          <cell r="D1687" t="str">
            <v>EUR</v>
          </cell>
          <cell r="E1687" t="str">
            <v>03-Jan-2022</v>
          </cell>
          <cell r="F1687">
            <v>1674441.44</v>
          </cell>
          <cell r="G1687">
            <v>23756.715</v>
          </cell>
          <cell r="H1687">
            <v>70.48</v>
          </cell>
          <cell r="I1687">
            <v>0</v>
          </cell>
          <cell r="J1687">
            <v>70.48</v>
          </cell>
        </row>
        <row r="1688">
          <cell r="A1688" t="str">
            <v>LU1883313600</v>
          </cell>
          <cell r="B1688" t="str">
            <v>AMUNDI FUNDS EUROPEAN EQUITY SUSTAINABLE INCOME</v>
          </cell>
          <cell r="C1688" t="str">
            <v>Class R2 EUR SATI (D)</v>
          </cell>
          <cell r="D1688" t="str">
            <v>EUR</v>
          </cell>
          <cell r="E1688" t="str">
            <v>03-Jan-2022</v>
          </cell>
          <cell r="F1688">
            <v>866124.48</v>
          </cell>
          <cell r="G1688">
            <v>19098.866000000002</v>
          </cell>
          <cell r="H1688">
            <v>45.35</v>
          </cell>
          <cell r="I1688">
            <v>0</v>
          </cell>
          <cell r="J1688">
            <v>45.35</v>
          </cell>
        </row>
        <row r="1689">
          <cell r="A1689" t="str">
            <v>LU1883313949</v>
          </cell>
          <cell r="B1689" t="str">
            <v>AMUNDI FUNDS EUROPEAN EQUITY SUSTAINABLE INCOME</v>
          </cell>
          <cell r="C1689" t="str">
            <v>Class R2 USD Hgd SATI (D)</v>
          </cell>
          <cell r="D1689" t="str">
            <v>USD</v>
          </cell>
          <cell r="E1689" t="str">
            <v>03-Jan-2022</v>
          </cell>
          <cell r="F1689">
            <v>1185183.07</v>
          </cell>
          <cell r="G1689">
            <v>25915.137999999999</v>
          </cell>
          <cell r="H1689">
            <v>45.73</v>
          </cell>
          <cell r="I1689">
            <v>0</v>
          </cell>
          <cell r="J1689">
            <v>45.73</v>
          </cell>
        </row>
        <row r="1690">
          <cell r="A1690" t="str">
            <v>LU1883311653</v>
          </cell>
          <cell r="B1690" t="str">
            <v>AMUNDI FUNDS EUROPEAN EQUITY SUSTAINABLE INCOME</v>
          </cell>
          <cell r="C1690" t="str">
            <v>Class A2 EUR SATI (D)</v>
          </cell>
          <cell r="D1690" t="str">
            <v>EUR</v>
          </cell>
          <cell r="E1690" t="str">
            <v>03-Jan-2022</v>
          </cell>
          <cell r="F1690">
            <v>470223688.52999997</v>
          </cell>
          <cell r="G1690">
            <v>8660597.0010000002</v>
          </cell>
          <cell r="H1690">
            <v>54.29</v>
          </cell>
          <cell r="I1690">
            <v>0</v>
          </cell>
          <cell r="J1690">
            <v>56.73</v>
          </cell>
        </row>
        <row r="1691">
          <cell r="A1691" t="str">
            <v>LU1883313782</v>
          </cell>
          <cell r="B1691" t="str">
            <v>AMUNDI FUNDS EUROPEAN EQUITY SUSTAINABLE INCOME</v>
          </cell>
          <cell r="C1691" t="str">
            <v>Class R2 GBP SATI (D)</v>
          </cell>
          <cell r="D1691" t="str">
            <v>GBP</v>
          </cell>
          <cell r="E1691" t="str">
            <v>03-Jan-2022</v>
          </cell>
          <cell r="F1691">
            <v>565829.94999999995</v>
          </cell>
          <cell r="G1691">
            <v>15185.029</v>
          </cell>
          <cell r="H1691">
            <v>37.26</v>
          </cell>
          <cell r="I1691">
            <v>0</v>
          </cell>
          <cell r="J1691">
            <v>37.26</v>
          </cell>
        </row>
        <row r="1692">
          <cell r="A1692" t="str">
            <v>LU1883314087</v>
          </cell>
          <cell r="B1692" t="str">
            <v>AMUNDI FUNDS EUROPEAN EQUITY SUSTAINABLE INCOME</v>
          </cell>
          <cell r="C1692" t="str">
            <v>Class R2 USD SATI (D)</v>
          </cell>
          <cell r="D1692" t="str">
            <v>USD</v>
          </cell>
          <cell r="E1692" t="str">
            <v>03-Jan-2022</v>
          </cell>
          <cell r="F1692">
            <v>443730.77</v>
          </cell>
          <cell r="G1692">
            <v>8877.1959999999999</v>
          </cell>
          <cell r="H1692">
            <v>49.99</v>
          </cell>
          <cell r="I1692">
            <v>0</v>
          </cell>
          <cell r="J1692">
            <v>49.99</v>
          </cell>
        </row>
        <row r="1693">
          <cell r="A1693" t="str">
            <v>LU1998915372</v>
          </cell>
          <cell r="B1693" t="str">
            <v>AMUNDI FUNDS EUROPEAN EQUITY SUSTAINABLE INCOME</v>
          </cell>
          <cell r="C1693" t="str">
            <v>Class H EUR SATI ( D )</v>
          </cell>
          <cell r="D1693" t="str">
            <v>EUR</v>
          </cell>
          <cell r="E1693" t="str">
            <v>03-Jan-2022</v>
          </cell>
          <cell r="F1693">
            <v>11849385.199999999</v>
          </cell>
          <cell r="G1693">
            <v>9580.6460000000006</v>
          </cell>
          <cell r="H1693">
            <v>1236.8</v>
          </cell>
          <cell r="I1693">
            <v>0</v>
          </cell>
          <cell r="J1693">
            <v>1236.8</v>
          </cell>
        </row>
        <row r="1694">
          <cell r="A1694" t="str">
            <v>LU1880385908</v>
          </cell>
          <cell r="B1694" t="str">
            <v>AMUNDI FUNDS EMERGING MARKETS LOCAL CURRENCY BOND</v>
          </cell>
          <cell r="C1694" t="str">
            <v>Class A2 USD AD (D)</v>
          </cell>
          <cell r="D1694" t="str">
            <v>USD</v>
          </cell>
          <cell r="E1694" t="str">
            <v>03-Jan-2022</v>
          </cell>
          <cell r="F1694">
            <v>4549.75</v>
          </cell>
          <cell r="G1694">
            <v>100</v>
          </cell>
          <cell r="H1694">
            <v>45.5</v>
          </cell>
          <cell r="I1694">
            <v>0</v>
          </cell>
          <cell r="J1694">
            <v>45.5</v>
          </cell>
        </row>
        <row r="1695">
          <cell r="A1695" t="str">
            <v>LU1882459602</v>
          </cell>
          <cell r="B1695" t="str">
            <v>AMUNDI FUNDS EMERGING MARKETS LOCAL CURRENCY BOND</v>
          </cell>
          <cell r="C1695" t="str">
            <v>Class A EUR AD (D)</v>
          </cell>
          <cell r="D1695" t="str">
            <v>EUR</v>
          </cell>
          <cell r="E1695" t="str">
            <v>03-Jan-2022</v>
          </cell>
          <cell r="F1695">
            <v>11579230.960000001</v>
          </cell>
          <cell r="G1695">
            <v>269826.27600000001</v>
          </cell>
          <cell r="H1695">
            <v>42.91</v>
          </cell>
          <cell r="I1695">
            <v>0</v>
          </cell>
          <cell r="J1695">
            <v>44.63</v>
          </cell>
        </row>
        <row r="1696">
          <cell r="A1696" t="str">
            <v>LU1882459511</v>
          </cell>
          <cell r="B1696" t="str">
            <v>AMUNDI FUNDS EMERGING MARKETS LOCAL CURRENCY BOND</v>
          </cell>
          <cell r="C1696" t="str">
            <v>Class A EUR (C)</v>
          </cell>
          <cell r="D1696" t="str">
            <v>EUR</v>
          </cell>
          <cell r="E1696" t="str">
            <v>03-Jan-2022</v>
          </cell>
          <cell r="F1696">
            <v>18652121.010000002</v>
          </cell>
          <cell r="G1696">
            <v>270773.58100000001</v>
          </cell>
          <cell r="H1696">
            <v>68.88</v>
          </cell>
          <cell r="I1696">
            <v>0</v>
          </cell>
          <cell r="J1696">
            <v>71.64</v>
          </cell>
        </row>
        <row r="1697">
          <cell r="A1697" t="str">
            <v>LU2002720998</v>
          </cell>
          <cell r="B1697" t="str">
            <v>AMUNDI FUNDS EMERGING MARKETS LOCAL CURRENCY BOND</v>
          </cell>
          <cell r="C1697" t="str">
            <v>Class M2 USD ( C )</v>
          </cell>
          <cell r="D1697" t="str">
            <v>USD</v>
          </cell>
          <cell r="E1697" t="str">
            <v>03-Jan-2022</v>
          </cell>
          <cell r="F1697">
            <v>4967</v>
          </cell>
          <cell r="G1697">
            <v>5</v>
          </cell>
          <cell r="H1697">
            <v>993.4</v>
          </cell>
          <cell r="I1697">
            <v>0</v>
          </cell>
          <cell r="J1697">
            <v>993.4</v>
          </cell>
        </row>
        <row r="1698">
          <cell r="A1698" t="str">
            <v>LU2070306274</v>
          </cell>
          <cell r="B1698" t="str">
            <v>AMUNDI FUNDS EMERGING MARKETS LOCAL CURRENCY BOND</v>
          </cell>
          <cell r="C1698" t="str">
            <v>Class A5 EUR (C)</v>
          </cell>
          <cell r="D1698" t="str">
            <v>EUR</v>
          </cell>
          <cell r="E1698" t="str">
            <v>03-Jan-2022</v>
          </cell>
          <cell r="F1698">
            <v>4748.8500000000004</v>
          </cell>
          <cell r="G1698">
            <v>100</v>
          </cell>
          <cell r="H1698">
            <v>47.49</v>
          </cell>
          <cell r="I1698">
            <v>0</v>
          </cell>
          <cell r="J1698">
            <v>47.49</v>
          </cell>
        </row>
        <row r="1699">
          <cell r="A1699" t="str">
            <v>LU1882459867</v>
          </cell>
          <cell r="B1699" t="str">
            <v>AMUNDI FUNDS EMERGING MARKETS LOCAL CURRENCY BOND</v>
          </cell>
          <cell r="C1699" t="str">
            <v>Class A USD AD (D)</v>
          </cell>
          <cell r="D1699" t="str">
            <v>USD</v>
          </cell>
          <cell r="E1699" t="str">
            <v>03-Jan-2022</v>
          </cell>
          <cell r="F1699">
            <v>546862.41</v>
          </cell>
          <cell r="G1699">
            <v>11275.406000000001</v>
          </cell>
          <cell r="H1699">
            <v>48.5</v>
          </cell>
          <cell r="I1699">
            <v>0</v>
          </cell>
          <cell r="J1699">
            <v>50.44</v>
          </cell>
        </row>
        <row r="1700">
          <cell r="A1700" t="str">
            <v>LU1882459941</v>
          </cell>
          <cell r="B1700" t="str">
            <v>AMUNDI FUNDS EMERGING MARKETS LOCAL CURRENCY BOND</v>
          </cell>
          <cell r="C1700" t="str">
            <v>Class A USD MD3 (D)</v>
          </cell>
          <cell r="D1700" t="str">
            <v>USD</v>
          </cell>
          <cell r="E1700" t="str">
            <v>03-Jan-2022</v>
          </cell>
          <cell r="F1700">
            <v>54598391.960000001</v>
          </cell>
          <cell r="G1700">
            <v>1899590.6580000001</v>
          </cell>
          <cell r="H1700">
            <v>28.74</v>
          </cell>
          <cell r="I1700">
            <v>0.3679</v>
          </cell>
          <cell r="J1700">
            <v>29.6</v>
          </cell>
        </row>
        <row r="1701">
          <cell r="A1701" t="str">
            <v>LU1882460014</v>
          </cell>
          <cell r="B1701" t="str">
            <v>AMUNDI FUNDS EMERGING MARKETS LOCAL CURRENCY BOND</v>
          </cell>
          <cell r="C1701" t="str">
            <v>Class A USD MGI (D)</v>
          </cell>
          <cell r="D1701" t="str">
            <v>USD</v>
          </cell>
          <cell r="E1701" t="str">
            <v>03-Jan-2022</v>
          </cell>
          <cell r="F1701">
            <v>4625050.1900000004</v>
          </cell>
          <cell r="G1701">
            <v>137478.12</v>
          </cell>
          <cell r="H1701">
            <v>33.64</v>
          </cell>
          <cell r="I1701">
            <v>0.165907</v>
          </cell>
          <cell r="J1701">
            <v>34.99</v>
          </cell>
        </row>
        <row r="1702">
          <cell r="A1702" t="str">
            <v>LU1880385494</v>
          </cell>
          <cell r="B1702" t="str">
            <v>AMUNDI FUNDS EMERGING MARKETS LOCAL CURRENCY BOND</v>
          </cell>
          <cell r="C1702" t="str">
            <v>Class A CZK Hgd (C)</v>
          </cell>
          <cell r="D1702" t="str">
            <v>CZK</v>
          </cell>
          <cell r="E1702" t="str">
            <v>03-Jan-2022</v>
          </cell>
          <cell r="F1702">
            <v>18475645.030000001</v>
          </cell>
          <cell r="G1702">
            <v>19767.349999999999</v>
          </cell>
          <cell r="H1702">
            <v>934.65</v>
          </cell>
          <cell r="I1702">
            <v>0</v>
          </cell>
          <cell r="J1702">
            <v>934.65</v>
          </cell>
        </row>
        <row r="1703">
          <cell r="A1703" t="str">
            <v>LU1882459784</v>
          </cell>
          <cell r="B1703" t="str">
            <v>AMUNDI FUNDS EMERGING MARKETS LOCAL CURRENCY BOND</v>
          </cell>
          <cell r="C1703" t="str">
            <v>Class A USD (C)</v>
          </cell>
          <cell r="D1703" t="str">
            <v>USD</v>
          </cell>
          <cell r="E1703" t="str">
            <v>03-Jan-2022</v>
          </cell>
          <cell r="F1703">
            <v>6740050.1799999997</v>
          </cell>
          <cell r="G1703">
            <v>86638.707999999999</v>
          </cell>
          <cell r="H1703">
            <v>77.790000000000006</v>
          </cell>
          <cell r="I1703">
            <v>0</v>
          </cell>
          <cell r="J1703">
            <v>80.900000000000006</v>
          </cell>
        </row>
        <row r="1704">
          <cell r="A1704" t="str">
            <v>LU1882460287</v>
          </cell>
          <cell r="B1704" t="str">
            <v>AMUNDI FUNDS EMERGING MARKETS LOCAL CURRENCY BOND</v>
          </cell>
          <cell r="C1704" t="str">
            <v>Class B USD MGI (D)</v>
          </cell>
          <cell r="D1704" t="str">
            <v>USD</v>
          </cell>
          <cell r="E1704" t="str">
            <v>03-Jan-2022</v>
          </cell>
          <cell r="F1704">
            <v>819862.73</v>
          </cell>
          <cell r="G1704">
            <v>26983.151999999998</v>
          </cell>
          <cell r="H1704">
            <v>30.38</v>
          </cell>
          <cell r="I1704">
            <v>0.14990800000000001</v>
          </cell>
          <cell r="J1704">
            <v>30.38</v>
          </cell>
        </row>
        <row r="1705">
          <cell r="A1705" t="str">
            <v>LU1882460105</v>
          </cell>
          <cell r="B1705" t="str">
            <v>AMUNDI FUNDS EMERGING MARKETS LOCAL CURRENCY BOND</v>
          </cell>
          <cell r="C1705" t="str">
            <v>Class B USD MD3 (D)</v>
          </cell>
          <cell r="D1705" t="str">
            <v>USD</v>
          </cell>
          <cell r="E1705" t="str">
            <v>03-Jan-2022</v>
          </cell>
          <cell r="F1705">
            <v>11168514.4</v>
          </cell>
          <cell r="G1705">
            <v>407945.49699999997</v>
          </cell>
          <cell r="H1705">
            <v>27.38</v>
          </cell>
          <cell r="I1705">
            <v>0.35360000000000003</v>
          </cell>
          <cell r="J1705">
            <v>27.38</v>
          </cell>
        </row>
        <row r="1706">
          <cell r="A1706" t="str">
            <v>LU1882461681</v>
          </cell>
          <cell r="B1706" t="str">
            <v>AMUNDI FUNDS EMERGING MARKETS LOCAL CURRENCY BOND</v>
          </cell>
          <cell r="C1706" t="str">
            <v>Class M2 EUR (C)</v>
          </cell>
          <cell r="D1706" t="str">
            <v>EUR</v>
          </cell>
          <cell r="E1706" t="str">
            <v>03-Jan-2022</v>
          </cell>
          <cell r="F1706">
            <v>54091632.299999997</v>
          </cell>
          <cell r="G1706">
            <v>35822.442000000003</v>
          </cell>
          <cell r="H1706">
            <v>1509.99</v>
          </cell>
          <cell r="I1706">
            <v>0</v>
          </cell>
          <cell r="J1706">
            <v>1509.99</v>
          </cell>
        </row>
        <row r="1707">
          <cell r="A1707" t="str">
            <v>LU1882461764</v>
          </cell>
          <cell r="B1707" t="str">
            <v>AMUNDI FUNDS EMERGING MARKETS LOCAL CURRENCY BOND</v>
          </cell>
          <cell r="C1707" t="str">
            <v>Class M2 EUR AD (D)</v>
          </cell>
          <cell r="D1707" t="str">
            <v>EUR</v>
          </cell>
          <cell r="E1707" t="str">
            <v>03-Jan-2022</v>
          </cell>
          <cell r="F1707">
            <v>227494.82</v>
          </cell>
          <cell r="G1707">
            <v>263.86</v>
          </cell>
          <cell r="H1707">
            <v>862.18</v>
          </cell>
          <cell r="I1707">
            <v>0</v>
          </cell>
          <cell r="J1707">
            <v>862.18</v>
          </cell>
        </row>
        <row r="1708">
          <cell r="A1708" t="str">
            <v>LU2070309708</v>
          </cell>
          <cell r="B1708" t="str">
            <v>AMUNDI FUNDS EMERGING MARKETS LOCAL CURRENCY BOND</v>
          </cell>
          <cell r="C1708" t="str">
            <v>Class A2 EUR AD (D)</v>
          </cell>
          <cell r="D1708" t="str">
            <v>EUR</v>
          </cell>
          <cell r="E1708" t="str">
            <v>03-Jan-2022</v>
          </cell>
          <cell r="F1708">
            <v>212090.49</v>
          </cell>
          <cell r="G1708">
            <v>4833</v>
          </cell>
          <cell r="H1708">
            <v>43.88</v>
          </cell>
          <cell r="I1708">
            <v>0</v>
          </cell>
          <cell r="J1708">
            <v>45.2</v>
          </cell>
        </row>
        <row r="1709">
          <cell r="A1709" t="str">
            <v>LU1882460444</v>
          </cell>
          <cell r="B1709" t="str">
            <v>AMUNDI FUNDS EMERGING MARKETS LOCAL CURRENCY BOND</v>
          </cell>
          <cell r="C1709" t="str">
            <v>Class E2 EUR (C)</v>
          </cell>
          <cell r="D1709" t="str">
            <v>EUR</v>
          </cell>
          <cell r="E1709" t="str">
            <v>03-Jan-2022</v>
          </cell>
          <cell r="F1709">
            <v>52986871.380000003</v>
          </cell>
          <cell r="G1709">
            <v>7589004.2259999998</v>
          </cell>
          <cell r="H1709">
            <v>6.9820000000000002</v>
          </cell>
          <cell r="I1709">
            <v>0</v>
          </cell>
          <cell r="J1709">
            <v>6.9820000000000002</v>
          </cell>
        </row>
        <row r="1710">
          <cell r="A1710" t="str">
            <v>LU1882460527</v>
          </cell>
          <cell r="B1710" t="str">
            <v>AMUNDI FUNDS EMERGING MARKETS LOCAL CURRENCY BOND</v>
          </cell>
          <cell r="C1710" t="str">
            <v>Class E2 EUR AD (D)</v>
          </cell>
          <cell r="D1710" t="str">
            <v>EUR</v>
          </cell>
          <cell r="E1710" t="str">
            <v>03-Jan-2022</v>
          </cell>
          <cell r="F1710">
            <v>9205495.75</v>
          </cell>
          <cell r="G1710">
            <v>2489764.4550000001</v>
          </cell>
          <cell r="H1710">
            <v>3.6970000000000001</v>
          </cell>
          <cell r="I1710">
            <v>0</v>
          </cell>
          <cell r="J1710">
            <v>3.6970000000000001</v>
          </cell>
        </row>
        <row r="1711">
          <cell r="A1711" t="str">
            <v>LU1882460956</v>
          </cell>
          <cell r="B1711" t="str">
            <v>AMUNDI FUNDS EMERGING MARKETS LOCAL CURRENCY BOND</v>
          </cell>
          <cell r="C1711" t="str">
            <v>Class F EUR AD (D)</v>
          </cell>
          <cell r="D1711" t="str">
            <v>EUR</v>
          </cell>
          <cell r="E1711" t="str">
            <v>03-Jan-2022</v>
          </cell>
          <cell r="F1711">
            <v>3024537.2</v>
          </cell>
          <cell r="G1711">
            <v>821346.33700000006</v>
          </cell>
          <cell r="H1711">
            <v>3.6819999999999999</v>
          </cell>
          <cell r="I1711">
            <v>0</v>
          </cell>
          <cell r="J1711">
            <v>3.6819999999999999</v>
          </cell>
        </row>
        <row r="1712">
          <cell r="A1712" t="str">
            <v>LU1882460873</v>
          </cell>
          <cell r="B1712" t="str">
            <v>AMUNDI FUNDS EMERGING MARKETS LOCAL CURRENCY BOND</v>
          </cell>
          <cell r="C1712" t="str">
            <v>Class F EUR (C)</v>
          </cell>
          <cell r="D1712" t="str">
            <v>EUR</v>
          </cell>
          <cell r="E1712" t="str">
            <v>03-Jan-2022</v>
          </cell>
          <cell r="F1712">
            <v>19364275.989999998</v>
          </cell>
          <cell r="G1712">
            <v>2976484.719</v>
          </cell>
          <cell r="H1712">
            <v>6.5060000000000002</v>
          </cell>
          <cell r="I1712">
            <v>0</v>
          </cell>
          <cell r="J1712">
            <v>6.5060000000000002</v>
          </cell>
        </row>
        <row r="1713">
          <cell r="A1713" t="str">
            <v>LU1880386203</v>
          </cell>
          <cell r="B1713" t="str">
            <v>AMUNDI FUNDS EMERGING MARKETS LOCAL CURRENCY BOND</v>
          </cell>
          <cell r="C1713" t="str">
            <v>Class F2 USD (C)</v>
          </cell>
          <cell r="D1713" t="str">
            <v>USD</v>
          </cell>
          <cell r="E1713" t="str">
            <v>03-Jan-2022</v>
          </cell>
          <cell r="F1713">
            <v>327510.53999999998</v>
          </cell>
          <cell r="G1713">
            <v>68465.990000000005</v>
          </cell>
          <cell r="H1713">
            <v>4.7839999999999998</v>
          </cell>
          <cell r="I1713">
            <v>0</v>
          </cell>
          <cell r="J1713">
            <v>4.7839999999999998</v>
          </cell>
        </row>
        <row r="1714">
          <cell r="A1714" t="str">
            <v>LU1882461178</v>
          </cell>
          <cell r="B1714" t="str">
            <v>AMUNDI FUNDS EMERGING MARKETS LOCAL CURRENCY BOND</v>
          </cell>
          <cell r="C1714" t="str">
            <v>Class F EUR QTD (D)</v>
          </cell>
          <cell r="D1714" t="str">
            <v>EUR</v>
          </cell>
          <cell r="E1714" t="str">
            <v>03-Jan-2022</v>
          </cell>
          <cell r="F1714">
            <v>1771314.9</v>
          </cell>
          <cell r="G1714">
            <v>440483.27600000001</v>
          </cell>
          <cell r="H1714">
            <v>4.0209999999999999</v>
          </cell>
          <cell r="I1714">
            <v>3.7699999999999997E-2</v>
          </cell>
          <cell r="J1714">
            <v>4.0209999999999999</v>
          </cell>
        </row>
        <row r="1715">
          <cell r="A1715" t="str">
            <v>LU1880386039</v>
          </cell>
          <cell r="B1715" t="str">
            <v>AMUNDI FUNDS EMERGING MARKETS LOCAL CURRENCY BOND</v>
          </cell>
          <cell r="C1715" t="str">
            <v>Class F2 EUR Hgd (C)</v>
          </cell>
          <cell r="D1715" t="str">
            <v>EUR</v>
          </cell>
          <cell r="E1715" t="str">
            <v>03-Jan-2022</v>
          </cell>
          <cell r="F1715">
            <v>226553.84</v>
          </cell>
          <cell r="G1715">
            <v>49547.017</v>
          </cell>
          <cell r="H1715">
            <v>4.5730000000000004</v>
          </cell>
          <cell r="I1715">
            <v>0</v>
          </cell>
          <cell r="J1715">
            <v>4.5730000000000004</v>
          </cell>
        </row>
        <row r="1716">
          <cell r="A1716" t="str">
            <v>LU1880386112</v>
          </cell>
          <cell r="B1716" t="str">
            <v>AMUNDI FUNDS EMERGING MARKETS LOCAL CURRENCY BOND</v>
          </cell>
          <cell r="C1716" t="str">
            <v>Class F2 EUR Hgd MD (D)</v>
          </cell>
          <cell r="D1716" t="str">
            <v>EUR</v>
          </cell>
          <cell r="E1716" t="str">
            <v>03-Jan-2022</v>
          </cell>
          <cell r="F1716">
            <v>951896.47</v>
          </cell>
          <cell r="G1716">
            <v>230109.052</v>
          </cell>
          <cell r="H1716">
            <v>4.1369999999999996</v>
          </cell>
          <cell r="I1716">
            <v>1.41E-2</v>
          </cell>
          <cell r="J1716">
            <v>4.1369999999999996</v>
          </cell>
        </row>
        <row r="1717">
          <cell r="A1717" t="str">
            <v>LU1998914300</v>
          </cell>
          <cell r="B1717" t="str">
            <v>AMUNDI FUNDS EMERGING MARKETS LOCAL CURRENCY BOND</v>
          </cell>
          <cell r="C1717" t="str">
            <v>Class H EUR ( C )</v>
          </cell>
          <cell r="D1717" t="str">
            <v>EUR</v>
          </cell>
          <cell r="E1717" t="str">
            <v>03-Jan-2022</v>
          </cell>
          <cell r="F1717">
            <v>4203599.83</v>
          </cell>
          <cell r="G1717">
            <v>4240.1509999999998</v>
          </cell>
          <cell r="H1717">
            <v>991.38</v>
          </cell>
          <cell r="I1717">
            <v>0</v>
          </cell>
          <cell r="J1717">
            <v>991.38</v>
          </cell>
        </row>
        <row r="1718">
          <cell r="A1718" t="str">
            <v>LU2031984425</v>
          </cell>
          <cell r="B1718" t="str">
            <v>AMUNDI FUNDS EMERGING MARKETS LOCAL CURRENCY BOND</v>
          </cell>
          <cell r="C1718" t="str">
            <v>Class I2 GBP QD (D)</v>
          </cell>
          <cell r="D1718" t="str">
            <v>GBP</v>
          </cell>
          <cell r="E1718" t="str">
            <v>03-Jan-2022</v>
          </cell>
          <cell r="F1718">
            <v>2976399.72</v>
          </cell>
          <cell r="G1718">
            <v>3664.7979999999998</v>
          </cell>
          <cell r="H1718">
            <v>812.16</v>
          </cell>
          <cell r="I1718">
            <v>0</v>
          </cell>
          <cell r="J1718">
            <v>812.16</v>
          </cell>
        </row>
        <row r="1719">
          <cell r="A1719" t="str">
            <v>LU1882461509</v>
          </cell>
          <cell r="B1719" t="str">
            <v>AMUNDI FUNDS EMERGING MARKETS LOCAL CURRENCY BOND</v>
          </cell>
          <cell r="C1719" t="str">
            <v>Class I2 USD (C)</v>
          </cell>
          <cell r="D1719" t="str">
            <v>USD</v>
          </cell>
          <cell r="E1719" t="str">
            <v>03-Jan-2022</v>
          </cell>
          <cell r="F1719">
            <v>19109426.760000002</v>
          </cell>
          <cell r="G1719">
            <v>10910.44</v>
          </cell>
          <cell r="H1719">
            <v>1751.48</v>
          </cell>
          <cell r="I1719">
            <v>0</v>
          </cell>
          <cell r="J1719">
            <v>1751.48</v>
          </cell>
        </row>
        <row r="1720">
          <cell r="A1720" t="str">
            <v>LU1882461335</v>
          </cell>
          <cell r="B1720" t="str">
            <v>AMUNDI FUNDS EMERGING MARKETS LOCAL CURRENCY BOND</v>
          </cell>
          <cell r="C1720" t="str">
            <v>Class I2 EUR AD (D)</v>
          </cell>
          <cell r="D1720" t="str">
            <v>EUR</v>
          </cell>
          <cell r="E1720" t="str">
            <v>03-Jan-2022</v>
          </cell>
          <cell r="F1720">
            <v>1728710</v>
          </cell>
          <cell r="G1720">
            <v>2004</v>
          </cell>
          <cell r="H1720">
            <v>862.63</v>
          </cell>
          <cell r="I1720">
            <v>0</v>
          </cell>
          <cell r="J1720">
            <v>862.63</v>
          </cell>
        </row>
        <row r="1721">
          <cell r="A1721" t="str">
            <v>LU1882461418</v>
          </cell>
          <cell r="B1721" t="str">
            <v>AMUNDI FUNDS EMERGING MARKETS LOCAL CURRENCY BOND</v>
          </cell>
          <cell r="C1721" t="str">
            <v>Class I2 EUR QD (D)</v>
          </cell>
          <cell r="D1721" t="str">
            <v>EUR</v>
          </cell>
          <cell r="E1721" t="str">
            <v>03-Jan-2022</v>
          </cell>
          <cell r="F1721">
            <v>911.83</v>
          </cell>
          <cell r="G1721">
            <v>1.097</v>
          </cell>
          <cell r="H1721">
            <v>831.2</v>
          </cell>
          <cell r="I1721">
            <v>0</v>
          </cell>
          <cell r="J1721">
            <v>831.2</v>
          </cell>
        </row>
        <row r="1722">
          <cell r="A1722" t="str">
            <v>LU1882460790</v>
          </cell>
          <cell r="B1722" t="str">
            <v>AMUNDI FUNDS EMERGING MARKETS LOCAL CURRENCY BOND</v>
          </cell>
          <cell r="C1722" t="str">
            <v>Class E2 EUR QTD (D)</v>
          </cell>
          <cell r="D1722" t="str">
            <v>EUR</v>
          </cell>
          <cell r="E1722" t="str">
            <v>03-Jan-2022</v>
          </cell>
          <cell r="F1722">
            <v>8942000.8599999994</v>
          </cell>
          <cell r="G1722">
            <v>2199238.3029999998</v>
          </cell>
          <cell r="H1722">
            <v>4.0659999999999998</v>
          </cell>
          <cell r="I1722">
            <v>3.7900000000000003E-2</v>
          </cell>
          <cell r="J1722">
            <v>4.0659999999999998</v>
          </cell>
        </row>
        <row r="1723">
          <cell r="A1723" t="str">
            <v>LU2297685658</v>
          </cell>
          <cell r="B1723" t="str">
            <v>AMUNDI FUNDS EMERGING MARKETS LOCAL CURRENCY BOND</v>
          </cell>
          <cell r="C1723" t="str">
            <v>Class I11 EUR Hgd (C)</v>
          </cell>
          <cell r="D1723" t="str">
            <v>EUR</v>
          </cell>
          <cell r="E1723" t="str">
            <v>03-Jan-2022</v>
          </cell>
          <cell r="F1723">
            <v>90295.99</v>
          </cell>
          <cell r="G1723">
            <v>2000</v>
          </cell>
          <cell r="H1723">
            <v>45.15</v>
          </cell>
          <cell r="I1723">
            <v>0</v>
          </cell>
          <cell r="J1723">
            <v>45.15</v>
          </cell>
        </row>
        <row r="1724">
          <cell r="A1724" t="str">
            <v>LU1882461251</v>
          </cell>
          <cell r="B1724" t="str">
            <v>AMUNDI FUNDS EMERGING MARKETS LOCAL CURRENCY BOND</v>
          </cell>
          <cell r="C1724" t="str">
            <v>Class I2 EUR (C)</v>
          </cell>
          <cell r="D1724" t="str">
            <v>EUR</v>
          </cell>
          <cell r="E1724" t="str">
            <v>03-Jan-2022</v>
          </cell>
          <cell r="F1724">
            <v>246279281.65000001</v>
          </cell>
          <cell r="G1724">
            <v>158777.10399999999</v>
          </cell>
          <cell r="H1724">
            <v>1551.1</v>
          </cell>
          <cell r="I1724">
            <v>0</v>
          </cell>
          <cell r="J1724">
            <v>1551.1</v>
          </cell>
        </row>
        <row r="1725">
          <cell r="A1725" t="str">
            <v>LU1895000252</v>
          </cell>
          <cell r="B1725" t="str">
            <v>AMUNDI FUNDS EMERGING MARKETS LOCAL CURRENCY BOND</v>
          </cell>
          <cell r="C1725" t="str">
            <v>Class J2 EUR (C)</v>
          </cell>
          <cell r="D1725" t="str">
            <v>EUR</v>
          </cell>
          <cell r="E1725" t="str">
            <v>03-Jan-2022</v>
          </cell>
          <cell r="F1725">
            <v>5819.43</v>
          </cell>
          <cell r="G1725">
            <v>5</v>
          </cell>
          <cell r="H1725">
            <v>1163.8900000000001</v>
          </cell>
          <cell r="I1725">
            <v>0</v>
          </cell>
          <cell r="J1725">
            <v>1163.8900000000001</v>
          </cell>
        </row>
        <row r="1726">
          <cell r="A1726" t="str">
            <v>LU2176989957</v>
          </cell>
          <cell r="B1726" t="str">
            <v>AMUNDI FUNDS EMERGING MARKETS LOCAL CURRENCY BOND</v>
          </cell>
          <cell r="C1726" t="str">
            <v>Class J2 USD (C)</v>
          </cell>
          <cell r="D1726" t="str">
            <v>USD</v>
          </cell>
          <cell r="E1726" t="str">
            <v>03-Jan-2022</v>
          </cell>
          <cell r="F1726">
            <v>54834484.93</v>
          </cell>
          <cell r="G1726">
            <v>57611.860999999997</v>
          </cell>
          <cell r="H1726">
            <v>951.79</v>
          </cell>
          <cell r="I1726">
            <v>0</v>
          </cell>
          <cell r="J1726">
            <v>951.79</v>
          </cell>
        </row>
        <row r="1727">
          <cell r="A1727" t="str">
            <v>LU1880386542</v>
          </cell>
          <cell r="B1727" t="str">
            <v>AMUNDI FUNDS EMERGING MARKETS LOCAL CURRENCY BOND</v>
          </cell>
          <cell r="C1727" t="str">
            <v>Class G USD (C)</v>
          </cell>
          <cell r="D1727" t="str">
            <v>USD</v>
          </cell>
          <cell r="E1727" t="str">
            <v>03-Jan-2022</v>
          </cell>
          <cell r="F1727">
            <v>6204450.5700000003</v>
          </cell>
          <cell r="G1727">
            <v>1282372.0279999999</v>
          </cell>
          <cell r="H1727">
            <v>4.8380000000000001</v>
          </cell>
          <cell r="I1727">
            <v>0</v>
          </cell>
          <cell r="J1727">
            <v>4.9829999999999997</v>
          </cell>
        </row>
        <row r="1728">
          <cell r="A1728" t="str">
            <v>LU1880386385</v>
          </cell>
          <cell r="B1728" t="str">
            <v>AMUNDI FUNDS EMERGING MARKETS LOCAL CURRENCY BOND</v>
          </cell>
          <cell r="C1728" t="str">
            <v>Class G EUR Hgd (C)</v>
          </cell>
          <cell r="D1728" t="str">
            <v>EUR</v>
          </cell>
          <cell r="E1728" t="str">
            <v>03-Jan-2022</v>
          </cell>
          <cell r="F1728">
            <v>2165542.62</v>
          </cell>
          <cell r="G1728">
            <v>475477.49099999998</v>
          </cell>
          <cell r="H1728">
            <v>4.5540000000000003</v>
          </cell>
          <cell r="I1728">
            <v>0</v>
          </cell>
          <cell r="J1728">
            <v>4.6909999999999998</v>
          </cell>
        </row>
        <row r="1729">
          <cell r="A1729" t="str">
            <v>LU1880386468</v>
          </cell>
          <cell r="B1729" t="str">
            <v>AMUNDI FUNDS EMERGING MARKETS LOCAL CURRENCY BOND</v>
          </cell>
          <cell r="C1729" t="str">
            <v>Class G EUR Hgd MD (D)</v>
          </cell>
          <cell r="D1729" t="str">
            <v>EUR</v>
          </cell>
          <cell r="E1729" t="str">
            <v>03-Jan-2022</v>
          </cell>
          <cell r="F1729">
            <v>5047456.49</v>
          </cell>
          <cell r="G1729">
            <v>1223886.72</v>
          </cell>
          <cell r="H1729">
            <v>4.1239999999999997</v>
          </cell>
          <cell r="I1729">
            <v>1.4E-2</v>
          </cell>
          <cell r="J1729">
            <v>4.2480000000000002</v>
          </cell>
        </row>
        <row r="1730">
          <cell r="A1730" t="str">
            <v>LU1882462069</v>
          </cell>
          <cell r="B1730" t="str">
            <v>AMUNDI FUNDS EMERGING MARKETS LOCAL CURRENCY BOND</v>
          </cell>
          <cell r="C1730" t="str">
            <v>Class T USD MD3 (D)</v>
          </cell>
          <cell r="D1730" t="str">
            <v>USD</v>
          </cell>
          <cell r="E1730" t="str">
            <v>03-Jan-2022</v>
          </cell>
          <cell r="F1730">
            <v>4126469.11</v>
          </cell>
          <cell r="G1730">
            <v>149600.63200000001</v>
          </cell>
          <cell r="H1730">
            <v>27.58</v>
          </cell>
          <cell r="I1730">
            <v>0.35620000000000002</v>
          </cell>
          <cell r="J1730">
            <v>27.58</v>
          </cell>
        </row>
        <row r="1731">
          <cell r="A1731" t="str">
            <v>LU1882462143</v>
          </cell>
          <cell r="B1731" t="str">
            <v>AMUNDI FUNDS EMERGING MARKETS LOCAL CURRENCY BOND</v>
          </cell>
          <cell r="C1731" t="str">
            <v>Class T USD MGI (D)</v>
          </cell>
          <cell r="D1731" t="str">
            <v>USD</v>
          </cell>
          <cell r="E1731" t="str">
            <v>03-Jan-2022</v>
          </cell>
          <cell r="F1731">
            <v>112931.51</v>
          </cell>
          <cell r="G1731">
            <v>2948.8290000000002</v>
          </cell>
          <cell r="H1731">
            <v>38.299999999999997</v>
          </cell>
          <cell r="I1731">
            <v>0.18895000000000001</v>
          </cell>
          <cell r="J1731">
            <v>38.299999999999997</v>
          </cell>
        </row>
        <row r="1732">
          <cell r="A1732" t="str">
            <v>LU1880387946</v>
          </cell>
          <cell r="B1732" t="str">
            <v>AMUNDI FUNDS EMERGING MARKETS LOCAL CURRENCY BOND</v>
          </cell>
          <cell r="C1732" t="str">
            <v>Class M EUR Hgd (C)</v>
          </cell>
          <cell r="D1732" t="str">
            <v>EUR</v>
          </cell>
          <cell r="E1732" t="str">
            <v>03-Jan-2022</v>
          </cell>
          <cell r="F1732">
            <v>4822.5</v>
          </cell>
          <cell r="G1732">
            <v>5.1779999999999999</v>
          </cell>
          <cell r="H1732">
            <v>931.34</v>
          </cell>
          <cell r="I1732">
            <v>0</v>
          </cell>
          <cell r="J1732">
            <v>931.34</v>
          </cell>
        </row>
        <row r="1733">
          <cell r="A1733" t="str">
            <v>LU1880388084</v>
          </cell>
          <cell r="B1733" t="str">
            <v>AMUNDI FUNDS EMERGING MARKETS LOCAL CURRENCY BOND</v>
          </cell>
          <cell r="C1733" t="str">
            <v>Class M USD (C)</v>
          </cell>
          <cell r="D1733" t="str">
            <v>USD</v>
          </cell>
          <cell r="E1733" t="str">
            <v>03-Jan-2022</v>
          </cell>
          <cell r="F1733">
            <v>13519459.34</v>
          </cell>
          <cell r="G1733">
            <v>13614.513000000001</v>
          </cell>
          <cell r="H1733">
            <v>993.02</v>
          </cell>
          <cell r="I1733">
            <v>0</v>
          </cell>
          <cell r="J1733">
            <v>993.02</v>
          </cell>
        </row>
        <row r="1734">
          <cell r="A1734" t="str">
            <v>LU1882461848</v>
          </cell>
          <cell r="B1734" t="str">
            <v>AMUNDI FUNDS EMERGING MARKETS LOCAL CURRENCY BOND</v>
          </cell>
          <cell r="C1734" t="str">
            <v>Class R2 EUR (C)</v>
          </cell>
          <cell r="D1734" t="str">
            <v>EUR</v>
          </cell>
          <cell r="E1734" t="str">
            <v>03-Jan-2022</v>
          </cell>
          <cell r="F1734">
            <v>1584597.96</v>
          </cell>
          <cell r="G1734">
            <v>30021.012999999999</v>
          </cell>
          <cell r="H1734">
            <v>52.78</v>
          </cell>
          <cell r="I1734">
            <v>0</v>
          </cell>
          <cell r="J1734">
            <v>52.78</v>
          </cell>
        </row>
        <row r="1735">
          <cell r="A1735" t="str">
            <v>LU1880388167</v>
          </cell>
          <cell r="B1735" t="str">
            <v>AMUNDI FUNDS EMERGING MARKETS LOCAL CURRENCY BOND</v>
          </cell>
          <cell r="C1735" t="str">
            <v>Class O USD (C)</v>
          </cell>
          <cell r="D1735" t="str">
            <v>USD</v>
          </cell>
          <cell r="E1735" t="str">
            <v>03-Jan-2022</v>
          </cell>
          <cell r="F1735">
            <v>101298629.2</v>
          </cell>
          <cell r="G1735">
            <v>100154.70299999999</v>
          </cell>
          <cell r="H1735">
            <v>1011.42</v>
          </cell>
          <cell r="I1735">
            <v>0</v>
          </cell>
          <cell r="J1735">
            <v>1011.42</v>
          </cell>
        </row>
        <row r="1736">
          <cell r="A1736" t="str">
            <v>LU1880385817</v>
          </cell>
          <cell r="B1736" t="str">
            <v>AMUNDI FUNDS EMERGING MARKETS LOCAL CURRENCY BOND</v>
          </cell>
          <cell r="C1736" t="str">
            <v>Class A2 USD (C)</v>
          </cell>
          <cell r="D1736" t="str">
            <v>USD</v>
          </cell>
          <cell r="E1736" t="str">
            <v>03-Jan-2022</v>
          </cell>
          <cell r="F1736">
            <v>372569.19</v>
          </cell>
          <cell r="G1736">
            <v>7690.2129999999997</v>
          </cell>
          <cell r="H1736">
            <v>48.45</v>
          </cell>
          <cell r="I1736">
            <v>0</v>
          </cell>
          <cell r="J1736">
            <v>48.45</v>
          </cell>
        </row>
        <row r="1737">
          <cell r="A1737" t="str">
            <v>LU1882462499</v>
          </cell>
          <cell r="B1737" t="str">
            <v>AMUNDI FUNDS EMERGING MARKETS LOCAL CURRENCY BOND</v>
          </cell>
          <cell r="C1737" t="str">
            <v>Class U USD MGI (D)</v>
          </cell>
          <cell r="D1737" t="str">
            <v>USD</v>
          </cell>
          <cell r="E1737" t="str">
            <v>03-Jan-2022</v>
          </cell>
          <cell r="F1737">
            <v>1083245.53</v>
          </cell>
          <cell r="G1737">
            <v>29714.018</v>
          </cell>
          <cell r="H1737">
            <v>36.46</v>
          </cell>
          <cell r="I1737">
            <v>0.17986199999999999</v>
          </cell>
          <cell r="J1737">
            <v>36.46</v>
          </cell>
        </row>
        <row r="1738">
          <cell r="A1738" t="str">
            <v>LU2259110026</v>
          </cell>
          <cell r="B1738" t="str">
            <v>AMUNDI FUNDS EMERGING MARKETS LOCAL CURRENCY BOND</v>
          </cell>
          <cell r="C1738" t="str">
            <v>Class R2 GBP (C)</v>
          </cell>
          <cell r="D1738" t="str">
            <v>GBP</v>
          </cell>
          <cell r="E1738" t="str">
            <v>03-Jan-2022</v>
          </cell>
          <cell r="F1738">
            <v>4566.3599999999997</v>
          </cell>
          <cell r="G1738">
            <v>100</v>
          </cell>
          <cell r="H1738">
            <v>45.66</v>
          </cell>
          <cell r="I1738">
            <v>0</v>
          </cell>
          <cell r="J1738">
            <v>45.66</v>
          </cell>
        </row>
        <row r="1739">
          <cell r="A1739" t="str">
            <v>LU1882462226</v>
          </cell>
          <cell r="B1739" t="str">
            <v>AMUNDI FUNDS EMERGING MARKETS LOCAL CURRENCY BOND</v>
          </cell>
          <cell r="C1739" t="str">
            <v>Class U USD MD3 (D)</v>
          </cell>
          <cell r="D1739" t="str">
            <v>USD</v>
          </cell>
          <cell r="E1739" t="str">
            <v>03-Jan-2022</v>
          </cell>
          <cell r="F1739">
            <v>26231292.23</v>
          </cell>
          <cell r="G1739">
            <v>951083.46799999999</v>
          </cell>
          <cell r="H1739">
            <v>27.58</v>
          </cell>
          <cell r="I1739">
            <v>0.35630000000000001</v>
          </cell>
          <cell r="J1739">
            <v>27.58</v>
          </cell>
        </row>
        <row r="1740">
          <cell r="A1740" t="str">
            <v>LU1880388910</v>
          </cell>
          <cell r="B1740" t="str">
            <v>AMUNDI FUNDS EMERGING MARKETS LOCAL CURRENCY BOND</v>
          </cell>
          <cell r="C1740" t="str">
            <v>Class R USD (C)</v>
          </cell>
          <cell r="D1740" t="str">
            <v>USD</v>
          </cell>
          <cell r="E1740" t="str">
            <v>03-Jan-2022</v>
          </cell>
          <cell r="F1740">
            <v>102.45</v>
          </cell>
          <cell r="G1740">
            <v>2.036</v>
          </cell>
          <cell r="H1740">
            <v>50.32</v>
          </cell>
          <cell r="I1740">
            <v>0</v>
          </cell>
          <cell r="J1740">
            <v>50.32</v>
          </cell>
        </row>
        <row r="1741">
          <cell r="A1741" t="str">
            <v>LU2391858433</v>
          </cell>
          <cell r="B1741" t="str">
            <v>AMUNDI FUNDS EMERGING MARKETS LOCAL CURRENCY BOND</v>
          </cell>
          <cell r="C1741" t="str">
            <v>Class R11 EUR Hgd (C)</v>
          </cell>
          <cell r="D1741" t="str">
            <v>EUR</v>
          </cell>
          <cell r="E1741" t="str">
            <v>03-Jan-2022</v>
          </cell>
          <cell r="F1741">
            <v>97042.67</v>
          </cell>
          <cell r="G1741">
            <v>2000</v>
          </cell>
          <cell r="H1741">
            <v>48.52</v>
          </cell>
          <cell r="I1741">
            <v>0</v>
          </cell>
          <cell r="J1741">
            <v>48.52</v>
          </cell>
        </row>
        <row r="1742">
          <cell r="A1742" t="str">
            <v>LU1882461921</v>
          </cell>
          <cell r="B1742" t="str">
            <v>AMUNDI FUNDS EMERGING MARKETS LOCAL CURRENCY BOND</v>
          </cell>
          <cell r="C1742" t="str">
            <v>Class R2 USD (C)</v>
          </cell>
          <cell r="D1742" t="str">
            <v>USD</v>
          </cell>
          <cell r="E1742" t="str">
            <v>03-Jan-2022</v>
          </cell>
          <cell r="F1742">
            <v>4952.9799999999996</v>
          </cell>
          <cell r="G1742">
            <v>100</v>
          </cell>
          <cell r="H1742">
            <v>49.53</v>
          </cell>
          <cell r="I1742">
            <v>0</v>
          </cell>
          <cell r="J1742">
            <v>49.53</v>
          </cell>
        </row>
        <row r="1743">
          <cell r="A1743" t="str">
            <v>LU1998917238</v>
          </cell>
          <cell r="B1743" t="str">
            <v>AMUNDI FUNDS EMERGING MARKETS LOCAL CURRENCY BOND</v>
          </cell>
          <cell r="C1743" t="str">
            <v>Class X USD ( C )</v>
          </cell>
          <cell r="D1743" t="str">
            <v>USD</v>
          </cell>
          <cell r="E1743" t="str">
            <v>03-Jan-2022</v>
          </cell>
          <cell r="F1743">
            <v>2581331.41</v>
          </cell>
          <cell r="G1743">
            <v>2558</v>
          </cell>
          <cell r="H1743">
            <v>1009.12</v>
          </cell>
          <cell r="I1743">
            <v>0</v>
          </cell>
          <cell r="J1743">
            <v>1009.12</v>
          </cell>
        </row>
        <row r="1744">
          <cell r="A1744" t="str">
            <v>LU1880386625</v>
          </cell>
          <cell r="B1744" t="str">
            <v>AMUNDI FUNDS EMERGING MARKETS LOCAL CURRENCY BOND</v>
          </cell>
          <cell r="C1744" t="str">
            <v>Class I EUR Hgd (C)</v>
          </cell>
          <cell r="D1744" t="str">
            <v>EUR</v>
          </cell>
          <cell r="E1744" t="str">
            <v>03-Jan-2022</v>
          </cell>
          <cell r="F1744">
            <v>58489628.109999999</v>
          </cell>
          <cell r="G1744">
            <v>62393.911999999997</v>
          </cell>
          <cell r="H1744">
            <v>937.43</v>
          </cell>
          <cell r="I1744">
            <v>0</v>
          </cell>
          <cell r="J1744">
            <v>937.43</v>
          </cell>
        </row>
        <row r="1745">
          <cell r="A1745" t="str">
            <v>LU1880387607</v>
          </cell>
          <cell r="B1745" t="str">
            <v>AMUNDI FUNDS EMERGING MARKETS LOCAL CURRENCY BOND</v>
          </cell>
          <cell r="C1745" t="str">
            <v>Class I USD (C)</v>
          </cell>
          <cell r="D1745" t="str">
            <v>USD</v>
          </cell>
          <cell r="E1745" t="str">
            <v>03-Jan-2022</v>
          </cell>
          <cell r="F1745">
            <v>72329866.030000001</v>
          </cell>
          <cell r="G1745">
            <v>72647.285999999993</v>
          </cell>
          <cell r="H1745">
            <v>995.63</v>
          </cell>
          <cell r="I1745">
            <v>0</v>
          </cell>
          <cell r="J1745">
            <v>995.63</v>
          </cell>
        </row>
        <row r="1746">
          <cell r="A1746" t="str">
            <v>LU1880387789</v>
          </cell>
          <cell r="B1746" t="str">
            <v>AMUNDI FUNDS EMERGING MARKETS LOCAL CURRENCY BOND</v>
          </cell>
          <cell r="C1746" t="str">
            <v>Class I USD AD (D)</v>
          </cell>
          <cell r="D1746" t="str">
            <v>USD</v>
          </cell>
          <cell r="E1746" t="str">
            <v>03-Jan-2022</v>
          </cell>
          <cell r="F1746">
            <v>6442907.4500000002</v>
          </cell>
          <cell r="G1746">
            <v>7325</v>
          </cell>
          <cell r="H1746">
            <v>879.58</v>
          </cell>
          <cell r="I1746">
            <v>0</v>
          </cell>
          <cell r="J1746">
            <v>879.58</v>
          </cell>
        </row>
        <row r="1747">
          <cell r="A1747" t="str">
            <v>LU2052288532</v>
          </cell>
          <cell r="B1747" t="str">
            <v>AMUNDI FUNDS EMERGING MARKETS LOCAL CURRENCY BOND</v>
          </cell>
          <cell r="C1747" t="str">
            <v>Class Z EUR AD (D)</v>
          </cell>
          <cell r="D1747" t="str">
            <v>EUR</v>
          </cell>
          <cell r="E1747" t="str">
            <v>03-Jan-2022</v>
          </cell>
          <cell r="F1747">
            <v>1247948.26</v>
          </cell>
          <cell r="G1747">
            <v>1433.837</v>
          </cell>
          <cell r="H1747">
            <v>870.36</v>
          </cell>
          <cell r="I1747">
            <v>0</v>
          </cell>
          <cell r="J1747">
            <v>870.36</v>
          </cell>
        </row>
        <row r="1748">
          <cell r="A1748" t="str">
            <v>LU2052288458</v>
          </cell>
          <cell r="B1748" t="str">
            <v>AMUNDI FUNDS EMERGING MARKETS LOCAL CURRENCY BOND</v>
          </cell>
          <cell r="C1748" t="str">
            <v>Class Z EUR QD (D)</v>
          </cell>
          <cell r="D1748" t="str">
            <v>EUR</v>
          </cell>
          <cell r="E1748" t="str">
            <v>03-Jan-2022</v>
          </cell>
          <cell r="F1748">
            <v>4247.83</v>
          </cell>
          <cell r="G1748">
            <v>5</v>
          </cell>
          <cell r="H1748">
            <v>849.57</v>
          </cell>
          <cell r="I1748">
            <v>0</v>
          </cell>
          <cell r="J1748">
            <v>849.57</v>
          </cell>
        </row>
        <row r="1749">
          <cell r="A1749" t="str">
            <v>LU1882436907</v>
          </cell>
          <cell r="B1749" t="str">
            <v>AMUNDI FUNDS ABSOLUTE RETURN EUROPEAN EQUITY</v>
          </cell>
          <cell r="C1749" t="str">
            <v>Class A EUR AD (D)</v>
          </cell>
          <cell r="D1749" t="str">
            <v>EUR</v>
          </cell>
          <cell r="E1749" t="str">
            <v>03-Jan-2022</v>
          </cell>
          <cell r="F1749">
            <v>4223.3100000000004</v>
          </cell>
          <cell r="G1749">
            <v>100</v>
          </cell>
          <cell r="H1749">
            <v>42.23</v>
          </cell>
          <cell r="I1749">
            <v>0</v>
          </cell>
          <cell r="J1749">
            <v>44.13</v>
          </cell>
        </row>
        <row r="1750">
          <cell r="A1750" t="str">
            <v>LU1882436733</v>
          </cell>
          <cell r="B1750" t="str">
            <v>AMUNDI FUNDS ABSOLUTE RETURN EUROPEAN EQUITY</v>
          </cell>
          <cell r="C1750" t="str">
            <v>Class A EUR (C)</v>
          </cell>
          <cell r="D1750" t="str">
            <v>EUR</v>
          </cell>
          <cell r="E1750" t="str">
            <v>03-Jan-2022</v>
          </cell>
          <cell r="F1750">
            <v>2301073.8199999998</v>
          </cell>
          <cell r="G1750">
            <v>54700.821000000004</v>
          </cell>
          <cell r="H1750">
            <v>42.07</v>
          </cell>
          <cell r="I1750">
            <v>0</v>
          </cell>
          <cell r="J1750">
            <v>43.96</v>
          </cell>
        </row>
        <row r="1751">
          <cell r="A1751" t="str">
            <v>LU2070305540</v>
          </cell>
          <cell r="B1751" t="str">
            <v>AMUNDI FUNDS ABSOLUTE RETURN EUROPEAN EQUITY</v>
          </cell>
          <cell r="C1751" t="str">
            <v>Class A5 EUR (C)</v>
          </cell>
          <cell r="D1751" t="str">
            <v>EUR</v>
          </cell>
          <cell r="E1751" t="str">
            <v>03-Jan-2022</v>
          </cell>
          <cell r="F1751">
            <v>4442.0600000000004</v>
          </cell>
          <cell r="G1751">
            <v>100</v>
          </cell>
          <cell r="H1751">
            <v>44.42</v>
          </cell>
          <cell r="I1751">
            <v>0</v>
          </cell>
          <cell r="J1751">
            <v>44.42</v>
          </cell>
        </row>
        <row r="1752">
          <cell r="A1752" t="str">
            <v>LU1882437038</v>
          </cell>
          <cell r="B1752" t="str">
            <v>AMUNDI FUNDS ABSOLUTE RETURN EUROPEAN EQUITY</v>
          </cell>
          <cell r="C1752" t="str">
            <v>Class A HUF Hgd (C)</v>
          </cell>
          <cell r="D1752" t="str">
            <v>HUF</v>
          </cell>
          <cell r="E1752" t="str">
            <v>03-Jan-2022</v>
          </cell>
          <cell r="F1752">
            <v>73306606.480000004</v>
          </cell>
          <cell r="G1752">
            <v>8269.5660000000007</v>
          </cell>
          <cell r="H1752">
            <v>8864.6299999999992</v>
          </cell>
          <cell r="I1752">
            <v>0</v>
          </cell>
          <cell r="J1752">
            <v>9263.5400000000009</v>
          </cell>
        </row>
        <row r="1753">
          <cell r="A1753" t="str">
            <v>LU1882437202</v>
          </cell>
          <cell r="B1753" t="str">
            <v>AMUNDI FUNDS ABSOLUTE RETURN EUROPEAN EQUITY</v>
          </cell>
          <cell r="C1753" t="str">
            <v>Class A USD (C)</v>
          </cell>
          <cell r="D1753" t="str">
            <v>USD</v>
          </cell>
          <cell r="E1753" t="str">
            <v>03-Jan-2022</v>
          </cell>
          <cell r="F1753">
            <v>4535.3599999999997</v>
          </cell>
          <cell r="G1753">
            <v>95.492999999999995</v>
          </cell>
          <cell r="H1753">
            <v>47.49</v>
          </cell>
          <cell r="I1753">
            <v>0</v>
          </cell>
          <cell r="J1753">
            <v>49.63</v>
          </cell>
        </row>
        <row r="1754">
          <cell r="A1754" t="str">
            <v>LU1882438606</v>
          </cell>
          <cell r="B1754" t="str">
            <v>AMUNDI FUNDS ABSOLUTE RETURN EUROPEAN EQUITY</v>
          </cell>
          <cell r="C1754" t="str">
            <v>Class M2 EUR (C)</v>
          </cell>
          <cell r="D1754" t="str">
            <v>EUR</v>
          </cell>
          <cell r="E1754" t="str">
            <v>03-Jan-2022</v>
          </cell>
          <cell r="F1754">
            <v>564508.66</v>
          </cell>
          <cell r="G1754">
            <v>613.84799999999996</v>
          </cell>
          <cell r="H1754">
            <v>919.62</v>
          </cell>
          <cell r="I1754">
            <v>0</v>
          </cell>
          <cell r="J1754">
            <v>919.62</v>
          </cell>
        </row>
        <row r="1755">
          <cell r="A1755" t="str">
            <v>LU1882437541</v>
          </cell>
          <cell r="B1755" t="str">
            <v>AMUNDI FUNDS ABSOLUTE RETURN EUROPEAN EQUITY</v>
          </cell>
          <cell r="C1755" t="str">
            <v>Class E2 EUR (C)</v>
          </cell>
          <cell r="D1755" t="str">
            <v>EUR</v>
          </cell>
          <cell r="E1755" t="str">
            <v>03-Jan-2022</v>
          </cell>
          <cell r="F1755">
            <v>10608567.810000001</v>
          </cell>
          <cell r="G1755">
            <v>113430.583</v>
          </cell>
          <cell r="H1755">
            <v>93.525000000000006</v>
          </cell>
          <cell r="I1755">
            <v>0</v>
          </cell>
          <cell r="J1755">
            <v>93.525000000000006</v>
          </cell>
        </row>
        <row r="1756">
          <cell r="A1756" t="str">
            <v>LU1882437624</v>
          </cell>
          <cell r="B1756" t="str">
            <v>AMUNDI FUNDS ABSOLUTE RETURN EUROPEAN EQUITY</v>
          </cell>
          <cell r="C1756" t="str">
            <v>Class E2 USD Hgd (C)</v>
          </cell>
          <cell r="D1756" t="str">
            <v>USD</v>
          </cell>
          <cell r="E1756" t="str">
            <v>03-Jan-2022</v>
          </cell>
          <cell r="F1756">
            <v>1292152.8</v>
          </cell>
          <cell r="G1756">
            <v>12977.432000000001</v>
          </cell>
          <cell r="H1756">
            <v>99.569000000000003</v>
          </cell>
          <cell r="I1756">
            <v>0</v>
          </cell>
          <cell r="J1756">
            <v>99.569000000000003</v>
          </cell>
        </row>
        <row r="1757">
          <cell r="A1757" t="str">
            <v>LU1998913831</v>
          </cell>
          <cell r="B1757" t="str">
            <v>AMUNDI FUNDS ABSOLUTE RETURN EUROPEAN EQUITY</v>
          </cell>
          <cell r="C1757" t="str">
            <v>Class H EUR (C)</v>
          </cell>
          <cell r="D1757" t="str">
            <v>EUR</v>
          </cell>
          <cell r="E1757" t="str">
            <v>03-Jan-2022</v>
          </cell>
          <cell r="F1757">
            <v>3779893.13</v>
          </cell>
          <cell r="G1757">
            <v>4200</v>
          </cell>
          <cell r="H1757">
            <v>899.97</v>
          </cell>
          <cell r="I1757">
            <v>0</v>
          </cell>
          <cell r="J1757">
            <v>899.97</v>
          </cell>
        </row>
        <row r="1758">
          <cell r="A1758" t="str">
            <v>LU1882437970</v>
          </cell>
          <cell r="B1758" t="str">
            <v>AMUNDI FUNDS ABSOLUTE RETURN EUROPEAN EQUITY</v>
          </cell>
          <cell r="C1758" t="str">
            <v>Class G EUR (C)</v>
          </cell>
          <cell r="D1758" t="str">
            <v>EUR</v>
          </cell>
          <cell r="E1758" t="str">
            <v>03-Jan-2022</v>
          </cell>
          <cell r="F1758">
            <v>82457.22</v>
          </cell>
          <cell r="G1758">
            <v>19051.008999999998</v>
          </cell>
          <cell r="H1758">
            <v>4.3280000000000003</v>
          </cell>
          <cell r="I1758">
            <v>0</v>
          </cell>
          <cell r="J1758">
            <v>4.3280000000000003</v>
          </cell>
        </row>
        <row r="1759">
          <cell r="A1759" t="str">
            <v>LU1882438788</v>
          </cell>
          <cell r="B1759" t="str">
            <v>AMUNDI FUNDS ABSOLUTE RETURN EUROPEAN EQUITY</v>
          </cell>
          <cell r="C1759" t="str">
            <v>Class R EUR (C)</v>
          </cell>
          <cell r="D1759" t="str">
            <v>EUR</v>
          </cell>
          <cell r="E1759" t="str">
            <v>03-Jan-2022</v>
          </cell>
          <cell r="F1759">
            <v>4507.68</v>
          </cell>
          <cell r="G1759">
            <v>100</v>
          </cell>
          <cell r="H1759">
            <v>45.08</v>
          </cell>
          <cell r="I1759">
            <v>0</v>
          </cell>
          <cell r="J1759">
            <v>45.08</v>
          </cell>
        </row>
        <row r="1760">
          <cell r="A1760" t="str">
            <v>LU1882438945</v>
          </cell>
          <cell r="B1760" t="str">
            <v>AMUNDI FUNDS ABSOLUTE RETURN EUROPEAN EQUITY</v>
          </cell>
          <cell r="C1760" t="str">
            <v>Class R USD (C)</v>
          </cell>
          <cell r="D1760" t="str">
            <v>USD</v>
          </cell>
          <cell r="E1760" t="str">
            <v>03-Jan-2022</v>
          </cell>
          <cell r="F1760">
            <v>4525.05</v>
          </cell>
          <cell r="G1760">
            <v>100</v>
          </cell>
          <cell r="H1760">
            <v>45.25</v>
          </cell>
          <cell r="I1760">
            <v>0</v>
          </cell>
          <cell r="J1760">
            <v>45.25</v>
          </cell>
        </row>
        <row r="1761">
          <cell r="A1761" t="str">
            <v>LU1882439083</v>
          </cell>
          <cell r="B1761" t="str">
            <v>AMUNDI FUNDS ABSOLUTE RETURN EUROPEAN EQUITY</v>
          </cell>
          <cell r="C1761" t="str">
            <v>Class R USD Hgd (C)</v>
          </cell>
          <cell r="D1761" t="str">
            <v>USD</v>
          </cell>
          <cell r="E1761" t="str">
            <v>03-Jan-2022</v>
          </cell>
          <cell r="F1761">
            <v>118661.69</v>
          </cell>
          <cell r="G1761">
            <v>2435</v>
          </cell>
          <cell r="H1761">
            <v>48.73</v>
          </cell>
          <cell r="I1761">
            <v>0</v>
          </cell>
          <cell r="J1761">
            <v>48.73</v>
          </cell>
        </row>
        <row r="1762">
          <cell r="A1762" t="str">
            <v>LU1882438358</v>
          </cell>
          <cell r="B1762" t="str">
            <v>AMUNDI FUNDS ABSOLUTE RETURN EUROPEAN EQUITY</v>
          </cell>
          <cell r="C1762" t="str">
            <v>Class I EUR (C)</v>
          </cell>
          <cell r="D1762" t="str">
            <v>EUR</v>
          </cell>
          <cell r="E1762" t="str">
            <v>03-Jan-2022</v>
          </cell>
          <cell r="F1762">
            <v>125.7</v>
          </cell>
          <cell r="G1762">
            <v>1.1970000000000001</v>
          </cell>
          <cell r="H1762">
            <v>105.01</v>
          </cell>
          <cell r="I1762">
            <v>0</v>
          </cell>
          <cell r="J1762">
            <v>105.01</v>
          </cell>
        </row>
        <row r="1763">
          <cell r="A1763" t="str">
            <v>LU1882438432</v>
          </cell>
          <cell r="B1763" t="str">
            <v>AMUNDI FUNDS ABSOLUTE RETURN EUROPEAN EQUITY</v>
          </cell>
          <cell r="C1763" t="str">
            <v>Class I USD Hgd (C)</v>
          </cell>
          <cell r="D1763" t="str">
            <v>USD</v>
          </cell>
          <cell r="E1763" t="str">
            <v>03-Jan-2022</v>
          </cell>
          <cell r="F1763">
            <v>119233.74</v>
          </cell>
          <cell r="G1763">
            <v>122</v>
          </cell>
          <cell r="H1763">
            <v>977.33</v>
          </cell>
          <cell r="I1763">
            <v>0</v>
          </cell>
          <cell r="J1763">
            <v>977.33</v>
          </cell>
        </row>
        <row r="1764">
          <cell r="A1764" t="str">
            <v>LU2040439817</v>
          </cell>
          <cell r="B1764" t="str">
            <v>AMUNDI FUNDS ABSOLUTE RETURN EUROPEAN EQUITY</v>
          </cell>
          <cell r="C1764" t="str">
            <v>Class Z EUR (C)</v>
          </cell>
          <cell r="D1764" t="str">
            <v>EUR</v>
          </cell>
          <cell r="E1764" t="str">
            <v>03-Jan-2022</v>
          </cell>
          <cell r="F1764">
            <v>40855.760000000002</v>
          </cell>
          <cell r="G1764">
            <v>45.673999999999999</v>
          </cell>
          <cell r="H1764">
            <v>894.51</v>
          </cell>
          <cell r="I1764">
            <v>0</v>
          </cell>
          <cell r="J1764">
            <v>894.51</v>
          </cell>
        </row>
        <row r="1765">
          <cell r="A1765" t="str">
            <v>LU1883866102</v>
          </cell>
          <cell r="B1765" t="str">
            <v>AMUNDI FUNDS REAL ASSETS TARGET INCOME</v>
          </cell>
          <cell r="C1765" t="str">
            <v>Class A2 EUR Hgd MTI (D)</v>
          </cell>
          <cell r="D1765" t="str">
            <v>EUR</v>
          </cell>
          <cell r="E1765" t="str">
            <v>03-Jan-2022</v>
          </cell>
          <cell r="F1765">
            <v>91186.69</v>
          </cell>
          <cell r="G1765">
            <v>1967.8119999999999</v>
          </cell>
          <cell r="H1765">
            <v>46.34</v>
          </cell>
          <cell r="I1765">
            <v>0</v>
          </cell>
          <cell r="J1765">
            <v>48.43</v>
          </cell>
        </row>
        <row r="1766">
          <cell r="A1766" t="str">
            <v>LU1883866284</v>
          </cell>
          <cell r="B1766" t="str">
            <v>AMUNDI FUNDS REAL ASSETS TARGET INCOME</v>
          </cell>
          <cell r="C1766" t="str">
            <v>Class A2 EUR Hgd QTI (D)</v>
          </cell>
          <cell r="D1766" t="str">
            <v>EUR</v>
          </cell>
          <cell r="E1766" t="str">
            <v>03-Jan-2022</v>
          </cell>
          <cell r="F1766">
            <v>19722361.760000002</v>
          </cell>
          <cell r="G1766">
            <v>425264.451</v>
          </cell>
          <cell r="H1766">
            <v>46.38</v>
          </cell>
          <cell r="I1766">
            <v>0</v>
          </cell>
          <cell r="J1766">
            <v>48.47</v>
          </cell>
        </row>
        <row r="1767">
          <cell r="A1767" t="str">
            <v>LU1883866524</v>
          </cell>
          <cell r="B1767" t="str">
            <v>AMUNDI FUNDS REAL ASSETS TARGET INCOME</v>
          </cell>
          <cell r="C1767" t="str">
            <v>Class A2 USD QTI (D)</v>
          </cell>
          <cell r="D1767" t="str">
            <v>USD</v>
          </cell>
          <cell r="E1767" t="str">
            <v>03-Jan-2022</v>
          </cell>
          <cell r="F1767">
            <v>1593619.71</v>
          </cell>
          <cell r="G1767">
            <v>36307.972999999998</v>
          </cell>
          <cell r="H1767">
            <v>43.89</v>
          </cell>
          <cell r="I1767">
            <v>0</v>
          </cell>
          <cell r="J1767">
            <v>45.87</v>
          </cell>
        </row>
        <row r="1768">
          <cell r="A1768" t="str">
            <v>LU1883866011</v>
          </cell>
          <cell r="B1768" t="str">
            <v>AMUNDI FUNDS REAL ASSETS TARGET INCOME</v>
          </cell>
          <cell r="C1768" t="str">
            <v>Class A2 EUR (C)</v>
          </cell>
          <cell r="D1768" t="str">
            <v>EUR</v>
          </cell>
          <cell r="E1768" t="str">
            <v>03-Jan-2022</v>
          </cell>
          <cell r="F1768">
            <v>21597191.649999999</v>
          </cell>
          <cell r="G1768">
            <v>361899.63699999999</v>
          </cell>
          <cell r="H1768">
            <v>59.68</v>
          </cell>
          <cell r="I1768">
            <v>0</v>
          </cell>
          <cell r="J1768">
            <v>62.37</v>
          </cell>
        </row>
        <row r="1769">
          <cell r="A1769" t="str">
            <v>LU1883866797</v>
          </cell>
          <cell r="B1769" t="str">
            <v>AMUNDI FUNDS REAL ASSETS TARGET INCOME</v>
          </cell>
          <cell r="C1769" t="str">
            <v>Class E2 EUR ATI (D)</v>
          </cell>
          <cell r="D1769" t="str">
            <v>EUR</v>
          </cell>
          <cell r="E1769" t="str">
            <v>03-Jan-2022</v>
          </cell>
          <cell r="F1769">
            <v>16555497.65</v>
          </cell>
          <cell r="G1769">
            <v>4146781.9139999999</v>
          </cell>
          <cell r="H1769">
            <v>3.992</v>
          </cell>
          <cell r="I1769">
            <v>0</v>
          </cell>
          <cell r="J1769">
            <v>3.992</v>
          </cell>
        </row>
        <row r="1770">
          <cell r="A1770" t="str">
            <v>LU1883866870</v>
          </cell>
          <cell r="B1770" t="str">
            <v>AMUNDI FUNDS REAL ASSETS TARGET INCOME</v>
          </cell>
          <cell r="C1770" t="str">
            <v>Class E2 EUR Hgd SATI (D)</v>
          </cell>
          <cell r="D1770" t="str">
            <v>EUR</v>
          </cell>
          <cell r="E1770" t="str">
            <v>03-Jan-2022</v>
          </cell>
          <cell r="F1770">
            <v>4004692.09</v>
          </cell>
          <cell r="G1770">
            <v>986535.49800000002</v>
          </cell>
          <cell r="H1770">
            <v>4.0590000000000002</v>
          </cell>
          <cell r="I1770">
            <v>0</v>
          </cell>
          <cell r="J1770">
            <v>4.0590000000000002</v>
          </cell>
        </row>
        <row r="1771">
          <cell r="A1771" t="str">
            <v>LU1883867092</v>
          </cell>
          <cell r="B1771" t="str">
            <v>AMUNDI FUNDS REAL ASSETS TARGET INCOME</v>
          </cell>
          <cell r="C1771" t="str">
            <v>Class F2 EUR ATI (D)</v>
          </cell>
          <cell r="D1771" t="str">
            <v>EUR</v>
          </cell>
          <cell r="E1771" t="str">
            <v>03-Jan-2022</v>
          </cell>
          <cell r="F1771">
            <v>4513834.26</v>
          </cell>
          <cell r="G1771">
            <v>1204124.8459999999</v>
          </cell>
          <cell r="H1771">
            <v>3.7490000000000001</v>
          </cell>
          <cell r="I1771">
            <v>0</v>
          </cell>
          <cell r="J1771">
            <v>3.7490000000000001</v>
          </cell>
        </row>
        <row r="1772">
          <cell r="A1772" t="str">
            <v>LU1883867415</v>
          </cell>
          <cell r="B1772" t="str">
            <v>AMUNDI FUNDS REAL ASSETS TARGET INCOME</v>
          </cell>
          <cell r="C1772" t="str">
            <v>Class I2 EUR Hgd QTI (D)</v>
          </cell>
          <cell r="D1772" t="str">
            <v>EUR</v>
          </cell>
          <cell r="E1772" t="str">
            <v>03-Jan-2022</v>
          </cell>
          <cell r="F1772">
            <v>533276.74</v>
          </cell>
          <cell r="G1772">
            <v>547.61500000000001</v>
          </cell>
          <cell r="H1772">
            <v>973.82</v>
          </cell>
          <cell r="I1772">
            <v>0</v>
          </cell>
          <cell r="J1772">
            <v>973.82</v>
          </cell>
        </row>
        <row r="1773">
          <cell r="A1773" t="str">
            <v>LU1883867332</v>
          </cell>
          <cell r="B1773" t="str">
            <v>AMUNDI FUNDS REAL ASSETS TARGET INCOME</v>
          </cell>
          <cell r="C1773" t="str">
            <v>Class I2 EUR (C)</v>
          </cell>
          <cell r="D1773" t="str">
            <v>EUR</v>
          </cell>
          <cell r="E1773" t="str">
            <v>03-Jan-2022</v>
          </cell>
          <cell r="F1773">
            <v>20236942.300000001</v>
          </cell>
          <cell r="G1773">
            <v>15622.485000000001</v>
          </cell>
          <cell r="H1773">
            <v>1295.3699999999999</v>
          </cell>
          <cell r="I1773">
            <v>0</v>
          </cell>
          <cell r="J1773">
            <v>1295.3699999999999</v>
          </cell>
        </row>
        <row r="1774">
          <cell r="A1774" t="str">
            <v>LU1883867258</v>
          </cell>
          <cell r="B1774" t="str">
            <v>AMUNDI FUNDS REAL ASSETS TARGET INCOME</v>
          </cell>
          <cell r="C1774" t="str">
            <v>Class G2 EUR Hgd QTI (D)</v>
          </cell>
          <cell r="D1774" t="str">
            <v>EUR</v>
          </cell>
          <cell r="E1774" t="str">
            <v>03-Jan-2022</v>
          </cell>
          <cell r="F1774">
            <v>2354797.9700000002</v>
          </cell>
          <cell r="G1774">
            <v>516833.43</v>
          </cell>
          <cell r="H1774">
            <v>4.556</v>
          </cell>
          <cell r="I1774">
            <v>0</v>
          </cell>
          <cell r="J1774">
            <v>4.556</v>
          </cell>
        </row>
        <row r="1775">
          <cell r="A1775" t="str">
            <v>LU2002723828</v>
          </cell>
          <cell r="B1775" t="str">
            <v>AMUNDI FUNDS REAL ASSETS TARGET INCOME</v>
          </cell>
          <cell r="C1775" t="str">
            <v>Class M2 EUR Hgd SATI ( D )</v>
          </cell>
          <cell r="D1775" t="str">
            <v>EUR</v>
          </cell>
          <cell r="E1775" t="str">
            <v>03-Jan-2022</v>
          </cell>
          <cell r="F1775">
            <v>33524933.390000001</v>
          </cell>
          <cell r="G1775">
            <v>30623.106</v>
          </cell>
          <cell r="H1775">
            <v>1094.76</v>
          </cell>
          <cell r="I1775">
            <v>0</v>
          </cell>
          <cell r="J1775">
            <v>1094.76</v>
          </cell>
        </row>
        <row r="1776">
          <cell r="A1776" t="str">
            <v>LU2002724040</v>
          </cell>
          <cell r="B1776" t="str">
            <v>AMUNDI FUNDS REAL ASSETS TARGET INCOME</v>
          </cell>
          <cell r="C1776" t="str">
            <v>Class M2 USD ATI ( D )</v>
          </cell>
          <cell r="D1776" t="str">
            <v>USD</v>
          </cell>
          <cell r="E1776" t="str">
            <v>03-Jan-2022</v>
          </cell>
          <cell r="F1776">
            <v>31240683.690000001</v>
          </cell>
          <cell r="G1776">
            <v>27394.911</v>
          </cell>
          <cell r="H1776">
            <v>1140.3800000000001</v>
          </cell>
          <cell r="I1776">
            <v>0</v>
          </cell>
          <cell r="J1776">
            <v>1140.3800000000001</v>
          </cell>
        </row>
        <row r="1777">
          <cell r="A1777" t="str">
            <v>LU1883867688</v>
          </cell>
          <cell r="B1777" t="str">
            <v>AMUNDI FUNDS REAL ASSETS TARGET INCOME</v>
          </cell>
          <cell r="C1777" t="str">
            <v>Class R2 EUR (C)</v>
          </cell>
          <cell r="D1777" t="str">
            <v>EUR</v>
          </cell>
          <cell r="E1777" t="str">
            <v>03-Jan-2022</v>
          </cell>
          <cell r="F1777">
            <v>539493.92000000004</v>
          </cell>
          <cell r="G1777">
            <v>8038.5540000000001</v>
          </cell>
          <cell r="H1777">
            <v>67.11</v>
          </cell>
          <cell r="I1777">
            <v>0</v>
          </cell>
          <cell r="J1777">
            <v>67.11</v>
          </cell>
        </row>
        <row r="1778">
          <cell r="A1778" t="str">
            <v>LU1883866367</v>
          </cell>
          <cell r="B1778" t="str">
            <v>AMUNDI FUNDS REAL ASSETS TARGET INCOME</v>
          </cell>
          <cell r="C1778" t="str">
            <v>Class A2 EUR QTI (D)</v>
          </cell>
          <cell r="D1778" t="str">
            <v>EUR</v>
          </cell>
          <cell r="E1778" t="str">
            <v>03-Jan-2022</v>
          </cell>
          <cell r="F1778">
            <v>1413096.68</v>
          </cell>
          <cell r="G1778">
            <v>36359.930999999997</v>
          </cell>
          <cell r="H1778">
            <v>38.86</v>
          </cell>
          <cell r="I1778">
            <v>0</v>
          </cell>
          <cell r="J1778">
            <v>40.61</v>
          </cell>
        </row>
        <row r="1779">
          <cell r="A1779" t="str">
            <v>LU1883866441</v>
          </cell>
          <cell r="B1779" t="str">
            <v>AMUNDI FUNDS REAL ASSETS TARGET INCOME</v>
          </cell>
          <cell r="C1779" t="str">
            <v>Class A2 USD (C)</v>
          </cell>
          <cell r="D1779" t="str">
            <v>USD</v>
          </cell>
          <cell r="E1779" t="str">
            <v>03-Jan-2022</v>
          </cell>
          <cell r="F1779">
            <v>1360036.46</v>
          </cell>
          <cell r="G1779">
            <v>20177.669000000002</v>
          </cell>
          <cell r="H1779">
            <v>67.400000000000006</v>
          </cell>
          <cell r="I1779">
            <v>0</v>
          </cell>
          <cell r="J1779">
            <v>70.430000000000007</v>
          </cell>
        </row>
        <row r="1780">
          <cell r="A1780" t="str">
            <v>LU2070303842</v>
          </cell>
          <cell r="B1780" t="str">
            <v>AMUNDI FUNDS REAL ASSETS TARGET INCOME</v>
          </cell>
          <cell r="C1780" t="str">
            <v>Class Z EUR QD (D)</v>
          </cell>
          <cell r="D1780" t="str">
            <v>EUR</v>
          </cell>
          <cell r="E1780" t="str">
            <v>03-Jan-2022</v>
          </cell>
          <cell r="F1780">
            <v>25222982.120000001</v>
          </cell>
          <cell r="G1780">
            <v>20075.355</v>
          </cell>
          <cell r="H1780">
            <v>1256.42</v>
          </cell>
          <cell r="I1780">
            <v>0</v>
          </cell>
          <cell r="J1780">
            <v>1256.42</v>
          </cell>
        </row>
        <row r="1781">
          <cell r="A1781" t="str">
            <v>LU2085675606</v>
          </cell>
          <cell r="B1781" t="str">
            <v>AMUNDI FUNDS REAL ASSETS TARGET INCOME</v>
          </cell>
          <cell r="C1781" t="str">
            <v>Class Z USD QTI (D)</v>
          </cell>
          <cell r="D1781" t="str">
            <v>USD</v>
          </cell>
          <cell r="E1781" t="str">
            <v>03-Jan-2022</v>
          </cell>
          <cell r="F1781">
            <v>70411323.379999995</v>
          </cell>
          <cell r="G1781">
            <v>63776.040999999997</v>
          </cell>
          <cell r="H1781">
            <v>1104.04</v>
          </cell>
          <cell r="I1781">
            <v>0</v>
          </cell>
          <cell r="J1781">
            <v>1104.04</v>
          </cell>
        </row>
        <row r="1782">
          <cell r="A1782" t="str">
            <v>LU2237438465</v>
          </cell>
          <cell r="B1782" t="str">
            <v>AMUNDI FUNDS REAL ASSETS TARGET INCOME</v>
          </cell>
          <cell r="C1782" t="str">
            <v>Class H USD ( C )</v>
          </cell>
          <cell r="D1782" t="str">
            <v>USD</v>
          </cell>
          <cell r="E1782" t="str">
            <v>03-Jan-2022</v>
          </cell>
          <cell r="F1782">
            <v>23582587.43</v>
          </cell>
          <cell r="G1782">
            <v>19939.819</v>
          </cell>
          <cell r="H1782">
            <v>1182.69</v>
          </cell>
          <cell r="I1782">
            <v>0</v>
          </cell>
          <cell r="J1782">
            <v>1182.69</v>
          </cell>
        </row>
        <row r="1783">
          <cell r="A1783" t="str">
            <v>LU1883340322</v>
          </cell>
          <cell r="B1783" t="str">
            <v>AMUNDI FUNDS PIONEER FLEXIBLE OPPORTUNITIES</v>
          </cell>
          <cell r="C1783" t="str">
            <v>Class A EUR (C)</v>
          </cell>
          <cell r="D1783" t="str">
            <v>EUR</v>
          </cell>
          <cell r="E1783" t="str">
            <v>03-Jan-2022</v>
          </cell>
          <cell r="F1783">
            <v>2451543.7599999998</v>
          </cell>
          <cell r="G1783">
            <v>24584.493999999999</v>
          </cell>
          <cell r="H1783">
            <v>99.72</v>
          </cell>
          <cell r="I1783">
            <v>0</v>
          </cell>
          <cell r="J1783">
            <v>104.21</v>
          </cell>
        </row>
        <row r="1784">
          <cell r="A1784" t="str">
            <v>LU1883340595</v>
          </cell>
          <cell r="B1784" t="str">
            <v>AMUNDI FUNDS PIONEER FLEXIBLE OPPORTUNITIES</v>
          </cell>
          <cell r="C1784" t="str">
            <v>Class A EUR Hgd (C)</v>
          </cell>
          <cell r="D1784" t="str">
            <v>EUR</v>
          </cell>
          <cell r="E1784" t="str">
            <v>03-Jan-2022</v>
          </cell>
          <cell r="F1784">
            <v>939526.67</v>
          </cell>
          <cell r="G1784">
            <v>12537.251</v>
          </cell>
          <cell r="H1784">
            <v>74.94</v>
          </cell>
          <cell r="I1784">
            <v>0</v>
          </cell>
          <cell r="J1784">
            <v>78.31</v>
          </cell>
        </row>
        <row r="1785">
          <cell r="A1785" t="str">
            <v>LU1883340249</v>
          </cell>
          <cell r="B1785" t="str">
            <v>AMUNDI FUNDS PIONEER FLEXIBLE OPPORTUNITIES</v>
          </cell>
          <cell r="C1785" t="str">
            <v>Class A CZK Hgd (C)</v>
          </cell>
          <cell r="D1785" t="str">
            <v>CZK</v>
          </cell>
          <cell r="E1785" t="str">
            <v>03-Jan-2022</v>
          </cell>
          <cell r="F1785">
            <v>86385913.519999996</v>
          </cell>
          <cell r="G1785">
            <v>50710.648999999998</v>
          </cell>
          <cell r="H1785">
            <v>1703.51</v>
          </cell>
          <cell r="I1785">
            <v>0</v>
          </cell>
          <cell r="J1785">
            <v>1780.17</v>
          </cell>
        </row>
        <row r="1786">
          <cell r="A1786" t="str">
            <v>LU1883340678</v>
          </cell>
          <cell r="B1786" t="str">
            <v>AMUNDI FUNDS PIONEER FLEXIBLE OPPORTUNITIES</v>
          </cell>
          <cell r="C1786" t="str">
            <v>Class A USD (C)</v>
          </cell>
          <cell r="D1786" t="str">
            <v>USD</v>
          </cell>
          <cell r="E1786" t="str">
            <v>03-Jan-2022</v>
          </cell>
          <cell r="F1786">
            <v>11559541.619999999</v>
          </cell>
          <cell r="G1786">
            <v>100141.682</v>
          </cell>
          <cell r="H1786">
            <v>115.43</v>
          </cell>
          <cell r="I1786">
            <v>0</v>
          </cell>
          <cell r="J1786">
            <v>120.62</v>
          </cell>
        </row>
        <row r="1787">
          <cell r="A1787" t="str">
            <v>LU1883340835</v>
          </cell>
          <cell r="B1787" t="str">
            <v>AMUNDI FUNDS PIONEER FLEXIBLE OPPORTUNITIES</v>
          </cell>
          <cell r="C1787" t="str">
            <v>Class C USD (C)</v>
          </cell>
          <cell r="D1787" t="str">
            <v>USD</v>
          </cell>
          <cell r="E1787" t="str">
            <v>03-Jan-2022</v>
          </cell>
          <cell r="F1787">
            <v>3839947.53</v>
          </cell>
          <cell r="G1787">
            <v>37091.743000000002</v>
          </cell>
          <cell r="H1787">
            <v>103.53</v>
          </cell>
          <cell r="I1787">
            <v>0</v>
          </cell>
          <cell r="J1787">
            <v>103.53</v>
          </cell>
        </row>
        <row r="1788">
          <cell r="A1788" t="str">
            <v>LU1883340751</v>
          </cell>
          <cell r="B1788" t="str">
            <v>AMUNDI FUNDS PIONEER FLEXIBLE OPPORTUNITIES</v>
          </cell>
          <cell r="C1788" t="str">
            <v>Class C EUR Hgd (C)</v>
          </cell>
          <cell r="D1788" t="str">
            <v>EUR</v>
          </cell>
          <cell r="E1788" t="str">
            <v>03-Jan-2022</v>
          </cell>
          <cell r="F1788">
            <v>795066.77</v>
          </cell>
          <cell r="G1788">
            <v>11630.013000000001</v>
          </cell>
          <cell r="H1788">
            <v>68.36</v>
          </cell>
          <cell r="I1788">
            <v>0</v>
          </cell>
          <cell r="J1788">
            <v>68.36</v>
          </cell>
        </row>
        <row r="1789">
          <cell r="A1789" t="str">
            <v>LU1883340918</v>
          </cell>
          <cell r="B1789" t="str">
            <v>AMUNDI FUNDS PIONEER FLEXIBLE OPPORTUNITIES</v>
          </cell>
          <cell r="C1789" t="str">
            <v>Class E2 EUR (C)</v>
          </cell>
          <cell r="D1789" t="str">
            <v>EUR</v>
          </cell>
          <cell r="E1789" t="str">
            <v>03-Jan-2022</v>
          </cell>
          <cell r="F1789">
            <v>9913893.8599999994</v>
          </cell>
          <cell r="G1789">
            <v>1382005.415</v>
          </cell>
          <cell r="H1789">
            <v>7.1740000000000004</v>
          </cell>
          <cell r="I1789">
            <v>0</v>
          </cell>
          <cell r="J1789">
            <v>7.1740000000000004</v>
          </cell>
        </row>
        <row r="1790">
          <cell r="A1790" t="str">
            <v>LU1883341056</v>
          </cell>
          <cell r="B1790" t="str">
            <v>AMUNDI FUNDS PIONEER FLEXIBLE OPPORTUNITIES</v>
          </cell>
          <cell r="C1790" t="str">
            <v>Class E2 EUR Hgd (C)</v>
          </cell>
          <cell r="D1790" t="str">
            <v>EUR</v>
          </cell>
          <cell r="E1790" t="str">
            <v>03-Jan-2022</v>
          </cell>
          <cell r="F1790">
            <v>34032412.590000004</v>
          </cell>
          <cell r="G1790">
            <v>5278737.7520000003</v>
          </cell>
          <cell r="H1790">
            <v>6.4470000000000001</v>
          </cell>
          <cell r="I1790">
            <v>0</v>
          </cell>
          <cell r="J1790">
            <v>6.4470000000000001</v>
          </cell>
        </row>
        <row r="1791">
          <cell r="A1791" t="str">
            <v>LU1883341130</v>
          </cell>
          <cell r="B1791" t="str">
            <v>AMUNDI FUNDS PIONEER FLEXIBLE OPPORTUNITIES</v>
          </cell>
          <cell r="C1791" t="str">
            <v>Class F EUR (C)</v>
          </cell>
          <cell r="D1791" t="str">
            <v>EUR</v>
          </cell>
          <cell r="E1791" t="str">
            <v>03-Jan-2022</v>
          </cell>
          <cell r="F1791">
            <v>1791565.28</v>
          </cell>
          <cell r="G1791">
            <v>272117.24300000002</v>
          </cell>
          <cell r="H1791">
            <v>6.5839999999999996</v>
          </cell>
          <cell r="I1791">
            <v>0</v>
          </cell>
          <cell r="J1791">
            <v>6.5839999999999996</v>
          </cell>
        </row>
        <row r="1792">
          <cell r="A1792" t="str">
            <v>LU2330498598</v>
          </cell>
          <cell r="B1792" t="str">
            <v>AMUNDI FUNDS PIONEER FLEXIBLE OPPORTUNITIES</v>
          </cell>
          <cell r="C1792" t="str">
            <v>Class I2 USD (C)</v>
          </cell>
          <cell r="D1792" t="str">
            <v>USD</v>
          </cell>
          <cell r="E1792" t="str">
            <v>03-Jan-2022</v>
          </cell>
          <cell r="F1792">
            <v>5098.6899999999996</v>
          </cell>
          <cell r="G1792">
            <v>5</v>
          </cell>
          <cell r="H1792">
            <v>1019.74</v>
          </cell>
          <cell r="I1792">
            <v>0</v>
          </cell>
          <cell r="J1792">
            <v>1019.74</v>
          </cell>
        </row>
        <row r="1793">
          <cell r="A1793" t="str">
            <v>LU1894680328</v>
          </cell>
          <cell r="B1793" t="str">
            <v>AMUNDI FUNDS PIONEER FLEXIBLE OPPORTUNITIES</v>
          </cell>
          <cell r="C1793" t="str">
            <v>Class G EUR (C)</v>
          </cell>
          <cell r="D1793" t="str">
            <v>EUR</v>
          </cell>
          <cell r="E1793" t="str">
            <v>03-Jan-2022</v>
          </cell>
          <cell r="F1793">
            <v>826927.67</v>
          </cell>
          <cell r="G1793">
            <v>139474.75599999999</v>
          </cell>
          <cell r="H1793">
            <v>5.9290000000000003</v>
          </cell>
          <cell r="I1793">
            <v>0</v>
          </cell>
          <cell r="J1793">
            <v>5.9290000000000003</v>
          </cell>
        </row>
        <row r="1794">
          <cell r="A1794" t="str">
            <v>LU1883341213</v>
          </cell>
          <cell r="B1794" t="str">
            <v>AMUNDI FUNDS PIONEER FLEXIBLE OPPORTUNITIES</v>
          </cell>
          <cell r="C1794" t="str">
            <v>Class G EUR Hgd (C)</v>
          </cell>
          <cell r="D1794" t="str">
            <v>EUR</v>
          </cell>
          <cell r="E1794" t="str">
            <v>03-Jan-2022</v>
          </cell>
          <cell r="F1794">
            <v>25337511.039999999</v>
          </cell>
          <cell r="G1794">
            <v>4911927.4780000001</v>
          </cell>
          <cell r="H1794">
            <v>5.1580000000000004</v>
          </cell>
          <cell r="I1794">
            <v>0</v>
          </cell>
          <cell r="J1794">
            <v>5.1580000000000004</v>
          </cell>
        </row>
        <row r="1795">
          <cell r="A1795" t="str">
            <v>LU1883341643</v>
          </cell>
          <cell r="B1795" t="str">
            <v>AMUNDI FUNDS PIONEER FLEXIBLE OPPORTUNITIES</v>
          </cell>
          <cell r="C1795" t="str">
            <v>Class P USD (C)</v>
          </cell>
          <cell r="D1795" t="str">
            <v>USD</v>
          </cell>
          <cell r="E1795" t="str">
            <v>03-Jan-2022</v>
          </cell>
          <cell r="F1795">
            <v>59948.09</v>
          </cell>
          <cell r="G1795">
            <v>831.96699999999998</v>
          </cell>
          <cell r="H1795">
            <v>72.06</v>
          </cell>
          <cell r="I1795">
            <v>0</v>
          </cell>
          <cell r="J1795">
            <v>72.06</v>
          </cell>
        </row>
        <row r="1796">
          <cell r="A1796" t="str">
            <v>LU1883341726</v>
          </cell>
          <cell r="B1796" t="str">
            <v>AMUNDI FUNDS PIONEER FLEXIBLE OPPORTUNITIES</v>
          </cell>
          <cell r="C1796" t="str">
            <v>Class Q-D USD AD (D)</v>
          </cell>
          <cell r="D1796" t="str">
            <v>USD</v>
          </cell>
          <cell r="E1796" t="str">
            <v>03-Jan-2022</v>
          </cell>
          <cell r="F1796">
            <v>93074.36</v>
          </cell>
          <cell r="G1796">
            <v>1001.696</v>
          </cell>
          <cell r="H1796">
            <v>92.92</v>
          </cell>
          <cell r="I1796">
            <v>0</v>
          </cell>
          <cell r="J1796">
            <v>95.71</v>
          </cell>
        </row>
        <row r="1797">
          <cell r="A1797" t="str">
            <v>LU1837136800</v>
          </cell>
          <cell r="B1797" t="str">
            <v>AMUNDI FUNDS PIONEER FLEXIBLE OPPORTUNITIES</v>
          </cell>
          <cell r="C1797" t="str">
            <v>Class R EUR ( C )</v>
          </cell>
          <cell r="D1797" t="str">
            <v>EUR</v>
          </cell>
          <cell r="E1797" t="str">
            <v>03-Jan-2022</v>
          </cell>
          <cell r="F1797">
            <v>276296.48</v>
          </cell>
          <cell r="G1797">
            <v>4497.4570000000003</v>
          </cell>
          <cell r="H1797">
            <v>61.43</v>
          </cell>
          <cell r="I1797">
            <v>0</v>
          </cell>
          <cell r="J1797">
            <v>61.43</v>
          </cell>
        </row>
        <row r="1798">
          <cell r="A1798" t="str">
            <v>LU1883342021</v>
          </cell>
          <cell r="B1798" t="str">
            <v>AMUNDI FUNDS PIONEER FLEXIBLE OPPORTUNITIES</v>
          </cell>
          <cell r="C1798" t="str">
            <v>Class R GBP (C)</v>
          </cell>
          <cell r="D1798" t="str">
            <v>GBP</v>
          </cell>
          <cell r="E1798" t="str">
            <v>03-Jan-2022</v>
          </cell>
          <cell r="F1798">
            <v>107354.64</v>
          </cell>
          <cell r="G1798">
            <v>1514.604</v>
          </cell>
          <cell r="H1798">
            <v>70.88</v>
          </cell>
          <cell r="I1798">
            <v>0</v>
          </cell>
          <cell r="J1798">
            <v>70.88</v>
          </cell>
        </row>
        <row r="1799">
          <cell r="A1799" t="str">
            <v>LU1883342294</v>
          </cell>
          <cell r="B1799" t="str">
            <v>AMUNDI FUNDS PIONEER FLEXIBLE OPPORTUNITIES</v>
          </cell>
          <cell r="C1799" t="str">
            <v>Class R USD (C)</v>
          </cell>
          <cell r="D1799" t="str">
            <v>USD</v>
          </cell>
          <cell r="E1799" t="str">
            <v>03-Jan-2022</v>
          </cell>
          <cell r="F1799">
            <v>189553.75</v>
          </cell>
          <cell r="G1799">
            <v>1933.4929999999999</v>
          </cell>
          <cell r="H1799">
            <v>98.04</v>
          </cell>
          <cell r="I1799">
            <v>0</v>
          </cell>
          <cell r="J1799">
            <v>98.04</v>
          </cell>
        </row>
        <row r="1800">
          <cell r="A1800" t="str">
            <v>LU1883341999</v>
          </cell>
          <cell r="B1800" t="str">
            <v>AMUNDI FUNDS PIONEER FLEXIBLE OPPORTUNITIES</v>
          </cell>
          <cell r="C1800" t="str">
            <v>Class R EUR Hgd (C)</v>
          </cell>
          <cell r="D1800" t="str">
            <v>EUR</v>
          </cell>
          <cell r="E1800" t="str">
            <v>03-Jan-2022</v>
          </cell>
          <cell r="F1800">
            <v>80897.8</v>
          </cell>
          <cell r="G1800">
            <v>1444</v>
          </cell>
          <cell r="H1800">
            <v>56.02</v>
          </cell>
          <cell r="I1800">
            <v>0</v>
          </cell>
          <cell r="J1800">
            <v>56.02</v>
          </cell>
        </row>
        <row r="1801">
          <cell r="A1801" t="str">
            <v>LU1883341486</v>
          </cell>
          <cell r="B1801" t="str">
            <v>AMUNDI FUNDS PIONEER FLEXIBLE OPPORTUNITIES</v>
          </cell>
          <cell r="C1801" t="str">
            <v>Class I USD (C)</v>
          </cell>
          <cell r="D1801" t="str">
            <v>USD</v>
          </cell>
          <cell r="E1801" t="str">
            <v>03-Jan-2022</v>
          </cell>
          <cell r="F1801">
            <v>301015.2</v>
          </cell>
          <cell r="G1801">
            <v>117.661</v>
          </cell>
          <cell r="H1801">
            <v>2558.33</v>
          </cell>
          <cell r="I1801">
            <v>0</v>
          </cell>
          <cell r="J1801">
            <v>2558.33</v>
          </cell>
        </row>
        <row r="1802">
          <cell r="A1802" t="str">
            <v>LU1882457226</v>
          </cell>
          <cell r="B1802" t="str">
            <v>AMUNDI FUNDS EMERG MARKE CORPORATE HIGH YIELD BOND</v>
          </cell>
          <cell r="C1802" t="str">
            <v>Class A EUR AD (D)</v>
          </cell>
          <cell r="D1802" t="str">
            <v>EUR</v>
          </cell>
          <cell r="E1802" t="str">
            <v>03-Jan-2022</v>
          </cell>
          <cell r="F1802">
            <v>760878.68</v>
          </cell>
          <cell r="G1802">
            <v>14105.704</v>
          </cell>
          <cell r="H1802">
            <v>53.94</v>
          </cell>
          <cell r="I1802">
            <v>0</v>
          </cell>
          <cell r="J1802">
            <v>56.1</v>
          </cell>
        </row>
        <row r="1803">
          <cell r="A1803" t="str">
            <v>LU1882457143</v>
          </cell>
          <cell r="B1803" t="str">
            <v>AMUNDI FUNDS EMERG MARKE CORPORATE HIGH YIELD BOND</v>
          </cell>
          <cell r="C1803" t="str">
            <v>Class A EUR (C)</v>
          </cell>
          <cell r="D1803" t="str">
            <v>EUR</v>
          </cell>
          <cell r="E1803" t="str">
            <v>03-Jan-2022</v>
          </cell>
          <cell r="F1803">
            <v>428115.98</v>
          </cell>
          <cell r="G1803">
            <v>5080.3029999999999</v>
          </cell>
          <cell r="H1803">
            <v>84.27</v>
          </cell>
          <cell r="I1803">
            <v>0</v>
          </cell>
          <cell r="J1803">
            <v>87.64</v>
          </cell>
        </row>
        <row r="1804">
          <cell r="A1804" t="str">
            <v>LU1882457655</v>
          </cell>
          <cell r="B1804" t="str">
            <v>AMUNDI FUNDS EMERG MARKE CORPORATE HIGH YIELD BOND</v>
          </cell>
          <cell r="C1804" t="str">
            <v>Class A USD MD (D)</v>
          </cell>
          <cell r="D1804" t="str">
            <v>USD</v>
          </cell>
          <cell r="E1804" t="str">
            <v>03-Jan-2022</v>
          </cell>
          <cell r="F1804">
            <v>2987093.82</v>
          </cell>
          <cell r="G1804">
            <v>47654.442999999999</v>
          </cell>
          <cell r="H1804">
            <v>62.68</v>
          </cell>
          <cell r="I1804">
            <v>0.29780000000000001</v>
          </cell>
          <cell r="J1804">
            <v>65.19</v>
          </cell>
        </row>
        <row r="1805">
          <cell r="A1805" t="str">
            <v>LU1882457572</v>
          </cell>
          <cell r="B1805" t="str">
            <v>AMUNDI FUNDS EMERG MARKE CORPORATE HIGH YIELD BOND</v>
          </cell>
          <cell r="C1805" t="str">
            <v>Class A USD (C)</v>
          </cell>
          <cell r="D1805" t="str">
            <v>USD</v>
          </cell>
          <cell r="E1805" t="str">
            <v>03-Jan-2022</v>
          </cell>
          <cell r="F1805">
            <v>3025985.81</v>
          </cell>
          <cell r="G1805">
            <v>31798.206999999999</v>
          </cell>
          <cell r="H1805">
            <v>95.16</v>
          </cell>
          <cell r="I1805">
            <v>0</v>
          </cell>
          <cell r="J1805">
            <v>98.97</v>
          </cell>
        </row>
        <row r="1806">
          <cell r="A1806" t="str">
            <v>LU1882458893</v>
          </cell>
          <cell r="B1806" t="str">
            <v>AMUNDI FUNDS EMERG MARKE CORPORATE HIGH YIELD BOND</v>
          </cell>
          <cell r="C1806" t="str">
            <v>Class M2 EUR (C)</v>
          </cell>
          <cell r="D1806" t="str">
            <v>EUR</v>
          </cell>
          <cell r="E1806" t="str">
            <v>03-Jan-2022</v>
          </cell>
          <cell r="F1806">
            <v>6600.85</v>
          </cell>
          <cell r="G1806">
            <v>3.6360000000000001</v>
          </cell>
          <cell r="H1806">
            <v>1815.42</v>
          </cell>
          <cell r="I1806">
            <v>0</v>
          </cell>
          <cell r="J1806">
            <v>1815.42</v>
          </cell>
        </row>
        <row r="1807">
          <cell r="A1807" t="str">
            <v>LU1882457739</v>
          </cell>
          <cell r="B1807" t="str">
            <v>AMUNDI FUNDS EMERG MARKE CORPORATE HIGH YIELD BOND</v>
          </cell>
          <cell r="C1807" t="str">
            <v>Class C EUR (C)</v>
          </cell>
          <cell r="D1807" t="str">
            <v>EUR</v>
          </cell>
          <cell r="E1807" t="str">
            <v>03-Jan-2022</v>
          </cell>
          <cell r="F1807">
            <v>17147.560000000001</v>
          </cell>
          <cell r="G1807">
            <v>223.32900000000001</v>
          </cell>
          <cell r="H1807">
            <v>76.78</v>
          </cell>
          <cell r="I1807">
            <v>0</v>
          </cell>
          <cell r="J1807">
            <v>76.78</v>
          </cell>
        </row>
        <row r="1808">
          <cell r="A1808" t="str">
            <v>LU1882457903</v>
          </cell>
          <cell r="B1808" t="str">
            <v>AMUNDI FUNDS EMERG MARKE CORPORATE HIGH YIELD BOND</v>
          </cell>
          <cell r="C1808" t="str">
            <v>Class C USD (C)</v>
          </cell>
          <cell r="D1808" t="str">
            <v>USD</v>
          </cell>
          <cell r="E1808" t="str">
            <v>03-Jan-2022</v>
          </cell>
          <cell r="F1808">
            <v>1416099.63</v>
          </cell>
          <cell r="G1808">
            <v>16332.522999999999</v>
          </cell>
          <cell r="H1808">
            <v>86.7</v>
          </cell>
          <cell r="I1808">
            <v>0</v>
          </cell>
          <cell r="J1808">
            <v>86.7</v>
          </cell>
        </row>
        <row r="1809">
          <cell r="A1809" t="str">
            <v>LU1882458034</v>
          </cell>
          <cell r="B1809" t="str">
            <v>AMUNDI FUNDS EMERG MARKE CORPORATE HIGH YIELD BOND</v>
          </cell>
          <cell r="C1809" t="str">
            <v>Class C USD MD (D)</v>
          </cell>
          <cell r="D1809" t="str">
            <v>USD</v>
          </cell>
          <cell r="E1809" t="str">
            <v>03-Jan-2022</v>
          </cell>
          <cell r="F1809">
            <v>208675.96</v>
          </cell>
          <cell r="G1809">
            <v>3396.0320000000002</v>
          </cell>
          <cell r="H1809">
            <v>61.45</v>
          </cell>
          <cell r="I1809">
            <v>0.29499999999999998</v>
          </cell>
          <cell r="J1809">
            <v>61.45</v>
          </cell>
        </row>
        <row r="1810">
          <cell r="A1810" t="str">
            <v>LU1882458117</v>
          </cell>
          <cell r="B1810" t="str">
            <v>AMUNDI FUNDS EMERG MARKE CORPORATE HIGH YIELD BOND</v>
          </cell>
          <cell r="C1810" t="str">
            <v>Class E2 EUR (C)</v>
          </cell>
          <cell r="D1810" t="str">
            <v>EUR</v>
          </cell>
          <cell r="E1810" t="str">
            <v>03-Jan-2022</v>
          </cell>
          <cell r="F1810">
            <v>7247831.7000000002</v>
          </cell>
          <cell r="G1810">
            <v>854129.17500000005</v>
          </cell>
          <cell r="H1810">
            <v>8.4860000000000007</v>
          </cell>
          <cell r="I1810">
            <v>0</v>
          </cell>
          <cell r="J1810">
            <v>8.4860000000000007</v>
          </cell>
        </row>
        <row r="1811">
          <cell r="A1811" t="str">
            <v>LU1882458380</v>
          </cell>
          <cell r="B1811" t="str">
            <v>AMUNDI FUNDS EMERG MARKE CORPORATE HIGH YIELD BOND</v>
          </cell>
          <cell r="C1811" t="str">
            <v>Class F EUR QTD (D)</v>
          </cell>
          <cell r="D1811" t="str">
            <v>EUR</v>
          </cell>
          <cell r="E1811" t="str">
            <v>03-Jan-2022</v>
          </cell>
          <cell r="F1811">
            <v>2861473.02</v>
          </cell>
          <cell r="G1811">
            <v>498354.09399999998</v>
          </cell>
          <cell r="H1811">
            <v>5.742</v>
          </cell>
          <cell r="I1811">
            <v>7.6399999999999996E-2</v>
          </cell>
          <cell r="J1811">
            <v>5.742</v>
          </cell>
        </row>
        <row r="1812">
          <cell r="A1812" t="str">
            <v>LU1882458620</v>
          </cell>
          <cell r="B1812" t="str">
            <v>AMUNDI FUNDS EMERG MARKE CORPORATE HIGH YIELD BOND</v>
          </cell>
          <cell r="C1812" t="str">
            <v>Class I2 USD (C)</v>
          </cell>
          <cell r="D1812" t="str">
            <v>USD</v>
          </cell>
          <cell r="E1812" t="str">
            <v>03-Jan-2022</v>
          </cell>
          <cell r="F1812">
            <v>1005440.06</v>
          </cell>
          <cell r="G1812">
            <v>482.38600000000002</v>
          </cell>
          <cell r="H1812">
            <v>2084.31</v>
          </cell>
          <cell r="I1812">
            <v>0</v>
          </cell>
          <cell r="J1812">
            <v>2084.31</v>
          </cell>
        </row>
        <row r="1813">
          <cell r="A1813" t="str">
            <v>LU1882458208</v>
          </cell>
          <cell r="B1813" t="str">
            <v>AMUNDI FUNDS EMERG MARKE CORPORATE HIGH YIELD BOND</v>
          </cell>
          <cell r="C1813" t="str">
            <v>Class E2 EUR QTD (D)</v>
          </cell>
          <cell r="D1813" t="str">
            <v>EUR</v>
          </cell>
          <cell r="E1813" t="str">
            <v>03-Jan-2022</v>
          </cell>
          <cell r="F1813">
            <v>8600271.5299999993</v>
          </cell>
          <cell r="G1813">
            <v>1479350.0049999999</v>
          </cell>
          <cell r="H1813">
            <v>5.8140000000000001</v>
          </cell>
          <cell r="I1813">
            <v>7.6999999999999999E-2</v>
          </cell>
          <cell r="J1813">
            <v>5.8140000000000001</v>
          </cell>
        </row>
        <row r="1814">
          <cell r="A1814" t="str">
            <v>LU1882458547</v>
          </cell>
          <cell r="B1814" t="str">
            <v>AMUNDI FUNDS EMERG MARKE CORPORATE HIGH YIELD BOND</v>
          </cell>
          <cell r="C1814" t="str">
            <v>Class I2 EUR Hgd (C)</v>
          </cell>
          <cell r="D1814" t="str">
            <v>EUR</v>
          </cell>
          <cell r="E1814" t="str">
            <v>03-Jan-2022</v>
          </cell>
          <cell r="F1814">
            <v>65773.119999999995</v>
          </cell>
          <cell r="G1814">
            <v>48</v>
          </cell>
          <cell r="H1814">
            <v>1370.27</v>
          </cell>
          <cell r="I1814">
            <v>0</v>
          </cell>
          <cell r="J1814">
            <v>1370.27</v>
          </cell>
        </row>
        <row r="1815">
          <cell r="A1815" t="str">
            <v>LU1882458463</v>
          </cell>
          <cell r="B1815" t="str">
            <v>AMUNDI FUNDS EMERG MARKE CORPORATE HIGH YIELD BOND</v>
          </cell>
          <cell r="C1815" t="str">
            <v>Class I2 EUR (C)</v>
          </cell>
          <cell r="D1815" t="str">
            <v>EUR</v>
          </cell>
          <cell r="E1815" t="str">
            <v>03-Jan-2022</v>
          </cell>
          <cell r="F1815">
            <v>1430432.58</v>
          </cell>
          <cell r="G1815">
            <v>775</v>
          </cell>
          <cell r="H1815">
            <v>1845.72</v>
          </cell>
          <cell r="I1815">
            <v>0</v>
          </cell>
          <cell r="J1815">
            <v>1845.72</v>
          </cell>
        </row>
        <row r="1816">
          <cell r="A1816" t="str">
            <v>LU2085676679</v>
          </cell>
          <cell r="B1816" t="str">
            <v>AMUNDI FUNDS EMERG MARKE CORPORATE HIGH YIELD BOND</v>
          </cell>
          <cell r="C1816" t="str">
            <v>Class G EUR QTD (D)</v>
          </cell>
          <cell r="D1816" t="str">
            <v>EUR</v>
          </cell>
          <cell r="E1816" t="str">
            <v>03-Jan-2022</v>
          </cell>
          <cell r="F1816">
            <v>198211.76</v>
          </cell>
          <cell r="G1816">
            <v>43182.228000000003</v>
          </cell>
          <cell r="H1816">
            <v>4.59</v>
          </cell>
          <cell r="I1816">
            <v>6.0900000000000003E-2</v>
          </cell>
          <cell r="J1816">
            <v>4.59</v>
          </cell>
        </row>
        <row r="1817">
          <cell r="A1817" t="str">
            <v>LU1882459354</v>
          </cell>
          <cell r="B1817" t="str">
            <v>AMUNDI FUNDS EMERG MARKE CORPORATE HIGH YIELD BOND</v>
          </cell>
          <cell r="C1817" t="str">
            <v>Class R2 EUR AD (D)</v>
          </cell>
          <cell r="D1817" t="str">
            <v>EUR</v>
          </cell>
          <cell r="E1817" t="str">
            <v>03-Jan-2022</v>
          </cell>
          <cell r="F1817">
            <v>93080.09</v>
          </cell>
          <cell r="G1817">
            <v>1955.489</v>
          </cell>
          <cell r="H1817">
            <v>47.6</v>
          </cell>
          <cell r="I1817">
            <v>0</v>
          </cell>
          <cell r="J1817">
            <v>47.6</v>
          </cell>
        </row>
        <row r="1818">
          <cell r="A1818" t="str">
            <v>LU1882459271</v>
          </cell>
          <cell r="B1818" t="str">
            <v>AMUNDI FUNDS EMERG MARKE CORPORATE HIGH YIELD BOND</v>
          </cell>
          <cell r="C1818" t="str">
            <v>Class R2 EUR (C)</v>
          </cell>
          <cell r="D1818" t="str">
            <v>EUR</v>
          </cell>
          <cell r="E1818" t="str">
            <v>03-Jan-2022</v>
          </cell>
          <cell r="F1818">
            <v>1080857.18</v>
          </cell>
          <cell r="G1818">
            <v>11760.21</v>
          </cell>
          <cell r="H1818">
            <v>91.91</v>
          </cell>
          <cell r="I1818">
            <v>0</v>
          </cell>
          <cell r="J1818">
            <v>91.91</v>
          </cell>
        </row>
        <row r="1819">
          <cell r="A1819" t="str">
            <v>LU1882458976</v>
          </cell>
          <cell r="B1819" t="str">
            <v>AMUNDI FUNDS EMERG MARKE CORPORATE HIGH YIELD BOND</v>
          </cell>
          <cell r="C1819" t="str">
            <v>Class P2 USD (C)</v>
          </cell>
          <cell r="D1819" t="str">
            <v>USD</v>
          </cell>
          <cell r="E1819" t="str">
            <v>03-Jan-2022</v>
          </cell>
          <cell r="F1819">
            <v>69285.08</v>
          </cell>
          <cell r="G1819">
            <v>1082.0630000000001</v>
          </cell>
          <cell r="H1819">
            <v>64.03</v>
          </cell>
          <cell r="I1819">
            <v>0</v>
          </cell>
          <cell r="J1819">
            <v>64.03</v>
          </cell>
        </row>
        <row r="1820">
          <cell r="A1820" t="str">
            <v>LU1882459438</v>
          </cell>
          <cell r="B1820" t="str">
            <v>AMUNDI FUNDS EMERG MARKE CORPORATE HIGH YIELD BOND</v>
          </cell>
          <cell r="C1820" t="str">
            <v>Class R2 USD (C)</v>
          </cell>
          <cell r="D1820" t="str">
            <v>USD</v>
          </cell>
          <cell r="E1820" t="str">
            <v>03-Jan-2022</v>
          </cell>
          <cell r="F1820">
            <v>1003466.49</v>
          </cell>
          <cell r="G1820">
            <v>9666.277</v>
          </cell>
          <cell r="H1820">
            <v>103.81</v>
          </cell>
          <cell r="I1820">
            <v>0</v>
          </cell>
          <cell r="J1820">
            <v>103.81</v>
          </cell>
        </row>
        <row r="1821">
          <cell r="A1821" t="str">
            <v>LU2098275733</v>
          </cell>
          <cell r="B1821" t="str">
            <v>AMUNDI FUNDS EMERG MARKE CORPORATE HIGH YIELD BOND</v>
          </cell>
          <cell r="C1821" t="str">
            <v>Class Z EUR (C)</v>
          </cell>
          <cell r="D1821" t="str">
            <v>EUR</v>
          </cell>
          <cell r="E1821" t="str">
            <v>03-Jan-2022</v>
          </cell>
          <cell r="F1821">
            <v>18049766.399999999</v>
          </cell>
          <cell r="G1821">
            <v>17778.723999999998</v>
          </cell>
          <cell r="H1821">
            <v>1015.25</v>
          </cell>
          <cell r="I1821">
            <v>0</v>
          </cell>
          <cell r="J1821">
            <v>1015.25</v>
          </cell>
        </row>
        <row r="1822">
          <cell r="A1822" t="str">
            <v>LU2052290272</v>
          </cell>
          <cell r="B1822" t="str">
            <v>AMUNDI FUNDS EMERG MARKE CORPORATE HIGH YIELD BOND</v>
          </cell>
          <cell r="C1822" t="str">
            <v>Class Z USD (C)</v>
          </cell>
          <cell r="D1822" t="str">
            <v>USD</v>
          </cell>
          <cell r="E1822" t="str">
            <v>03-Jan-2022</v>
          </cell>
          <cell r="F1822">
            <v>8537089.7100000009</v>
          </cell>
          <cell r="G1822">
            <v>7818.9629999999997</v>
          </cell>
          <cell r="H1822">
            <v>1091.8399999999999</v>
          </cell>
          <cell r="I1822">
            <v>0</v>
          </cell>
          <cell r="J1822">
            <v>1091.8399999999999</v>
          </cell>
        </row>
        <row r="1823">
          <cell r="A1823" t="str">
            <v>LU2368112129</v>
          </cell>
          <cell r="B1823" t="str">
            <v>AMUNDI FUNDS GLOBAL MULTI-ASSET TARGET INCOME</v>
          </cell>
          <cell r="C1823" t="str">
            <v>Class A2 GBP Hgd (C)</v>
          </cell>
          <cell r="D1823" t="str">
            <v>GBP</v>
          </cell>
          <cell r="E1823" t="str">
            <v>03-Jan-2022</v>
          </cell>
          <cell r="F1823">
            <v>319517.93</v>
          </cell>
          <cell r="G1823">
            <v>6269.7060000000001</v>
          </cell>
          <cell r="H1823">
            <v>50.96</v>
          </cell>
          <cell r="I1823">
            <v>0</v>
          </cell>
          <cell r="J1823">
            <v>0</v>
          </cell>
        </row>
        <row r="1824">
          <cell r="A1824" t="str">
            <v>LU1883330877</v>
          </cell>
          <cell r="B1824" t="str">
            <v>AMUNDI FUNDS GLOBAL MULTI-ASSET TARGET INCOME</v>
          </cell>
          <cell r="C1824" t="str">
            <v>Class A2 EUR Hgd QTI (D)</v>
          </cell>
          <cell r="D1824" t="str">
            <v>EUR</v>
          </cell>
          <cell r="E1824" t="str">
            <v>03-Jan-2022</v>
          </cell>
          <cell r="F1824">
            <v>96007684.819999993</v>
          </cell>
          <cell r="G1824">
            <v>2357830.6940000001</v>
          </cell>
          <cell r="H1824">
            <v>40.72</v>
          </cell>
          <cell r="I1824">
            <v>0</v>
          </cell>
          <cell r="J1824">
            <v>42.55</v>
          </cell>
        </row>
        <row r="1825">
          <cell r="A1825" t="str">
            <v>LU1883331255</v>
          </cell>
          <cell r="B1825" t="str">
            <v>AMUNDI FUNDS GLOBAL MULTI-ASSET TARGET INCOME</v>
          </cell>
          <cell r="C1825" t="str">
            <v>Class A2 RON Hgd (C)</v>
          </cell>
          <cell r="D1825" t="str">
            <v>RON</v>
          </cell>
          <cell r="E1825" t="str">
            <v>03-Jan-2022</v>
          </cell>
          <cell r="F1825">
            <v>12531017.67</v>
          </cell>
          <cell r="G1825">
            <v>192854.64</v>
          </cell>
          <cell r="H1825">
            <v>64.98</v>
          </cell>
          <cell r="I1825">
            <v>0</v>
          </cell>
          <cell r="J1825">
            <v>67.900000000000006</v>
          </cell>
        </row>
        <row r="1826">
          <cell r="A1826" t="str">
            <v>LU1883331412</v>
          </cell>
          <cell r="B1826" t="str">
            <v>AMUNDI FUNDS GLOBAL MULTI-ASSET TARGET INCOME</v>
          </cell>
          <cell r="C1826" t="str">
            <v>Class A2 USD MTI (D)</v>
          </cell>
          <cell r="D1826" t="str">
            <v>USD</v>
          </cell>
          <cell r="E1826" t="str">
            <v>03-Jan-2022</v>
          </cell>
          <cell r="F1826">
            <v>167570.92000000001</v>
          </cell>
          <cell r="G1826">
            <v>2581.9409999999998</v>
          </cell>
          <cell r="H1826">
            <v>64.900000000000006</v>
          </cell>
          <cell r="I1826">
            <v>0</v>
          </cell>
          <cell r="J1826">
            <v>67.819999999999993</v>
          </cell>
        </row>
        <row r="1827">
          <cell r="A1827" t="str">
            <v>LU1883330794</v>
          </cell>
          <cell r="B1827" t="str">
            <v>AMUNDI FUNDS GLOBAL MULTI-ASSET TARGET INCOME</v>
          </cell>
          <cell r="C1827" t="str">
            <v>Class A2 EUR Hgd (C)</v>
          </cell>
          <cell r="D1827" t="str">
            <v>EUR</v>
          </cell>
          <cell r="E1827" t="str">
            <v>03-Jan-2022</v>
          </cell>
          <cell r="F1827">
            <v>6415127.96</v>
          </cell>
          <cell r="G1827">
            <v>116649.249</v>
          </cell>
          <cell r="H1827">
            <v>55</v>
          </cell>
          <cell r="I1827">
            <v>0</v>
          </cell>
          <cell r="J1827">
            <v>57.48</v>
          </cell>
        </row>
        <row r="1828">
          <cell r="A1828" t="str">
            <v>LU1883330364</v>
          </cell>
          <cell r="B1828" t="str">
            <v>AMUNDI FUNDS GLOBAL MULTI-ASSET TARGET INCOME</v>
          </cell>
          <cell r="C1828" t="str">
            <v>Class A2 CZK Hgd (C)</v>
          </cell>
          <cell r="D1828" t="str">
            <v>CZK</v>
          </cell>
          <cell r="E1828" t="str">
            <v>03-Jan-2022</v>
          </cell>
          <cell r="F1828">
            <v>313219517.88</v>
          </cell>
          <cell r="G1828">
            <v>273365.41600000003</v>
          </cell>
          <cell r="H1828">
            <v>1145.79</v>
          </cell>
          <cell r="I1828">
            <v>0</v>
          </cell>
          <cell r="J1828">
            <v>1197.3499999999999</v>
          </cell>
        </row>
        <row r="1829">
          <cell r="A1829" t="str">
            <v>LU1883330448</v>
          </cell>
          <cell r="B1829" t="str">
            <v>AMUNDI FUNDS GLOBAL MULTI-ASSET TARGET INCOME</v>
          </cell>
          <cell r="C1829" t="str">
            <v>Class A2 CZK Hgd QTI (D)</v>
          </cell>
          <cell r="D1829" t="str">
            <v>CZK</v>
          </cell>
          <cell r="E1829" t="str">
            <v>03-Jan-2022</v>
          </cell>
          <cell r="F1829">
            <v>1408049128.04</v>
          </cell>
          <cell r="G1829">
            <v>1705488.5830000001</v>
          </cell>
          <cell r="H1829">
            <v>825.6</v>
          </cell>
          <cell r="I1829">
            <v>0</v>
          </cell>
          <cell r="J1829">
            <v>862.75</v>
          </cell>
        </row>
        <row r="1830">
          <cell r="A1830" t="str">
            <v>LU1883331503</v>
          </cell>
          <cell r="B1830" t="str">
            <v>AMUNDI FUNDS GLOBAL MULTI-ASSET TARGET INCOME</v>
          </cell>
          <cell r="C1830" t="str">
            <v>Class A2 USD QTI (D)</v>
          </cell>
          <cell r="D1830" t="str">
            <v>USD</v>
          </cell>
          <cell r="E1830" t="str">
            <v>03-Jan-2022</v>
          </cell>
          <cell r="F1830">
            <v>11490232.119999999</v>
          </cell>
          <cell r="G1830">
            <v>188218.96</v>
          </cell>
          <cell r="H1830">
            <v>61.05</v>
          </cell>
          <cell r="I1830">
            <v>0</v>
          </cell>
          <cell r="J1830">
            <v>63.8</v>
          </cell>
        </row>
        <row r="1831">
          <cell r="A1831" t="str">
            <v>LU1883331099</v>
          </cell>
          <cell r="B1831" t="str">
            <v>AMUNDI FUNDS GLOBAL MULTI-ASSET TARGET INCOME</v>
          </cell>
          <cell r="C1831" t="str">
            <v>Class A2 HUF Hgd QTI (D)</v>
          </cell>
          <cell r="D1831" t="str">
            <v>HUF</v>
          </cell>
          <cell r="E1831" t="str">
            <v>03-Jan-2022</v>
          </cell>
          <cell r="F1831">
            <v>931514888.13999999</v>
          </cell>
          <cell r="G1831">
            <v>97600.23</v>
          </cell>
          <cell r="H1831">
            <v>9544.19</v>
          </cell>
          <cell r="I1831">
            <v>0</v>
          </cell>
          <cell r="J1831">
            <v>9973.68</v>
          </cell>
        </row>
        <row r="1832">
          <cell r="A1832" t="str">
            <v>LU1883332816</v>
          </cell>
          <cell r="B1832" t="str">
            <v>AMUNDI FUNDS GLOBAL MULTI-ASSET TARGET INCOME</v>
          </cell>
          <cell r="C1832" t="str">
            <v>Class M2 EUR Hgd (C)</v>
          </cell>
          <cell r="D1832" t="str">
            <v>EUR</v>
          </cell>
          <cell r="E1832" t="str">
            <v>03-Jan-2022</v>
          </cell>
          <cell r="F1832">
            <v>644963.18000000005</v>
          </cell>
          <cell r="G1832">
            <v>532.76499999999999</v>
          </cell>
          <cell r="H1832">
            <v>1210.5999999999999</v>
          </cell>
          <cell r="I1832">
            <v>0</v>
          </cell>
          <cell r="J1832">
            <v>1210.5999999999999</v>
          </cell>
        </row>
        <row r="1833">
          <cell r="A1833" t="str">
            <v>LU1883331685</v>
          </cell>
          <cell r="B1833" t="str">
            <v>AMUNDI FUNDS GLOBAL MULTI-ASSET TARGET INCOME</v>
          </cell>
          <cell r="C1833" t="str">
            <v>Class C USD (C)</v>
          </cell>
          <cell r="D1833" t="str">
            <v>USD</v>
          </cell>
          <cell r="E1833" t="str">
            <v>03-Jan-2022</v>
          </cell>
          <cell r="F1833">
            <v>2175625.13</v>
          </cell>
          <cell r="G1833">
            <v>36746.118000000002</v>
          </cell>
          <cell r="H1833">
            <v>59.21</v>
          </cell>
          <cell r="I1833">
            <v>0</v>
          </cell>
          <cell r="J1833">
            <v>59.21</v>
          </cell>
        </row>
        <row r="1834">
          <cell r="A1834" t="str">
            <v>LU1883331768</v>
          </cell>
          <cell r="B1834" t="str">
            <v>AMUNDI FUNDS GLOBAL MULTI-ASSET TARGET INCOME</v>
          </cell>
          <cell r="C1834" t="str">
            <v>Class C USD QTI (D)</v>
          </cell>
          <cell r="D1834" t="str">
            <v>USD</v>
          </cell>
          <cell r="E1834" t="str">
            <v>03-Jan-2022</v>
          </cell>
          <cell r="F1834">
            <v>397356.53</v>
          </cell>
          <cell r="G1834">
            <v>9318.9349999999995</v>
          </cell>
          <cell r="H1834">
            <v>42.64</v>
          </cell>
          <cell r="I1834">
            <v>0</v>
          </cell>
          <cell r="J1834">
            <v>42.64</v>
          </cell>
        </row>
        <row r="1835">
          <cell r="A1835" t="str">
            <v>LU1883330521</v>
          </cell>
          <cell r="B1835" t="str">
            <v>AMUNDI FUNDS GLOBAL MULTI-ASSET TARGET INCOME</v>
          </cell>
          <cell r="C1835" t="str">
            <v>Class A2 EUR (C)</v>
          </cell>
          <cell r="D1835" t="str">
            <v>EUR</v>
          </cell>
          <cell r="E1835" t="str">
            <v>03-Jan-2022</v>
          </cell>
          <cell r="F1835">
            <v>11379091.5</v>
          </cell>
          <cell r="G1835">
            <v>140148.144</v>
          </cell>
          <cell r="H1835">
            <v>81.19</v>
          </cell>
          <cell r="I1835">
            <v>0</v>
          </cell>
          <cell r="J1835">
            <v>84.84</v>
          </cell>
        </row>
        <row r="1836">
          <cell r="A1836" t="str">
            <v>LU1883331842</v>
          </cell>
          <cell r="B1836" t="str">
            <v>AMUNDI FUNDS GLOBAL MULTI-ASSET TARGET INCOME</v>
          </cell>
          <cell r="C1836" t="str">
            <v>Class E2 EUR (C)</v>
          </cell>
          <cell r="D1836" t="str">
            <v>EUR</v>
          </cell>
          <cell r="E1836" t="str">
            <v>03-Jan-2022</v>
          </cell>
          <cell r="F1836">
            <v>6272.5</v>
          </cell>
          <cell r="G1836">
            <v>1000</v>
          </cell>
          <cell r="H1836">
            <v>6.2729999999999997</v>
          </cell>
          <cell r="I1836">
            <v>0</v>
          </cell>
          <cell r="J1836">
            <v>6.2729999999999997</v>
          </cell>
        </row>
        <row r="1837">
          <cell r="A1837" t="str">
            <v>LU1883332063</v>
          </cell>
          <cell r="B1837" t="str">
            <v>AMUNDI FUNDS GLOBAL MULTI-ASSET TARGET INCOME</v>
          </cell>
          <cell r="C1837" t="str">
            <v>Class E2 EUR QTI (D)</v>
          </cell>
          <cell r="D1837" t="str">
            <v>EUR</v>
          </cell>
          <cell r="E1837" t="str">
            <v>03-Jan-2022</v>
          </cell>
          <cell r="F1837">
            <v>8453546.0800000001</v>
          </cell>
          <cell r="G1837">
            <v>1567742.254</v>
          </cell>
          <cell r="H1837">
            <v>5.3920000000000003</v>
          </cell>
          <cell r="I1837">
            <v>0</v>
          </cell>
          <cell r="J1837">
            <v>5.3920000000000003</v>
          </cell>
        </row>
        <row r="1838">
          <cell r="A1838" t="str">
            <v>LU1883332147</v>
          </cell>
          <cell r="B1838" t="str">
            <v>AMUNDI FUNDS GLOBAL MULTI-ASSET TARGET INCOME</v>
          </cell>
          <cell r="C1838" t="str">
            <v>Class E2 EUR SATI (D)</v>
          </cell>
          <cell r="D1838" t="str">
            <v>EUR</v>
          </cell>
          <cell r="E1838" t="str">
            <v>03-Jan-2022</v>
          </cell>
          <cell r="F1838">
            <v>74934805.769999996</v>
          </cell>
          <cell r="G1838">
            <v>18448667.647999998</v>
          </cell>
          <cell r="H1838">
            <v>4.0620000000000003</v>
          </cell>
          <cell r="I1838">
            <v>0</v>
          </cell>
          <cell r="J1838">
            <v>4.0620000000000003</v>
          </cell>
        </row>
        <row r="1839">
          <cell r="A1839" t="str">
            <v>LU1883331925</v>
          </cell>
          <cell r="B1839" t="str">
            <v>AMUNDI FUNDS GLOBAL MULTI-ASSET TARGET INCOME</v>
          </cell>
          <cell r="C1839" t="str">
            <v>Class E2 EUR Hgd SATI (D)</v>
          </cell>
          <cell r="D1839" t="str">
            <v>EUR</v>
          </cell>
          <cell r="E1839" t="str">
            <v>03-Jan-2022</v>
          </cell>
          <cell r="F1839">
            <v>58182639.009999998</v>
          </cell>
          <cell r="G1839">
            <v>13929904.694</v>
          </cell>
          <cell r="H1839">
            <v>4.1769999999999996</v>
          </cell>
          <cell r="I1839">
            <v>0</v>
          </cell>
          <cell r="J1839">
            <v>4.1769999999999996</v>
          </cell>
        </row>
        <row r="1840">
          <cell r="A1840" t="str">
            <v>LU1883332907</v>
          </cell>
          <cell r="B1840" t="str">
            <v>AMUNDI FUNDS GLOBAL MULTI-ASSET TARGET INCOME</v>
          </cell>
          <cell r="C1840" t="str">
            <v>Class M2 EUR SATI (D)</v>
          </cell>
          <cell r="D1840" t="str">
            <v>EUR</v>
          </cell>
          <cell r="E1840" t="str">
            <v>03-Jan-2022</v>
          </cell>
          <cell r="F1840">
            <v>2334224.33</v>
          </cell>
          <cell r="G1840">
            <v>2018</v>
          </cell>
          <cell r="H1840">
            <v>1156.7</v>
          </cell>
          <cell r="I1840">
            <v>0</v>
          </cell>
          <cell r="J1840">
            <v>1156.7</v>
          </cell>
        </row>
        <row r="1841">
          <cell r="A1841" t="str">
            <v>LU1883333038</v>
          </cell>
          <cell r="B1841" t="str">
            <v>AMUNDI FUNDS GLOBAL MULTI-ASSET TARGET INCOME</v>
          </cell>
          <cell r="C1841" t="str">
            <v>Class M2 USD (C)</v>
          </cell>
          <cell r="D1841" t="str">
            <v>USD</v>
          </cell>
          <cell r="E1841" t="str">
            <v>03-Jan-2022</v>
          </cell>
          <cell r="F1841">
            <v>414882.71</v>
          </cell>
          <cell r="G1841">
            <v>307</v>
          </cell>
          <cell r="H1841">
            <v>1351.41</v>
          </cell>
          <cell r="I1841">
            <v>0</v>
          </cell>
          <cell r="J1841">
            <v>1351.41</v>
          </cell>
        </row>
        <row r="1842">
          <cell r="A1842" t="str">
            <v>LU1883332659</v>
          </cell>
          <cell r="B1842" t="str">
            <v>AMUNDI FUNDS GLOBAL MULTI-ASSET TARGET INCOME</v>
          </cell>
          <cell r="C1842" t="str">
            <v>Class I2 USD (C)</v>
          </cell>
          <cell r="D1842" t="str">
            <v>USD</v>
          </cell>
          <cell r="E1842" t="str">
            <v>03-Jan-2022</v>
          </cell>
          <cell r="F1842">
            <v>76886.77</v>
          </cell>
          <cell r="G1842">
            <v>55.779000000000003</v>
          </cell>
          <cell r="H1842">
            <v>1378.42</v>
          </cell>
          <cell r="I1842">
            <v>0</v>
          </cell>
          <cell r="J1842">
            <v>1378.42</v>
          </cell>
        </row>
        <row r="1843">
          <cell r="A1843" t="str">
            <v>LU1883332576</v>
          </cell>
          <cell r="B1843" t="str">
            <v>AMUNDI FUNDS GLOBAL MULTI-ASSET TARGET INCOME</v>
          </cell>
          <cell r="C1843" t="str">
            <v>Class G2 EUR Hgd QTI (D)</v>
          </cell>
          <cell r="D1843" t="str">
            <v>EUR</v>
          </cell>
          <cell r="E1843" t="str">
            <v>03-Jan-2022</v>
          </cell>
          <cell r="F1843">
            <v>1704931.32</v>
          </cell>
          <cell r="G1843">
            <v>374140.91800000001</v>
          </cell>
          <cell r="H1843">
            <v>4.5570000000000004</v>
          </cell>
          <cell r="I1843">
            <v>0</v>
          </cell>
          <cell r="J1843">
            <v>4.5570000000000004</v>
          </cell>
        </row>
        <row r="1844">
          <cell r="A1844" t="str">
            <v>LU1883334192</v>
          </cell>
          <cell r="B1844" t="str">
            <v>AMUNDI FUNDS GLOBAL MULTI-ASSET TARGET INCOME</v>
          </cell>
          <cell r="C1844" t="str">
            <v>Class R2 USD MTI (D)</v>
          </cell>
          <cell r="D1844" t="str">
            <v>USD</v>
          </cell>
          <cell r="E1844" t="str">
            <v>03-Jan-2022</v>
          </cell>
          <cell r="F1844">
            <v>5478.49</v>
          </cell>
          <cell r="G1844">
            <v>104.095</v>
          </cell>
          <cell r="H1844">
            <v>52.63</v>
          </cell>
          <cell r="I1844">
            <v>0</v>
          </cell>
          <cell r="J1844">
            <v>52.63</v>
          </cell>
        </row>
        <row r="1845">
          <cell r="A1845" t="str">
            <v>LU1883331172</v>
          </cell>
          <cell r="B1845" t="str">
            <v>AMUNDI FUNDS GLOBAL MULTI-ASSET TARGET INCOME</v>
          </cell>
          <cell r="C1845" t="str">
            <v>Class R2 USD QTI (D)</v>
          </cell>
          <cell r="D1845" t="str">
            <v>USD</v>
          </cell>
          <cell r="E1845" t="str">
            <v>03-Jan-2022</v>
          </cell>
          <cell r="F1845">
            <v>1027125.78</v>
          </cell>
          <cell r="G1845">
            <v>19395.721000000001</v>
          </cell>
          <cell r="H1845">
            <v>52.96</v>
          </cell>
          <cell r="I1845">
            <v>0</v>
          </cell>
          <cell r="J1845">
            <v>52.96</v>
          </cell>
        </row>
        <row r="1846">
          <cell r="A1846" t="str">
            <v>LU1883333897</v>
          </cell>
          <cell r="B1846" t="str">
            <v>AMUNDI FUNDS GLOBAL MULTI-ASSET TARGET INCOME</v>
          </cell>
          <cell r="C1846" t="str">
            <v>Class R2 EUR QTI (D)</v>
          </cell>
          <cell r="D1846" t="str">
            <v>EUR</v>
          </cell>
          <cell r="E1846" t="str">
            <v>03-Jan-2022</v>
          </cell>
          <cell r="F1846">
            <v>5547.6</v>
          </cell>
          <cell r="G1846">
            <v>100</v>
          </cell>
          <cell r="H1846">
            <v>55.48</v>
          </cell>
          <cell r="I1846">
            <v>0</v>
          </cell>
          <cell r="J1846">
            <v>55.48</v>
          </cell>
        </row>
        <row r="1847">
          <cell r="A1847" t="str">
            <v>LU1883333541</v>
          </cell>
          <cell r="B1847" t="str">
            <v>AMUNDI FUNDS GLOBAL MULTI-ASSET TARGET INCOME</v>
          </cell>
          <cell r="C1847" t="str">
            <v>Class R2 EUR (C)</v>
          </cell>
          <cell r="D1847" t="str">
            <v>EUR</v>
          </cell>
          <cell r="E1847" t="str">
            <v>03-Jan-2022</v>
          </cell>
          <cell r="F1847">
            <v>6122.24</v>
          </cell>
          <cell r="G1847">
            <v>100</v>
          </cell>
          <cell r="H1847">
            <v>61.22</v>
          </cell>
          <cell r="I1847">
            <v>0</v>
          </cell>
          <cell r="J1847">
            <v>61.22</v>
          </cell>
        </row>
        <row r="1848">
          <cell r="A1848" t="str">
            <v>LU1883333624</v>
          </cell>
          <cell r="B1848" t="str">
            <v>AMUNDI FUNDS GLOBAL MULTI-ASSET TARGET INCOME</v>
          </cell>
          <cell r="C1848" t="str">
            <v>Class R2 EUR Hgd QTI (D)</v>
          </cell>
          <cell r="D1848" t="str">
            <v>EUR</v>
          </cell>
          <cell r="E1848" t="str">
            <v>03-Jan-2022</v>
          </cell>
          <cell r="F1848">
            <v>1892085.11</v>
          </cell>
          <cell r="G1848">
            <v>39711.294000000002</v>
          </cell>
          <cell r="H1848">
            <v>47.65</v>
          </cell>
          <cell r="I1848">
            <v>0</v>
          </cell>
          <cell r="J1848">
            <v>47.65</v>
          </cell>
        </row>
        <row r="1849">
          <cell r="A1849" t="str">
            <v>LU1883330950</v>
          </cell>
          <cell r="B1849" t="str">
            <v>AMUNDI FUNDS GLOBAL MULTI-ASSET TARGET INCOME</v>
          </cell>
          <cell r="C1849" t="str">
            <v>Class A2 EUR QTI (D)</v>
          </cell>
          <cell r="D1849" t="str">
            <v>EUR</v>
          </cell>
          <cell r="E1849" t="str">
            <v>03-Jan-2022</v>
          </cell>
          <cell r="F1849">
            <v>22608255.739999998</v>
          </cell>
          <cell r="G1849">
            <v>418365.88400000002</v>
          </cell>
          <cell r="H1849">
            <v>54.04</v>
          </cell>
          <cell r="I1849">
            <v>0</v>
          </cell>
          <cell r="J1849">
            <v>56.47</v>
          </cell>
        </row>
        <row r="1850">
          <cell r="A1850" t="str">
            <v>LU1883331339</v>
          </cell>
          <cell r="B1850" t="str">
            <v>AMUNDI FUNDS GLOBAL MULTI-ASSET TARGET INCOME</v>
          </cell>
          <cell r="C1850" t="str">
            <v>Class A2 USD (C)</v>
          </cell>
          <cell r="D1850" t="str">
            <v>USD</v>
          </cell>
          <cell r="E1850" t="str">
            <v>03-Jan-2022</v>
          </cell>
          <cell r="F1850">
            <v>14086116.1</v>
          </cell>
          <cell r="G1850">
            <v>220919.967</v>
          </cell>
          <cell r="H1850">
            <v>63.76</v>
          </cell>
          <cell r="I1850">
            <v>0</v>
          </cell>
          <cell r="J1850">
            <v>66.63</v>
          </cell>
        </row>
        <row r="1851">
          <cell r="A1851" t="str">
            <v>LU1883333202</v>
          </cell>
          <cell r="B1851" t="str">
            <v>AMUNDI FUNDS GLOBAL MULTI-ASSET TARGET INCOME</v>
          </cell>
          <cell r="C1851" t="str">
            <v>Class P2 USD (C)</v>
          </cell>
          <cell r="D1851" t="str">
            <v>USD</v>
          </cell>
          <cell r="E1851" t="str">
            <v>03-Jan-2022</v>
          </cell>
          <cell r="F1851">
            <v>278017.43</v>
          </cell>
          <cell r="G1851">
            <v>4212.3329999999996</v>
          </cell>
          <cell r="H1851">
            <v>66</v>
          </cell>
          <cell r="I1851">
            <v>0</v>
          </cell>
          <cell r="J1851">
            <v>66</v>
          </cell>
        </row>
        <row r="1852">
          <cell r="A1852" t="str">
            <v>LU1883333384</v>
          </cell>
          <cell r="B1852" t="str">
            <v>AMUNDI FUNDS GLOBAL MULTI-ASSET TARGET INCOME</v>
          </cell>
          <cell r="C1852" t="str">
            <v>Class P2 USD QTI (D)</v>
          </cell>
          <cell r="D1852" t="str">
            <v>USD</v>
          </cell>
          <cell r="E1852" t="str">
            <v>03-Jan-2022</v>
          </cell>
          <cell r="F1852">
            <v>5641.1</v>
          </cell>
          <cell r="G1852">
            <v>105.291</v>
          </cell>
          <cell r="H1852">
            <v>53.58</v>
          </cell>
          <cell r="I1852">
            <v>0</v>
          </cell>
          <cell r="J1852">
            <v>53.58</v>
          </cell>
        </row>
        <row r="1853">
          <cell r="A1853" t="str">
            <v>LU1883333970</v>
          </cell>
          <cell r="B1853" t="str">
            <v>AMUNDI FUNDS GLOBAL MULTI-ASSET TARGET INCOME</v>
          </cell>
          <cell r="C1853" t="str">
            <v>Class R2 USD (C)</v>
          </cell>
          <cell r="D1853" t="str">
            <v>USD</v>
          </cell>
          <cell r="E1853" t="str">
            <v>03-Jan-2022</v>
          </cell>
          <cell r="F1853">
            <v>6206.69</v>
          </cell>
          <cell r="G1853">
            <v>100</v>
          </cell>
          <cell r="H1853">
            <v>62.07</v>
          </cell>
          <cell r="I1853">
            <v>0</v>
          </cell>
          <cell r="J1853">
            <v>62.07</v>
          </cell>
        </row>
        <row r="1854">
          <cell r="A1854" t="str">
            <v>LU1883333467</v>
          </cell>
          <cell r="B1854" t="str">
            <v>AMUNDI FUNDS GLOBAL MULTI-ASSET TARGET INCOME</v>
          </cell>
          <cell r="C1854" t="str">
            <v>Class Q-D USD QTI (D)</v>
          </cell>
          <cell r="D1854" t="str">
            <v>USD</v>
          </cell>
          <cell r="E1854" t="str">
            <v>03-Jan-2022</v>
          </cell>
          <cell r="F1854">
            <v>252012.4</v>
          </cell>
          <cell r="G1854">
            <v>5756.4170000000004</v>
          </cell>
          <cell r="H1854">
            <v>43.78</v>
          </cell>
          <cell r="I1854">
            <v>0</v>
          </cell>
          <cell r="J1854">
            <v>45.09</v>
          </cell>
        </row>
        <row r="1855">
          <cell r="A1855" t="str">
            <v>LU2002722697</v>
          </cell>
          <cell r="B1855" t="str">
            <v>AMUNDI FUNDS GLOBAL MULTI-ASSET TARGET INCOME</v>
          </cell>
          <cell r="C1855" t="str">
            <v>Class M2 EUR Hgd SATI (D)</v>
          </cell>
          <cell r="D1855" t="str">
            <v>EUR</v>
          </cell>
          <cell r="E1855" t="str">
            <v>03-Jan-2022</v>
          </cell>
          <cell r="F1855">
            <v>28674332.59</v>
          </cell>
          <cell r="G1855">
            <v>26599.647000000001</v>
          </cell>
          <cell r="H1855">
            <v>1078</v>
          </cell>
          <cell r="I1855">
            <v>0</v>
          </cell>
          <cell r="J1855">
            <v>1078</v>
          </cell>
        </row>
        <row r="1856">
          <cell r="A1856" t="str">
            <v>LU1883329432</v>
          </cell>
          <cell r="B1856" t="str">
            <v>AMUNDI FUNDS GLOBAL MULTI-ASSET CONSERVATIVE</v>
          </cell>
          <cell r="C1856" t="str">
            <v>Class A EUR (C)</v>
          </cell>
          <cell r="D1856" t="str">
            <v>EUR</v>
          </cell>
          <cell r="E1856" t="str">
            <v>03-Jan-2022</v>
          </cell>
          <cell r="F1856">
            <v>773454533.97000003</v>
          </cell>
          <cell r="G1856">
            <v>11270895.977</v>
          </cell>
          <cell r="H1856">
            <v>68.62</v>
          </cell>
          <cell r="I1856">
            <v>0</v>
          </cell>
          <cell r="J1856">
            <v>71.709999999999994</v>
          </cell>
        </row>
        <row r="1857">
          <cell r="A1857" t="str">
            <v>LU2183143507</v>
          </cell>
          <cell r="B1857" t="str">
            <v>AMUNDI FUNDS GLOBAL MULTI-ASSET CONSERVATIVE</v>
          </cell>
          <cell r="C1857" t="str">
            <v>Class A2 EUR (C)</v>
          </cell>
          <cell r="D1857" t="str">
            <v>EUR</v>
          </cell>
          <cell r="E1857" t="str">
            <v>03-Jan-2022</v>
          </cell>
          <cell r="F1857">
            <v>6261651.4699999997</v>
          </cell>
          <cell r="G1857">
            <v>111679.039</v>
          </cell>
          <cell r="H1857">
            <v>56.07</v>
          </cell>
          <cell r="I1857">
            <v>0</v>
          </cell>
          <cell r="J1857">
            <v>56.07</v>
          </cell>
        </row>
        <row r="1858">
          <cell r="A1858" t="str">
            <v>LU2339089596</v>
          </cell>
          <cell r="B1858" t="str">
            <v>AMUNDI FUNDS GLOBAL MULTI-ASSET CONSERVATIVE</v>
          </cell>
          <cell r="C1858" t="str">
            <v>Class A EUR QD (D)</v>
          </cell>
          <cell r="D1858" t="str">
            <v>EUR</v>
          </cell>
          <cell r="E1858" t="str">
            <v>03-Jan-2022</v>
          </cell>
          <cell r="F1858">
            <v>5107.79</v>
          </cell>
          <cell r="G1858">
            <v>100</v>
          </cell>
          <cell r="H1858">
            <v>51.08</v>
          </cell>
          <cell r="I1858">
            <v>0</v>
          </cell>
          <cell r="J1858">
            <v>51.08</v>
          </cell>
        </row>
        <row r="1859">
          <cell r="A1859" t="str">
            <v>LU1883329358</v>
          </cell>
          <cell r="B1859" t="str">
            <v>AMUNDI FUNDS GLOBAL MULTI-ASSET CONSERVATIVE</v>
          </cell>
          <cell r="C1859" t="str">
            <v>Class A CHF Hgd (C)</v>
          </cell>
          <cell r="D1859" t="str">
            <v>CHF</v>
          </cell>
          <cell r="E1859" t="str">
            <v>03-Jan-2022</v>
          </cell>
          <cell r="F1859">
            <v>8199972.1600000001</v>
          </cell>
          <cell r="G1859">
            <v>141859.883</v>
          </cell>
          <cell r="H1859">
            <v>57.8</v>
          </cell>
          <cell r="I1859">
            <v>0</v>
          </cell>
          <cell r="J1859">
            <v>60.4</v>
          </cell>
        </row>
        <row r="1860">
          <cell r="A1860" t="str">
            <v>LU2339089323</v>
          </cell>
          <cell r="B1860" t="str">
            <v>AMUNDI FUNDS GLOBAL MULTI-ASSET CONSERVATIVE</v>
          </cell>
          <cell r="C1860" t="str">
            <v>Class A USD Hgd (C)</v>
          </cell>
          <cell r="D1860" t="str">
            <v>USD</v>
          </cell>
          <cell r="E1860" t="str">
            <v>03-Jan-2022</v>
          </cell>
          <cell r="F1860">
            <v>1415225.47</v>
          </cell>
          <cell r="G1860">
            <v>28042.04</v>
          </cell>
          <cell r="H1860">
            <v>50.47</v>
          </cell>
          <cell r="I1860">
            <v>0</v>
          </cell>
          <cell r="J1860">
            <v>50.47</v>
          </cell>
        </row>
        <row r="1861">
          <cell r="A1861" t="str">
            <v>LU1883330109</v>
          </cell>
          <cell r="B1861" t="str">
            <v>AMUNDI FUNDS GLOBAL MULTI-ASSET CONSERVATIVE</v>
          </cell>
          <cell r="C1861" t="str">
            <v>Class M2 EUR (C)</v>
          </cell>
          <cell r="D1861" t="str">
            <v>EUR</v>
          </cell>
          <cell r="E1861" t="str">
            <v>03-Jan-2022</v>
          </cell>
          <cell r="F1861">
            <v>177571293.88999999</v>
          </cell>
          <cell r="G1861">
            <v>119463.522</v>
          </cell>
          <cell r="H1861">
            <v>1486.41</v>
          </cell>
          <cell r="I1861">
            <v>0</v>
          </cell>
          <cell r="J1861">
            <v>1486.41</v>
          </cell>
        </row>
        <row r="1862">
          <cell r="A1862" t="str">
            <v>LU1883329515</v>
          </cell>
          <cell r="B1862" t="str">
            <v>AMUNDI FUNDS GLOBAL MULTI-ASSET CONSERVATIVE</v>
          </cell>
          <cell r="C1862" t="str">
            <v>Class C EUR (C)</v>
          </cell>
          <cell r="D1862" t="str">
            <v>EUR</v>
          </cell>
          <cell r="E1862" t="str">
            <v>03-Jan-2022</v>
          </cell>
          <cell r="F1862">
            <v>10363102.880000001</v>
          </cell>
          <cell r="G1862">
            <v>176147.03</v>
          </cell>
          <cell r="H1862">
            <v>58.83</v>
          </cell>
          <cell r="I1862">
            <v>0</v>
          </cell>
          <cell r="J1862">
            <v>58.83</v>
          </cell>
        </row>
        <row r="1863">
          <cell r="A1863" t="str">
            <v>LU1883329606</v>
          </cell>
          <cell r="B1863" t="str">
            <v>AMUNDI FUNDS GLOBAL MULTI-ASSET CONSERVATIVE</v>
          </cell>
          <cell r="C1863" t="str">
            <v>Class E2 EUR (C)</v>
          </cell>
          <cell r="D1863" t="str">
            <v>EUR</v>
          </cell>
          <cell r="E1863" t="str">
            <v>03-Jan-2022</v>
          </cell>
          <cell r="F1863">
            <v>1344920645.9200001</v>
          </cell>
          <cell r="G1863">
            <v>191203467.12900001</v>
          </cell>
          <cell r="H1863">
            <v>7.0339999999999998</v>
          </cell>
          <cell r="I1863">
            <v>0</v>
          </cell>
          <cell r="J1863">
            <v>7.0339999999999998</v>
          </cell>
        </row>
        <row r="1864">
          <cell r="A1864" t="str">
            <v>LU2330498085</v>
          </cell>
          <cell r="B1864" t="str">
            <v>AMUNDI FUNDS GLOBAL MULTI-ASSET CONSERVATIVE</v>
          </cell>
          <cell r="C1864" t="str">
            <v>Class E2 EUR AD (D)</v>
          </cell>
          <cell r="D1864" t="str">
            <v>EUR</v>
          </cell>
          <cell r="E1864" t="str">
            <v>03-Jan-2022</v>
          </cell>
          <cell r="F1864">
            <v>298619934.29000002</v>
          </cell>
          <cell r="G1864">
            <v>58399506.306999996</v>
          </cell>
          <cell r="H1864">
            <v>5.1130000000000004</v>
          </cell>
          <cell r="I1864">
            <v>0</v>
          </cell>
          <cell r="J1864">
            <v>5.1130000000000004</v>
          </cell>
        </row>
        <row r="1865">
          <cell r="A1865" t="str">
            <v>LU1883329788</v>
          </cell>
          <cell r="B1865" t="str">
            <v>AMUNDI FUNDS GLOBAL MULTI-ASSET CONSERVATIVE</v>
          </cell>
          <cell r="C1865" t="str">
            <v>Class F EUR (C)</v>
          </cell>
          <cell r="D1865" t="str">
            <v>EUR</v>
          </cell>
          <cell r="E1865" t="str">
            <v>03-Jan-2022</v>
          </cell>
          <cell r="F1865">
            <v>166280156</v>
          </cell>
          <cell r="G1865">
            <v>27583247.34</v>
          </cell>
          <cell r="H1865">
            <v>6.0279999999999996</v>
          </cell>
          <cell r="I1865">
            <v>0</v>
          </cell>
          <cell r="J1865">
            <v>6.0279999999999996</v>
          </cell>
        </row>
        <row r="1866">
          <cell r="A1866" t="str">
            <v>LU1897307218</v>
          </cell>
          <cell r="B1866" t="str">
            <v>AMUNDI FUNDS GLOBAL MULTI-ASSET CONSERVATIVE</v>
          </cell>
          <cell r="C1866" t="str">
            <v>Class I2 GBP (C)</v>
          </cell>
          <cell r="D1866" t="str">
            <v>GBP</v>
          </cell>
          <cell r="E1866" t="str">
            <v>03-Jan-2022</v>
          </cell>
          <cell r="F1866">
            <v>43225.15</v>
          </cell>
          <cell r="G1866">
            <v>40</v>
          </cell>
          <cell r="H1866">
            <v>1080.6300000000001</v>
          </cell>
          <cell r="I1866">
            <v>0</v>
          </cell>
          <cell r="J1866">
            <v>1080.6300000000001</v>
          </cell>
        </row>
        <row r="1867">
          <cell r="A1867" t="str">
            <v>LU2079696568</v>
          </cell>
          <cell r="B1867" t="str">
            <v>AMUNDI FUNDS GLOBAL MULTI-ASSET CONSERVATIVE</v>
          </cell>
          <cell r="C1867" t="str">
            <v>Class I2 EUR (C)</v>
          </cell>
          <cell r="D1867" t="str">
            <v>EUR</v>
          </cell>
          <cell r="E1867" t="str">
            <v>03-Jan-2022</v>
          </cell>
          <cell r="F1867">
            <v>46114811.579999998</v>
          </cell>
          <cell r="G1867">
            <v>39947</v>
          </cell>
          <cell r="H1867">
            <v>1154.4000000000001</v>
          </cell>
          <cell r="I1867">
            <v>0</v>
          </cell>
          <cell r="J1867">
            <v>1154.4000000000001</v>
          </cell>
        </row>
        <row r="1868">
          <cell r="A1868" t="str">
            <v>LU1883330018</v>
          </cell>
          <cell r="B1868" t="str">
            <v>AMUNDI FUNDS GLOBAL MULTI-ASSET CONSERVATIVE</v>
          </cell>
          <cell r="C1868" t="str">
            <v>Class I2 USD Hgd (C)</v>
          </cell>
          <cell r="D1868" t="str">
            <v>USD</v>
          </cell>
          <cell r="E1868" t="str">
            <v>03-Jan-2022</v>
          </cell>
          <cell r="F1868">
            <v>1179197.5900000001</v>
          </cell>
          <cell r="G1868">
            <v>851.39800000000002</v>
          </cell>
          <cell r="H1868">
            <v>1385.01</v>
          </cell>
          <cell r="I1868">
            <v>0</v>
          </cell>
          <cell r="J1868">
            <v>1385.01</v>
          </cell>
        </row>
        <row r="1869">
          <cell r="A1869" t="str">
            <v>LU2079696212</v>
          </cell>
          <cell r="B1869" t="str">
            <v>AMUNDI FUNDS GLOBAL MULTI-ASSET CONSERVATIVE</v>
          </cell>
          <cell r="C1869" t="str">
            <v>Class I EUR (C)</v>
          </cell>
          <cell r="D1869" t="str">
            <v>EUR</v>
          </cell>
          <cell r="E1869" t="str">
            <v>03-Jan-2022</v>
          </cell>
          <cell r="F1869">
            <v>11516687.82</v>
          </cell>
          <cell r="G1869">
            <v>10161.174999999999</v>
          </cell>
          <cell r="H1869">
            <v>1133.4000000000001</v>
          </cell>
          <cell r="I1869">
            <v>0</v>
          </cell>
          <cell r="J1869">
            <v>1133.4000000000001</v>
          </cell>
        </row>
        <row r="1870">
          <cell r="A1870" t="str">
            <v>LU2199618559</v>
          </cell>
          <cell r="B1870" t="str">
            <v>AMUNDI FUNDS GLOBAL MULTI-ASSET CONSERVATIVE</v>
          </cell>
          <cell r="C1870" t="str">
            <v>Class I2 CZK Hgd (C)</v>
          </cell>
          <cell r="D1870" t="str">
            <v>CZK</v>
          </cell>
          <cell r="E1870" t="str">
            <v>03-Jan-2022</v>
          </cell>
          <cell r="F1870">
            <v>320323.13</v>
          </cell>
          <cell r="G1870">
            <v>31.62</v>
          </cell>
          <cell r="H1870">
            <v>10130.4</v>
          </cell>
          <cell r="I1870">
            <v>0</v>
          </cell>
          <cell r="J1870">
            <v>10130.4</v>
          </cell>
        </row>
        <row r="1871">
          <cell r="A1871" t="str">
            <v>LU2359305955</v>
          </cell>
          <cell r="B1871" t="str">
            <v>AMUNDI FUNDS GLOBAL MULTI-ASSET CONSERVATIVE</v>
          </cell>
          <cell r="C1871" t="str">
            <v>Class J2 JPY Hgd (C)</v>
          </cell>
          <cell r="D1871" t="str">
            <v>JPY</v>
          </cell>
          <cell r="E1871" t="str">
            <v>03-Jan-2022</v>
          </cell>
          <cell r="F1871">
            <v>9103611688</v>
          </cell>
          <cell r="G1871">
            <v>9011997.9910000004</v>
          </cell>
          <cell r="H1871">
            <v>1010</v>
          </cell>
          <cell r="I1871">
            <v>0</v>
          </cell>
          <cell r="J1871">
            <v>1010</v>
          </cell>
        </row>
        <row r="1872">
          <cell r="A1872" t="str">
            <v>LU1883329945</v>
          </cell>
          <cell r="B1872" t="str">
            <v>AMUNDI FUNDS GLOBAL MULTI-ASSET CONSERVATIVE</v>
          </cell>
          <cell r="C1872" t="str">
            <v>Class G EUR QTD (D)</v>
          </cell>
          <cell r="D1872" t="str">
            <v>EUR</v>
          </cell>
          <cell r="E1872" t="str">
            <v>03-Jan-2022</v>
          </cell>
          <cell r="F1872">
            <v>73231582.069999993</v>
          </cell>
          <cell r="G1872">
            <v>12972378.217</v>
          </cell>
          <cell r="H1872">
            <v>5.6449999999999996</v>
          </cell>
          <cell r="I1872">
            <v>1.38E-2</v>
          </cell>
          <cell r="J1872">
            <v>5.6449999999999996</v>
          </cell>
        </row>
        <row r="1873">
          <cell r="A1873" t="str">
            <v>LU1883329861</v>
          </cell>
          <cell r="B1873" t="str">
            <v>AMUNDI FUNDS GLOBAL MULTI-ASSET CONSERVATIVE</v>
          </cell>
          <cell r="C1873" t="str">
            <v>Class G EUR (C)</v>
          </cell>
          <cell r="D1873" t="str">
            <v>EUR</v>
          </cell>
          <cell r="E1873" t="str">
            <v>03-Jan-2022</v>
          </cell>
          <cell r="F1873">
            <v>1017028011.1799999</v>
          </cell>
          <cell r="G1873">
            <v>177118933.16299999</v>
          </cell>
          <cell r="H1873">
            <v>5.742</v>
          </cell>
          <cell r="I1873">
            <v>0</v>
          </cell>
          <cell r="J1873">
            <v>5.742</v>
          </cell>
        </row>
        <row r="1874">
          <cell r="A1874" t="str">
            <v>LU1883330281</v>
          </cell>
          <cell r="B1874" t="str">
            <v>AMUNDI FUNDS GLOBAL MULTI-ASSET CONSERVATIVE</v>
          </cell>
          <cell r="C1874" t="str">
            <v>Class R2 EUR (C)</v>
          </cell>
          <cell r="D1874" t="str">
            <v>EUR</v>
          </cell>
          <cell r="E1874" t="str">
            <v>03-Jan-2022</v>
          </cell>
          <cell r="F1874">
            <v>24513425.079999998</v>
          </cell>
          <cell r="G1874">
            <v>402047.38900000002</v>
          </cell>
          <cell r="H1874">
            <v>60.97</v>
          </cell>
          <cell r="I1874">
            <v>0</v>
          </cell>
          <cell r="J1874">
            <v>60.97</v>
          </cell>
        </row>
        <row r="1875">
          <cell r="A1875" t="str">
            <v>LU1882462739</v>
          </cell>
          <cell r="B1875" t="str">
            <v>AMUNDI FUNDS EMERGING MARKETS SHORT TERM BOND</v>
          </cell>
          <cell r="C1875" t="str">
            <v>Class A2 EUR Hgd (C)</v>
          </cell>
          <cell r="D1875" t="str">
            <v>EUR</v>
          </cell>
          <cell r="E1875" t="str">
            <v>03-Jan-2022</v>
          </cell>
          <cell r="F1875">
            <v>8723268.8499999996</v>
          </cell>
          <cell r="G1875">
            <v>165019.041</v>
          </cell>
          <cell r="H1875">
            <v>52.86</v>
          </cell>
          <cell r="I1875">
            <v>0</v>
          </cell>
          <cell r="J1875">
            <v>54.45</v>
          </cell>
        </row>
        <row r="1876">
          <cell r="A1876" t="str">
            <v>LU1882462572</v>
          </cell>
          <cell r="B1876" t="str">
            <v>AMUNDI FUNDS EMERGING MARKETS SHORT TERM BOND</v>
          </cell>
          <cell r="C1876" t="str">
            <v>Class A2 CZK Hgd (C)</v>
          </cell>
          <cell r="D1876" t="str">
            <v>CZK</v>
          </cell>
          <cell r="E1876" t="str">
            <v>03-Jan-2022</v>
          </cell>
          <cell r="F1876">
            <v>186776134.25999999</v>
          </cell>
          <cell r="G1876">
            <v>172205.34400000001</v>
          </cell>
          <cell r="H1876">
            <v>1084.6099999999999</v>
          </cell>
          <cell r="I1876">
            <v>0</v>
          </cell>
          <cell r="J1876">
            <v>1117.1500000000001</v>
          </cell>
        </row>
        <row r="1877">
          <cell r="A1877" t="str">
            <v>LU1882464602</v>
          </cell>
          <cell r="B1877" t="str">
            <v>AMUNDI FUNDS EMERGING MARKETS SHORT TERM BOND</v>
          </cell>
          <cell r="C1877" t="str">
            <v>Class M2 EUR (C)</v>
          </cell>
          <cell r="D1877" t="str">
            <v>EUR</v>
          </cell>
          <cell r="E1877" t="str">
            <v>03-Jan-2022</v>
          </cell>
          <cell r="F1877">
            <v>2561852.58</v>
          </cell>
          <cell r="G1877">
            <v>2058.8200000000002</v>
          </cell>
          <cell r="H1877">
            <v>1244.33</v>
          </cell>
          <cell r="I1877">
            <v>0</v>
          </cell>
          <cell r="J1877">
            <v>1244.33</v>
          </cell>
        </row>
        <row r="1878">
          <cell r="A1878" t="str">
            <v>LU1882464784</v>
          </cell>
          <cell r="B1878" t="str">
            <v>AMUNDI FUNDS EMERGING MARKETS SHORT TERM BOND</v>
          </cell>
          <cell r="C1878" t="str">
            <v>Class M2 EUR Hgd (C)</v>
          </cell>
          <cell r="D1878" t="str">
            <v>EUR</v>
          </cell>
          <cell r="E1878" t="str">
            <v>03-Jan-2022</v>
          </cell>
          <cell r="F1878">
            <v>29131759.440000001</v>
          </cell>
          <cell r="G1878">
            <v>26299.525000000001</v>
          </cell>
          <cell r="H1878">
            <v>1107.69</v>
          </cell>
          <cell r="I1878">
            <v>0</v>
          </cell>
          <cell r="J1878">
            <v>1107.69</v>
          </cell>
        </row>
        <row r="1879">
          <cell r="A1879" t="str">
            <v>LU1882463034</v>
          </cell>
          <cell r="B1879" t="str">
            <v>AMUNDI FUNDS EMERGING MARKETS SHORT TERM BOND</v>
          </cell>
          <cell r="C1879" t="str">
            <v>Class C USD (C)</v>
          </cell>
          <cell r="D1879" t="str">
            <v>USD</v>
          </cell>
          <cell r="E1879" t="str">
            <v>03-Jan-2022</v>
          </cell>
          <cell r="F1879">
            <v>2218401.63</v>
          </cell>
          <cell r="G1879">
            <v>41135.286</v>
          </cell>
          <cell r="H1879">
            <v>53.93</v>
          </cell>
          <cell r="I1879">
            <v>0</v>
          </cell>
          <cell r="J1879">
            <v>53.93</v>
          </cell>
        </row>
        <row r="1880">
          <cell r="A1880" t="str">
            <v>LU1882463117</v>
          </cell>
          <cell r="B1880" t="str">
            <v>AMUNDI FUNDS EMERGING MARKETS SHORT TERM BOND</v>
          </cell>
          <cell r="C1880" t="str">
            <v>Class C USD MD (D)</v>
          </cell>
          <cell r="D1880" t="str">
            <v>USD</v>
          </cell>
          <cell r="E1880" t="str">
            <v>03-Jan-2022</v>
          </cell>
          <cell r="F1880">
            <v>317948.94</v>
          </cell>
          <cell r="G1880">
            <v>7082.02</v>
          </cell>
          <cell r="H1880">
            <v>44.9</v>
          </cell>
          <cell r="I1880">
            <v>0.17249999999999999</v>
          </cell>
          <cell r="J1880">
            <v>44.9</v>
          </cell>
        </row>
        <row r="1881">
          <cell r="A1881" t="str">
            <v>LU1882462903</v>
          </cell>
          <cell r="B1881" t="str">
            <v>AMUNDI FUNDS EMERGING MARKETS SHORT TERM BOND</v>
          </cell>
          <cell r="C1881" t="str">
            <v>Class A2 USD MD (D)</v>
          </cell>
          <cell r="D1881" t="str">
            <v>USD</v>
          </cell>
          <cell r="E1881" t="str">
            <v>03-Jan-2022</v>
          </cell>
          <cell r="F1881">
            <v>674675.62</v>
          </cell>
          <cell r="G1881">
            <v>14717.286</v>
          </cell>
          <cell r="H1881">
            <v>45.84</v>
          </cell>
          <cell r="I1881">
            <v>0.17430000000000001</v>
          </cell>
          <cell r="J1881">
            <v>47.22</v>
          </cell>
        </row>
        <row r="1882">
          <cell r="A1882" t="str">
            <v>LU1882462655</v>
          </cell>
          <cell r="B1882" t="str">
            <v>AMUNDI FUNDS EMERGING MARKETS SHORT TERM BOND</v>
          </cell>
          <cell r="C1882" t="str">
            <v>Class A2 EUR (C)</v>
          </cell>
          <cell r="D1882" t="str">
            <v>EUR</v>
          </cell>
          <cell r="E1882" t="str">
            <v>03-Jan-2022</v>
          </cell>
          <cell r="F1882">
            <v>2360077.86</v>
          </cell>
          <cell r="G1882">
            <v>44404.023999999998</v>
          </cell>
          <cell r="H1882">
            <v>53.15</v>
          </cell>
          <cell r="I1882">
            <v>0</v>
          </cell>
          <cell r="J1882">
            <v>54.74</v>
          </cell>
        </row>
        <row r="1883">
          <cell r="A1883" t="str">
            <v>LU1882463208</v>
          </cell>
          <cell r="B1883" t="str">
            <v>AMUNDI FUNDS EMERGING MARKETS SHORT TERM BOND</v>
          </cell>
          <cell r="C1883" t="str">
            <v>Class E2 EUR (C)</v>
          </cell>
          <cell r="D1883" t="str">
            <v>EUR</v>
          </cell>
          <cell r="E1883" t="str">
            <v>03-Jan-2022</v>
          </cell>
          <cell r="F1883">
            <v>33204102.010000002</v>
          </cell>
          <cell r="G1883">
            <v>5669415.6009999998</v>
          </cell>
          <cell r="H1883">
            <v>5.8570000000000002</v>
          </cell>
          <cell r="I1883">
            <v>0</v>
          </cell>
          <cell r="J1883">
            <v>5.8570000000000002</v>
          </cell>
        </row>
        <row r="1884">
          <cell r="A1884" t="str">
            <v>LU1882463380</v>
          </cell>
          <cell r="B1884" t="str">
            <v>AMUNDI FUNDS EMERGING MARKETS SHORT TERM BOND</v>
          </cell>
          <cell r="C1884" t="str">
            <v>Class E2 EUR Hgd (C)</v>
          </cell>
          <cell r="D1884" t="str">
            <v>EUR</v>
          </cell>
          <cell r="E1884" t="str">
            <v>03-Jan-2022</v>
          </cell>
          <cell r="F1884">
            <v>63599523.399999999</v>
          </cell>
          <cell r="G1884">
            <v>11883891.719000001</v>
          </cell>
          <cell r="H1884">
            <v>5.3520000000000003</v>
          </cell>
          <cell r="I1884">
            <v>0</v>
          </cell>
          <cell r="J1884">
            <v>5.3520000000000003</v>
          </cell>
        </row>
        <row r="1885">
          <cell r="A1885" t="str">
            <v>LU1882463463</v>
          </cell>
          <cell r="B1885" t="str">
            <v>AMUNDI FUNDS EMERGING MARKETS SHORT TERM BOND</v>
          </cell>
          <cell r="C1885" t="str">
            <v>Class E2 EUR Hgd QTD (D)</v>
          </cell>
          <cell r="D1885" t="str">
            <v>EUR</v>
          </cell>
          <cell r="E1885" t="str">
            <v>03-Jan-2022</v>
          </cell>
          <cell r="F1885">
            <v>136933574.96000001</v>
          </cell>
          <cell r="G1885">
            <v>31504871.851</v>
          </cell>
          <cell r="H1885">
            <v>4.3460000000000001</v>
          </cell>
          <cell r="I1885">
            <v>5.04E-2</v>
          </cell>
          <cell r="J1885">
            <v>4.3460000000000001</v>
          </cell>
        </row>
        <row r="1886">
          <cell r="A1886" t="str">
            <v>LU1882463893</v>
          </cell>
          <cell r="B1886" t="str">
            <v>AMUNDI FUNDS EMERGING MARKETS SHORT TERM BOND</v>
          </cell>
          <cell r="C1886" t="str">
            <v>Class F2 EUR QTD (D)</v>
          </cell>
          <cell r="D1886" t="str">
            <v>EUR</v>
          </cell>
          <cell r="E1886" t="str">
            <v>03-Jan-2022</v>
          </cell>
          <cell r="F1886">
            <v>8208332.7400000002</v>
          </cell>
          <cell r="G1886">
            <v>1711304.5970000001</v>
          </cell>
          <cell r="H1886">
            <v>4.7969999999999997</v>
          </cell>
          <cell r="I1886">
            <v>5.1200000000000002E-2</v>
          </cell>
          <cell r="J1886">
            <v>4.7969999999999997</v>
          </cell>
        </row>
        <row r="1887">
          <cell r="A1887" t="str">
            <v>LU1897303142</v>
          </cell>
          <cell r="B1887" t="str">
            <v>AMUNDI FUNDS EMERGING MARKETS SHORT TERM BOND</v>
          </cell>
          <cell r="C1887" t="str">
            <v>Class I2 GBP (C)</v>
          </cell>
          <cell r="D1887" t="str">
            <v>GBP</v>
          </cell>
          <cell r="E1887" t="str">
            <v>03-Jan-2022</v>
          </cell>
          <cell r="F1887">
            <v>4880.05</v>
          </cell>
          <cell r="G1887">
            <v>5</v>
          </cell>
          <cell r="H1887">
            <v>976.01</v>
          </cell>
          <cell r="I1887">
            <v>0</v>
          </cell>
          <cell r="J1887">
            <v>976.01</v>
          </cell>
        </row>
        <row r="1888">
          <cell r="A1888" t="str">
            <v>LU1882463547</v>
          </cell>
          <cell r="B1888" t="str">
            <v>AMUNDI FUNDS EMERGING MARKETS SHORT TERM BOND</v>
          </cell>
          <cell r="C1888" t="str">
            <v>Class E2 EUR QTD (D)</v>
          </cell>
          <cell r="D1888" t="str">
            <v>EUR</v>
          </cell>
          <cell r="E1888" t="str">
            <v>03-Jan-2022</v>
          </cell>
          <cell r="F1888">
            <v>31323742.370000001</v>
          </cell>
          <cell r="G1888">
            <v>6430347.7450000001</v>
          </cell>
          <cell r="H1888">
            <v>4.8710000000000004</v>
          </cell>
          <cell r="I1888">
            <v>5.16E-2</v>
          </cell>
          <cell r="J1888">
            <v>4.8710000000000004</v>
          </cell>
        </row>
        <row r="1889">
          <cell r="A1889" t="str">
            <v>LU1882464271</v>
          </cell>
          <cell r="B1889" t="str">
            <v>AMUNDI FUNDS EMERGING MARKETS SHORT TERM BOND</v>
          </cell>
          <cell r="C1889" t="str">
            <v>Class I2 EUR Hgd AD (D)</v>
          </cell>
          <cell r="D1889" t="str">
            <v>EUR</v>
          </cell>
          <cell r="E1889" t="str">
            <v>03-Jan-2022</v>
          </cell>
          <cell r="F1889">
            <v>9151.7999999999993</v>
          </cell>
          <cell r="G1889">
            <v>11</v>
          </cell>
          <cell r="H1889">
            <v>831.98</v>
          </cell>
          <cell r="I1889">
            <v>0</v>
          </cell>
          <cell r="J1889">
            <v>831.98</v>
          </cell>
        </row>
        <row r="1890">
          <cell r="A1890" t="str">
            <v>LU1882464354</v>
          </cell>
          <cell r="B1890" t="str">
            <v>AMUNDI FUNDS EMERGING MARKETS SHORT TERM BOND</v>
          </cell>
          <cell r="C1890" t="str">
            <v>Class I2 EUR Hgd QTD (D)</v>
          </cell>
          <cell r="D1890" t="str">
            <v>EUR</v>
          </cell>
          <cell r="E1890" t="str">
            <v>03-Jan-2022</v>
          </cell>
          <cell r="F1890">
            <v>41749302.280000001</v>
          </cell>
          <cell r="G1890">
            <v>48067.565999999999</v>
          </cell>
          <cell r="H1890">
            <v>868.55</v>
          </cell>
          <cell r="I1890">
            <v>9.9929000000000006</v>
          </cell>
          <cell r="J1890">
            <v>868.55</v>
          </cell>
        </row>
        <row r="1891">
          <cell r="A1891" t="str">
            <v>LU1882464198</v>
          </cell>
          <cell r="B1891" t="str">
            <v>AMUNDI FUNDS EMERGING MARKETS SHORT TERM BOND</v>
          </cell>
          <cell r="C1891" t="str">
            <v>Class I2 EUR Hgd (C)</v>
          </cell>
          <cell r="D1891" t="str">
            <v>EUR</v>
          </cell>
          <cell r="E1891" t="str">
            <v>03-Jan-2022</v>
          </cell>
          <cell r="F1891">
            <v>11649057.529999999</v>
          </cell>
          <cell r="G1891">
            <v>10425.691999999999</v>
          </cell>
          <cell r="H1891">
            <v>1117.3399999999999</v>
          </cell>
          <cell r="I1891">
            <v>0</v>
          </cell>
          <cell r="J1891">
            <v>1117.3399999999999</v>
          </cell>
        </row>
        <row r="1892">
          <cell r="A1892" t="str">
            <v>LU1882463976</v>
          </cell>
          <cell r="B1892" t="str">
            <v>AMUNDI FUNDS EMERGING MARKETS SHORT TERM BOND</v>
          </cell>
          <cell r="C1892" t="str">
            <v>Class I2 EUR (C)</v>
          </cell>
          <cell r="D1892" t="str">
            <v>EUR</v>
          </cell>
          <cell r="E1892" t="str">
            <v>03-Jan-2022</v>
          </cell>
          <cell r="F1892">
            <v>6301540.5999999996</v>
          </cell>
          <cell r="G1892">
            <v>5638</v>
          </cell>
          <cell r="H1892">
            <v>1117.69</v>
          </cell>
          <cell r="I1892">
            <v>0</v>
          </cell>
          <cell r="J1892">
            <v>1117.69</v>
          </cell>
        </row>
        <row r="1893">
          <cell r="A1893" t="str">
            <v>LU2176991268</v>
          </cell>
          <cell r="B1893" t="str">
            <v>AMUNDI FUNDS EMERGING MARKETS SHORT TERM BOND</v>
          </cell>
          <cell r="C1893" t="str">
            <v>Class I2 GBP Hgd (C)</v>
          </cell>
          <cell r="D1893" t="str">
            <v>GBP</v>
          </cell>
          <cell r="E1893" t="str">
            <v>03-Jan-2022</v>
          </cell>
          <cell r="F1893">
            <v>112607.02</v>
          </cell>
          <cell r="G1893">
            <v>100</v>
          </cell>
          <cell r="H1893">
            <v>1126.07</v>
          </cell>
          <cell r="I1893">
            <v>0</v>
          </cell>
          <cell r="J1893">
            <v>1126.07</v>
          </cell>
        </row>
        <row r="1894">
          <cell r="A1894" t="str">
            <v>LU1894676995</v>
          </cell>
          <cell r="B1894" t="str">
            <v>AMUNDI FUNDS EMERGING MARKETS SHORT TERM BOND</v>
          </cell>
          <cell r="C1894" t="str">
            <v>Class G2 EUR Hgd (C)</v>
          </cell>
          <cell r="D1894" t="str">
            <v>EUR</v>
          </cell>
          <cell r="E1894" t="str">
            <v>03-Jan-2022</v>
          </cell>
          <cell r="F1894">
            <v>6530379.0599999996</v>
          </cell>
          <cell r="G1894">
            <v>1261115.9890000001</v>
          </cell>
          <cell r="H1894">
            <v>5.1779999999999999</v>
          </cell>
          <cell r="I1894">
            <v>0</v>
          </cell>
          <cell r="J1894">
            <v>5.1779999999999999</v>
          </cell>
        </row>
        <row r="1895">
          <cell r="A1895" t="str">
            <v>LU1882465088</v>
          </cell>
          <cell r="B1895" t="str">
            <v>AMUNDI FUNDS EMERGING MARKETS SHORT TERM BOND</v>
          </cell>
          <cell r="C1895" t="str">
            <v>Class R2 EUR (C)</v>
          </cell>
          <cell r="D1895" t="str">
            <v>EUR</v>
          </cell>
          <cell r="E1895" t="str">
            <v>03-Jan-2022</v>
          </cell>
          <cell r="F1895">
            <v>5443.5</v>
          </cell>
          <cell r="G1895">
            <v>100</v>
          </cell>
          <cell r="H1895">
            <v>54.44</v>
          </cell>
          <cell r="I1895">
            <v>0</v>
          </cell>
          <cell r="J1895">
            <v>54.44</v>
          </cell>
        </row>
        <row r="1896">
          <cell r="A1896" t="str">
            <v>LU1882465161</v>
          </cell>
          <cell r="B1896" t="str">
            <v>AMUNDI FUNDS EMERGING MARKETS SHORT TERM BOND</v>
          </cell>
          <cell r="C1896" t="str">
            <v>Class R2 EUR Hgd (C)</v>
          </cell>
          <cell r="D1896" t="str">
            <v>EUR</v>
          </cell>
          <cell r="E1896" t="str">
            <v>03-Jan-2022</v>
          </cell>
          <cell r="F1896">
            <v>597129.63</v>
          </cell>
          <cell r="G1896">
            <v>11846.01</v>
          </cell>
          <cell r="H1896">
            <v>50.41</v>
          </cell>
          <cell r="I1896">
            <v>0</v>
          </cell>
          <cell r="J1896">
            <v>50.41</v>
          </cell>
        </row>
        <row r="1897">
          <cell r="A1897" t="str">
            <v>LU1882462812</v>
          </cell>
          <cell r="B1897" t="str">
            <v>AMUNDI FUNDS EMERGING MARKETS SHORT TERM BOND</v>
          </cell>
          <cell r="C1897" t="str">
            <v>Class A2 USD (C)</v>
          </cell>
          <cell r="D1897" t="str">
            <v>USD</v>
          </cell>
          <cell r="E1897" t="str">
            <v>03-Jan-2022</v>
          </cell>
          <cell r="F1897">
            <v>24568903.739999998</v>
          </cell>
          <cell r="G1897">
            <v>409299.41800000001</v>
          </cell>
          <cell r="H1897">
            <v>60.03</v>
          </cell>
          <cell r="I1897">
            <v>0</v>
          </cell>
          <cell r="J1897">
            <v>61.83</v>
          </cell>
        </row>
        <row r="1898">
          <cell r="A1898" t="str">
            <v>LU1882464941</v>
          </cell>
          <cell r="B1898" t="str">
            <v>AMUNDI FUNDS EMERGING MARKETS SHORT TERM BOND</v>
          </cell>
          <cell r="C1898" t="str">
            <v>Class P2 USD (C)</v>
          </cell>
          <cell r="D1898" t="str">
            <v>USD</v>
          </cell>
          <cell r="E1898" t="str">
            <v>03-Jan-2022</v>
          </cell>
          <cell r="F1898">
            <v>152471.99</v>
          </cell>
          <cell r="G1898">
            <v>2641.3470000000002</v>
          </cell>
          <cell r="H1898">
            <v>57.73</v>
          </cell>
          <cell r="I1898">
            <v>0</v>
          </cell>
          <cell r="J1898">
            <v>57.73</v>
          </cell>
        </row>
        <row r="1899">
          <cell r="A1899" t="str">
            <v>LU2036672991</v>
          </cell>
          <cell r="B1899" t="str">
            <v>AMUNDI FUNDS EMERGING MARKETS SHORT TERM BOND</v>
          </cell>
          <cell r="C1899" t="str">
            <v>Class G2 EUR Hgd QTD (D)</v>
          </cell>
          <cell r="D1899" t="str">
            <v>EUR</v>
          </cell>
          <cell r="E1899" t="str">
            <v>03-Jan-2022</v>
          </cell>
          <cell r="F1899">
            <v>916375.88</v>
          </cell>
          <cell r="G1899">
            <v>203113.10800000001</v>
          </cell>
          <cell r="H1899">
            <v>4.5119999999999996</v>
          </cell>
          <cell r="I1899">
            <v>5.2400000000000002E-2</v>
          </cell>
          <cell r="J1899">
            <v>4.5119999999999996</v>
          </cell>
        </row>
        <row r="1900">
          <cell r="A1900" t="str">
            <v>LU2036672645</v>
          </cell>
          <cell r="B1900" t="str">
            <v>AMUNDI FUNDS EMERGING MARKETS SHORT TERM BOND</v>
          </cell>
          <cell r="C1900" t="str">
            <v>Class G2 EUR (C)</v>
          </cell>
          <cell r="D1900" t="str">
            <v>EUR</v>
          </cell>
          <cell r="E1900" t="str">
            <v>03-Jan-2022</v>
          </cell>
          <cell r="F1900">
            <v>407612.66</v>
          </cell>
          <cell r="G1900">
            <v>80360.020999999993</v>
          </cell>
          <cell r="H1900">
            <v>5.0720000000000001</v>
          </cell>
          <cell r="I1900">
            <v>0</v>
          </cell>
          <cell r="J1900">
            <v>5.0720000000000001</v>
          </cell>
        </row>
        <row r="1901">
          <cell r="A1901" t="str">
            <v>LU2036672728</v>
          </cell>
          <cell r="B1901" t="str">
            <v>AMUNDI FUNDS EMERGING MARKETS SHORT TERM BOND</v>
          </cell>
          <cell r="C1901" t="str">
            <v>Class G2 EUR QTD (D)</v>
          </cell>
          <cell r="D1901" t="str">
            <v>EUR</v>
          </cell>
          <cell r="E1901" t="str">
            <v>03-Jan-2022</v>
          </cell>
          <cell r="F1901">
            <v>34537.089999999997</v>
          </cell>
          <cell r="G1901">
            <v>7584.107</v>
          </cell>
          <cell r="H1901">
            <v>4.5540000000000003</v>
          </cell>
          <cell r="I1901">
            <v>4.8399999999999999E-2</v>
          </cell>
          <cell r="J1901">
            <v>4.5540000000000003</v>
          </cell>
        </row>
        <row r="1902">
          <cell r="A1902" t="str">
            <v>LU1882464438</v>
          </cell>
          <cell r="B1902" t="str">
            <v>AMUNDI FUNDS EMERGING MARKETS SHORT TERM BOND</v>
          </cell>
          <cell r="C1902" t="str">
            <v>Class X EUR (C)</v>
          </cell>
          <cell r="D1902" t="str">
            <v>EUR</v>
          </cell>
          <cell r="E1902" t="str">
            <v>03-Jan-2022</v>
          </cell>
          <cell r="F1902">
            <v>5113885.3600000003</v>
          </cell>
          <cell r="G1902">
            <v>4502</v>
          </cell>
          <cell r="H1902">
            <v>1135.9100000000001</v>
          </cell>
          <cell r="I1902">
            <v>0</v>
          </cell>
          <cell r="J1902">
            <v>1135.9100000000001</v>
          </cell>
        </row>
        <row r="1903">
          <cell r="A1903" t="str">
            <v>LU1998914565</v>
          </cell>
          <cell r="B1903" t="str">
            <v>AMUNDI FUNDS EMERGING MARKETS SHORT TERM BOND</v>
          </cell>
          <cell r="C1903" t="str">
            <v>Class H EUR QD (D)</v>
          </cell>
          <cell r="D1903" t="str">
            <v>EUR</v>
          </cell>
          <cell r="E1903" t="str">
            <v>03-Jan-2022</v>
          </cell>
          <cell r="F1903">
            <v>13164717.539999999</v>
          </cell>
          <cell r="G1903">
            <v>14295.241</v>
          </cell>
          <cell r="H1903">
            <v>920.92</v>
          </cell>
          <cell r="I1903">
            <v>0</v>
          </cell>
          <cell r="J1903">
            <v>920.92</v>
          </cell>
        </row>
        <row r="1904">
          <cell r="A1904" t="str">
            <v>LU1883334275</v>
          </cell>
          <cell r="B1904" t="str">
            <v>AMUNDI FUNDS GLOBAL SUBORDINATED BOND</v>
          </cell>
          <cell r="C1904" t="str">
            <v>Class A EUR (C)</v>
          </cell>
          <cell r="D1904" t="str">
            <v>EUR</v>
          </cell>
          <cell r="E1904" t="str">
            <v>03-Jan-2022</v>
          </cell>
          <cell r="F1904">
            <v>19609194.27</v>
          </cell>
          <cell r="G1904">
            <v>301985.43099999998</v>
          </cell>
          <cell r="H1904">
            <v>64.930000000000007</v>
          </cell>
          <cell r="I1904">
            <v>0</v>
          </cell>
          <cell r="J1904">
            <v>66.88</v>
          </cell>
        </row>
        <row r="1905">
          <cell r="A1905" t="str">
            <v>LU2183144141</v>
          </cell>
          <cell r="B1905" t="str">
            <v>AMUNDI FUNDS GLOBAL SUBORDINATED BOND</v>
          </cell>
          <cell r="C1905" t="str">
            <v>Class A2 USD Hgd (C)</v>
          </cell>
          <cell r="D1905" t="str">
            <v>USD</v>
          </cell>
          <cell r="E1905" t="str">
            <v>03-Jan-2022</v>
          </cell>
          <cell r="F1905">
            <v>599323.32999999996</v>
          </cell>
          <cell r="G1905">
            <v>10594.561</v>
          </cell>
          <cell r="H1905">
            <v>56.57</v>
          </cell>
          <cell r="I1905">
            <v>0</v>
          </cell>
          <cell r="J1905">
            <v>56.57</v>
          </cell>
        </row>
        <row r="1906">
          <cell r="A1906" t="str">
            <v>LU2070308130</v>
          </cell>
          <cell r="B1906" t="str">
            <v>AMUNDI FUNDS GLOBAL SUBORDINATED BOND</v>
          </cell>
          <cell r="C1906" t="str">
            <v>Class A5 EUR (C)</v>
          </cell>
          <cell r="D1906" t="str">
            <v>EUR</v>
          </cell>
          <cell r="E1906" t="str">
            <v>03-Jan-2022</v>
          </cell>
          <cell r="F1906">
            <v>5433.83</v>
          </cell>
          <cell r="G1906">
            <v>100</v>
          </cell>
          <cell r="H1906">
            <v>54.34</v>
          </cell>
          <cell r="I1906">
            <v>0</v>
          </cell>
          <cell r="J1906">
            <v>54.34</v>
          </cell>
        </row>
        <row r="1907">
          <cell r="A1907" t="str">
            <v>LU1883334861</v>
          </cell>
          <cell r="B1907" t="str">
            <v>AMUNDI FUNDS GLOBAL SUBORDINATED BOND</v>
          </cell>
          <cell r="C1907" t="str">
            <v>Class M2 EUR (C)</v>
          </cell>
          <cell r="D1907" t="str">
            <v>EUR</v>
          </cell>
          <cell r="E1907" t="str">
            <v>03-Jan-2022</v>
          </cell>
          <cell r="F1907">
            <v>357604948.00999999</v>
          </cell>
          <cell r="G1907">
            <v>259144.891</v>
          </cell>
          <cell r="H1907">
            <v>1379.94</v>
          </cell>
          <cell r="I1907">
            <v>0</v>
          </cell>
          <cell r="J1907">
            <v>1379.94</v>
          </cell>
        </row>
        <row r="1908">
          <cell r="A1908" t="str">
            <v>LU1883334945</v>
          </cell>
          <cell r="B1908" t="str">
            <v>AMUNDI FUNDS GLOBAL SUBORDINATED BOND</v>
          </cell>
          <cell r="C1908" t="str">
            <v>Class M2 EUR QTD (D)</v>
          </cell>
          <cell r="D1908" t="str">
            <v>EUR</v>
          </cell>
          <cell r="E1908" t="str">
            <v>03-Jan-2022</v>
          </cell>
          <cell r="F1908">
            <v>91438463.109999999</v>
          </cell>
          <cell r="G1908">
            <v>79657.978000000003</v>
          </cell>
          <cell r="H1908">
            <v>1147.8900000000001</v>
          </cell>
          <cell r="I1908">
            <v>7.1506999999999996</v>
          </cell>
          <cell r="J1908">
            <v>1147.8900000000001</v>
          </cell>
        </row>
        <row r="1909">
          <cell r="A1909" t="str">
            <v>LU1883334358</v>
          </cell>
          <cell r="B1909" t="str">
            <v>AMUNDI FUNDS GLOBAL SUBORDINATED BOND</v>
          </cell>
          <cell r="C1909" t="str">
            <v>Class E2 EUR (C)</v>
          </cell>
          <cell r="D1909" t="str">
            <v>EUR</v>
          </cell>
          <cell r="E1909" t="str">
            <v>03-Jan-2022</v>
          </cell>
          <cell r="F1909">
            <v>181418810.96000001</v>
          </cell>
          <cell r="G1909">
            <v>27274414.666999999</v>
          </cell>
          <cell r="H1909">
            <v>6.6520000000000001</v>
          </cell>
          <cell r="I1909">
            <v>0</v>
          </cell>
          <cell r="J1909">
            <v>6.6520000000000001</v>
          </cell>
        </row>
        <row r="1910">
          <cell r="A1910" t="str">
            <v>LU2098276202</v>
          </cell>
          <cell r="B1910" t="str">
            <v>AMUNDI FUNDS GLOBAL SUBORDINATED BOND</v>
          </cell>
          <cell r="C1910" t="str">
            <v>Class H EUR (C)</v>
          </cell>
          <cell r="D1910" t="str">
            <v>EUR</v>
          </cell>
          <cell r="E1910" t="str">
            <v>03-Jan-2022</v>
          </cell>
          <cell r="F1910">
            <v>63862836.920000002</v>
          </cell>
          <cell r="G1910">
            <v>59190.364000000001</v>
          </cell>
          <cell r="H1910">
            <v>1078.94</v>
          </cell>
          <cell r="I1910">
            <v>0</v>
          </cell>
          <cell r="J1910">
            <v>1078.94</v>
          </cell>
        </row>
        <row r="1911">
          <cell r="A1911" t="str">
            <v>LU1897308299</v>
          </cell>
          <cell r="B1911" t="str">
            <v>AMUNDI FUNDS GLOBAL SUBORDINATED BOND</v>
          </cell>
          <cell r="C1911" t="str">
            <v>Class I2 GBP (C)</v>
          </cell>
          <cell r="D1911" t="str">
            <v>GBP</v>
          </cell>
          <cell r="E1911" t="str">
            <v>03-Jan-2022</v>
          </cell>
          <cell r="F1911">
            <v>5322.21</v>
          </cell>
          <cell r="G1911">
            <v>5</v>
          </cell>
          <cell r="H1911">
            <v>1064.44</v>
          </cell>
          <cell r="I1911">
            <v>0</v>
          </cell>
          <cell r="J1911">
            <v>1064.44</v>
          </cell>
        </row>
        <row r="1912">
          <cell r="A1912" t="str">
            <v>LU1883334606</v>
          </cell>
          <cell r="B1912" t="str">
            <v>AMUNDI FUNDS GLOBAL SUBORDINATED BOND</v>
          </cell>
          <cell r="C1912" t="str">
            <v>Class I2 EUR QD (D)</v>
          </cell>
          <cell r="D1912" t="str">
            <v>EUR</v>
          </cell>
          <cell r="E1912" t="str">
            <v>03-Jan-2022</v>
          </cell>
          <cell r="F1912">
            <v>25585345.420000002</v>
          </cell>
          <cell r="G1912">
            <v>23412.674999999999</v>
          </cell>
          <cell r="H1912">
            <v>1092.8</v>
          </cell>
          <cell r="I1912">
            <v>0</v>
          </cell>
          <cell r="J1912">
            <v>1092.8</v>
          </cell>
        </row>
        <row r="1913">
          <cell r="A1913" t="str">
            <v>LU1883334432</v>
          </cell>
          <cell r="B1913" t="str">
            <v>AMUNDI FUNDS GLOBAL SUBORDINATED BOND</v>
          </cell>
          <cell r="C1913" t="str">
            <v>Class E2 EUR QTD (D)</v>
          </cell>
          <cell r="D1913" t="str">
            <v>EUR</v>
          </cell>
          <cell r="E1913" t="str">
            <v>03-Jan-2022</v>
          </cell>
          <cell r="F1913">
            <v>151287005.94</v>
          </cell>
          <cell r="G1913">
            <v>26830450.923999999</v>
          </cell>
          <cell r="H1913">
            <v>5.6390000000000002</v>
          </cell>
          <cell r="I1913">
            <v>3.5400000000000001E-2</v>
          </cell>
          <cell r="J1913">
            <v>5.6390000000000002</v>
          </cell>
        </row>
        <row r="1914">
          <cell r="A1914" t="str">
            <v>LU2085676083</v>
          </cell>
          <cell r="B1914" t="str">
            <v>AMUNDI FUNDS GLOBAL SUBORDINATED BOND</v>
          </cell>
          <cell r="C1914" t="str">
            <v>Class I2 USD Hgd (C)</v>
          </cell>
          <cell r="D1914" t="str">
            <v>USD</v>
          </cell>
          <cell r="E1914" t="str">
            <v>03-Jan-2022</v>
          </cell>
          <cell r="F1914">
            <v>301866.88</v>
          </cell>
          <cell r="G1914">
            <v>274.06200000000001</v>
          </cell>
          <cell r="H1914">
            <v>1101.45</v>
          </cell>
          <cell r="I1914">
            <v>0</v>
          </cell>
          <cell r="J1914">
            <v>1101.45</v>
          </cell>
        </row>
        <row r="1915">
          <cell r="A1915" t="str">
            <v>LU1883334515</v>
          </cell>
          <cell r="B1915" t="str">
            <v>AMUNDI FUNDS GLOBAL SUBORDINATED BOND</v>
          </cell>
          <cell r="C1915" t="str">
            <v>Class I2 EUR (C)</v>
          </cell>
          <cell r="D1915" t="str">
            <v>EUR</v>
          </cell>
          <cell r="E1915" t="str">
            <v>03-Jan-2022</v>
          </cell>
          <cell r="F1915">
            <v>163092182.62</v>
          </cell>
          <cell r="G1915">
            <v>118704.53200000001</v>
          </cell>
          <cell r="H1915">
            <v>1373.93</v>
          </cell>
          <cell r="I1915">
            <v>0</v>
          </cell>
          <cell r="J1915">
            <v>1373.93</v>
          </cell>
        </row>
        <row r="1916">
          <cell r="A1916" t="str">
            <v>LU2085675945</v>
          </cell>
          <cell r="B1916" t="str">
            <v>AMUNDI FUNDS GLOBAL SUBORDINATED BOND</v>
          </cell>
          <cell r="C1916" t="str">
            <v>Class I USD Hgd (C)</v>
          </cell>
          <cell r="D1916" t="str">
            <v>USD</v>
          </cell>
          <cell r="E1916" t="str">
            <v>03-Jan-2022</v>
          </cell>
          <cell r="F1916">
            <v>109757.19</v>
          </cell>
          <cell r="G1916">
            <v>100</v>
          </cell>
          <cell r="H1916">
            <v>1097.57</v>
          </cell>
          <cell r="I1916">
            <v>0</v>
          </cell>
          <cell r="J1916">
            <v>1097.57</v>
          </cell>
        </row>
        <row r="1917">
          <cell r="A1917" t="str">
            <v>LU2132230629</v>
          </cell>
          <cell r="B1917" t="str">
            <v>AMUNDI FUNDS GLOBAL SUBORDINATED BOND</v>
          </cell>
          <cell r="C1917" t="str">
            <v>Class I2 GBP Hgd (C)</v>
          </cell>
          <cell r="D1917" t="str">
            <v>GBP</v>
          </cell>
          <cell r="E1917" t="str">
            <v>03-Jan-2022</v>
          </cell>
          <cell r="F1917">
            <v>229262.73</v>
          </cell>
          <cell r="G1917">
            <v>170.06399999999999</v>
          </cell>
          <cell r="H1917">
            <v>1348.1</v>
          </cell>
          <cell r="I1917">
            <v>0</v>
          </cell>
          <cell r="J1917">
            <v>1348.1</v>
          </cell>
        </row>
        <row r="1918">
          <cell r="A1918" t="str">
            <v>LU1883334788</v>
          </cell>
          <cell r="B1918" t="str">
            <v>AMUNDI FUNDS GLOBAL SUBORDINATED BOND</v>
          </cell>
          <cell r="C1918" t="str">
            <v>Class Q-J2 EUR AD (D)</v>
          </cell>
          <cell r="D1918" t="str">
            <v>EUR</v>
          </cell>
          <cell r="E1918" t="str">
            <v>03-Jan-2022</v>
          </cell>
          <cell r="F1918">
            <v>5499.69</v>
          </cell>
          <cell r="G1918">
            <v>5.1120000000000001</v>
          </cell>
          <cell r="H1918">
            <v>1075.8399999999999</v>
          </cell>
          <cell r="I1918">
            <v>0</v>
          </cell>
          <cell r="J1918">
            <v>1075.8399999999999</v>
          </cell>
        </row>
        <row r="1919">
          <cell r="A1919" t="str">
            <v>LU2237439273</v>
          </cell>
          <cell r="B1919" t="str">
            <v>AMUNDI FUNDS GLOBAL SUBORDINATED BOND</v>
          </cell>
          <cell r="C1919" t="str">
            <v>Class J4 EUR QTD (D)</v>
          </cell>
          <cell r="D1919" t="str">
            <v>EUR</v>
          </cell>
          <cell r="E1919" t="str">
            <v>03-Jan-2022</v>
          </cell>
          <cell r="F1919">
            <v>108549482.06</v>
          </cell>
          <cell r="G1919">
            <v>101207</v>
          </cell>
          <cell r="H1919">
            <v>1072.55</v>
          </cell>
          <cell r="I1919">
            <v>6.6504000000000003</v>
          </cell>
          <cell r="J1919">
            <v>1072.55</v>
          </cell>
        </row>
        <row r="1920">
          <cell r="A1920" t="str">
            <v>LU2085676752</v>
          </cell>
          <cell r="B1920" t="str">
            <v>AMUNDI FUNDS GLOBAL SUBORDINATED BOND</v>
          </cell>
          <cell r="C1920" t="str">
            <v>Class G EUR (C)</v>
          </cell>
          <cell r="D1920" t="str">
            <v>EUR</v>
          </cell>
          <cell r="E1920" t="str">
            <v>03-Jan-2022</v>
          </cell>
          <cell r="F1920">
            <v>26331639.309999999</v>
          </cell>
          <cell r="G1920">
            <v>5011048.5870000003</v>
          </cell>
          <cell r="H1920">
            <v>5.2549999999999999</v>
          </cell>
          <cell r="I1920">
            <v>0</v>
          </cell>
          <cell r="J1920">
            <v>5.2549999999999999</v>
          </cell>
        </row>
        <row r="1921">
          <cell r="A1921" t="str">
            <v>LU2085676836</v>
          </cell>
          <cell r="B1921" t="str">
            <v>AMUNDI FUNDS GLOBAL SUBORDINATED BOND</v>
          </cell>
          <cell r="C1921" t="str">
            <v>Class G EUR QTD (D)</v>
          </cell>
          <cell r="D1921" t="str">
            <v>EUR</v>
          </cell>
          <cell r="E1921" t="str">
            <v>03-Jan-2022</v>
          </cell>
          <cell r="F1921">
            <v>27428123.030000001</v>
          </cell>
          <cell r="G1921">
            <v>5483050.4340000004</v>
          </cell>
          <cell r="H1921">
            <v>5.0019999999999998</v>
          </cell>
          <cell r="I1921">
            <v>3.15E-2</v>
          </cell>
          <cell r="J1921">
            <v>5.0019999999999998</v>
          </cell>
        </row>
        <row r="1922">
          <cell r="A1922" t="str">
            <v>LU1883335082</v>
          </cell>
          <cell r="B1922" t="str">
            <v>AMUNDI FUNDS GLOBAL SUBORDINATED BOND</v>
          </cell>
          <cell r="C1922" t="str">
            <v>Class R2 EUR (C)</v>
          </cell>
          <cell r="D1922" t="str">
            <v>EUR</v>
          </cell>
          <cell r="E1922" t="str">
            <v>03-Jan-2022</v>
          </cell>
          <cell r="F1922">
            <v>180543496.25</v>
          </cell>
          <cell r="G1922">
            <v>3096761.4509999999</v>
          </cell>
          <cell r="H1922">
            <v>58.3</v>
          </cell>
          <cell r="I1922">
            <v>0</v>
          </cell>
          <cell r="J1922">
            <v>58.3</v>
          </cell>
        </row>
        <row r="1923">
          <cell r="A1923" t="str">
            <v>LU2259109440</v>
          </cell>
          <cell r="B1923" t="str">
            <v>AMUNDI FUNDS GLOBAL SUBORDINATED BOND</v>
          </cell>
          <cell r="C1923" t="str">
            <v>Class R3 GBP Hgd (C)</v>
          </cell>
          <cell r="D1923" t="str">
            <v>GBP</v>
          </cell>
          <cell r="E1923" t="str">
            <v>03-Jan-2022</v>
          </cell>
          <cell r="F1923">
            <v>104692.92</v>
          </cell>
          <cell r="G1923">
            <v>10009.799999999999</v>
          </cell>
          <cell r="H1923">
            <v>10.46</v>
          </cell>
          <cell r="I1923">
            <v>0</v>
          </cell>
          <cell r="J1923">
            <v>10.46</v>
          </cell>
        </row>
        <row r="1924">
          <cell r="A1924" t="str">
            <v>LU2085675432</v>
          </cell>
          <cell r="B1924" t="str">
            <v>AMUNDI FUNDS GLOBAL SUBORDINATED BOND</v>
          </cell>
          <cell r="C1924" t="str">
            <v>Class Z EUR QD (D)</v>
          </cell>
          <cell r="D1924" t="str">
            <v>EUR</v>
          </cell>
          <cell r="E1924" t="str">
            <v>03-Jan-2022</v>
          </cell>
          <cell r="F1924">
            <v>50759715.380000003</v>
          </cell>
          <cell r="G1924">
            <v>50668.815999999999</v>
          </cell>
          <cell r="H1924">
            <v>1001.79</v>
          </cell>
          <cell r="I1924">
            <v>0</v>
          </cell>
          <cell r="J1924">
            <v>1001.79</v>
          </cell>
        </row>
        <row r="1925">
          <cell r="A1925" t="str">
            <v>LU1998915703</v>
          </cell>
          <cell r="B1925" t="str">
            <v>AMUNDI FUNDS GLOBAL SUBORDINATED BOND</v>
          </cell>
          <cell r="C1925" t="str">
            <v>Class H EUR QTD (D)</v>
          </cell>
          <cell r="D1925" t="str">
            <v>EUR</v>
          </cell>
          <cell r="E1925" t="str">
            <v>03-Jan-2022</v>
          </cell>
          <cell r="F1925">
            <v>25656085.760000002</v>
          </cell>
          <cell r="G1925">
            <v>24161.532999999999</v>
          </cell>
          <cell r="H1925">
            <v>1061.8599999999999</v>
          </cell>
          <cell r="I1925">
            <v>6.5814000000000004</v>
          </cell>
          <cell r="J1925">
            <v>1061.8599999999999</v>
          </cell>
        </row>
        <row r="1926">
          <cell r="A1926" t="str">
            <v>LU1883339233</v>
          </cell>
          <cell r="B1926" t="str">
            <v>AMUNDI FUNDS OPTIMAL YIELD SHORT TERM</v>
          </cell>
          <cell r="C1926" t="str">
            <v>Class A EUR (C)</v>
          </cell>
          <cell r="D1926" t="str">
            <v>EUR</v>
          </cell>
          <cell r="E1926" t="str">
            <v>03-Jan-2022</v>
          </cell>
          <cell r="F1926">
            <v>5311.08</v>
          </cell>
          <cell r="G1926">
            <v>100</v>
          </cell>
          <cell r="H1926">
            <v>53.11</v>
          </cell>
          <cell r="I1926">
            <v>0</v>
          </cell>
          <cell r="J1926">
            <v>53.11</v>
          </cell>
        </row>
        <row r="1927">
          <cell r="A1927" t="str">
            <v>LU1883339829</v>
          </cell>
          <cell r="B1927" t="str">
            <v>AMUNDI FUNDS OPTIMAL YIELD SHORT TERM</v>
          </cell>
          <cell r="C1927" t="str">
            <v>Class M2 EUR (C)</v>
          </cell>
          <cell r="D1927" t="str">
            <v>EUR</v>
          </cell>
          <cell r="E1927" t="str">
            <v>03-Jan-2022</v>
          </cell>
          <cell r="F1927">
            <v>33371392.760000002</v>
          </cell>
          <cell r="G1927">
            <v>30661.781999999999</v>
          </cell>
          <cell r="H1927">
            <v>1088.3699999999999</v>
          </cell>
          <cell r="I1927">
            <v>0</v>
          </cell>
          <cell r="J1927">
            <v>1088.3699999999999</v>
          </cell>
        </row>
        <row r="1928">
          <cell r="A1928" t="str">
            <v>LU1883340082</v>
          </cell>
          <cell r="B1928" t="str">
            <v>AMUNDI FUNDS OPTIMAL YIELD SHORT TERM</v>
          </cell>
          <cell r="C1928" t="str">
            <v>Class M2 EUR QTD (D)</v>
          </cell>
          <cell r="D1928" t="str">
            <v>EUR</v>
          </cell>
          <cell r="E1928" t="str">
            <v>03-Jan-2022</v>
          </cell>
          <cell r="F1928">
            <v>4992.6400000000003</v>
          </cell>
          <cell r="G1928">
            <v>5.1120000000000001</v>
          </cell>
          <cell r="H1928">
            <v>976.65</v>
          </cell>
          <cell r="I1928">
            <v>6.2241</v>
          </cell>
          <cell r="J1928">
            <v>976.65</v>
          </cell>
        </row>
        <row r="1929">
          <cell r="A1929" t="str">
            <v>LU1883339316</v>
          </cell>
          <cell r="B1929" t="str">
            <v>AMUNDI FUNDS OPTIMAL YIELD SHORT TERM</v>
          </cell>
          <cell r="C1929" t="str">
            <v>Class E2 EUR (C)</v>
          </cell>
          <cell r="D1929" t="str">
            <v>EUR</v>
          </cell>
          <cell r="E1929" t="str">
            <v>03-Jan-2022</v>
          </cell>
          <cell r="F1929">
            <v>186200423.43000001</v>
          </cell>
          <cell r="G1929">
            <v>35047511.131999999</v>
          </cell>
          <cell r="H1929">
            <v>5.3129999999999997</v>
          </cell>
          <cell r="I1929">
            <v>0</v>
          </cell>
          <cell r="J1929">
            <v>5.3129999999999997</v>
          </cell>
        </row>
        <row r="1930">
          <cell r="A1930" t="str">
            <v>LU1883339589</v>
          </cell>
          <cell r="B1930" t="str">
            <v>AMUNDI FUNDS OPTIMAL YIELD SHORT TERM</v>
          </cell>
          <cell r="C1930" t="str">
            <v>Class F EUR (C)</v>
          </cell>
          <cell r="D1930" t="str">
            <v>EUR</v>
          </cell>
          <cell r="E1930" t="str">
            <v>03-Jan-2022</v>
          </cell>
          <cell r="F1930">
            <v>22005402.219999999</v>
          </cell>
          <cell r="G1930">
            <v>4237262.4390000002</v>
          </cell>
          <cell r="H1930">
            <v>5.1929999999999996</v>
          </cell>
          <cell r="I1930">
            <v>0</v>
          </cell>
          <cell r="J1930">
            <v>5.1929999999999996</v>
          </cell>
        </row>
        <row r="1931">
          <cell r="A1931" t="str">
            <v>LU1883339662</v>
          </cell>
          <cell r="B1931" t="str">
            <v>AMUNDI FUNDS OPTIMAL YIELD SHORT TERM</v>
          </cell>
          <cell r="C1931" t="str">
            <v>Class F EUR QTD (D)</v>
          </cell>
          <cell r="D1931" t="str">
            <v>EUR</v>
          </cell>
          <cell r="E1931" t="str">
            <v>03-Jan-2022</v>
          </cell>
          <cell r="F1931">
            <v>11287733.75</v>
          </cell>
          <cell r="G1931">
            <v>2367012.3879999998</v>
          </cell>
          <cell r="H1931">
            <v>4.7690000000000001</v>
          </cell>
          <cell r="I1931">
            <v>3.0700000000000002E-2</v>
          </cell>
          <cell r="J1931">
            <v>4.7690000000000001</v>
          </cell>
        </row>
        <row r="1932">
          <cell r="A1932" t="str">
            <v>LU1883339407</v>
          </cell>
          <cell r="B1932" t="str">
            <v>AMUNDI FUNDS OPTIMAL YIELD SHORT TERM</v>
          </cell>
          <cell r="C1932" t="str">
            <v>Class E2 EUR QTD (D)</v>
          </cell>
          <cell r="D1932" t="str">
            <v>EUR</v>
          </cell>
          <cell r="E1932" t="str">
            <v>03-Jan-2022</v>
          </cell>
          <cell r="F1932">
            <v>122913065.15000001</v>
          </cell>
          <cell r="G1932">
            <v>25503107.107000001</v>
          </cell>
          <cell r="H1932">
            <v>4.82</v>
          </cell>
          <cell r="I1932">
            <v>3.09E-2</v>
          </cell>
          <cell r="J1932">
            <v>4.82</v>
          </cell>
        </row>
        <row r="1933">
          <cell r="A1933" t="str">
            <v>LU1883339746</v>
          </cell>
          <cell r="B1933" t="str">
            <v>AMUNDI FUNDS OPTIMAL YIELD SHORT TERM</v>
          </cell>
          <cell r="C1933" t="str">
            <v>Class I2 EUR (C)</v>
          </cell>
          <cell r="D1933" t="str">
            <v>EUR</v>
          </cell>
          <cell r="E1933" t="str">
            <v>03-Jan-2022</v>
          </cell>
          <cell r="F1933">
            <v>3899293.99</v>
          </cell>
          <cell r="G1933">
            <v>3559.9630000000002</v>
          </cell>
          <cell r="H1933">
            <v>1095.32</v>
          </cell>
          <cell r="I1933">
            <v>0</v>
          </cell>
          <cell r="J1933">
            <v>1095.32</v>
          </cell>
        </row>
        <row r="1934">
          <cell r="A1934" t="str">
            <v>LU1894680245</v>
          </cell>
          <cell r="B1934" t="str">
            <v>AMUNDI FUNDS OPTIMAL YIELD SHORT TERM</v>
          </cell>
          <cell r="C1934" t="str">
            <v>Class G EUR AD (D)</v>
          </cell>
          <cell r="D1934" t="str">
            <v>EUR</v>
          </cell>
          <cell r="E1934" t="str">
            <v>03-Jan-2022</v>
          </cell>
          <cell r="F1934">
            <v>8698573.5600000005</v>
          </cell>
          <cell r="G1934">
            <v>1775033.6440000001</v>
          </cell>
          <cell r="H1934">
            <v>4.9009999999999998</v>
          </cell>
          <cell r="I1934">
            <v>0</v>
          </cell>
          <cell r="J1934">
            <v>4.9009999999999998</v>
          </cell>
        </row>
        <row r="1935">
          <cell r="A1935" t="str">
            <v>LU1894680161</v>
          </cell>
          <cell r="B1935" t="str">
            <v>AMUNDI FUNDS OPTIMAL YIELD SHORT TERM</v>
          </cell>
          <cell r="C1935" t="str">
            <v>Class G EUR (C)</v>
          </cell>
          <cell r="D1935" t="str">
            <v>EUR</v>
          </cell>
          <cell r="E1935" t="str">
            <v>03-Jan-2022</v>
          </cell>
          <cell r="F1935">
            <v>50228105.600000001</v>
          </cell>
          <cell r="G1935">
            <v>9582293.8530000001</v>
          </cell>
          <cell r="H1935">
            <v>5.242</v>
          </cell>
          <cell r="I1935">
            <v>0</v>
          </cell>
          <cell r="J1935">
            <v>5.242</v>
          </cell>
        </row>
        <row r="1936">
          <cell r="A1936" t="str">
            <v>LU1883340165</v>
          </cell>
          <cell r="B1936" t="str">
            <v>AMUNDI FUNDS OPTIMAL YIELD SHORT TERM</v>
          </cell>
          <cell r="C1936" t="str">
            <v>Class R2 EUR (C)</v>
          </cell>
          <cell r="D1936" t="str">
            <v>EUR</v>
          </cell>
          <cell r="E1936" t="str">
            <v>03-Jan-2022</v>
          </cell>
          <cell r="F1936">
            <v>5290.59</v>
          </cell>
          <cell r="G1936">
            <v>100.54600000000001</v>
          </cell>
          <cell r="H1936">
            <v>52.62</v>
          </cell>
          <cell r="I1936">
            <v>0</v>
          </cell>
          <cell r="J1936">
            <v>52.62</v>
          </cell>
        </row>
        <row r="1937">
          <cell r="A1937" t="str">
            <v>LU1882475046</v>
          </cell>
          <cell r="B1937" t="str">
            <v>AMUNDI FUNDS EURO MULTI-ASSET TARGET INCOME</v>
          </cell>
          <cell r="C1937" t="str">
            <v>Class A2 CZK Hgd (C)</v>
          </cell>
          <cell r="D1937" t="str">
            <v>CZK</v>
          </cell>
          <cell r="E1937" t="str">
            <v>03-Jan-2022</v>
          </cell>
          <cell r="F1937">
            <v>10923204.619999999</v>
          </cell>
          <cell r="G1937">
            <v>9039.0110000000004</v>
          </cell>
          <cell r="H1937">
            <v>1208.45</v>
          </cell>
          <cell r="I1937">
            <v>0</v>
          </cell>
          <cell r="J1937">
            <v>1208.45</v>
          </cell>
        </row>
        <row r="1938">
          <cell r="A1938" t="str">
            <v>LU1882475129</v>
          </cell>
          <cell r="B1938" t="str">
            <v>AMUNDI FUNDS EURO MULTI-ASSET TARGET INCOME</v>
          </cell>
          <cell r="C1938" t="str">
            <v>Class A2 CZK Hgd QTI (D)</v>
          </cell>
          <cell r="D1938" t="str">
            <v>CZK</v>
          </cell>
          <cell r="E1938" t="str">
            <v>03-Jan-2022</v>
          </cell>
          <cell r="F1938">
            <v>66068686.5</v>
          </cell>
          <cell r="G1938">
            <v>59939.591999999997</v>
          </cell>
          <cell r="H1938">
            <v>1102.25</v>
          </cell>
          <cell r="I1938">
            <v>0</v>
          </cell>
          <cell r="J1938">
            <v>1102.25</v>
          </cell>
        </row>
        <row r="1939">
          <cell r="A1939" t="str">
            <v>LU1882475392</v>
          </cell>
          <cell r="B1939" t="str">
            <v>AMUNDI FUNDS EURO MULTI-ASSET TARGET INCOME</v>
          </cell>
          <cell r="C1939" t="str">
            <v>Class A2 EUR (C)</v>
          </cell>
          <cell r="D1939" t="str">
            <v>EUR</v>
          </cell>
          <cell r="E1939" t="str">
            <v>03-Jan-2022</v>
          </cell>
          <cell r="F1939">
            <v>2572449.86</v>
          </cell>
          <cell r="G1939">
            <v>44236.300999999999</v>
          </cell>
          <cell r="H1939">
            <v>58.15</v>
          </cell>
          <cell r="I1939">
            <v>0</v>
          </cell>
          <cell r="J1939">
            <v>58.15</v>
          </cell>
        </row>
        <row r="1940">
          <cell r="A1940" t="str">
            <v>LU1882475558</v>
          </cell>
          <cell r="B1940" t="str">
            <v>AMUNDI FUNDS EURO MULTI-ASSET TARGET INCOME</v>
          </cell>
          <cell r="C1940" t="str">
            <v>Class E2 EUR QTI (D)</v>
          </cell>
          <cell r="D1940" t="str">
            <v>EUR</v>
          </cell>
          <cell r="E1940" t="str">
            <v>03-Jan-2022</v>
          </cell>
          <cell r="F1940">
            <v>246770560.16999999</v>
          </cell>
          <cell r="G1940">
            <v>48668357.068999998</v>
          </cell>
          <cell r="H1940">
            <v>5.07</v>
          </cell>
          <cell r="I1940">
            <v>0</v>
          </cell>
          <cell r="J1940">
            <v>5.07</v>
          </cell>
        </row>
        <row r="1941">
          <cell r="A1941" t="str">
            <v>LU1882475715</v>
          </cell>
          <cell r="B1941" t="str">
            <v>AMUNDI FUNDS EURO MULTI-ASSET TARGET INCOME</v>
          </cell>
          <cell r="C1941" t="str">
            <v>Class M2 EUR QTI (D)</v>
          </cell>
          <cell r="D1941" t="str">
            <v>EUR</v>
          </cell>
          <cell r="E1941" t="str">
            <v>03-Jan-2022</v>
          </cell>
          <cell r="F1941">
            <v>14327933.810000001</v>
          </cell>
          <cell r="G1941">
            <v>13634.084000000001</v>
          </cell>
          <cell r="H1941">
            <v>1050.8900000000001</v>
          </cell>
          <cell r="I1941">
            <v>0</v>
          </cell>
          <cell r="J1941">
            <v>1050.8900000000001</v>
          </cell>
        </row>
        <row r="1942">
          <cell r="A1942" t="str">
            <v>LU2347634664</v>
          </cell>
          <cell r="B1942" t="str">
            <v>AMUNDI FUNDS EURO MULTI-ASSET TARGET INCOME</v>
          </cell>
          <cell r="C1942" t="str">
            <v>Class I2 EUR QTI (D)</v>
          </cell>
          <cell r="D1942" t="str">
            <v>EUR</v>
          </cell>
          <cell r="E1942" t="str">
            <v>03-Jan-2022</v>
          </cell>
          <cell r="F1942">
            <v>5124.99</v>
          </cell>
          <cell r="G1942">
            <v>5</v>
          </cell>
          <cell r="H1942">
            <v>1025</v>
          </cell>
          <cell r="I1942">
            <v>0</v>
          </cell>
          <cell r="J1942">
            <v>1025</v>
          </cell>
        </row>
        <row r="1943">
          <cell r="A1943" t="str">
            <v>LU1882475632</v>
          </cell>
          <cell r="B1943" t="str">
            <v>AMUNDI FUNDS EURO MULTI-ASSET TARGET INCOME</v>
          </cell>
          <cell r="C1943" t="str">
            <v>Class G2 EUR QTI (D)</v>
          </cell>
          <cell r="D1943" t="str">
            <v>EUR</v>
          </cell>
          <cell r="E1943" t="str">
            <v>03-Jan-2022</v>
          </cell>
          <cell r="F1943">
            <v>391154339.38999999</v>
          </cell>
          <cell r="G1943">
            <v>77898085.003999993</v>
          </cell>
          <cell r="H1943">
            <v>5.0209999999999999</v>
          </cell>
          <cell r="I1943">
            <v>0</v>
          </cell>
          <cell r="J1943">
            <v>5.0209999999999999</v>
          </cell>
        </row>
        <row r="1944">
          <cell r="A1944" t="str">
            <v>LU1882475475</v>
          </cell>
          <cell r="B1944" t="str">
            <v>AMUNDI FUNDS EURO MULTI-ASSET TARGET INCOME</v>
          </cell>
          <cell r="C1944" t="str">
            <v>Class A2 EUR QTI (D)</v>
          </cell>
          <cell r="D1944" t="str">
            <v>EUR</v>
          </cell>
          <cell r="E1944" t="str">
            <v>03-Jan-2022</v>
          </cell>
          <cell r="F1944">
            <v>1983005.46</v>
          </cell>
          <cell r="G1944">
            <v>37404.534</v>
          </cell>
          <cell r="H1944">
            <v>53.02</v>
          </cell>
          <cell r="I1944">
            <v>0</v>
          </cell>
          <cell r="J1944">
            <v>53.02</v>
          </cell>
        </row>
        <row r="1945">
          <cell r="A1945" t="str">
            <v>LU1894677027</v>
          </cell>
          <cell r="B1945" t="str">
            <v>AMUNDI FUNDS ABSOLUTE RETURN GL OPPORTUNITIES BOND</v>
          </cell>
          <cell r="C1945" t="str">
            <v>Class A EUR (C)</v>
          </cell>
          <cell r="D1945" t="str">
            <v>EUR</v>
          </cell>
          <cell r="E1945" t="str">
            <v>03-Jan-2022</v>
          </cell>
          <cell r="F1945">
            <v>29584013.399999999</v>
          </cell>
          <cell r="G1945">
            <v>586115.05099999998</v>
          </cell>
          <cell r="H1945">
            <v>50.47</v>
          </cell>
          <cell r="I1945">
            <v>0</v>
          </cell>
          <cell r="J1945">
            <v>52.74</v>
          </cell>
        </row>
        <row r="1946">
          <cell r="A1946" t="str">
            <v>LU1894677373</v>
          </cell>
          <cell r="B1946" t="str">
            <v>AMUNDI FUNDS ABSOLUTE RETURN GL OPPORTUNITIES BOND</v>
          </cell>
          <cell r="C1946" t="str">
            <v>Class A CZK Hgd (C)</v>
          </cell>
          <cell r="D1946" t="str">
            <v>CZK</v>
          </cell>
          <cell r="E1946" t="str">
            <v>03-Jan-2022</v>
          </cell>
          <cell r="F1946">
            <v>30318279.370000001</v>
          </cell>
          <cell r="G1946">
            <v>27921.261999999999</v>
          </cell>
          <cell r="H1946">
            <v>1085.8499999999999</v>
          </cell>
          <cell r="I1946">
            <v>0</v>
          </cell>
          <cell r="J1946">
            <v>1085.8499999999999</v>
          </cell>
        </row>
        <row r="1947">
          <cell r="A1947" t="str">
            <v>LU1894677290</v>
          </cell>
          <cell r="B1947" t="str">
            <v>AMUNDI FUNDS ABSOLUTE RETURN GL OPPORTUNITIES BOND</v>
          </cell>
          <cell r="C1947" t="str">
            <v>Class A USD (C)</v>
          </cell>
          <cell r="D1947" t="str">
            <v>USD</v>
          </cell>
          <cell r="E1947" t="str">
            <v>03-Jan-2022</v>
          </cell>
          <cell r="F1947">
            <v>329151.98</v>
          </cell>
          <cell r="G1947">
            <v>5775.1350000000002</v>
          </cell>
          <cell r="H1947">
            <v>56.99</v>
          </cell>
          <cell r="I1947">
            <v>0</v>
          </cell>
          <cell r="J1947">
            <v>56.99</v>
          </cell>
        </row>
        <row r="1948">
          <cell r="A1948" t="str">
            <v>LU1894678694</v>
          </cell>
          <cell r="B1948" t="str">
            <v>AMUNDI FUNDS ABSOLUTE RETURN GL OPPORTUNITIES BOND</v>
          </cell>
          <cell r="C1948" t="str">
            <v>Class M2 EUR (C)</v>
          </cell>
          <cell r="D1948" t="str">
            <v>EUR</v>
          </cell>
          <cell r="E1948" t="str">
            <v>03-Jan-2022</v>
          </cell>
          <cell r="F1948">
            <v>73901142.590000004</v>
          </cell>
          <cell r="G1948">
            <v>71086.407999999996</v>
          </cell>
          <cell r="H1948">
            <v>1039.5999999999999</v>
          </cell>
          <cell r="I1948">
            <v>0</v>
          </cell>
          <cell r="J1948">
            <v>1039.5999999999999</v>
          </cell>
        </row>
        <row r="1949">
          <cell r="A1949" t="str">
            <v>LU1894677613</v>
          </cell>
          <cell r="B1949" t="str">
            <v>AMUNDI FUNDS ABSOLUTE RETURN GL OPPORTUNITIES BOND</v>
          </cell>
          <cell r="C1949" t="str">
            <v>Class C EUR (C)</v>
          </cell>
          <cell r="D1949" t="str">
            <v>EUR</v>
          </cell>
          <cell r="E1949" t="str">
            <v>03-Jan-2022</v>
          </cell>
          <cell r="F1949">
            <v>162521.67000000001</v>
          </cell>
          <cell r="G1949">
            <v>3177.8679999999999</v>
          </cell>
          <cell r="H1949">
            <v>51.14</v>
          </cell>
          <cell r="I1949">
            <v>0</v>
          </cell>
          <cell r="J1949">
            <v>51.14</v>
          </cell>
        </row>
        <row r="1950">
          <cell r="A1950" t="str">
            <v>LU1894677704</v>
          </cell>
          <cell r="B1950" t="str">
            <v>AMUNDI FUNDS ABSOLUTE RETURN GL OPPORTUNITIES BOND</v>
          </cell>
          <cell r="C1950" t="str">
            <v>Class C EUR MD (D)</v>
          </cell>
          <cell r="D1950" t="str">
            <v>EUR</v>
          </cell>
          <cell r="E1950" t="str">
            <v>03-Jan-2022</v>
          </cell>
          <cell r="F1950">
            <v>5047</v>
          </cell>
          <cell r="G1950">
            <v>98.704999999999998</v>
          </cell>
          <cell r="H1950">
            <v>51.13</v>
          </cell>
          <cell r="I1950">
            <v>0</v>
          </cell>
          <cell r="J1950">
            <v>51.13</v>
          </cell>
        </row>
        <row r="1951">
          <cell r="A1951" t="str">
            <v>LU1894677886</v>
          </cell>
          <cell r="B1951" t="str">
            <v>AMUNDI FUNDS ABSOLUTE RETURN GL OPPORTUNITIES BOND</v>
          </cell>
          <cell r="C1951" t="str">
            <v>Class C USD (C)</v>
          </cell>
          <cell r="D1951" t="str">
            <v>USD</v>
          </cell>
          <cell r="E1951" t="str">
            <v>03-Jan-2022</v>
          </cell>
          <cell r="F1951">
            <v>175068.64</v>
          </cell>
          <cell r="G1951">
            <v>3031.029</v>
          </cell>
          <cell r="H1951">
            <v>57.76</v>
          </cell>
          <cell r="I1951">
            <v>0</v>
          </cell>
          <cell r="J1951">
            <v>57.76</v>
          </cell>
        </row>
        <row r="1952">
          <cell r="A1952" t="str">
            <v>LU1894678009</v>
          </cell>
          <cell r="B1952" t="str">
            <v>AMUNDI FUNDS ABSOLUTE RETURN GL OPPORTUNITIES BOND</v>
          </cell>
          <cell r="C1952" t="str">
            <v>Class E2 EUR (C)</v>
          </cell>
          <cell r="D1952" t="str">
            <v>EUR</v>
          </cell>
          <cell r="E1952" t="str">
            <v>03-Jan-2022</v>
          </cell>
          <cell r="F1952">
            <v>54243422.200000003</v>
          </cell>
          <cell r="G1952">
            <v>10662612.643999999</v>
          </cell>
          <cell r="H1952">
            <v>5.0869999999999997</v>
          </cell>
          <cell r="I1952">
            <v>0</v>
          </cell>
          <cell r="J1952">
            <v>5.0869999999999997</v>
          </cell>
        </row>
        <row r="1953">
          <cell r="A1953" t="str">
            <v>LU1894678181</v>
          </cell>
          <cell r="B1953" t="str">
            <v>AMUNDI FUNDS ABSOLUTE RETURN GL OPPORTUNITIES BOND</v>
          </cell>
          <cell r="C1953" t="str">
            <v>Class F EUR (C)</v>
          </cell>
          <cell r="D1953" t="str">
            <v>EUR</v>
          </cell>
          <cell r="E1953" t="str">
            <v>03-Jan-2022</v>
          </cell>
          <cell r="F1953">
            <v>24210438.59</v>
          </cell>
          <cell r="G1953">
            <v>4700310.2120000003</v>
          </cell>
          <cell r="H1953">
            <v>5.1509999999999998</v>
          </cell>
          <cell r="I1953">
            <v>0</v>
          </cell>
          <cell r="J1953">
            <v>5.1509999999999998</v>
          </cell>
        </row>
        <row r="1954">
          <cell r="A1954" t="str">
            <v>LU1998914995</v>
          </cell>
          <cell r="B1954" t="str">
            <v>AMUNDI FUNDS ABSOLUTE RETURN GL OPPORTUNITIES BOND</v>
          </cell>
          <cell r="C1954" t="str">
            <v>Class H EUR (C)</v>
          </cell>
          <cell r="D1954" t="str">
            <v>EUR</v>
          </cell>
          <cell r="E1954" t="str">
            <v>03-Jan-2022</v>
          </cell>
          <cell r="F1954">
            <v>51693619.369999997</v>
          </cell>
          <cell r="G1954">
            <v>48464.470999999998</v>
          </cell>
          <cell r="H1954">
            <v>1066.6300000000001</v>
          </cell>
          <cell r="I1954">
            <v>0</v>
          </cell>
          <cell r="J1954">
            <v>1066.6300000000001</v>
          </cell>
        </row>
        <row r="1955">
          <cell r="A1955" t="str">
            <v>LU2339089752</v>
          </cell>
          <cell r="B1955" t="str">
            <v>AMUNDI FUNDS ABSOLUTE RETURN GL OPPORTUNITIES BOND</v>
          </cell>
          <cell r="C1955" t="str">
            <v>Class I2 EUR (C)</v>
          </cell>
          <cell r="D1955" t="str">
            <v>EUR</v>
          </cell>
          <cell r="E1955" t="str">
            <v>03-Jan-2022</v>
          </cell>
          <cell r="F1955">
            <v>5008.08</v>
          </cell>
          <cell r="G1955">
            <v>5</v>
          </cell>
          <cell r="H1955">
            <v>1001.62</v>
          </cell>
          <cell r="I1955">
            <v>0</v>
          </cell>
          <cell r="J1955">
            <v>1001.62</v>
          </cell>
        </row>
        <row r="1956">
          <cell r="A1956" t="str">
            <v>LU1894678264</v>
          </cell>
          <cell r="B1956" t="str">
            <v>AMUNDI FUNDS ABSOLUTE RETURN GL OPPORTUNITIES BOND</v>
          </cell>
          <cell r="C1956" t="str">
            <v>Class G EUR (C)</v>
          </cell>
          <cell r="D1956" t="str">
            <v>EUR</v>
          </cell>
          <cell r="E1956" t="str">
            <v>03-Jan-2022</v>
          </cell>
          <cell r="F1956">
            <v>6857482.8399999999</v>
          </cell>
          <cell r="G1956">
            <v>1321530.959</v>
          </cell>
          <cell r="H1956">
            <v>5.1890000000000001</v>
          </cell>
          <cell r="I1956">
            <v>0</v>
          </cell>
          <cell r="J1956">
            <v>5.1890000000000001</v>
          </cell>
        </row>
        <row r="1957">
          <cell r="A1957" t="str">
            <v>LU1837134698</v>
          </cell>
          <cell r="B1957" t="str">
            <v>AMUNDI FUNDS ABSOLUTE RETURN GL OPPORTUNITIES BOND</v>
          </cell>
          <cell r="C1957" t="str">
            <v>Class R EUR (C)</v>
          </cell>
          <cell r="D1957" t="str">
            <v>EUR</v>
          </cell>
          <cell r="E1957" t="str">
            <v>03-Jan-2022</v>
          </cell>
          <cell r="F1957">
            <v>1323062.31</v>
          </cell>
          <cell r="G1957">
            <v>24917.613000000001</v>
          </cell>
          <cell r="H1957">
            <v>53.1</v>
          </cell>
          <cell r="I1957">
            <v>0</v>
          </cell>
          <cell r="J1957">
            <v>53.1</v>
          </cell>
        </row>
        <row r="1958">
          <cell r="A1958" t="str">
            <v>LU1894678777</v>
          </cell>
          <cell r="B1958" t="str">
            <v>AMUNDI FUNDS ABSOLUTE RETURN GL OPPORTUNITIES BOND</v>
          </cell>
          <cell r="C1958" t="str">
            <v>Class R GBP (C)</v>
          </cell>
          <cell r="D1958" t="str">
            <v>GBP</v>
          </cell>
          <cell r="E1958" t="str">
            <v>03-Jan-2022</v>
          </cell>
          <cell r="F1958">
            <v>5084.7</v>
          </cell>
          <cell r="G1958">
            <v>113.999</v>
          </cell>
          <cell r="H1958">
            <v>44.6</v>
          </cell>
          <cell r="I1958">
            <v>0</v>
          </cell>
          <cell r="J1958">
            <v>44.6</v>
          </cell>
        </row>
        <row r="1959">
          <cell r="A1959" t="str">
            <v>LU1894678934</v>
          </cell>
          <cell r="B1959" t="str">
            <v>AMUNDI FUNDS ABSOLUTE RETURN GL OPPORTUNITIES BOND</v>
          </cell>
          <cell r="C1959" t="str">
            <v>Class SE EUR (C)</v>
          </cell>
          <cell r="D1959" t="str">
            <v>EUR</v>
          </cell>
          <cell r="E1959" t="str">
            <v>03-Jan-2022</v>
          </cell>
          <cell r="F1959">
            <v>5328.64</v>
          </cell>
          <cell r="G1959">
            <v>5</v>
          </cell>
          <cell r="H1959">
            <v>1065.73</v>
          </cell>
          <cell r="I1959">
            <v>0</v>
          </cell>
          <cell r="J1959">
            <v>1065.73</v>
          </cell>
        </row>
        <row r="1960">
          <cell r="A1960" t="str">
            <v>LU1894678348</v>
          </cell>
          <cell r="B1960" t="str">
            <v>AMUNDI FUNDS ABSOLUTE RETURN GL OPPORTUNITIES BOND</v>
          </cell>
          <cell r="C1960" t="str">
            <v>Class I EUR (C)</v>
          </cell>
          <cell r="D1960" t="str">
            <v>EUR</v>
          </cell>
          <cell r="E1960" t="str">
            <v>03-Jan-2022</v>
          </cell>
          <cell r="F1960">
            <v>22908506.789999999</v>
          </cell>
          <cell r="G1960">
            <v>22200.233</v>
          </cell>
          <cell r="H1960">
            <v>1031.9000000000001</v>
          </cell>
          <cell r="I1960">
            <v>0</v>
          </cell>
          <cell r="J1960">
            <v>1031.9000000000001</v>
          </cell>
        </row>
        <row r="1961">
          <cell r="A1961" t="str">
            <v>LU2040440237</v>
          </cell>
          <cell r="B1961" t="str">
            <v>AMUNDI FUNDS ABSOLUTE RETURN GL OPPORTUNITIES BOND</v>
          </cell>
          <cell r="C1961" t="str">
            <v>Class Z EUR (C)</v>
          </cell>
          <cell r="D1961" t="str">
            <v>EUR</v>
          </cell>
          <cell r="E1961" t="str">
            <v>03-Jan-2022</v>
          </cell>
          <cell r="F1961">
            <v>5672200.8499999996</v>
          </cell>
          <cell r="G1961">
            <v>5315.4269999999997</v>
          </cell>
          <cell r="H1961">
            <v>1067.1199999999999</v>
          </cell>
          <cell r="I1961">
            <v>0</v>
          </cell>
          <cell r="J1961">
            <v>1067.1199999999999</v>
          </cell>
        </row>
        <row r="1962">
          <cell r="A1962" t="str">
            <v>LU1883848118</v>
          </cell>
          <cell r="B1962" t="str">
            <v>AMUNDI FUNDS PIONEER US EQUITY DIVIDEND GROWTH</v>
          </cell>
          <cell r="C1962" t="str">
            <v>Class A USD (C)</v>
          </cell>
          <cell r="D1962" t="str">
            <v>USD</v>
          </cell>
          <cell r="E1962" t="str">
            <v>03-Jan-2022</v>
          </cell>
          <cell r="F1962">
            <v>369798292.77999997</v>
          </cell>
          <cell r="G1962">
            <v>5525810.4170000004</v>
          </cell>
          <cell r="H1962">
            <v>66.92</v>
          </cell>
          <cell r="I1962">
            <v>0</v>
          </cell>
          <cell r="J1962">
            <v>69.930000000000007</v>
          </cell>
        </row>
        <row r="1963">
          <cell r="A1963" t="str">
            <v>LU1883848209</v>
          </cell>
          <cell r="B1963" t="str">
            <v>AMUNDI FUNDS PIONEER US EQUITY DIVIDEND GROWTH</v>
          </cell>
          <cell r="C1963" t="str">
            <v>Class C USD (C)</v>
          </cell>
          <cell r="D1963" t="str">
            <v>USD</v>
          </cell>
          <cell r="E1963" t="str">
            <v>03-Jan-2022</v>
          </cell>
          <cell r="F1963">
            <v>6412.75</v>
          </cell>
          <cell r="G1963">
            <v>100</v>
          </cell>
          <cell r="H1963">
            <v>64.13</v>
          </cell>
          <cell r="I1963">
            <v>0</v>
          </cell>
          <cell r="J1963">
            <v>64.13</v>
          </cell>
        </row>
        <row r="1964">
          <cell r="A1964" t="str">
            <v>LU1883848381</v>
          </cell>
          <cell r="B1964" t="str">
            <v>AMUNDI FUNDS PIONEER US EQUITY DIVIDEND GROWTH</v>
          </cell>
          <cell r="C1964" t="str">
            <v>Class E2 USD (C)</v>
          </cell>
          <cell r="D1964" t="str">
            <v>USD</v>
          </cell>
          <cell r="E1964" t="str">
            <v>03-Jan-2022</v>
          </cell>
          <cell r="F1964">
            <v>6695.67</v>
          </cell>
          <cell r="G1964">
            <v>1000</v>
          </cell>
          <cell r="H1964">
            <v>6.6959999999999997</v>
          </cell>
          <cell r="I1964">
            <v>0</v>
          </cell>
          <cell r="J1964">
            <v>6.6959999999999997</v>
          </cell>
        </row>
        <row r="1965">
          <cell r="A1965" t="str">
            <v>LU1883848548</v>
          </cell>
          <cell r="B1965" t="str">
            <v>AMUNDI FUNDS PIONEER US EQUITY DIVIDEND GROWTH</v>
          </cell>
          <cell r="C1965" t="str">
            <v>Class M2 USD (C)</v>
          </cell>
          <cell r="D1965" t="str">
            <v>USD</v>
          </cell>
          <cell r="E1965" t="str">
            <v>03-Jan-2022</v>
          </cell>
          <cell r="F1965">
            <v>6908.85</v>
          </cell>
          <cell r="G1965">
            <v>5</v>
          </cell>
          <cell r="H1965">
            <v>1381.77</v>
          </cell>
          <cell r="I1965">
            <v>0</v>
          </cell>
          <cell r="J1965">
            <v>1381.77</v>
          </cell>
        </row>
        <row r="1966">
          <cell r="A1966" t="str">
            <v>LU1883848621</v>
          </cell>
          <cell r="B1966" t="str">
            <v>AMUNDI FUNDS PIONEER US EQUITY DIVIDEND GROWTH</v>
          </cell>
          <cell r="C1966" t="str">
            <v>Class P2 USD (C)</v>
          </cell>
          <cell r="D1966" t="str">
            <v>USD</v>
          </cell>
          <cell r="E1966" t="str">
            <v>03-Jan-2022</v>
          </cell>
          <cell r="F1966">
            <v>6748.91</v>
          </cell>
          <cell r="G1966">
            <v>100</v>
          </cell>
          <cell r="H1966">
            <v>67.489999999999995</v>
          </cell>
          <cell r="I1966">
            <v>0</v>
          </cell>
          <cell r="J1966">
            <v>67.489999999999995</v>
          </cell>
        </row>
        <row r="1967">
          <cell r="A1967" t="str">
            <v>LU1894680914</v>
          </cell>
          <cell r="B1967" t="str">
            <v>AMUNDI FUNDS PIONEER INCOME OPPORTUNITIES</v>
          </cell>
          <cell r="C1967" t="str">
            <v>Class A2 EUR Hgd QTD (D)</v>
          </cell>
          <cell r="D1967" t="str">
            <v>EUR</v>
          </cell>
          <cell r="E1967" t="str">
            <v>03-Jan-2022</v>
          </cell>
          <cell r="F1967">
            <v>100814.12</v>
          </cell>
          <cell r="G1967">
            <v>2027.0160000000001</v>
          </cell>
          <cell r="H1967">
            <v>49.74</v>
          </cell>
          <cell r="I1967">
            <v>0.54369999999999996</v>
          </cell>
          <cell r="J1967">
            <v>51.98</v>
          </cell>
        </row>
        <row r="1968">
          <cell r="A1968" t="str">
            <v>LU1894680831</v>
          </cell>
          <cell r="B1968" t="str">
            <v>AMUNDI FUNDS PIONEER INCOME OPPORTUNITIES</v>
          </cell>
          <cell r="C1968" t="str">
            <v>Class A2 EUR Hgd (C)</v>
          </cell>
          <cell r="D1968" t="str">
            <v>EUR</v>
          </cell>
          <cell r="E1968" t="str">
            <v>03-Jan-2022</v>
          </cell>
          <cell r="F1968">
            <v>112154.48</v>
          </cell>
          <cell r="G1968">
            <v>2000</v>
          </cell>
          <cell r="H1968">
            <v>56.08</v>
          </cell>
          <cell r="I1968">
            <v>0</v>
          </cell>
          <cell r="J1968">
            <v>58.6</v>
          </cell>
        </row>
        <row r="1969">
          <cell r="A1969" t="str">
            <v>LU1894681219</v>
          </cell>
          <cell r="B1969" t="str">
            <v>AMUNDI FUNDS PIONEER INCOME OPPORTUNITIES</v>
          </cell>
          <cell r="C1969" t="str">
            <v>Class A2 USD QTD (D)</v>
          </cell>
          <cell r="D1969" t="str">
            <v>USD</v>
          </cell>
          <cell r="E1969" t="str">
            <v>03-Jan-2022</v>
          </cell>
          <cell r="F1969">
            <v>5357.06</v>
          </cell>
          <cell r="G1969">
            <v>101.129</v>
          </cell>
          <cell r="H1969">
            <v>52.97</v>
          </cell>
          <cell r="I1969">
            <v>0.57330000000000003</v>
          </cell>
          <cell r="J1969">
            <v>55.35</v>
          </cell>
        </row>
        <row r="1970">
          <cell r="A1970" t="str">
            <v>LU2002723158</v>
          </cell>
          <cell r="B1970" t="str">
            <v>AMUNDI FUNDS PIONEER INCOME OPPORTUNITIES</v>
          </cell>
          <cell r="C1970" t="str">
            <v>Class M2 EUR ( C )</v>
          </cell>
          <cell r="D1970" t="str">
            <v>EUR</v>
          </cell>
          <cell r="E1970" t="str">
            <v>03-Jan-2022</v>
          </cell>
          <cell r="F1970">
            <v>658906.35</v>
          </cell>
          <cell r="G1970">
            <v>550.38699999999994</v>
          </cell>
          <cell r="H1970">
            <v>1197.17</v>
          </cell>
          <cell r="I1970">
            <v>0</v>
          </cell>
          <cell r="J1970">
            <v>1197.17</v>
          </cell>
        </row>
        <row r="1971">
          <cell r="A1971" t="str">
            <v>LU1883840487</v>
          </cell>
          <cell r="B1971" t="str">
            <v>AMUNDI FUNDS PIONEER INCOME OPPORTUNITIES</v>
          </cell>
          <cell r="C1971" t="str">
            <v>Class M2 EUR Hgd QTD (D)</v>
          </cell>
          <cell r="D1971" t="str">
            <v>EUR</v>
          </cell>
          <cell r="E1971" t="str">
            <v>03-Jan-2022</v>
          </cell>
          <cell r="F1971">
            <v>86954.84</v>
          </cell>
          <cell r="G1971">
            <v>90.128</v>
          </cell>
          <cell r="H1971">
            <v>964.79</v>
          </cell>
          <cell r="I1971">
            <v>10.4453</v>
          </cell>
          <cell r="J1971">
            <v>964.79</v>
          </cell>
        </row>
        <row r="1972">
          <cell r="A1972" t="str">
            <v>LU1883839471</v>
          </cell>
          <cell r="B1972" t="str">
            <v>AMUNDI FUNDS PIONEER INCOME OPPORTUNITIES</v>
          </cell>
          <cell r="C1972" t="str">
            <v>Class C USD (C)</v>
          </cell>
          <cell r="D1972" t="str">
            <v>USD</v>
          </cell>
          <cell r="E1972" t="str">
            <v>03-Jan-2022</v>
          </cell>
          <cell r="F1972">
            <v>5677.06</v>
          </cell>
          <cell r="G1972">
            <v>100</v>
          </cell>
          <cell r="H1972">
            <v>56.77</v>
          </cell>
          <cell r="I1972">
            <v>0</v>
          </cell>
          <cell r="J1972">
            <v>56.77</v>
          </cell>
        </row>
        <row r="1973">
          <cell r="A1973" t="str">
            <v>LU1894680757</v>
          </cell>
          <cell r="B1973" t="str">
            <v>AMUNDI FUNDS PIONEER INCOME OPPORTUNITIES</v>
          </cell>
          <cell r="C1973" t="str">
            <v>Class A2 EUR (C)</v>
          </cell>
          <cell r="D1973" t="str">
            <v>EUR</v>
          </cell>
          <cell r="E1973" t="str">
            <v>03-Jan-2022</v>
          </cell>
          <cell r="F1973">
            <v>41760.230000000003</v>
          </cell>
          <cell r="G1973">
            <v>814.17399999999998</v>
          </cell>
          <cell r="H1973">
            <v>51.29</v>
          </cell>
          <cell r="I1973">
            <v>0</v>
          </cell>
          <cell r="J1973">
            <v>53.6</v>
          </cell>
        </row>
        <row r="1974">
          <cell r="A1974" t="str">
            <v>LU1883839554</v>
          </cell>
          <cell r="B1974" t="str">
            <v>AMUNDI FUNDS PIONEER INCOME OPPORTUNITIES</v>
          </cell>
          <cell r="C1974" t="str">
            <v>Class E2 EUR (C)</v>
          </cell>
          <cell r="D1974" t="str">
            <v>EUR</v>
          </cell>
          <cell r="E1974" t="str">
            <v>03-Jan-2022</v>
          </cell>
          <cell r="F1974">
            <v>11494290.189999999</v>
          </cell>
          <cell r="G1974">
            <v>1905030.3230000001</v>
          </cell>
          <cell r="H1974">
            <v>6.0339999999999998</v>
          </cell>
          <cell r="I1974">
            <v>0</v>
          </cell>
          <cell r="J1974">
            <v>6.0339999999999998</v>
          </cell>
        </row>
        <row r="1975">
          <cell r="A1975" t="str">
            <v>LU1883839802</v>
          </cell>
          <cell r="B1975" t="str">
            <v>AMUNDI FUNDS PIONEER INCOME OPPORTUNITIES</v>
          </cell>
          <cell r="C1975" t="str">
            <v>Class E2 EUR QTI (D)</v>
          </cell>
          <cell r="D1975" t="str">
            <v>EUR</v>
          </cell>
          <cell r="E1975" t="str">
            <v>03-Jan-2022</v>
          </cell>
          <cell r="F1975">
            <v>39604224.329999998</v>
          </cell>
          <cell r="G1975">
            <v>7517159.5350000001</v>
          </cell>
          <cell r="H1975">
            <v>5.2690000000000001</v>
          </cell>
          <cell r="I1975">
            <v>0</v>
          </cell>
          <cell r="J1975">
            <v>5.2690000000000001</v>
          </cell>
        </row>
        <row r="1976">
          <cell r="A1976" t="str">
            <v>LU1894681300</v>
          </cell>
          <cell r="B1976" t="str">
            <v>AMUNDI FUNDS PIONEER INCOME OPPORTUNITIES</v>
          </cell>
          <cell r="C1976" t="str">
            <v>Class E2 EUR PHgd QTI (D)</v>
          </cell>
          <cell r="D1976" t="str">
            <v>EUR</v>
          </cell>
          <cell r="E1976" t="str">
            <v>03-Jan-2022</v>
          </cell>
          <cell r="F1976">
            <v>43354944</v>
          </cell>
          <cell r="G1976">
            <v>8052443.2189999996</v>
          </cell>
          <cell r="H1976">
            <v>5.3840000000000003</v>
          </cell>
          <cell r="I1976">
            <v>0</v>
          </cell>
          <cell r="J1976">
            <v>5.3840000000000003</v>
          </cell>
        </row>
        <row r="1977">
          <cell r="A1977" t="str">
            <v>LU1883839638</v>
          </cell>
          <cell r="B1977" t="str">
            <v>AMUNDI FUNDS PIONEER INCOME OPPORTUNITIES</v>
          </cell>
          <cell r="C1977" t="str">
            <v>Class E2 EUR Hgd (C)</v>
          </cell>
          <cell r="D1977" t="str">
            <v>EUR</v>
          </cell>
          <cell r="E1977" t="str">
            <v>03-Jan-2022</v>
          </cell>
          <cell r="F1977">
            <v>3908899.47</v>
          </cell>
          <cell r="G1977">
            <v>716669.978</v>
          </cell>
          <cell r="H1977">
            <v>5.4539999999999997</v>
          </cell>
          <cell r="I1977">
            <v>0</v>
          </cell>
          <cell r="J1977">
            <v>5.4539999999999997</v>
          </cell>
        </row>
        <row r="1978">
          <cell r="A1978" t="str">
            <v>LU1883839711</v>
          </cell>
          <cell r="B1978" t="str">
            <v>AMUNDI FUNDS PIONEER INCOME OPPORTUNITIES</v>
          </cell>
          <cell r="C1978" t="str">
            <v>Class E2 EUR Hgd QTI (D)</v>
          </cell>
          <cell r="D1978" t="str">
            <v>EUR</v>
          </cell>
          <cell r="E1978" t="str">
            <v>03-Jan-2022</v>
          </cell>
          <cell r="F1978">
            <v>15040747.609999999</v>
          </cell>
          <cell r="G1978">
            <v>2952804.8689999999</v>
          </cell>
          <cell r="H1978">
            <v>5.0940000000000003</v>
          </cell>
          <cell r="I1978">
            <v>0</v>
          </cell>
          <cell r="J1978">
            <v>5.0940000000000003</v>
          </cell>
        </row>
        <row r="1979">
          <cell r="A1979" t="str">
            <v>LU1894682027</v>
          </cell>
          <cell r="B1979" t="str">
            <v>AMUNDI FUNDS PIONEER INCOME OPPORTUNITIES</v>
          </cell>
          <cell r="C1979" t="str">
            <v>Class I2 USD QTD (D)</v>
          </cell>
          <cell r="D1979" t="str">
            <v>USD</v>
          </cell>
          <cell r="E1979" t="str">
            <v>03-Jan-2022</v>
          </cell>
          <cell r="F1979">
            <v>5497.27</v>
          </cell>
          <cell r="G1979">
            <v>5.0940000000000003</v>
          </cell>
          <cell r="H1979">
            <v>1079.17</v>
          </cell>
          <cell r="I1979">
            <v>11.553800000000001</v>
          </cell>
          <cell r="J1979">
            <v>1079.17</v>
          </cell>
        </row>
        <row r="1980">
          <cell r="A1980" t="str">
            <v>LU1883840305</v>
          </cell>
          <cell r="B1980" t="str">
            <v>AMUNDI FUNDS PIONEER INCOME OPPORTUNITIES</v>
          </cell>
          <cell r="C1980" t="str">
            <v>Class I2 USD (C)</v>
          </cell>
          <cell r="D1980" t="str">
            <v>USD</v>
          </cell>
          <cell r="E1980" t="str">
            <v>03-Jan-2022</v>
          </cell>
          <cell r="F1980">
            <v>3734785.09</v>
          </cell>
          <cell r="G1980">
            <v>3104.3890000000001</v>
          </cell>
          <cell r="H1980">
            <v>1203.07</v>
          </cell>
          <cell r="I1980">
            <v>0</v>
          </cell>
          <cell r="J1980">
            <v>1203.07</v>
          </cell>
        </row>
        <row r="1981">
          <cell r="A1981" t="str">
            <v>LU2110862112</v>
          </cell>
          <cell r="B1981" t="str">
            <v>AMUNDI FUNDS PIONEER INCOME OPPORTUNITIES</v>
          </cell>
          <cell r="C1981" t="str">
            <v>Class I3 USD QTI (D)</v>
          </cell>
          <cell r="D1981" t="str">
            <v>USD</v>
          </cell>
          <cell r="E1981" t="str">
            <v>03-Jan-2022</v>
          </cell>
          <cell r="F1981">
            <v>119717770.2</v>
          </cell>
          <cell r="G1981">
            <v>107495.533</v>
          </cell>
          <cell r="H1981">
            <v>1113.7</v>
          </cell>
          <cell r="I1981">
            <v>0</v>
          </cell>
          <cell r="J1981">
            <v>1113.7</v>
          </cell>
        </row>
        <row r="1982">
          <cell r="A1982" t="str">
            <v>LU1894681995</v>
          </cell>
          <cell r="B1982" t="str">
            <v>AMUNDI FUNDS PIONEER INCOME OPPORTUNITIES</v>
          </cell>
          <cell r="C1982" t="str">
            <v>Class I2 EUR QTD (D)</v>
          </cell>
          <cell r="D1982" t="str">
            <v>EUR</v>
          </cell>
          <cell r="E1982" t="str">
            <v>03-Jan-2022</v>
          </cell>
          <cell r="F1982">
            <v>5306.46</v>
          </cell>
          <cell r="G1982">
            <v>5.5279999999999996</v>
          </cell>
          <cell r="H1982">
            <v>959.92</v>
          </cell>
          <cell r="I1982">
            <v>9.4751999999999992</v>
          </cell>
          <cell r="J1982">
            <v>959.92</v>
          </cell>
        </row>
        <row r="1983">
          <cell r="A1983" t="str">
            <v>LU1894681722</v>
          </cell>
          <cell r="B1983" t="str">
            <v>AMUNDI FUNDS PIONEER INCOME OPPORTUNITIES</v>
          </cell>
          <cell r="C1983" t="str">
            <v>Class I2 EUR Hgd QTD (D)</v>
          </cell>
          <cell r="D1983" t="str">
            <v>EUR</v>
          </cell>
          <cell r="E1983" t="str">
            <v>03-Jan-2022</v>
          </cell>
          <cell r="F1983">
            <v>103756.94</v>
          </cell>
          <cell r="G1983">
            <v>101.85599999999999</v>
          </cell>
          <cell r="H1983">
            <v>1018.66</v>
          </cell>
          <cell r="I1983">
            <v>11.017200000000001</v>
          </cell>
          <cell r="J1983">
            <v>1018.66</v>
          </cell>
        </row>
        <row r="1984">
          <cell r="A1984" t="str">
            <v>LU1894681649</v>
          </cell>
          <cell r="B1984" t="str">
            <v>AMUNDI FUNDS PIONEER INCOME OPPORTUNITIES</v>
          </cell>
          <cell r="C1984" t="str">
            <v>Class I2 EUR Hgd (C)</v>
          </cell>
          <cell r="D1984" t="str">
            <v>EUR</v>
          </cell>
          <cell r="E1984" t="str">
            <v>03-Jan-2022</v>
          </cell>
          <cell r="F1984">
            <v>115953.60000000001</v>
          </cell>
          <cell r="G1984">
            <v>100</v>
          </cell>
          <cell r="H1984">
            <v>1159.54</v>
          </cell>
          <cell r="I1984">
            <v>0</v>
          </cell>
          <cell r="J1984">
            <v>1159.54</v>
          </cell>
        </row>
        <row r="1985">
          <cell r="A1985" t="str">
            <v>LU1894681565</v>
          </cell>
          <cell r="B1985" t="str">
            <v>AMUNDI FUNDS PIONEER INCOME OPPORTUNITIES</v>
          </cell>
          <cell r="C1985" t="str">
            <v>Class I2 EUR (C)</v>
          </cell>
          <cell r="D1985" t="str">
            <v>EUR</v>
          </cell>
          <cell r="E1985" t="str">
            <v>03-Jan-2022</v>
          </cell>
          <cell r="F1985">
            <v>5906.15</v>
          </cell>
          <cell r="G1985">
            <v>5.5439999999999996</v>
          </cell>
          <cell r="H1985">
            <v>1065.32</v>
          </cell>
          <cell r="I1985">
            <v>0</v>
          </cell>
          <cell r="J1985">
            <v>1065.32</v>
          </cell>
        </row>
        <row r="1986">
          <cell r="A1986" t="str">
            <v>LU1883839984</v>
          </cell>
          <cell r="B1986" t="str">
            <v>AMUNDI FUNDS PIONEER INCOME OPPORTUNITIES</v>
          </cell>
          <cell r="C1986" t="str">
            <v>Class G EUR (C)</v>
          </cell>
          <cell r="D1986" t="str">
            <v>EUR</v>
          </cell>
          <cell r="E1986" t="str">
            <v>03-Jan-2022</v>
          </cell>
          <cell r="F1986">
            <v>33546418.809999999</v>
          </cell>
          <cell r="G1986">
            <v>5710271.3849999998</v>
          </cell>
          <cell r="H1986">
            <v>5.875</v>
          </cell>
          <cell r="I1986">
            <v>0</v>
          </cell>
          <cell r="J1986">
            <v>5.875</v>
          </cell>
        </row>
        <row r="1987">
          <cell r="A1987" t="str">
            <v>LU1883840131</v>
          </cell>
          <cell r="B1987" t="str">
            <v>AMUNDI FUNDS PIONEER INCOME OPPORTUNITIES</v>
          </cell>
          <cell r="C1987" t="str">
            <v>Class G EUR Hgd QTI (D)</v>
          </cell>
          <cell r="D1987" t="str">
            <v>EUR</v>
          </cell>
          <cell r="E1987" t="str">
            <v>03-Jan-2022</v>
          </cell>
          <cell r="F1987">
            <v>27712547.579999998</v>
          </cell>
          <cell r="G1987">
            <v>5562207.7599999998</v>
          </cell>
          <cell r="H1987">
            <v>4.9820000000000002</v>
          </cell>
          <cell r="I1987">
            <v>0</v>
          </cell>
          <cell r="J1987">
            <v>4.9820000000000002</v>
          </cell>
        </row>
        <row r="1988">
          <cell r="A1988" t="str">
            <v>LU1883840214</v>
          </cell>
          <cell r="B1988" t="str">
            <v>AMUNDI FUNDS PIONEER INCOME OPPORTUNITIES</v>
          </cell>
          <cell r="C1988" t="str">
            <v>Class G EUR QTI (D)</v>
          </cell>
          <cell r="D1988" t="str">
            <v>EUR</v>
          </cell>
          <cell r="E1988" t="str">
            <v>03-Jan-2022</v>
          </cell>
          <cell r="F1988">
            <v>54737693.890000001</v>
          </cell>
          <cell r="G1988">
            <v>10666023.632999999</v>
          </cell>
          <cell r="H1988">
            <v>5.1319999999999997</v>
          </cell>
          <cell r="I1988">
            <v>0</v>
          </cell>
          <cell r="J1988">
            <v>5.1319999999999997</v>
          </cell>
        </row>
        <row r="1989">
          <cell r="A1989" t="str">
            <v>LU1894681482</v>
          </cell>
          <cell r="B1989" t="str">
            <v>AMUNDI FUNDS PIONEER INCOME OPPORTUNITIES</v>
          </cell>
          <cell r="C1989" t="str">
            <v>Class G EUR PHgd QTI (D)</v>
          </cell>
          <cell r="D1989" t="str">
            <v>EUR</v>
          </cell>
          <cell r="E1989" t="str">
            <v>03-Jan-2022</v>
          </cell>
          <cell r="F1989">
            <v>84158404.980000004</v>
          </cell>
          <cell r="G1989">
            <v>16122450.154999999</v>
          </cell>
          <cell r="H1989">
            <v>5.22</v>
          </cell>
          <cell r="I1989">
            <v>0</v>
          </cell>
          <cell r="J1989">
            <v>5.22</v>
          </cell>
        </row>
        <row r="1990">
          <cell r="A1990" t="str">
            <v>LU1883840057</v>
          </cell>
          <cell r="B1990" t="str">
            <v>AMUNDI FUNDS PIONEER INCOME OPPORTUNITIES</v>
          </cell>
          <cell r="C1990" t="str">
            <v>Class G EUR Hgd (C)</v>
          </cell>
          <cell r="D1990" t="str">
            <v>EUR</v>
          </cell>
          <cell r="E1990" t="str">
            <v>03-Jan-2022</v>
          </cell>
          <cell r="F1990">
            <v>22956211.809999999</v>
          </cell>
          <cell r="G1990">
            <v>4306367.2869999995</v>
          </cell>
          <cell r="H1990">
            <v>5.3310000000000004</v>
          </cell>
          <cell r="I1990">
            <v>0</v>
          </cell>
          <cell r="J1990">
            <v>5.3310000000000004</v>
          </cell>
        </row>
        <row r="1991">
          <cell r="A1991" t="str">
            <v>LU1894682373</v>
          </cell>
          <cell r="B1991" t="str">
            <v>AMUNDI FUNDS PIONEER INCOME OPPORTUNITIES</v>
          </cell>
          <cell r="C1991" t="str">
            <v>Class R2 USD QTD (D)</v>
          </cell>
          <cell r="D1991" t="str">
            <v>USD</v>
          </cell>
          <cell r="E1991" t="str">
            <v>03-Jan-2022</v>
          </cell>
          <cell r="F1991">
            <v>5440.58</v>
          </cell>
          <cell r="G1991">
            <v>101.741</v>
          </cell>
          <cell r="H1991">
            <v>53.47</v>
          </cell>
          <cell r="I1991">
            <v>0.57489999999999997</v>
          </cell>
          <cell r="J1991">
            <v>53.47</v>
          </cell>
        </row>
        <row r="1992">
          <cell r="A1992" t="str">
            <v>LU1894681052</v>
          </cell>
          <cell r="B1992" t="str">
            <v>AMUNDI FUNDS PIONEER INCOME OPPORTUNITIES</v>
          </cell>
          <cell r="C1992" t="str">
            <v>Class A2 EUR QTD (D)</v>
          </cell>
          <cell r="D1992" t="str">
            <v>EUR</v>
          </cell>
          <cell r="E1992" t="str">
            <v>03-Jan-2022</v>
          </cell>
          <cell r="F1992">
            <v>5203.29</v>
          </cell>
          <cell r="G1992">
            <v>110.768</v>
          </cell>
          <cell r="H1992">
            <v>46.97</v>
          </cell>
          <cell r="I1992">
            <v>0.46860000000000002</v>
          </cell>
          <cell r="J1992">
            <v>49.08</v>
          </cell>
        </row>
        <row r="1993">
          <cell r="A1993" t="str">
            <v>LU1883839398</v>
          </cell>
          <cell r="B1993" t="str">
            <v>AMUNDI FUNDS PIONEER INCOME OPPORTUNITIES</v>
          </cell>
          <cell r="C1993" t="str">
            <v>Class A2 USD (C)</v>
          </cell>
          <cell r="D1993" t="str">
            <v>USD</v>
          </cell>
          <cell r="E1993" t="str">
            <v>03-Jan-2022</v>
          </cell>
          <cell r="F1993">
            <v>249528.56</v>
          </cell>
          <cell r="G1993">
            <v>4308.7659999999996</v>
          </cell>
          <cell r="H1993">
            <v>57.91</v>
          </cell>
          <cell r="I1993">
            <v>0</v>
          </cell>
          <cell r="J1993">
            <v>60.52</v>
          </cell>
        </row>
        <row r="1994">
          <cell r="A1994" t="str">
            <v>LU1883840560</v>
          </cell>
          <cell r="B1994" t="str">
            <v>AMUNDI FUNDS PIONEER INCOME OPPORTUNITIES</v>
          </cell>
          <cell r="C1994" t="str">
            <v>Class P2 USD (C)</v>
          </cell>
          <cell r="D1994" t="str">
            <v>USD</v>
          </cell>
          <cell r="E1994" t="str">
            <v>03-Jan-2022</v>
          </cell>
          <cell r="F1994">
            <v>5985</v>
          </cell>
          <cell r="G1994">
            <v>100</v>
          </cell>
          <cell r="H1994">
            <v>59.85</v>
          </cell>
          <cell r="I1994">
            <v>0</v>
          </cell>
          <cell r="J1994">
            <v>59.85</v>
          </cell>
        </row>
        <row r="1995">
          <cell r="A1995" t="str">
            <v>LU1894682290</v>
          </cell>
          <cell r="B1995" t="str">
            <v>AMUNDI FUNDS PIONEER INCOME OPPORTUNITIES</v>
          </cell>
          <cell r="C1995" t="str">
            <v>Class R2 USD (C)</v>
          </cell>
          <cell r="D1995" t="str">
            <v>USD</v>
          </cell>
          <cell r="E1995" t="str">
            <v>03-Jan-2022</v>
          </cell>
          <cell r="F1995">
            <v>6068.39</v>
          </cell>
          <cell r="G1995">
            <v>99.998000000000005</v>
          </cell>
          <cell r="H1995">
            <v>60.69</v>
          </cell>
          <cell r="I1995">
            <v>0</v>
          </cell>
          <cell r="J1995">
            <v>60.69</v>
          </cell>
        </row>
        <row r="1996">
          <cell r="A1996" t="str">
            <v>LU1894681136</v>
          </cell>
          <cell r="B1996" t="str">
            <v>AMUNDI FUNDS PIONEER INCOME OPPORTUNITIES</v>
          </cell>
          <cell r="C1996" t="str">
            <v>Class A2 USD MGI (D)</v>
          </cell>
          <cell r="D1996" t="str">
            <v>USD</v>
          </cell>
          <cell r="E1996" t="str">
            <v>03-Jan-2022</v>
          </cell>
          <cell r="F1996">
            <v>5041.4799999999996</v>
          </cell>
          <cell r="G1996">
            <v>101.41500000000001</v>
          </cell>
          <cell r="H1996">
            <v>49.71</v>
          </cell>
          <cell r="I1996">
            <v>0.25390699999999999</v>
          </cell>
          <cell r="J1996">
            <v>51.95</v>
          </cell>
        </row>
        <row r="1997">
          <cell r="A1997" t="str">
            <v>LU1880407215</v>
          </cell>
          <cell r="B1997" t="str">
            <v>AMUNDI FUNDS SUSTAINABLE TOP EUROPEAN PLAYERS</v>
          </cell>
          <cell r="C1997" t="str">
            <v>Class A2 USD AD (D)</v>
          </cell>
          <cell r="D1997" t="str">
            <v>USD</v>
          </cell>
          <cell r="E1997" t="str">
            <v>03-Jan-2022</v>
          </cell>
          <cell r="F1997">
            <v>6976.86</v>
          </cell>
          <cell r="G1997">
            <v>100</v>
          </cell>
          <cell r="H1997">
            <v>69.77</v>
          </cell>
          <cell r="I1997">
            <v>0</v>
          </cell>
          <cell r="J1997">
            <v>69.77</v>
          </cell>
        </row>
        <row r="1998">
          <cell r="A1998" t="str">
            <v>LU1880406910</v>
          </cell>
          <cell r="B1998" t="str">
            <v>AMUNDI FUNDS SUSTAINABLE TOP EUROPEAN PLAYERS</v>
          </cell>
          <cell r="C1998" t="str">
            <v>Class A EUR AD (D)</v>
          </cell>
          <cell r="D1998" t="str">
            <v>EUR</v>
          </cell>
          <cell r="E1998" t="str">
            <v>03-Jan-2022</v>
          </cell>
          <cell r="F1998">
            <v>2420255.08</v>
          </cell>
          <cell r="G1998">
            <v>36057.453000000001</v>
          </cell>
          <cell r="H1998">
            <v>67.12</v>
          </cell>
          <cell r="I1998">
            <v>0</v>
          </cell>
          <cell r="J1998">
            <v>70.14</v>
          </cell>
        </row>
        <row r="1999">
          <cell r="A1999" t="str">
            <v>LU1883868819</v>
          </cell>
          <cell r="B1999" t="str">
            <v>AMUNDI FUNDS SUSTAINABLE TOP EUROPEAN PLAYERS</v>
          </cell>
          <cell r="C1999" t="str">
            <v>Class A EUR (C)</v>
          </cell>
          <cell r="D1999" t="str">
            <v>EUR</v>
          </cell>
          <cell r="E1999" t="str">
            <v>03-Jan-2022</v>
          </cell>
          <cell r="F1999">
            <v>168436214.52000001</v>
          </cell>
          <cell r="G1999">
            <v>15027333.092</v>
          </cell>
          <cell r="H1999">
            <v>11.21</v>
          </cell>
          <cell r="I1999">
            <v>0</v>
          </cell>
          <cell r="J1999">
            <v>11.71</v>
          </cell>
        </row>
        <row r="2000">
          <cell r="A2000" t="str">
            <v>LU1880407132</v>
          </cell>
          <cell r="B2000" t="str">
            <v>AMUNDI FUNDS SUSTAINABLE TOP EUROPEAN PLAYERS</v>
          </cell>
          <cell r="C2000" t="str">
            <v>Class A2 USD (C)</v>
          </cell>
          <cell r="D2000" t="str">
            <v>USD</v>
          </cell>
          <cell r="E2000" t="str">
            <v>03-Jan-2022</v>
          </cell>
          <cell r="F2000">
            <v>7010.59</v>
          </cell>
          <cell r="G2000">
            <v>100</v>
          </cell>
          <cell r="H2000">
            <v>70.11</v>
          </cell>
          <cell r="I2000">
            <v>0</v>
          </cell>
          <cell r="J2000">
            <v>70.11</v>
          </cell>
        </row>
        <row r="2001">
          <cell r="A2001" t="str">
            <v>LU2070308569</v>
          </cell>
          <cell r="B2001" t="str">
            <v>AMUNDI FUNDS SUSTAINABLE TOP EUROPEAN PLAYERS</v>
          </cell>
          <cell r="C2001" t="str">
            <v>Class A5 EUR (C)</v>
          </cell>
          <cell r="D2001" t="str">
            <v>EUR</v>
          </cell>
          <cell r="E2001" t="str">
            <v>03-Jan-2022</v>
          </cell>
          <cell r="F2001">
            <v>3226120.49</v>
          </cell>
          <cell r="G2001">
            <v>49649</v>
          </cell>
          <cell r="H2001">
            <v>64.98</v>
          </cell>
          <cell r="I2001">
            <v>0</v>
          </cell>
          <cell r="J2001">
            <v>64.98</v>
          </cell>
        </row>
        <row r="2002">
          <cell r="A2002" t="str">
            <v>LU1883869031</v>
          </cell>
          <cell r="B2002" t="str">
            <v>AMUNDI FUNDS SUSTAINABLE TOP EUROPEAN PLAYERS</v>
          </cell>
          <cell r="C2002" t="str">
            <v>Class A USD AD (D)</v>
          </cell>
          <cell r="D2002" t="str">
            <v>USD</v>
          </cell>
          <cell r="E2002" t="str">
            <v>03-Jan-2022</v>
          </cell>
          <cell r="F2002">
            <v>882125.63</v>
          </cell>
          <cell r="G2002">
            <v>79386.418000000005</v>
          </cell>
          <cell r="H2002">
            <v>11.11</v>
          </cell>
          <cell r="I2002">
            <v>0</v>
          </cell>
          <cell r="J2002">
            <v>11.61</v>
          </cell>
        </row>
        <row r="2003">
          <cell r="A2003" t="str">
            <v>LU1883869114</v>
          </cell>
          <cell r="B2003" t="str">
            <v>AMUNDI FUNDS SUSTAINABLE TOP EUROPEAN PLAYERS</v>
          </cell>
          <cell r="C2003" t="str">
            <v>Class A USD Hgd (C)</v>
          </cell>
          <cell r="D2003" t="str">
            <v>USD</v>
          </cell>
          <cell r="E2003" t="str">
            <v>03-Jan-2022</v>
          </cell>
          <cell r="F2003">
            <v>5567482.6900000004</v>
          </cell>
          <cell r="G2003">
            <v>61909.642</v>
          </cell>
          <cell r="H2003">
            <v>89.93</v>
          </cell>
          <cell r="I2003">
            <v>0</v>
          </cell>
          <cell r="J2003">
            <v>93.98</v>
          </cell>
        </row>
        <row r="2004">
          <cell r="A2004" t="str">
            <v>LU1883868736</v>
          </cell>
          <cell r="B2004" t="str">
            <v>AMUNDI FUNDS SUSTAINABLE TOP EUROPEAN PLAYERS</v>
          </cell>
          <cell r="C2004" t="str">
            <v>Class A CZK Hgd (C)</v>
          </cell>
          <cell r="D2004" t="str">
            <v>CZK</v>
          </cell>
          <cell r="E2004" t="str">
            <v>03-Jan-2022</v>
          </cell>
          <cell r="F2004">
            <v>1258315630.1700001</v>
          </cell>
          <cell r="G2004">
            <v>447199.61900000001</v>
          </cell>
          <cell r="H2004">
            <v>2813.77</v>
          </cell>
          <cell r="I2004">
            <v>0</v>
          </cell>
          <cell r="J2004">
            <v>2940.39</v>
          </cell>
        </row>
        <row r="2005">
          <cell r="A2005" t="str">
            <v>LU1883868900</v>
          </cell>
          <cell r="B2005" t="str">
            <v>AMUNDI FUNDS SUSTAINABLE TOP EUROPEAN PLAYERS</v>
          </cell>
          <cell r="C2005" t="str">
            <v>Class A USD (C)</v>
          </cell>
          <cell r="D2005" t="str">
            <v>USD</v>
          </cell>
          <cell r="E2005" t="str">
            <v>03-Jan-2022</v>
          </cell>
          <cell r="F2005">
            <v>10173105.42</v>
          </cell>
          <cell r="G2005">
            <v>803559.55299999996</v>
          </cell>
          <cell r="H2005">
            <v>12.66</v>
          </cell>
          <cell r="I2005">
            <v>0</v>
          </cell>
          <cell r="J2005">
            <v>13.23</v>
          </cell>
        </row>
        <row r="2006">
          <cell r="A2006" t="str">
            <v>LU1883869205</v>
          </cell>
          <cell r="B2006" t="str">
            <v>AMUNDI FUNDS SUSTAINABLE TOP EUROPEAN PLAYERS</v>
          </cell>
          <cell r="C2006" t="str">
            <v>Class B EUR (C)</v>
          </cell>
          <cell r="D2006" t="str">
            <v>EUR</v>
          </cell>
          <cell r="E2006" t="str">
            <v>03-Jan-2022</v>
          </cell>
          <cell r="F2006">
            <v>280182.65999999997</v>
          </cell>
          <cell r="G2006">
            <v>30846.133000000002</v>
          </cell>
          <cell r="H2006">
            <v>9.08</v>
          </cell>
          <cell r="I2006">
            <v>0</v>
          </cell>
          <cell r="J2006">
            <v>9.08</v>
          </cell>
        </row>
        <row r="2007">
          <cell r="A2007" t="str">
            <v>LU1883869460</v>
          </cell>
          <cell r="B2007" t="str">
            <v>AMUNDI FUNDS SUSTAINABLE TOP EUROPEAN PLAYERS</v>
          </cell>
          <cell r="C2007" t="str">
            <v>Class B USD AD (D)</v>
          </cell>
          <cell r="D2007" t="str">
            <v>USD</v>
          </cell>
          <cell r="E2007" t="str">
            <v>03-Jan-2022</v>
          </cell>
          <cell r="F2007">
            <v>6242.18</v>
          </cell>
          <cell r="G2007">
            <v>626.56600000000003</v>
          </cell>
          <cell r="H2007">
            <v>9.9600000000000009</v>
          </cell>
          <cell r="I2007">
            <v>0</v>
          </cell>
          <cell r="J2007">
            <v>9.9600000000000009</v>
          </cell>
        </row>
        <row r="2008">
          <cell r="A2008" t="str">
            <v>LU1883870807</v>
          </cell>
          <cell r="B2008" t="str">
            <v>AMUNDI FUNDS SUSTAINABLE TOP EUROPEAN PLAYERS</v>
          </cell>
          <cell r="C2008" t="str">
            <v>Class M2 EUR (C)</v>
          </cell>
          <cell r="D2008" t="str">
            <v>EUR</v>
          </cell>
          <cell r="E2008" t="str">
            <v>03-Jan-2022</v>
          </cell>
          <cell r="F2008">
            <v>74249740.260000005</v>
          </cell>
          <cell r="G2008">
            <v>37013.887000000002</v>
          </cell>
          <cell r="H2008">
            <v>2006</v>
          </cell>
          <cell r="I2008">
            <v>0</v>
          </cell>
          <cell r="J2008">
            <v>2006</v>
          </cell>
        </row>
        <row r="2009">
          <cell r="A2009" t="str">
            <v>LU1883869387</v>
          </cell>
          <cell r="B2009" t="str">
            <v>AMUNDI FUNDS SUSTAINABLE TOP EUROPEAN PLAYERS</v>
          </cell>
          <cell r="C2009" t="str">
            <v>Class B USD (C)</v>
          </cell>
          <cell r="D2009" t="str">
            <v>USD</v>
          </cell>
          <cell r="E2009" t="str">
            <v>03-Jan-2022</v>
          </cell>
          <cell r="F2009">
            <v>4866983.51</v>
          </cell>
          <cell r="G2009">
            <v>475626.4</v>
          </cell>
          <cell r="H2009">
            <v>10.23</v>
          </cell>
          <cell r="I2009">
            <v>0</v>
          </cell>
          <cell r="J2009">
            <v>10.23</v>
          </cell>
        </row>
        <row r="2010">
          <cell r="A2010" t="str">
            <v>LU1883869544</v>
          </cell>
          <cell r="B2010" t="str">
            <v>AMUNDI FUNDS SUSTAINABLE TOP EUROPEAN PLAYERS</v>
          </cell>
          <cell r="C2010" t="str">
            <v>Class C EUR (C)</v>
          </cell>
          <cell r="D2010" t="str">
            <v>EUR</v>
          </cell>
          <cell r="E2010" t="str">
            <v>03-Jan-2022</v>
          </cell>
          <cell r="F2010">
            <v>3093229.82</v>
          </cell>
          <cell r="G2010">
            <v>316647.41499999998</v>
          </cell>
          <cell r="H2010">
            <v>9.77</v>
          </cell>
          <cell r="I2010">
            <v>0</v>
          </cell>
          <cell r="J2010">
            <v>9.77</v>
          </cell>
        </row>
        <row r="2011">
          <cell r="A2011" t="str">
            <v>LU1883869627</v>
          </cell>
          <cell r="B2011" t="str">
            <v>AMUNDI FUNDS SUSTAINABLE TOP EUROPEAN PLAYERS</v>
          </cell>
          <cell r="C2011" t="str">
            <v>Class C USD (C)</v>
          </cell>
          <cell r="D2011" t="str">
            <v>USD</v>
          </cell>
          <cell r="E2011" t="str">
            <v>03-Jan-2022</v>
          </cell>
          <cell r="F2011">
            <v>2805108.35</v>
          </cell>
          <cell r="G2011">
            <v>254305.625</v>
          </cell>
          <cell r="H2011">
            <v>11.03</v>
          </cell>
          <cell r="I2011">
            <v>0</v>
          </cell>
          <cell r="J2011">
            <v>11.03</v>
          </cell>
        </row>
        <row r="2012">
          <cell r="A2012" t="str">
            <v>LU1883869890</v>
          </cell>
          <cell r="B2012" t="str">
            <v>AMUNDI FUNDS SUSTAINABLE TOP EUROPEAN PLAYERS</v>
          </cell>
          <cell r="C2012" t="str">
            <v>Class C USD Hgd (C)</v>
          </cell>
          <cell r="D2012" t="str">
            <v>USD</v>
          </cell>
          <cell r="E2012" t="str">
            <v>03-Jan-2022</v>
          </cell>
          <cell r="F2012">
            <v>3331251.41</v>
          </cell>
          <cell r="G2012">
            <v>39737.440000000002</v>
          </cell>
          <cell r="H2012">
            <v>83.83</v>
          </cell>
          <cell r="I2012">
            <v>0</v>
          </cell>
          <cell r="J2012">
            <v>83.83</v>
          </cell>
        </row>
        <row r="2013">
          <cell r="A2013" t="str">
            <v>LU1883869973</v>
          </cell>
          <cell r="B2013" t="str">
            <v>AMUNDI FUNDS SUSTAINABLE TOP EUROPEAN PLAYERS</v>
          </cell>
          <cell r="C2013" t="str">
            <v>Class E2 EUR (C)</v>
          </cell>
          <cell r="D2013" t="str">
            <v>EUR</v>
          </cell>
          <cell r="E2013" t="str">
            <v>03-Jan-2022</v>
          </cell>
          <cell r="F2013">
            <v>128517148.27</v>
          </cell>
          <cell r="G2013">
            <v>10685712.463</v>
          </cell>
          <cell r="H2013">
            <v>12.026999999999999</v>
          </cell>
          <cell r="I2013">
            <v>0</v>
          </cell>
          <cell r="J2013">
            <v>12.026999999999999</v>
          </cell>
        </row>
        <row r="2014">
          <cell r="A2014" t="str">
            <v>LU1883870047</v>
          </cell>
          <cell r="B2014" t="str">
            <v>AMUNDI FUNDS SUSTAINABLE TOP EUROPEAN PLAYERS</v>
          </cell>
          <cell r="C2014" t="str">
            <v>Class F EUR (C)</v>
          </cell>
          <cell r="D2014" t="str">
            <v>EUR</v>
          </cell>
          <cell r="E2014" t="str">
            <v>03-Jan-2022</v>
          </cell>
          <cell r="F2014">
            <v>78441219.269999996</v>
          </cell>
          <cell r="G2014">
            <v>7898317.6229999997</v>
          </cell>
          <cell r="H2014">
            <v>9.9309999999999992</v>
          </cell>
          <cell r="I2014">
            <v>0</v>
          </cell>
          <cell r="J2014">
            <v>9.9309999999999992</v>
          </cell>
        </row>
        <row r="2015">
          <cell r="A2015" t="str">
            <v>LU1880407306</v>
          </cell>
          <cell r="B2015" t="str">
            <v>AMUNDI FUNDS SUSTAINABLE TOP EUROPEAN PLAYERS</v>
          </cell>
          <cell r="C2015" t="str">
            <v>Class F2 EUR (C)</v>
          </cell>
          <cell r="D2015" t="str">
            <v>EUR</v>
          </cell>
          <cell r="E2015" t="str">
            <v>03-Jan-2022</v>
          </cell>
          <cell r="F2015">
            <v>260900.39</v>
          </cell>
          <cell r="G2015">
            <v>38657.078000000001</v>
          </cell>
          <cell r="H2015">
            <v>6.7489999999999997</v>
          </cell>
          <cell r="I2015">
            <v>0</v>
          </cell>
          <cell r="J2015">
            <v>6.7489999999999997</v>
          </cell>
        </row>
        <row r="2016">
          <cell r="A2016" t="str">
            <v>LU1883870476</v>
          </cell>
          <cell r="B2016" t="str">
            <v>AMUNDI FUNDS SUSTAINABLE TOP EUROPEAN PLAYERS</v>
          </cell>
          <cell r="C2016" t="str">
            <v>Class I2 USD (C)</v>
          </cell>
          <cell r="D2016" t="str">
            <v>USD</v>
          </cell>
          <cell r="E2016" t="str">
            <v>03-Jan-2022</v>
          </cell>
          <cell r="F2016">
            <v>2950651.69</v>
          </cell>
          <cell r="G2016">
            <v>182547.701</v>
          </cell>
          <cell r="H2016">
            <v>16.16</v>
          </cell>
          <cell r="I2016">
            <v>0</v>
          </cell>
          <cell r="J2016">
            <v>16.16</v>
          </cell>
        </row>
        <row r="2017">
          <cell r="A2017" t="str">
            <v>LU1883870559</v>
          </cell>
          <cell r="B2017" t="str">
            <v>AMUNDI FUNDS SUSTAINABLE TOP EUROPEAN PLAYERS</v>
          </cell>
          <cell r="C2017" t="str">
            <v>Class I2 USD Hgd (C)</v>
          </cell>
          <cell r="D2017" t="str">
            <v>USD</v>
          </cell>
          <cell r="E2017" t="str">
            <v>03-Jan-2022</v>
          </cell>
          <cell r="F2017">
            <v>141201.84</v>
          </cell>
          <cell r="G2017">
            <v>91</v>
          </cell>
          <cell r="H2017">
            <v>1551.67</v>
          </cell>
          <cell r="I2017">
            <v>0</v>
          </cell>
          <cell r="J2017">
            <v>1551.67</v>
          </cell>
        </row>
        <row r="2018">
          <cell r="A2018" t="str">
            <v>LU1880407645</v>
          </cell>
          <cell r="B2018" t="str">
            <v>AMUNDI FUNDS SUSTAINABLE TOP EUROPEAN PLAYERS</v>
          </cell>
          <cell r="C2018" t="str">
            <v>Class M EUR (C)</v>
          </cell>
          <cell r="D2018" t="str">
            <v>EUR</v>
          </cell>
          <cell r="E2018" t="str">
            <v>03-Jan-2022</v>
          </cell>
          <cell r="F2018">
            <v>289.43</v>
          </cell>
          <cell r="G2018">
            <v>0.20699999999999999</v>
          </cell>
          <cell r="H2018">
            <v>1398.21</v>
          </cell>
          <cell r="I2018">
            <v>0</v>
          </cell>
          <cell r="J2018">
            <v>1398.21</v>
          </cell>
        </row>
        <row r="2019">
          <cell r="A2019" t="str">
            <v>LU1883870393</v>
          </cell>
          <cell r="B2019" t="str">
            <v>AMUNDI FUNDS SUSTAINABLE TOP EUROPEAN PLAYERS</v>
          </cell>
          <cell r="C2019" t="str">
            <v>Class I2 EUR (C)</v>
          </cell>
          <cell r="D2019" t="str">
            <v>EUR</v>
          </cell>
          <cell r="E2019" t="str">
            <v>03-Jan-2022</v>
          </cell>
          <cell r="F2019">
            <v>14198493.17</v>
          </cell>
          <cell r="G2019">
            <v>991937.875</v>
          </cell>
          <cell r="H2019">
            <v>14.31</v>
          </cell>
          <cell r="I2019">
            <v>0</v>
          </cell>
          <cell r="J2019">
            <v>14.31</v>
          </cell>
        </row>
        <row r="2020">
          <cell r="A2020" t="str">
            <v>LU1883870633</v>
          </cell>
          <cell r="B2020" t="str">
            <v>AMUNDI FUNDS SUSTAINABLE TOP EUROPEAN PLAYERS</v>
          </cell>
          <cell r="C2020" t="str">
            <v>Class J2 EUR (C)</v>
          </cell>
          <cell r="D2020" t="str">
            <v>EUR</v>
          </cell>
          <cell r="E2020" t="str">
            <v>03-Jan-2022</v>
          </cell>
          <cell r="F2020">
            <v>14485.71</v>
          </cell>
          <cell r="G2020">
            <v>10</v>
          </cell>
          <cell r="H2020">
            <v>1448.57</v>
          </cell>
          <cell r="I2020">
            <v>0</v>
          </cell>
          <cell r="J2020">
            <v>1448.57</v>
          </cell>
        </row>
        <row r="2021">
          <cell r="A2021" t="str">
            <v>LU1883870716</v>
          </cell>
          <cell r="B2021" t="str">
            <v>AMUNDI FUNDS SUSTAINABLE TOP EUROPEAN PLAYERS</v>
          </cell>
          <cell r="C2021" t="str">
            <v>Class J2 EUR AD (D)</v>
          </cell>
          <cell r="D2021" t="str">
            <v>EUR</v>
          </cell>
          <cell r="E2021" t="str">
            <v>03-Jan-2022</v>
          </cell>
          <cell r="F2021">
            <v>13809.02</v>
          </cell>
          <cell r="G2021">
            <v>10.170999999999999</v>
          </cell>
          <cell r="H2021">
            <v>1357.69</v>
          </cell>
          <cell r="I2021">
            <v>0</v>
          </cell>
          <cell r="J2021">
            <v>1357.69</v>
          </cell>
        </row>
        <row r="2022">
          <cell r="A2022" t="str">
            <v>LU1883870120</v>
          </cell>
          <cell r="B2022" t="str">
            <v>AMUNDI FUNDS SUSTAINABLE TOP EUROPEAN PLAYERS</v>
          </cell>
          <cell r="C2022" t="str">
            <v>Class G EUR (C)</v>
          </cell>
          <cell r="D2022" t="str">
            <v>EUR</v>
          </cell>
          <cell r="E2022" t="str">
            <v>03-Jan-2022</v>
          </cell>
          <cell r="F2022">
            <v>4989709.04</v>
          </cell>
          <cell r="G2022">
            <v>788741.56299999997</v>
          </cell>
          <cell r="H2022">
            <v>6.3259999999999996</v>
          </cell>
          <cell r="I2022">
            <v>0</v>
          </cell>
          <cell r="J2022">
            <v>6.3259999999999996</v>
          </cell>
        </row>
        <row r="2023">
          <cell r="A2023" t="str">
            <v>LU1883871102</v>
          </cell>
          <cell r="B2023" t="str">
            <v>AMUNDI FUNDS SUSTAINABLE TOP EUROPEAN PLAYERS</v>
          </cell>
          <cell r="C2023" t="str">
            <v>Class R2 EUR (C)</v>
          </cell>
          <cell r="D2023" t="str">
            <v>EUR</v>
          </cell>
          <cell r="E2023" t="str">
            <v>03-Jan-2022</v>
          </cell>
          <cell r="F2023">
            <v>302669.26</v>
          </cell>
          <cell r="G2023">
            <v>3298.4879999999998</v>
          </cell>
          <cell r="H2023">
            <v>91.76</v>
          </cell>
          <cell r="I2023">
            <v>0</v>
          </cell>
          <cell r="J2023">
            <v>91.76</v>
          </cell>
        </row>
        <row r="2024">
          <cell r="A2024" t="str">
            <v>LU1883871284</v>
          </cell>
          <cell r="B2024" t="str">
            <v>AMUNDI FUNDS SUSTAINABLE TOP EUROPEAN PLAYERS</v>
          </cell>
          <cell r="C2024" t="str">
            <v>Class R2 GBP (C)</v>
          </cell>
          <cell r="D2024" t="str">
            <v>GBP</v>
          </cell>
          <cell r="E2024" t="str">
            <v>03-Jan-2022</v>
          </cell>
          <cell r="F2024">
            <v>70357.45</v>
          </cell>
          <cell r="G2024">
            <v>602.42899999999997</v>
          </cell>
          <cell r="H2024">
            <v>116.79</v>
          </cell>
          <cell r="I2024">
            <v>0</v>
          </cell>
          <cell r="J2024">
            <v>116.79</v>
          </cell>
        </row>
        <row r="2025">
          <cell r="A2025" t="str">
            <v>LU1883871441</v>
          </cell>
          <cell r="B2025" t="str">
            <v>AMUNDI FUNDS SUSTAINABLE TOP EUROPEAN PLAYERS</v>
          </cell>
          <cell r="C2025" t="str">
            <v>Class R2 USD Hgd (C)</v>
          </cell>
          <cell r="D2025" t="str">
            <v>USD</v>
          </cell>
          <cell r="E2025" t="str">
            <v>03-Jan-2022</v>
          </cell>
          <cell r="F2025">
            <v>430065</v>
          </cell>
          <cell r="G2025">
            <v>5614.8459999999995</v>
          </cell>
          <cell r="H2025">
            <v>76.59</v>
          </cell>
          <cell r="I2025">
            <v>0</v>
          </cell>
          <cell r="J2025">
            <v>76.59</v>
          </cell>
        </row>
        <row r="2026">
          <cell r="A2026" t="str">
            <v>LU1883870989</v>
          </cell>
          <cell r="B2026" t="str">
            <v>AMUNDI FUNDS SUSTAINABLE TOP EUROPEAN PLAYERS</v>
          </cell>
          <cell r="C2026" t="str">
            <v>Class P2 USD (C)</v>
          </cell>
          <cell r="D2026" t="str">
            <v>USD</v>
          </cell>
          <cell r="E2026" t="str">
            <v>03-Jan-2022</v>
          </cell>
          <cell r="F2026">
            <v>539824.37</v>
          </cell>
          <cell r="G2026">
            <v>6550.6170000000002</v>
          </cell>
          <cell r="H2026">
            <v>82.41</v>
          </cell>
          <cell r="I2026">
            <v>0</v>
          </cell>
          <cell r="J2026">
            <v>82.41</v>
          </cell>
        </row>
        <row r="2027">
          <cell r="A2027" t="str">
            <v>LU1883871011</v>
          </cell>
          <cell r="B2027" t="str">
            <v>AMUNDI FUNDS SUSTAINABLE TOP EUROPEAN PLAYERS</v>
          </cell>
          <cell r="C2027" t="str">
            <v>Class P2 USD Hgd (C)</v>
          </cell>
          <cell r="D2027" t="str">
            <v>USD</v>
          </cell>
          <cell r="E2027" t="str">
            <v>03-Jan-2022</v>
          </cell>
          <cell r="F2027">
            <v>278196.83</v>
          </cell>
          <cell r="G2027">
            <v>3200.2289999999998</v>
          </cell>
          <cell r="H2027">
            <v>86.93</v>
          </cell>
          <cell r="I2027">
            <v>0</v>
          </cell>
          <cell r="J2027">
            <v>86.93</v>
          </cell>
        </row>
        <row r="2028">
          <cell r="A2028" t="str">
            <v>LU1883872092</v>
          </cell>
          <cell r="B2028" t="str">
            <v>AMUNDI FUNDS SUSTAINABLE TOP EUROPEAN PLAYERS</v>
          </cell>
          <cell r="C2028" t="str">
            <v>Class U USD (C)</v>
          </cell>
          <cell r="D2028" t="str">
            <v>USD</v>
          </cell>
          <cell r="E2028" t="str">
            <v>03-Jan-2022</v>
          </cell>
          <cell r="F2028">
            <v>6544782.3499999996</v>
          </cell>
          <cell r="G2028">
            <v>97277.656000000003</v>
          </cell>
          <cell r="H2028">
            <v>67.28</v>
          </cell>
          <cell r="I2028">
            <v>0</v>
          </cell>
          <cell r="J2028">
            <v>67.28</v>
          </cell>
        </row>
        <row r="2029">
          <cell r="A2029" t="str">
            <v>LU1883871953</v>
          </cell>
          <cell r="B2029" t="str">
            <v>AMUNDI FUNDS SUSTAINABLE TOP EUROPEAN PLAYERS</v>
          </cell>
          <cell r="C2029" t="str">
            <v>Class U EUR (C)</v>
          </cell>
          <cell r="D2029" t="str">
            <v>EUR</v>
          </cell>
          <cell r="E2029" t="str">
            <v>03-Jan-2022</v>
          </cell>
          <cell r="F2029">
            <v>954381.23</v>
          </cell>
          <cell r="G2029">
            <v>16017.317999999999</v>
          </cell>
          <cell r="H2029">
            <v>59.58</v>
          </cell>
          <cell r="I2029">
            <v>0</v>
          </cell>
          <cell r="J2029">
            <v>59.58</v>
          </cell>
        </row>
        <row r="2030">
          <cell r="A2030" t="str">
            <v>LU1883872175</v>
          </cell>
          <cell r="B2030" t="str">
            <v>AMUNDI FUNDS SUSTAINABLE TOP EUROPEAN PLAYERS</v>
          </cell>
          <cell r="C2030" t="str">
            <v>Class U USD Hgd (C)</v>
          </cell>
          <cell r="D2030" t="str">
            <v>USD</v>
          </cell>
          <cell r="E2030" t="str">
            <v>03-Jan-2022</v>
          </cell>
          <cell r="F2030">
            <v>5465919.7999999998</v>
          </cell>
          <cell r="G2030">
            <v>85285.464999999997</v>
          </cell>
          <cell r="H2030">
            <v>64.09</v>
          </cell>
          <cell r="I2030">
            <v>0</v>
          </cell>
          <cell r="J2030">
            <v>64.09</v>
          </cell>
        </row>
        <row r="2031">
          <cell r="A2031" t="str">
            <v>LU1883871367</v>
          </cell>
          <cell r="B2031" t="str">
            <v>AMUNDI FUNDS SUSTAINABLE TOP EUROPEAN PLAYERS</v>
          </cell>
          <cell r="C2031" t="str">
            <v>Class R2 USD (C)</v>
          </cell>
          <cell r="D2031" t="str">
            <v>USD</v>
          </cell>
          <cell r="E2031" t="str">
            <v>03-Jan-2022</v>
          </cell>
          <cell r="F2031">
            <v>474978.19</v>
          </cell>
          <cell r="G2031">
            <v>4585.6620000000003</v>
          </cell>
          <cell r="H2031">
            <v>103.58</v>
          </cell>
          <cell r="I2031">
            <v>0</v>
          </cell>
          <cell r="J2031">
            <v>103.58</v>
          </cell>
        </row>
        <row r="2032">
          <cell r="A2032" t="str">
            <v>LU1998917402</v>
          </cell>
          <cell r="B2032" t="str">
            <v>AMUNDI FUNDS SUSTAINABLE TOP EUROPEAN PLAYERS</v>
          </cell>
          <cell r="C2032" t="str">
            <v>Class X EUR (C)</v>
          </cell>
          <cell r="D2032" t="str">
            <v>EUR</v>
          </cell>
          <cell r="E2032" t="str">
            <v>03-Jan-2022</v>
          </cell>
          <cell r="F2032">
            <v>148276.70000000001</v>
          </cell>
          <cell r="G2032">
            <v>101.5</v>
          </cell>
          <cell r="H2032">
            <v>1460.85</v>
          </cell>
          <cell r="I2032">
            <v>0</v>
          </cell>
          <cell r="J2032">
            <v>1460.85</v>
          </cell>
        </row>
        <row r="2033">
          <cell r="A2033" t="str">
            <v>LU1880407488</v>
          </cell>
          <cell r="B2033" t="str">
            <v>AMUNDI FUNDS SUSTAINABLE TOP EUROPEAN PLAYERS</v>
          </cell>
          <cell r="C2033" t="str">
            <v>Class I EUR (C)</v>
          </cell>
          <cell r="D2033" t="str">
            <v>EUR</v>
          </cell>
          <cell r="E2033" t="str">
            <v>03-Jan-2022</v>
          </cell>
          <cell r="F2033">
            <v>8920.59</v>
          </cell>
          <cell r="G2033">
            <v>6.383</v>
          </cell>
          <cell r="H2033">
            <v>1397.55</v>
          </cell>
          <cell r="I2033">
            <v>0</v>
          </cell>
          <cell r="J2033">
            <v>1397.55</v>
          </cell>
        </row>
        <row r="2034">
          <cell r="A2034" t="str">
            <v>LU1880407561</v>
          </cell>
          <cell r="B2034" t="str">
            <v>AMUNDI FUNDS SUSTAINABLE TOP EUROPEAN PLAYERS</v>
          </cell>
          <cell r="C2034" t="str">
            <v>Class I EUR AD (D)</v>
          </cell>
          <cell r="D2034" t="str">
            <v>EUR</v>
          </cell>
          <cell r="E2034" t="str">
            <v>03-Jan-2022</v>
          </cell>
          <cell r="F2034">
            <v>1627.32</v>
          </cell>
          <cell r="G2034">
            <v>1.22</v>
          </cell>
          <cell r="H2034">
            <v>1333.87</v>
          </cell>
          <cell r="I2034">
            <v>0</v>
          </cell>
          <cell r="J2034">
            <v>1333.87</v>
          </cell>
        </row>
        <row r="2035">
          <cell r="A2035" t="str">
            <v>LU1880408379</v>
          </cell>
          <cell r="B2035" t="str">
            <v>AMUNDI FUNDS SUSTAINABLE TOP EUROPEAN PLAYERS</v>
          </cell>
          <cell r="C2035" t="str">
            <v>Class Z EUR (C)</v>
          </cell>
          <cell r="D2035" t="str">
            <v>EUR</v>
          </cell>
          <cell r="E2035" t="str">
            <v>03-Jan-2022</v>
          </cell>
          <cell r="F2035">
            <v>4538191.21</v>
          </cell>
          <cell r="G2035">
            <v>3211.56</v>
          </cell>
          <cell r="H2035">
            <v>1413.08</v>
          </cell>
          <cell r="I2035">
            <v>0</v>
          </cell>
          <cell r="J2035">
            <v>1413.08</v>
          </cell>
        </row>
        <row r="2036">
          <cell r="A2036" t="str">
            <v>LU1880408452</v>
          </cell>
          <cell r="B2036" t="str">
            <v>AMUNDI FUNDS SUSTAINABLE TOP EUROPEAN PLAYERS</v>
          </cell>
          <cell r="C2036" t="str">
            <v>Class Z EUR AD (D)</v>
          </cell>
          <cell r="D2036" t="str">
            <v>EUR</v>
          </cell>
          <cell r="E2036" t="str">
            <v>03-Jan-2022</v>
          </cell>
          <cell r="F2036">
            <v>81075341.75</v>
          </cell>
          <cell r="G2036">
            <v>60971.54</v>
          </cell>
          <cell r="H2036">
            <v>1329.72</v>
          </cell>
          <cell r="I2036">
            <v>0</v>
          </cell>
          <cell r="J2036">
            <v>1329.72</v>
          </cell>
        </row>
        <row r="2037">
          <cell r="A2037" t="str">
            <v>LU2305762036</v>
          </cell>
          <cell r="B2037" t="str">
            <v>AMUNDI FUNDS EMERGING MARKETS GREEN BOND</v>
          </cell>
          <cell r="C2037" t="str">
            <v>Class A2 USD MD3 (D)</v>
          </cell>
          <cell r="D2037" t="str">
            <v>USD</v>
          </cell>
          <cell r="E2037" t="str">
            <v>03-Jan-2022</v>
          </cell>
          <cell r="F2037">
            <v>4715.54</v>
          </cell>
          <cell r="G2037">
            <v>100</v>
          </cell>
          <cell r="H2037">
            <v>47.16</v>
          </cell>
          <cell r="I2037">
            <v>0.1837</v>
          </cell>
          <cell r="J2037">
            <v>47.16</v>
          </cell>
        </row>
        <row r="2038">
          <cell r="A2038" t="str">
            <v>LU2138387506</v>
          </cell>
          <cell r="B2038" t="str">
            <v>AMUNDI FUNDS EMERGING MARKETS GREEN BOND</v>
          </cell>
          <cell r="C2038" t="str">
            <v>Class A2 USD (C)</v>
          </cell>
          <cell r="D2038" t="str">
            <v>USD</v>
          </cell>
          <cell r="E2038" t="str">
            <v>03-Jan-2022</v>
          </cell>
          <cell r="F2038">
            <v>5132.74</v>
          </cell>
          <cell r="G2038">
            <v>100</v>
          </cell>
          <cell r="H2038">
            <v>51.33</v>
          </cell>
          <cell r="I2038">
            <v>0</v>
          </cell>
          <cell r="J2038">
            <v>53.64</v>
          </cell>
        </row>
        <row r="2039">
          <cell r="A2039" t="str">
            <v>LU2305762119</v>
          </cell>
          <cell r="B2039" t="str">
            <v>AMUNDI FUNDS EMERGING MARKETS GREEN BOND</v>
          </cell>
          <cell r="C2039" t="str">
            <v>Class A2 HKD MD3 (D)</v>
          </cell>
          <cell r="D2039" t="str">
            <v>HKD</v>
          </cell>
          <cell r="E2039" t="str">
            <v>03-Jan-2022</v>
          </cell>
          <cell r="F2039">
            <v>47238.57</v>
          </cell>
          <cell r="G2039">
            <v>1000</v>
          </cell>
          <cell r="H2039">
            <v>47.24</v>
          </cell>
          <cell r="I2039">
            <v>0.1837</v>
          </cell>
          <cell r="J2039">
            <v>47.24</v>
          </cell>
        </row>
        <row r="2040">
          <cell r="A2040" t="str">
            <v>LU2138398024</v>
          </cell>
          <cell r="B2040" t="str">
            <v>AMUNDI FUNDS EMERGING MARKETS GREEN BOND</v>
          </cell>
          <cell r="C2040" t="str">
            <v>Class A USD (C)</v>
          </cell>
          <cell r="D2040" t="str">
            <v>USD</v>
          </cell>
          <cell r="E2040" t="str">
            <v>03-Jan-2022</v>
          </cell>
          <cell r="F2040">
            <v>706072.85</v>
          </cell>
          <cell r="G2040">
            <v>13848.092000000001</v>
          </cell>
          <cell r="H2040">
            <v>50.99</v>
          </cell>
          <cell r="I2040">
            <v>0</v>
          </cell>
          <cell r="J2040">
            <v>53.28</v>
          </cell>
        </row>
        <row r="2041">
          <cell r="A2041" t="str">
            <v>LU2305763786</v>
          </cell>
          <cell r="B2041" t="str">
            <v>AMUNDI FUNDS EMERGING MARKETS GREEN BOND</v>
          </cell>
          <cell r="C2041" t="str">
            <v>Class A2 RMB Hgd MD3 (D)</v>
          </cell>
          <cell r="D2041" t="str">
            <v>CNH</v>
          </cell>
          <cell r="E2041" t="str">
            <v>03-Jan-2022</v>
          </cell>
          <cell r="F2041">
            <v>754595.82</v>
          </cell>
          <cell r="G2041">
            <v>16000</v>
          </cell>
          <cell r="H2041">
            <v>47.16</v>
          </cell>
          <cell r="I2041">
            <v>0.31040000000000001</v>
          </cell>
          <cell r="J2041">
            <v>47.16</v>
          </cell>
        </row>
        <row r="2042">
          <cell r="A2042" t="str">
            <v>LU2305762200</v>
          </cell>
          <cell r="B2042" t="str">
            <v>AMUNDI FUNDS EMERGING MARKETS GREEN BOND</v>
          </cell>
          <cell r="C2042" t="str">
            <v>Class A2 AUD Hgd MD3 (D)</v>
          </cell>
          <cell r="D2042" t="str">
            <v>AUD</v>
          </cell>
          <cell r="E2042" t="str">
            <v>03-Jan-2022</v>
          </cell>
          <cell r="F2042">
            <v>170110.42</v>
          </cell>
          <cell r="G2042">
            <v>3610.2559999999999</v>
          </cell>
          <cell r="H2042">
            <v>47.12</v>
          </cell>
          <cell r="I2042">
            <v>0.17649999999999999</v>
          </cell>
          <cell r="J2042">
            <v>47.12</v>
          </cell>
        </row>
        <row r="2043">
          <cell r="A2043" t="str">
            <v>LU2138390393</v>
          </cell>
          <cell r="B2043" t="str">
            <v>AMUNDI FUNDS EMERGING MARKETS GREEN BOND</v>
          </cell>
          <cell r="C2043" t="str">
            <v>Class E2 EUR (C)</v>
          </cell>
          <cell r="D2043" t="str">
            <v>EUR</v>
          </cell>
          <cell r="E2043" t="str">
            <v>03-Jan-2022</v>
          </cell>
          <cell r="F2043">
            <v>29585994</v>
          </cell>
          <cell r="G2043">
            <v>5754264.7810000004</v>
          </cell>
          <cell r="H2043">
            <v>5.1420000000000003</v>
          </cell>
          <cell r="I2043">
            <v>0</v>
          </cell>
          <cell r="J2043">
            <v>5.3479999999999999</v>
          </cell>
        </row>
        <row r="2044">
          <cell r="A2044" t="str">
            <v>LU2259110968</v>
          </cell>
          <cell r="B2044" t="str">
            <v>AMUNDI FUNDS EMERGING MARKETS GREEN BOND</v>
          </cell>
          <cell r="C2044" t="str">
            <v>Class E2 EUR Hgd (C)</v>
          </cell>
          <cell r="D2044" t="str">
            <v>EUR</v>
          </cell>
          <cell r="E2044" t="str">
            <v>03-Jan-2022</v>
          </cell>
          <cell r="F2044">
            <v>44879761.890000001</v>
          </cell>
          <cell r="G2044">
            <v>9382574.6600000001</v>
          </cell>
          <cell r="H2044">
            <v>4.7830000000000004</v>
          </cell>
          <cell r="I2044">
            <v>0</v>
          </cell>
          <cell r="J2044">
            <v>4.9740000000000002</v>
          </cell>
        </row>
        <row r="2045">
          <cell r="A2045" t="str">
            <v>LU2138390716</v>
          </cell>
          <cell r="B2045" t="str">
            <v>AMUNDI FUNDS EMERGING MARKETS GREEN BOND</v>
          </cell>
          <cell r="C2045" t="str">
            <v>Class F EUR (C)</v>
          </cell>
          <cell r="D2045" t="str">
            <v>EUR</v>
          </cell>
          <cell r="E2045" t="str">
            <v>03-Jan-2022</v>
          </cell>
          <cell r="F2045">
            <v>962623.4</v>
          </cell>
          <cell r="G2045">
            <v>189023.58199999999</v>
          </cell>
          <cell r="H2045">
            <v>5.093</v>
          </cell>
          <cell r="I2045">
            <v>0</v>
          </cell>
          <cell r="J2045">
            <v>5.093</v>
          </cell>
        </row>
        <row r="2046">
          <cell r="A2046" t="str">
            <v>LU2138388579</v>
          </cell>
          <cell r="B2046" t="str">
            <v>AMUNDI FUNDS EMERGING MARKETS GREEN BOND</v>
          </cell>
          <cell r="C2046" t="str">
            <v>Class I2 GBP Hgd (C)</v>
          </cell>
          <cell r="D2046" t="str">
            <v>GBP</v>
          </cell>
          <cell r="E2046" t="str">
            <v>03-Jan-2022</v>
          </cell>
          <cell r="F2046">
            <v>25610376.07</v>
          </cell>
          <cell r="G2046">
            <v>24748.976999999999</v>
          </cell>
          <cell r="H2046">
            <v>1034.81</v>
          </cell>
          <cell r="I2046">
            <v>0</v>
          </cell>
          <cell r="J2046">
            <v>1034.81</v>
          </cell>
        </row>
        <row r="2047">
          <cell r="A2047" t="str">
            <v>LU2138388223</v>
          </cell>
          <cell r="B2047" t="str">
            <v>AMUNDI FUNDS EMERGING MARKETS GREEN BOND</v>
          </cell>
          <cell r="C2047" t="str">
            <v>Class I2 USD (C)</v>
          </cell>
          <cell r="D2047" t="str">
            <v>USD</v>
          </cell>
          <cell r="E2047" t="str">
            <v>03-Jan-2022</v>
          </cell>
          <cell r="F2047">
            <v>20776276.460000001</v>
          </cell>
          <cell r="G2047">
            <v>19931.116000000002</v>
          </cell>
          <cell r="H2047">
            <v>1042.4000000000001</v>
          </cell>
          <cell r="I2047">
            <v>0</v>
          </cell>
          <cell r="J2047">
            <v>1042.4000000000001</v>
          </cell>
        </row>
        <row r="2048">
          <cell r="A2048" t="str">
            <v>LU2359303745</v>
          </cell>
          <cell r="B2048" t="str">
            <v>AMUNDI FUNDS EMERGING MARKETS GREEN BOND</v>
          </cell>
          <cell r="C2048" t="str">
            <v>Class I2 GBP (C)</v>
          </cell>
          <cell r="D2048" t="str">
            <v>GBP</v>
          </cell>
          <cell r="E2048" t="str">
            <v>03-Jan-2022</v>
          </cell>
          <cell r="F2048">
            <v>4909.55</v>
          </cell>
          <cell r="G2048">
            <v>5</v>
          </cell>
          <cell r="H2048">
            <v>981.91</v>
          </cell>
          <cell r="I2048">
            <v>0</v>
          </cell>
          <cell r="J2048">
            <v>981.91</v>
          </cell>
        </row>
        <row r="2049">
          <cell r="A2049" t="str">
            <v>LU2138388736</v>
          </cell>
          <cell r="B2049" t="str">
            <v>AMUNDI FUNDS EMERGING MARKETS GREEN BOND</v>
          </cell>
          <cell r="C2049" t="str">
            <v>Class I2 EUR Hgd (C)</v>
          </cell>
          <cell r="D2049" t="str">
            <v>EUR</v>
          </cell>
          <cell r="E2049" t="str">
            <v>03-Jan-2022</v>
          </cell>
          <cell r="F2049">
            <v>1638362.07</v>
          </cell>
          <cell r="G2049">
            <v>1600.5239999999999</v>
          </cell>
          <cell r="H2049">
            <v>1023.64</v>
          </cell>
          <cell r="I2049">
            <v>0</v>
          </cell>
          <cell r="J2049">
            <v>1023.64</v>
          </cell>
        </row>
        <row r="2050">
          <cell r="A2050" t="str">
            <v>LU2138388066</v>
          </cell>
          <cell r="B2050" t="str">
            <v>AMUNDI FUNDS EMERGING MARKETS GREEN BOND</v>
          </cell>
          <cell r="C2050" t="str">
            <v>Class I USD (C)</v>
          </cell>
          <cell r="D2050" t="str">
            <v>USD</v>
          </cell>
          <cell r="E2050" t="str">
            <v>03-Jan-2022</v>
          </cell>
          <cell r="F2050">
            <v>659447.12</v>
          </cell>
          <cell r="G2050">
            <v>634.11800000000005</v>
          </cell>
          <cell r="H2050">
            <v>1039.94</v>
          </cell>
          <cell r="I2050">
            <v>0</v>
          </cell>
          <cell r="J2050">
            <v>1039.94</v>
          </cell>
        </row>
        <row r="2051">
          <cell r="A2051" t="str">
            <v>LU2138388900</v>
          </cell>
          <cell r="B2051" t="str">
            <v>AMUNDI FUNDS EMERGING MARKETS GREEN BOND</v>
          </cell>
          <cell r="C2051" t="str">
            <v>Class J USD (C)</v>
          </cell>
          <cell r="D2051" t="str">
            <v>USD</v>
          </cell>
          <cell r="E2051" t="str">
            <v>03-Jan-2022</v>
          </cell>
          <cell r="F2051">
            <v>5222.38</v>
          </cell>
          <cell r="G2051">
            <v>5</v>
          </cell>
          <cell r="H2051">
            <v>1044.48</v>
          </cell>
          <cell r="I2051">
            <v>0</v>
          </cell>
          <cell r="J2051">
            <v>1044.48</v>
          </cell>
        </row>
        <row r="2052">
          <cell r="A2052" t="str">
            <v>LU2138389387</v>
          </cell>
          <cell r="B2052" t="str">
            <v>AMUNDI FUNDS EMERGING MARKETS GREEN BOND</v>
          </cell>
          <cell r="C2052" t="str">
            <v>Class J EUR Hgd (C)</v>
          </cell>
          <cell r="D2052" t="str">
            <v>EUR</v>
          </cell>
          <cell r="E2052" t="str">
            <v>03-Jan-2022</v>
          </cell>
          <cell r="F2052">
            <v>10270.11</v>
          </cell>
          <cell r="G2052">
            <v>10</v>
          </cell>
          <cell r="H2052">
            <v>1027.01</v>
          </cell>
          <cell r="I2052">
            <v>0</v>
          </cell>
          <cell r="J2052">
            <v>1027.01</v>
          </cell>
        </row>
        <row r="2053">
          <cell r="A2053" t="str">
            <v>LU2138389114</v>
          </cell>
          <cell r="B2053" t="str">
            <v>AMUNDI FUNDS EMERGING MARKETS GREEN BOND</v>
          </cell>
          <cell r="C2053" t="str">
            <v>Class J2 USD (C)</v>
          </cell>
          <cell r="D2053" t="str">
            <v>USD</v>
          </cell>
          <cell r="E2053" t="str">
            <v>03-Jan-2022</v>
          </cell>
          <cell r="F2053">
            <v>5225.8900000000003</v>
          </cell>
          <cell r="G2053">
            <v>5</v>
          </cell>
          <cell r="H2053">
            <v>1045.18</v>
          </cell>
          <cell r="I2053">
            <v>0</v>
          </cell>
          <cell r="J2053">
            <v>1045.18</v>
          </cell>
        </row>
        <row r="2054">
          <cell r="A2054" t="str">
            <v>LU2138389460</v>
          </cell>
          <cell r="B2054" t="str">
            <v>AMUNDI FUNDS EMERGING MARKETS GREEN BOND</v>
          </cell>
          <cell r="C2054" t="str">
            <v>Class J2 EUR Hgd (C)</v>
          </cell>
          <cell r="D2054" t="str">
            <v>EUR</v>
          </cell>
          <cell r="E2054" t="str">
            <v>03-Jan-2022</v>
          </cell>
          <cell r="F2054">
            <v>10260.18</v>
          </cell>
          <cell r="G2054">
            <v>10</v>
          </cell>
          <cell r="H2054">
            <v>1026.02</v>
          </cell>
          <cell r="I2054">
            <v>0</v>
          </cell>
          <cell r="J2054">
            <v>1026.02</v>
          </cell>
        </row>
        <row r="2055">
          <cell r="A2055" t="str">
            <v>LU2138390047</v>
          </cell>
          <cell r="B2055" t="str">
            <v>AMUNDI FUNDS EMERGING MARKETS GREEN BOND</v>
          </cell>
          <cell r="C2055" t="str">
            <v>Class M2 EUR Hgd (C)</v>
          </cell>
          <cell r="D2055" t="str">
            <v>EUR</v>
          </cell>
          <cell r="E2055" t="str">
            <v>03-Jan-2022</v>
          </cell>
          <cell r="F2055">
            <v>10238.200000000001</v>
          </cell>
          <cell r="G2055">
            <v>10</v>
          </cell>
          <cell r="H2055">
            <v>1023.82</v>
          </cell>
          <cell r="I2055">
            <v>0</v>
          </cell>
          <cell r="J2055">
            <v>1023.82</v>
          </cell>
        </row>
        <row r="2056">
          <cell r="A2056" t="str">
            <v>LU2138389890</v>
          </cell>
          <cell r="B2056" t="str">
            <v>AMUNDI FUNDS EMERGING MARKETS GREEN BOND</v>
          </cell>
          <cell r="C2056" t="str">
            <v>Class M2 EUR (C)</v>
          </cell>
          <cell r="D2056" t="str">
            <v>EUR</v>
          </cell>
          <cell r="E2056" t="str">
            <v>03-Jan-2022</v>
          </cell>
          <cell r="F2056">
            <v>7539321.8300000001</v>
          </cell>
          <cell r="G2056">
            <v>7236.25</v>
          </cell>
          <cell r="H2056">
            <v>1041.8800000000001</v>
          </cell>
          <cell r="I2056">
            <v>0</v>
          </cell>
          <cell r="J2056">
            <v>1041.8800000000001</v>
          </cell>
        </row>
        <row r="2057">
          <cell r="A2057" t="str">
            <v>LU2347634581</v>
          </cell>
          <cell r="B2057" t="str">
            <v>AMUNDI FUNDS EMERGING MARKETS GREEN BOND</v>
          </cell>
          <cell r="C2057" t="str">
            <v>Class R2 GBP Hgd (C)</v>
          </cell>
          <cell r="D2057" t="str">
            <v>GBP</v>
          </cell>
          <cell r="E2057" t="str">
            <v>03-Jan-2022</v>
          </cell>
          <cell r="F2057">
            <v>98023.6</v>
          </cell>
          <cell r="G2057">
            <v>2029.28</v>
          </cell>
          <cell r="H2057">
            <v>48.3</v>
          </cell>
          <cell r="I2057">
            <v>0</v>
          </cell>
          <cell r="J2057">
            <v>48.3</v>
          </cell>
        </row>
        <row r="2058">
          <cell r="A2058" t="str">
            <v>LU2368111824</v>
          </cell>
          <cell r="B2058" t="str">
            <v>AMUNDI FUNDS EMERGING MARKETS GREEN BOND</v>
          </cell>
          <cell r="C2058" t="str">
            <v>Class R4 EUR Hgd (D)</v>
          </cell>
          <cell r="D2058" t="str">
            <v>EUR</v>
          </cell>
          <cell r="E2058" t="str">
            <v>03-Jan-2022</v>
          </cell>
          <cell r="F2058">
            <v>16664114.93</v>
          </cell>
          <cell r="G2058">
            <v>345783</v>
          </cell>
          <cell r="H2058">
            <v>48.19</v>
          </cell>
          <cell r="I2058">
            <v>0</v>
          </cell>
          <cell r="J2058">
            <v>48.19</v>
          </cell>
        </row>
        <row r="2059">
          <cell r="A2059" t="str">
            <v>LU2368112046</v>
          </cell>
          <cell r="B2059" t="str">
            <v>AMUNDI FUNDS EMERGING MARKETS GREEN BOND</v>
          </cell>
          <cell r="C2059" t="str">
            <v>Class R4 USD AD (D)</v>
          </cell>
          <cell r="D2059" t="str">
            <v>USD</v>
          </cell>
          <cell r="E2059" t="str">
            <v>03-Jan-2022</v>
          </cell>
          <cell r="F2059">
            <v>273003.71000000002</v>
          </cell>
          <cell r="G2059">
            <v>5620</v>
          </cell>
          <cell r="H2059">
            <v>48.58</v>
          </cell>
          <cell r="I2059">
            <v>0</v>
          </cell>
          <cell r="J2059">
            <v>48.58</v>
          </cell>
        </row>
        <row r="2060">
          <cell r="A2060" t="str">
            <v>LU2368111741</v>
          </cell>
          <cell r="B2060" t="str">
            <v>AMUNDI FUNDS EMERGING MARKETS GREEN BOND</v>
          </cell>
          <cell r="C2060" t="str">
            <v>Class R4 GBP H AD (D)</v>
          </cell>
          <cell r="D2060" t="str">
            <v>GBP</v>
          </cell>
          <cell r="E2060" t="str">
            <v>03-Jan-2022</v>
          </cell>
          <cell r="F2060">
            <v>40658822.109999999</v>
          </cell>
          <cell r="G2060">
            <v>847115.41700000002</v>
          </cell>
          <cell r="H2060">
            <v>48</v>
          </cell>
          <cell r="I2060">
            <v>0</v>
          </cell>
          <cell r="J2060">
            <v>48</v>
          </cell>
        </row>
        <row r="2061">
          <cell r="A2061" t="str">
            <v>LU2138387845</v>
          </cell>
          <cell r="B2061" t="str">
            <v>AMUNDI FUNDS EMERGING MARKETS GREEN BOND</v>
          </cell>
          <cell r="C2061" t="str">
            <v>Class R2 USD (C)</v>
          </cell>
          <cell r="D2061" t="str">
            <v>USD</v>
          </cell>
          <cell r="E2061" t="str">
            <v>03-Jan-2022</v>
          </cell>
          <cell r="F2061">
            <v>5186.29</v>
          </cell>
          <cell r="G2061">
            <v>100</v>
          </cell>
          <cell r="H2061">
            <v>51.86</v>
          </cell>
          <cell r="I2061">
            <v>0</v>
          </cell>
          <cell r="J2061">
            <v>51.86</v>
          </cell>
        </row>
        <row r="2062">
          <cell r="A2062" t="str">
            <v>LU2259109952</v>
          </cell>
          <cell r="B2062" t="str">
            <v>AMUNDI FUNDS EMERGING MARKETS GREEN BOND</v>
          </cell>
          <cell r="C2062" t="str">
            <v>Class R2 GBP (C)</v>
          </cell>
          <cell r="D2062" t="str">
            <v>GBP</v>
          </cell>
          <cell r="E2062" t="str">
            <v>03-Jan-2022</v>
          </cell>
          <cell r="F2062">
            <v>4845.5600000000004</v>
          </cell>
          <cell r="G2062">
            <v>100</v>
          </cell>
          <cell r="H2062">
            <v>48.46</v>
          </cell>
          <cell r="I2062">
            <v>0</v>
          </cell>
          <cell r="J2062">
            <v>48.46</v>
          </cell>
        </row>
        <row r="2063">
          <cell r="A2063" t="str">
            <v>LU2347634409</v>
          </cell>
          <cell r="B2063" t="str">
            <v>AMUNDI FUNDS EMERGING MARKETS GREEN BOND</v>
          </cell>
          <cell r="C2063" t="str">
            <v>Class R4 USD (C)</v>
          </cell>
          <cell r="D2063" t="str">
            <v>USD</v>
          </cell>
          <cell r="E2063" t="str">
            <v>03-Jan-2022</v>
          </cell>
          <cell r="F2063">
            <v>3998644.66</v>
          </cell>
          <cell r="G2063">
            <v>83017</v>
          </cell>
          <cell r="H2063">
            <v>48.17</v>
          </cell>
          <cell r="I2063">
            <v>0</v>
          </cell>
          <cell r="J2063">
            <v>48.17</v>
          </cell>
        </row>
        <row r="2064">
          <cell r="A2064" t="str">
            <v>LU2347634318</v>
          </cell>
          <cell r="B2064" t="str">
            <v>AMUNDI FUNDS EMERGING MARKETS GREEN BOND</v>
          </cell>
          <cell r="C2064" t="str">
            <v>Class R4 GBP Hgd (C)</v>
          </cell>
          <cell r="D2064" t="str">
            <v>GBP</v>
          </cell>
          <cell r="E2064" t="str">
            <v>03-Jan-2022</v>
          </cell>
          <cell r="F2064">
            <v>3064288.97</v>
          </cell>
          <cell r="G2064">
            <v>63904.385999999999</v>
          </cell>
          <cell r="H2064">
            <v>47.95</v>
          </cell>
          <cell r="I2064">
            <v>0</v>
          </cell>
          <cell r="J2064">
            <v>47.95</v>
          </cell>
        </row>
        <row r="2065">
          <cell r="A2065" t="str">
            <v>LU2347636875</v>
          </cell>
          <cell r="B2065" t="str">
            <v>AMUNDI FUNDS EMERGING MARKETS GREEN BOND</v>
          </cell>
          <cell r="C2065" t="str">
            <v>Class R4 EUR Hgd (C)</v>
          </cell>
          <cell r="D2065" t="str">
            <v>EUR</v>
          </cell>
          <cell r="E2065" t="str">
            <v>03-Jan-2022</v>
          </cell>
          <cell r="F2065">
            <v>195895636.53</v>
          </cell>
          <cell r="G2065">
            <v>4063379.764</v>
          </cell>
          <cell r="H2065">
            <v>48.21</v>
          </cell>
          <cell r="I2065">
            <v>0</v>
          </cell>
          <cell r="J2065">
            <v>48.21</v>
          </cell>
        </row>
        <row r="2066">
          <cell r="A2066" t="str">
            <v>LU2138387688</v>
          </cell>
          <cell r="B2066" t="str">
            <v>AMUNDI FUNDS EMERGING MARKETS GREEN BOND</v>
          </cell>
          <cell r="C2066" t="str">
            <v>Class R USD (C)</v>
          </cell>
          <cell r="D2066" t="str">
            <v>USD</v>
          </cell>
          <cell r="E2066" t="str">
            <v>03-Jan-2022</v>
          </cell>
          <cell r="F2066">
            <v>384123.16</v>
          </cell>
          <cell r="G2066">
            <v>7400</v>
          </cell>
          <cell r="H2066">
            <v>51.91</v>
          </cell>
          <cell r="I2066">
            <v>0</v>
          </cell>
          <cell r="J2066">
            <v>51.91</v>
          </cell>
        </row>
        <row r="2067">
          <cell r="A2067" t="str">
            <v>LU2259111008</v>
          </cell>
          <cell r="B2067" t="str">
            <v>AMUNDI FUNDS EMERGING MARKETS GREEN BOND</v>
          </cell>
          <cell r="C2067" t="str">
            <v>Class G EUR Hgd (C)</v>
          </cell>
          <cell r="D2067" t="str">
            <v>EUR</v>
          </cell>
          <cell r="E2067" t="str">
            <v>03-Jan-2022</v>
          </cell>
          <cell r="F2067">
            <v>61231274.619999997</v>
          </cell>
          <cell r="G2067">
            <v>12798159.142000001</v>
          </cell>
          <cell r="H2067">
            <v>4.7839999999999998</v>
          </cell>
          <cell r="I2067">
            <v>0</v>
          </cell>
          <cell r="J2067">
            <v>4.9279999999999999</v>
          </cell>
        </row>
        <row r="2068">
          <cell r="A2068" t="str">
            <v>LU2138390559</v>
          </cell>
          <cell r="B2068" t="str">
            <v>AMUNDI FUNDS EMERGING MARKETS GREEN BOND</v>
          </cell>
          <cell r="C2068" t="str">
            <v>Class G EUR (C)</v>
          </cell>
          <cell r="D2068" t="str">
            <v>EUR</v>
          </cell>
          <cell r="E2068" t="str">
            <v>03-Jan-2022</v>
          </cell>
          <cell r="F2068">
            <v>38019446.380000003</v>
          </cell>
          <cell r="G2068">
            <v>7438110.9280000003</v>
          </cell>
          <cell r="H2068">
            <v>5.1109999999999998</v>
          </cell>
          <cell r="I2068">
            <v>0</v>
          </cell>
          <cell r="J2068">
            <v>5.2640000000000002</v>
          </cell>
        </row>
        <row r="2069">
          <cell r="A2069" t="str">
            <v>LU2138391102</v>
          </cell>
          <cell r="B2069" t="str">
            <v>AMUNDI FUNDS EMERGING MARKETS GREEN BOND</v>
          </cell>
          <cell r="C2069" t="str">
            <v>Class SE EUR Hgd (C)</v>
          </cell>
          <cell r="D2069" t="str">
            <v>EUR</v>
          </cell>
          <cell r="E2069" t="str">
            <v>03-Jan-2022</v>
          </cell>
          <cell r="F2069">
            <v>28696321.149999999</v>
          </cell>
          <cell r="G2069">
            <v>28000</v>
          </cell>
          <cell r="H2069">
            <v>1024.8699999999999</v>
          </cell>
          <cell r="I2069">
            <v>0</v>
          </cell>
          <cell r="J2069">
            <v>1024.8699999999999</v>
          </cell>
        </row>
        <row r="2070">
          <cell r="A2070" t="str">
            <v>LU2138390989</v>
          </cell>
          <cell r="B2070" t="str">
            <v>AMUNDI FUNDS EMERGING MARKETS GREEN BOND</v>
          </cell>
          <cell r="C2070" t="str">
            <v>Class SE USD (C)</v>
          </cell>
          <cell r="D2070" t="str">
            <v>USD</v>
          </cell>
          <cell r="E2070" t="str">
            <v>03-Jan-2022</v>
          </cell>
          <cell r="F2070">
            <v>25708368.739999998</v>
          </cell>
          <cell r="G2070">
            <v>24662</v>
          </cell>
          <cell r="H2070">
            <v>1042.43</v>
          </cell>
          <cell r="I2070">
            <v>0</v>
          </cell>
          <cell r="J2070">
            <v>1042.43</v>
          </cell>
        </row>
        <row r="2071">
          <cell r="A2071" t="str">
            <v>LU2138389544</v>
          </cell>
          <cell r="B2071" t="str">
            <v>AMUNDI FUNDS EMERGING MARKETS GREEN BOND</v>
          </cell>
          <cell r="C2071" t="str">
            <v>Class H EUR (C)</v>
          </cell>
          <cell r="D2071" t="str">
            <v>EUR</v>
          </cell>
          <cell r="E2071" t="str">
            <v>03-Jan-2022</v>
          </cell>
          <cell r="F2071">
            <v>30801850.190000001</v>
          </cell>
          <cell r="G2071">
            <v>29460.281999999999</v>
          </cell>
          <cell r="H2071">
            <v>1045.54</v>
          </cell>
          <cell r="I2071">
            <v>0</v>
          </cell>
          <cell r="J2071">
            <v>1045.54</v>
          </cell>
        </row>
        <row r="2072">
          <cell r="A2072" t="str">
            <v>LU2279408756</v>
          </cell>
          <cell r="B2072" t="str">
            <v>AMUNDI FUNDS EMERGING MARKETS GREEN BOND</v>
          </cell>
          <cell r="C2072" t="str">
            <v>Class Z EUR Hgd (C)</v>
          </cell>
          <cell r="D2072" t="str">
            <v>EUR</v>
          </cell>
          <cell r="E2072" t="str">
            <v>03-Jan-2022</v>
          </cell>
          <cell r="F2072">
            <v>1941656.81</v>
          </cell>
          <cell r="G2072">
            <v>2030.9680000000001</v>
          </cell>
          <cell r="H2072">
            <v>956.03</v>
          </cell>
          <cell r="I2072">
            <v>0</v>
          </cell>
          <cell r="J2072">
            <v>956.03</v>
          </cell>
        </row>
        <row r="2073">
          <cell r="A2073" t="str">
            <v>LU2339089166</v>
          </cell>
          <cell r="B2073" t="str">
            <v>AMUNDI FUNDS EMERGING MARKETS GREEN BOND</v>
          </cell>
          <cell r="C2073" t="str">
            <v>Class H EUR QD (D)</v>
          </cell>
          <cell r="D2073" t="str">
            <v>EUR</v>
          </cell>
          <cell r="E2073" t="str">
            <v>03-Jan-2022</v>
          </cell>
          <cell r="F2073">
            <v>2939719.8</v>
          </cell>
          <cell r="G2073">
            <v>2852.5740000000001</v>
          </cell>
          <cell r="H2073">
            <v>1030.55</v>
          </cell>
          <cell r="I2073">
            <v>0</v>
          </cell>
          <cell r="J2073">
            <v>1030.55</v>
          </cell>
        </row>
        <row r="2074">
          <cell r="A2074" t="str">
            <v>LU2359306920</v>
          </cell>
          <cell r="B2074" t="str">
            <v>AMUNDI FUNDS - EUROPEAN EQUITY ESG IMPROVERS</v>
          </cell>
          <cell r="C2074" t="str">
            <v>Class A2 EUR (C)</v>
          </cell>
          <cell r="D2074" t="str">
            <v>EUR</v>
          </cell>
          <cell r="E2074" t="str">
            <v>03-Jan-2022</v>
          </cell>
          <cell r="F2074">
            <v>12534297.83</v>
          </cell>
          <cell r="G2074">
            <v>226687.046</v>
          </cell>
          <cell r="H2074">
            <v>55.29</v>
          </cell>
          <cell r="I2074">
            <v>0</v>
          </cell>
          <cell r="J2074">
            <v>57.78</v>
          </cell>
        </row>
        <row r="2075">
          <cell r="A2075" t="str">
            <v>LU2151176349</v>
          </cell>
          <cell r="B2075" t="str">
            <v>AMUNDI FUNDS - EUROPEAN EQUITY ESG IMPROVERS</v>
          </cell>
          <cell r="C2075" t="str">
            <v>Class A EUR ( C )</v>
          </cell>
          <cell r="D2075" t="str">
            <v>EUR</v>
          </cell>
          <cell r="E2075" t="str">
            <v>03-Jan-2022</v>
          </cell>
          <cell r="F2075">
            <v>14317077.619999999</v>
          </cell>
          <cell r="G2075">
            <v>200237.266</v>
          </cell>
          <cell r="H2075">
            <v>71.5</v>
          </cell>
          <cell r="I2075">
            <v>0</v>
          </cell>
          <cell r="J2075">
            <v>71.5</v>
          </cell>
        </row>
        <row r="2076">
          <cell r="A2076" t="str">
            <v>LU2359307068</v>
          </cell>
          <cell r="B2076" t="str">
            <v>AMUNDI FUNDS - EUROPEAN EQUITY ESG IMPROVERS</v>
          </cell>
          <cell r="C2076" t="str">
            <v>Class A USD (C)</v>
          </cell>
          <cell r="D2076" t="str">
            <v>USD</v>
          </cell>
          <cell r="E2076" t="str">
            <v>03-Jan-2022</v>
          </cell>
          <cell r="F2076">
            <v>156562.91</v>
          </cell>
          <cell r="G2076">
            <v>2961.4050000000002</v>
          </cell>
          <cell r="H2076">
            <v>52.87</v>
          </cell>
          <cell r="I2076">
            <v>0</v>
          </cell>
          <cell r="J2076">
            <v>55.25</v>
          </cell>
        </row>
        <row r="2077">
          <cell r="A2077" t="str">
            <v>LU2359306847</v>
          </cell>
          <cell r="B2077" t="str">
            <v>AMUNDI FUNDS - EUROPEAN EQUITY ESG IMPROVERS</v>
          </cell>
          <cell r="C2077" t="str">
            <v>Class A2 CHF (C)</v>
          </cell>
          <cell r="D2077" t="str">
            <v>CHF</v>
          </cell>
          <cell r="E2077" t="str">
            <v>03-Jan-2022</v>
          </cell>
          <cell r="F2077">
            <v>2840400.02</v>
          </cell>
          <cell r="G2077">
            <v>53674.362999999998</v>
          </cell>
          <cell r="H2077">
            <v>52.92</v>
          </cell>
          <cell r="I2077">
            <v>0</v>
          </cell>
          <cell r="J2077">
            <v>55.3</v>
          </cell>
        </row>
        <row r="2078">
          <cell r="A2078" t="str">
            <v>LU2368112392</v>
          </cell>
          <cell r="B2078" t="str">
            <v>AMUNDI FUNDS - EUROPEAN EQUITY ESG IMPROVERS</v>
          </cell>
          <cell r="C2078" t="str">
            <v>Class A CZK Hgd (C)</v>
          </cell>
          <cell r="D2078" t="str">
            <v>CZK</v>
          </cell>
          <cell r="E2078" t="str">
            <v>03-Jan-2022</v>
          </cell>
          <cell r="F2078">
            <v>2779149.99</v>
          </cell>
          <cell r="G2078">
            <v>2628.4650000000001</v>
          </cell>
          <cell r="H2078">
            <v>1057.33</v>
          </cell>
          <cell r="I2078">
            <v>0</v>
          </cell>
          <cell r="J2078">
            <v>1057.33</v>
          </cell>
        </row>
        <row r="2079">
          <cell r="A2079" t="str">
            <v>LU2359307498</v>
          </cell>
          <cell r="B2079" t="str">
            <v>AMUNDI FUNDS - EUROPEAN EQUITY ESG IMPROVERS</v>
          </cell>
          <cell r="C2079" t="str">
            <v>Class C EUR (C)</v>
          </cell>
          <cell r="D2079" t="str">
            <v>EUR</v>
          </cell>
          <cell r="E2079" t="str">
            <v>03-Jan-2022</v>
          </cell>
          <cell r="F2079">
            <v>397232.82</v>
          </cell>
          <cell r="G2079">
            <v>7246.8410000000003</v>
          </cell>
          <cell r="H2079">
            <v>54.81</v>
          </cell>
          <cell r="I2079">
            <v>0</v>
          </cell>
          <cell r="J2079">
            <v>54.81</v>
          </cell>
        </row>
        <row r="2080">
          <cell r="A2080" t="str">
            <v>LU2151176695</v>
          </cell>
          <cell r="B2080" t="str">
            <v>AMUNDI FUNDS - EUROPEAN EQUITY ESG IMPROVERS</v>
          </cell>
          <cell r="C2080" t="str">
            <v>Class E2 EUR ( C )</v>
          </cell>
          <cell r="D2080" t="str">
            <v>EUR</v>
          </cell>
          <cell r="E2080" t="str">
            <v>03-Jan-2022</v>
          </cell>
          <cell r="F2080">
            <v>134099909.95999999</v>
          </cell>
          <cell r="G2080">
            <v>18675328.416000001</v>
          </cell>
          <cell r="H2080">
            <v>7.181</v>
          </cell>
          <cell r="I2080">
            <v>0</v>
          </cell>
          <cell r="J2080">
            <v>7.181</v>
          </cell>
        </row>
        <row r="2081">
          <cell r="A2081" t="str">
            <v>LU2151176778</v>
          </cell>
          <cell r="B2081" t="str">
            <v>AMUNDI FUNDS - EUROPEAN EQUITY ESG IMPROVERS</v>
          </cell>
          <cell r="C2081" t="str">
            <v>Class F EUR ( C )</v>
          </cell>
          <cell r="D2081" t="str">
            <v>EUR</v>
          </cell>
          <cell r="E2081" t="str">
            <v>03-Jan-2022</v>
          </cell>
          <cell r="F2081">
            <v>6940478.9000000004</v>
          </cell>
          <cell r="G2081">
            <v>981222.58799999999</v>
          </cell>
          <cell r="H2081">
            <v>7.0730000000000004</v>
          </cell>
          <cell r="I2081">
            <v>0</v>
          </cell>
          <cell r="J2081">
            <v>7.0730000000000004</v>
          </cell>
        </row>
        <row r="2082">
          <cell r="A2082" t="str">
            <v>LU2151177073</v>
          </cell>
          <cell r="B2082" t="str">
            <v>AMUNDI FUNDS - EUROPEAN EQUITY ESG IMPROVERS</v>
          </cell>
          <cell r="C2082" t="str">
            <v>Class I EUR ( C )</v>
          </cell>
          <cell r="D2082" t="str">
            <v>EUR</v>
          </cell>
          <cell r="E2082" t="str">
            <v>03-Jan-2022</v>
          </cell>
          <cell r="F2082">
            <v>6618634.1600000001</v>
          </cell>
          <cell r="G2082">
            <v>4561.9089999999997</v>
          </cell>
          <cell r="H2082">
            <v>1450.85</v>
          </cell>
          <cell r="I2082">
            <v>0</v>
          </cell>
          <cell r="J2082">
            <v>1450.85</v>
          </cell>
        </row>
        <row r="2083">
          <cell r="A2083" t="str">
            <v>LU2330497277</v>
          </cell>
          <cell r="B2083" t="str">
            <v>AMUNDI FUNDS - EUROPEAN EQUITY ESG IMPROVERS</v>
          </cell>
          <cell r="C2083" t="str">
            <v>Class I2 EUR (C)</v>
          </cell>
          <cell r="D2083" t="str">
            <v>EUR</v>
          </cell>
          <cell r="E2083" t="str">
            <v>03-Jan-2022</v>
          </cell>
          <cell r="F2083">
            <v>5019823.16</v>
          </cell>
          <cell r="G2083">
            <v>4425.643</v>
          </cell>
          <cell r="H2083">
            <v>1134.26</v>
          </cell>
          <cell r="I2083">
            <v>0</v>
          </cell>
          <cell r="J2083">
            <v>1134.26</v>
          </cell>
        </row>
        <row r="2084">
          <cell r="A2084" t="str">
            <v>LU2359306763</v>
          </cell>
          <cell r="B2084" t="str">
            <v>AMUNDI FUNDS - EUROPEAN EQUITY ESG IMPROVERS</v>
          </cell>
          <cell r="C2084" t="str">
            <v>Class I2 GBP (C)</v>
          </cell>
          <cell r="D2084" t="str">
            <v>GBP</v>
          </cell>
          <cell r="E2084" t="str">
            <v>03-Jan-2022</v>
          </cell>
          <cell r="F2084">
            <v>5401.11</v>
          </cell>
          <cell r="G2084">
            <v>5</v>
          </cell>
          <cell r="H2084">
            <v>1080.22</v>
          </cell>
          <cell r="I2084">
            <v>0</v>
          </cell>
          <cell r="J2084">
            <v>1080.22</v>
          </cell>
        </row>
        <row r="2085">
          <cell r="A2085" t="str">
            <v>LU2359307571</v>
          </cell>
          <cell r="B2085" t="str">
            <v>AMUNDI FUNDS - EUROPEAN EQUITY ESG IMPROVERS</v>
          </cell>
          <cell r="C2085" t="str">
            <v>Class I2 USD (C)</v>
          </cell>
          <cell r="D2085" t="str">
            <v>USD</v>
          </cell>
          <cell r="E2085" t="str">
            <v>03-Jan-2022</v>
          </cell>
          <cell r="F2085">
            <v>5306.03</v>
          </cell>
          <cell r="G2085">
            <v>5</v>
          </cell>
          <cell r="H2085">
            <v>1061.21</v>
          </cell>
          <cell r="I2085">
            <v>0</v>
          </cell>
          <cell r="J2085">
            <v>1061.21</v>
          </cell>
        </row>
        <row r="2086">
          <cell r="A2086" t="str">
            <v>LU2151176851</v>
          </cell>
          <cell r="B2086" t="str">
            <v>AMUNDI FUNDS - EUROPEAN EQUITY ESG IMPROVERS</v>
          </cell>
          <cell r="C2086" t="str">
            <v>Class G EUR ( C )</v>
          </cell>
          <cell r="D2086" t="str">
            <v>EUR</v>
          </cell>
          <cell r="E2086" t="str">
            <v>03-Jan-2022</v>
          </cell>
          <cell r="F2086">
            <v>114039837.44</v>
          </cell>
          <cell r="G2086">
            <v>15997411.532</v>
          </cell>
          <cell r="H2086">
            <v>7.1289999999999996</v>
          </cell>
          <cell r="I2086">
            <v>0</v>
          </cell>
          <cell r="J2086">
            <v>7.1289999999999996</v>
          </cell>
        </row>
        <row r="2087">
          <cell r="A2087" t="str">
            <v>LU2151177156</v>
          </cell>
          <cell r="B2087" t="str">
            <v>AMUNDI FUNDS - EUROPEAN EQUITY ESG IMPROVERS</v>
          </cell>
          <cell r="C2087" t="str">
            <v>Class M EUR ( C )</v>
          </cell>
          <cell r="D2087" t="str">
            <v>EUR</v>
          </cell>
          <cell r="E2087" t="str">
            <v>03-Jan-2022</v>
          </cell>
          <cell r="F2087">
            <v>7240.67</v>
          </cell>
          <cell r="G2087">
            <v>5</v>
          </cell>
          <cell r="H2087">
            <v>1448.13</v>
          </cell>
          <cell r="I2087">
            <v>0</v>
          </cell>
          <cell r="J2087">
            <v>1448.13</v>
          </cell>
        </row>
        <row r="2088">
          <cell r="A2088" t="str">
            <v>LU2151177230</v>
          </cell>
          <cell r="B2088" t="str">
            <v>AMUNDI FUNDS - EUROPEAN EQUITY ESG IMPROVERS</v>
          </cell>
          <cell r="C2088" t="str">
            <v>Class M2 EUR ( C )</v>
          </cell>
          <cell r="D2088" t="str">
            <v>EUR</v>
          </cell>
          <cell r="E2088" t="str">
            <v>03-Jan-2022</v>
          </cell>
          <cell r="F2088">
            <v>12754435.630000001</v>
          </cell>
          <cell r="G2088">
            <v>8767.1710000000003</v>
          </cell>
          <cell r="H2088">
            <v>1454.79</v>
          </cell>
          <cell r="I2088">
            <v>0</v>
          </cell>
          <cell r="J2088">
            <v>1454.79</v>
          </cell>
        </row>
        <row r="2089">
          <cell r="A2089" t="str">
            <v>LU2359306508</v>
          </cell>
          <cell r="B2089" t="str">
            <v>AMUNDI FUNDS - EUROPEAN EQUITY ESG IMPROVERS</v>
          </cell>
          <cell r="C2089" t="str">
            <v>Class R EUR (C)</v>
          </cell>
          <cell r="D2089" t="str">
            <v>EUR</v>
          </cell>
          <cell r="E2089" t="str">
            <v>03-Jan-2022</v>
          </cell>
          <cell r="F2089">
            <v>5551.5</v>
          </cell>
          <cell r="G2089">
            <v>100</v>
          </cell>
          <cell r="H2089">
            <v>55.52</v>
          </cell>
          <cell r="I2089">
            <v>0</v>
          </cell>
          <cell r="J2089">
            <v>55.52</v>
          </cell>
        </row>
        <row r="2090">
          <cell r="A2090" t="str">
            <v>LU2359307654</v>
          </cell>
          <cell r="B2090" t="str">
            <v>AMUNDI FUNDS - EUROPEAN EQUITY ESG IMPROVERS</v>
          </cell>
          <cell r="C2090" t="str">
            <v>Class R2 EUR (C)</v>
          </cell>
          <cell r="D2090" t="str">
            <v>EUR</v>
          </cell>
          <cell r="E2090" t="str">
            <v>03-Jan-2022</v>
          </cell>
          <cell r="F2090">
            <v>11844.24</v>
          </cell>
          <cell r="G2090">
            <v>214.64599999999999</v>
          </cell>
          <cell r="H2090">
            <v>55.18</v>
          </cell>
          <cell r="I2090">
            <v>0</v>
          </cell>
          <cell r="J2090">
            <v>55.18</v>
          </cell>
        </row>
        <row r="2091">
          <cell r="A2091" t="str">
            <v>LU2359306680</v>
          </cell>
          <cell r="B2091" t="str">
            <v>AMUNDI FUNDS - EUROPEAN EQUITY ESG IMPROVERS</v>
          </cell>
          <cell r="C2091" t="str">
            <v>Class R2 GBP (C)</v>
          </cell>
          <cell r="D2091" t="str">
            <v>GBP</v>
          </cell>
          <cell r="E2091" t="str">
            <v>03-Jan-2022</v>
          </cell>
          <cell r="F2091">
            <v>5393.14</v>
          </cell>
          <cell r="G2091">
            <v>100</v>
          </cell>
          <cell r="H2091">
            <v>53.93</v>
          </cell>
          <cell r="I2091">
            <v>0</v>
          </cell>
          <cell r="J2091">
            <v>53.93</v>
          </cell>
        </row>
        <row r="2092">
          <cell r="A2092" t="str">
            <v>LU2151177313</v>
          </cell>
          <cell r="B2092" t="str">
            <v>AMUNDI FUNDS - EUROPEAN EQUITY ESG IMPROVERS</v>
          </cell>
          <cell r="C2092" t="str">
            <v>Class Z EUR ( C )</v>
          </cell>
          <cell r="D2092" t="str">
            <v>EUR</v>
          </cell>
          <cell r="E2092" t="str">
            <v>03-Jan-2022</v>
          </cell>
          <cell r="F2092">
            <v>41385185.049999997</v>
          </cell>
          <cell r="G2092">
            <v>28422.685000000001</v>
          </cell>
          <cell r="H2092">
            <v>1456.06</v>
          </cell>
          <cell r="I2092">
            <v>0</v>
          </cell>
          <cell r="J2092">
            <v>1456.06</v>
          </cell>
        </row>
        <row r="2093">
          <cell r="A2093" t="str">
            <v>LU2151176935</v>
          </cell>
          <cell r="B2093" t="str">
            <v>AMUNDI FUNDS - EUROPEAN EQUITY ESG IMPROVERS</v>
          </cell>
          <cell r="C2093" t="str">
            <v>Class H EUR ( C )</v>
          </cell>
          <cell r="D2093" t="str">
            <v>EUR</v>
          </cell>
          <cell r="E2093" t="str">
            <v>03-Jan-2022</v>
          </cell>
          <cell r="F2093">
            <v>27244014.84</v>
          </cell>
          <cell r="G2093">
            <v>18614.448</v>
          </cell>
          <cell r="H2093">
            <v>1463.6</v>
          </cell>
          <cell r="I2093">
            <v>0</v>
          </cell>
          <cell r="J2093">
            <v>1463.6</v>
          </cell>
        </row>
        <row r="2094">
          <cell r="A2094" t="str">
            <v>LU2146567792</v>
          </cell>
          <cell r="B2094" t="str">
            <v>AMUNDI FUNDS - PIONEER US EQUITY ESG IMPROVERS</v>
          </cell>
          <cell r="C2094" t="str">
            <v>Class A EUR AD (D)</v>
          </cell>
          <cell r="D2094" t="str">
            <v>EUR</v>
          </cell>
          <cell r="E2094" t="str">
            <v>03-Jan-2022</v>
          </cell>
          <cell r="F2094">
            <v>5040964.8899999997</v>
          </cell>
          <cell r="G2094">
            <v>76963.922000000006</v>
          </cell>
          <cell r="H2094">
            <v>65.5</v>
          </cell>
          <cell r="I2094">
            <v>0</v>
          </cell>
          <cell r="J2094">
            <v>68.45</v>
          </cell>
        </row>
        <row r="2095">
          <cell r="A2095" t="str">
            <v>LU2146567529</v>
          </cell>
          <cell r="B2095" t="str">
            <v>AMUNDI FUNDS - PIONEER US EQUITY ESG IMPROVERS</v>
          </cell>
          <cell r="C2095" t="str">
            <v>Class A EUR (C)</v>
          </cell>
          <cell r="D2095" t="str">
            <v>EUR</v>
          </cell>
          <cell r="E2095" t="str">
            <v>03-Jan-2022</v>
          </cell>
          <cell r="F2095">
            <v>57178193.460000001</v>
          </cell>
          <cell r="G2095">
            <v>872989.37199999997</v>
          </cell>
          <cell r="H2095">
            <v>65.5</v>
          </cell>
          <cell r="I2095">
            <v>0</v>
          </cell>
          <cell r="J2095">
            <v>68.45</v>
          </cell>
        </row>
        <row r="2096">
          <cell r="A2096" t="str">
            <v>LU2146567289</v>
          </cell>
          <cell r="B2096" t="str">
            <v>AMUNDI FUNDS - PIONEER US EQUITY ESG IMPROVERS</v>
          </cell>
          <cell r="C2096" t="str">
            <v>Class A USD (C)</v>
          </cell>
          <cell r="D2096" t="str">
            <v>USD</v>
          </cell>
          <cell r="E2096" t="str">
            <v>03-Jan-2022</v>
          </cell>
          <cell r="F2096">
            <v>49892347.189999998</v>
          </cell>
          <cell r="G2096">
            <v>665985.21699999995</v>
          </cell>
          <cell r="H2096">
            <v>74.92</v>
          </cell>
          <cell r="I2096">
            <v>0</v>
          </cell>
          <cell r="J2096">
            <v>78.290000000000006</v>
          </cell>
        </row>
        <row r="2097">
          <cell r="A2097" t="str">
            <v>LU2146567875</v>
          </cell>
          <cell r="B2097" t="str">
            <v>AMUNDI FUNDS - PIONEER US EQUITY ESG IMPROVERS</v>
          </cell>
          <cell r="C2097" t="str">
            <v>Class A EUR Hgd (C)</v>
          </cell>
          <cell r="D2097" t="str">
            <v>EUR</v>
          </cell>
          <cell r="E2097" t="str">
            <v>03-Jan-2022</v>
          </cell>
          <cell r="F2097">
            <v>1767226.02</v>
          </cell>
          <cell r="G2097">
            <v>29240.091</v>
          </cell>
          <cell r="H2097">
            <v>60.44</v>
          </cell>
          <cell r="I2097">
            <v>0</v>
          </cell>
          <cell r="J2097">
            <v>63.16</v>
          </cell>
        </row>
        <row r="2098">
          <cell r="A2098" t="str">
            <v>LU2368112475</v>
          </cell>
          <cell r="B2098" t="str">
            <v>AMUNDI FUNDS - PIONEER US EQUITY ESG IMPROVERS</v>
          </cell>
          <cell r="C2098" t="str">
            <v>Class A CZK Hgd (C)</v>
          </cell>
          <cell r="D2098" t="str">
            <v>CZK</v>
          </cell>
          <cell r="E2098" t="str">
            <v>03-Jan-2022</v>
          </cell>
          <cell r="F2098">
            <v>2791942.56</v>
          </cell>
          <cell r="G2098">
            <v>2600</v>
          </cell>
          <cell r="H2098">
            <v>1073.82</v>
          </cell>
          <cell r="I2098">
            <v>0</v>
          </cell>
          <cell r="J2098">
            <v>1073.82</v>
          </cell>
        </row>
        <row r="2099">
          <cell r="A2099" t="str">
            <v>LU2146567958</v>
          </cell>
          <cell r="B2099" t="str">
            <v>AMUNDI FUNDS - PIONEER US EQUITY ESG IMPROVERS</v>
          </cell>
          <cell r="C2099" t="str">
            <v>Class B USD (C)</v>
          </cell>
          <cell r="D2099" t="str">
            <v>USD</v>
          </cell>
          <cell r="E2099" t="str">
            <v>03-Jan-2022</v>
          </cell>
          <cell r="F2099">
            <v>76151.38</v>
          </cell>
          <cell r="G2099">
            <v>1258.8399999999999</v>
          </cell>
          <cell r="H2099">
            <v>60.49</v>
          </cell>
          <cell r="I2099">
            <v>0</v>
          </cell>
          <cell r="J2099">
            <v>60.49</v>
          </cell>
        </row>
        <row r="2100">
          <cell r="A2100" t="str">
            <v>LU2146568170</v>
          </cell>
          <cell r="B2100" t="str">
            <v>AMUNDI FUNDS - PIONEER US EQUITY ESG IMPROVERS</v>
          </cell>
          <cell r="C2100" t="str">
            <v>Class C EUR (C)</v>
          </cell>
          <cell r="D2100" t="str">
            <v>EUR</v>
          </cell>
          <cell r="E2100" t="str">
            <v>03-Jan-2022</v>
          </cell>
          <cell r="F2100">
            <v>105566.54</v>
          </cell>
          <cell r="G2100">
            <v>1625.193</v>
          </cell>
          <cell r="H2100">
            <v>64.959999999999994</v>
          </cell>
          <cell r="I2100">
            <v>0</v>
          </cell>
          <cell r="J2100">
            <v>64.959999999999994</v>
          </cell>
        </row>
        <row r="2101">
          <cell r="A2101" t="str">
            <v>LU2146568097</v>
          </cell>
          <cell r="B2101" t="str">
            <v>AMUNDI FUNDS - PIONEER US EQUITY ESG IMPROVERS</v>
          </cell>
          <cell r="C2101" t="str">
            <v>Class C USD (C)</v>
          </cell>
          <cell r="D2101" t="str">
            <v>USD</v>
          </cell>
          <cell r="E2101" t="str">
            <v>03-Jan-2022</v>
          </cell>
          <cell r="F2101">
            <v>2335040</v>
          </cell>
          <cell r="G2101">
            <v>38606.536</v>
          </cell>
          <cell r="H2101">
            <v>60.48</v>
          </cell>
          <cell r="I2101">
            <v>0</v>
          </cell>
          <cell r="J2101">
            <v>60.48</v>
          </cell>
        </row>
        <row r="2102">
          <cell r="A2102" t="str">
            <v>LU2146568253</v>
          </cell>
          <cell r="B2102" t="str">
            <v>AMUNDI FUNDS - PIONEER US EQUITY ESG IMPROVERS</v>
          </cell>
          <cell r="C2102" t="str">
            <v>Class E2 EUR (C)</v>
          </cell>
          <cell r="D2102" t="str">
            <v>EUR</v>
          </cell>
          <cell r="E2102" t="str">
            <v>03-Jan-2022</v>
          </cell>
          <cell r="F2102">
            <v>6855482.8300000001</v>
          </cell>
          <cell r="G2102">
            <v>908064.65399999998</v>
          </cell>
          <cell r="H2102">
            <v>7.55</v>
          </cell>
          <cell r="I2102">
            <v>0</v>
          </cell>
          <cell r="J2102">
            <v>7.8520000000000003</v>
          </cell>
        </row>
        <row r="2103">
          <cell r="A2103" t="str">
            <v>LU2146568337</v>
          </cell>
          <cell r="B2103" t="str">
            <v>AMUNDI FUNDS - PIONEER US EQUITY ESG IMPROVERS</v>
          </cell>
          <cell r="C2103" t="str">
            <v>Class F EUR (C)</v>
          </cell>
          <cell r="D2103" t="str">
            <v>EUR</v>
          </cell>
          <cell r="E2103" t="str">
            <v>03-Jan-2022</v>
          </cell>
          <cell r="F2103">
            <v>4543565.4400000004</v>
          </cell>
          <cell r="G2103">
            <v>613538.91899999999</v>
          </cell>
          <cell r="H2103">
            <v>7.4059999999999997</v>
          </cell>
          <cell r="I2103">
            <v>0</v>
          </cell>
          <cell r="J2103">
            <v>7.4059999999999997</v>
          </cell>
        </row>
        <row r="2104">
          <cell r="A2104" t="str">
            <v>LU2146568683</v>
          </cell>
          <cell r="B2104" t="str">
            <v>AMUNDI FUNDS - PIONEER US EQUITY ESG IMPROVERS</v>
          </cell>
          <cell r="C2104" t="str">
            <v>Class I2 USD (C)</v>
          </cell>
          <cell r="D2104" t="str">
            <v>USD</v>
          </cell>
          <cell r="E2104" t="str">
            <v>03-Jan-2022</v>
          </cell>
          <cell r="F2104">
            <v>89440072.579999998</v>
          </cell>
          <cell r="G2104">
            <v>59170.92</v>
          </cell>
          <cell r="H2104">
            <v>1511.55</v>
          </cell>
          <cell r="I2104">
            <v>0</v>
          </cell>
          <cell r="J2104">
            <v>1511.55</v>
          </cell>
        </row>
        <row r="2105">
          <cell r="A2105" t="str">
            <v>LU2359306250</v>
          </cell>
          <cell r="B2105" t="str">
            <v>AMUNDI FUNDS - PIONEER US EQUITY ESG IMPROVERS</v>
          </cell>
          <cell r="C2105" t="str">
            <v>Class I2 GBP (C)</v>
          </cell>
          <cell r="D2105" t="str">
            <v>GBP</v>
          </cell>
          <cell r="E2105" t="str">
            <v>03-Jan-2022</v>
          </cell>
          <cell r="F2105">
            <v>5547.39</v>
          </cell>
          <cell r="G2105">
            <v>5</v>
          </cell>
          <cell r="H2105">
            <v>1109.48</v>
          </cell>
          <cell r="I2105">
            <v>0</v>
          </cell>
          <cell r="J2105">
            <v>1109.48</v>
          </cell>
        </row>
        <row r="2106">
          <cell r="A2106" t="str">
            <v>LU2146568501</v>
          </cell>
          <cell r="B2106" t="str">
            <v>AMUNDI FUNDS - PIONEER US EQUITY ESG IMPROVERS</v>
          </cell>
          <cell r="C2106" t="str">
            <v>Class I2 EUR (C)</v>
          </cell>
          <cell r="D2106" t="str">
            <v>EUR</v>
          </cell>
          <cell r="E2106" t="str">
            <v>03-Jan-2022</v>
          </cell>
          <cell r="F2106">
            <v>127498.2</v>
          </cell>
          <cell r="G2106">
            <v>96.617999999999995</v>
          </cell>
          <cell r="H2106">
            <v>1319.61</v>
          </cell>
          <cell r="I2106">
            <v>0</v>
          </cell>
          <cell r="J2106">
            <v>1319.61</v>
          </cell>
        </row>
        <row r="2107">
          <cell r="A2107" t="str">
            <v>LU2146567446</v>
          </cell>
          <cell r="B2107" t="str">
            <v>AMUNDI FUNDS - PIONEER US EQUITY ESG IMPROVERS</v>
          </cell>
          <cell r="C2107" t="str">
            <v>Class I USD (C)</v>
          </cell>
          <cell r="D2107" t="str">
            <v>USD</v>
          </cell>
          <cell r="E2107" t="str">
            <v>03-Jan-2022</v>
          </cell>
          <cell r="F2107">
            <v>17754355.73</v>
          </cell>
          <cell r="G2107">
            <v>11733.807000000001</v>
          </cell>
          <cell r="H2107">
            <v>1513.09</v>
          </cell>
          <cell r="I2107">
            <v>0</v>
          </cell>
          <cell r="J2107">
            <v>1513.09</v>
          </cell>
        </row>
        <row r="2108">
          <cell r="A2108" t="str">
            <v>LU2146569228</v>
          </cell>
          <cell r="B2108" t="str">
            <v>AMUNDI FUNDS - PIONEER US EQUITY ESG IMPROVERS</v>
          </cell>
          <cell r="C2108" t="str">
            <v>Class T USD (C)</v>
          </cell>
          <cell r="D2108" t="str">
            <v>USD</v>
          </cell>
          <cell r="E2108" t="str">
            <v>03-Jan-2022</v>
          </cell>
          <cell r="F2108">
            <v>2713.69</v>
          </cell>
          <cell r="G2108">
            <v>44.82</v>
          </cell>
          <cell r="H2108">
            <v>60.55</v>
          </cell>
          <cell r="I2108">
            <v>0</v>
          </cell>
          <cell r="J2108">
            <v>60.55</v>
          </cell>
        </row>
        <row r="2109">
          <cell r="A2109" t="str">
            <v>LU2146568766</v>
          </cell>
          <cell r="B2109" t="str">
            <v>AMUNDI FUNDS - PIONEER US EQUITY ESG IMPROVERS</v>
          </cell>
          <cell r="C2109" t="str">
            <v>Class M2 EUR (C)</v>
          </cell>
          <cell r="D2109" t="str">
            <v>EUR</v>
          </cell>
          <cell r="E2109" t="str">
            <v>03-Jan-2022</v>
          </cell>
          <cell r="F2109">
            <v>21866.9</v>
          </cell>
          <cell r="G2109">
            <v>14.476000000000001</v>
          </cell>
          <cell r="H2109">
            <v>1510.56</v>
          </cell>
          <cell r="I2109">
            <v>0</v>
          </cell>
          <cell r="J2109">
            <v>1510.56</v>
          </cell>
        </row>
        <row r="2110">
          <cell r="A2110" t="str">
            <v>LU2146569061</v>
          </cell>
          <cell r="B2110" t="str">
            <v>AMUNDI FUNDS - PIONEER US EQUITY ESG IMPROVERS</v>
          </cell>
          <cell r="C2110" t="str">
            <v>Class R2 EUR (C)</v>
          </cell>
          <cell r="D2110" t="str">
            <v>EUR</v>
          </cell>
          <cell r="E2110" t="str">
            <v>03-Jan-2022</v>
          </cell>
          <cell r="F2110">
            <v>74886.070000000007</v>
          </cell>
          <cell r="G2110">
            <v>1461</v>
          </cell>
          <cell r="H2110">
            <v>51.26</v>
          </cell>
          <cell r="I2110">
            <v>0</v>
          </cell>
          <cell r="J2110">
            <v>51.26</v>
          </cell>
        </row>
        <row r="2111">
          <cell r="A2111" t="str">
            <v>LU2146568840</v>
          </cell>
          <cell r="B2111" t="str">
            <v>AMUNDI FUNDS - PIONEER US EQUITY ESG IMPROVERS</v>
          </cell>
          <cell r="C2111" t="str">
            <v>Class P2 USD (C)</v>
          </cell>
          <cell r="D2111" t="str">
            <v>USD</v>
          </cell>
          <cell r="E2111" t="str">
            <v>03-Jan-2022</v>
          </cell>
          <cell r="F2111">
            <v>357620.66</v>
          </cell>
          <cell r="G2111">
            <v>5840.4859999999999</v>
          </cell>
          <cell r="H2111">
            <v>61.23</v>
          </cell>
          <cell r="I2111">
            <v>0</v>
          </cell>
          <cell r="J2111">
            <v>61.23</v>
          </cell>
        </row>
        <row r="2112">
          <cell r="A2112" t="str">
            <v>LU2146569574</v>
          </cell>
          <cell r="B2112" t="str">
            <v>AMUNDI FUNDS - PIONEER US EQUITY ESG IMPROVERS</v>
          </cell>
          <cell r="C2112" t="str">
            <v>Class U USD (C)</v>
          </cell>
          <cell r="D2112" t="str">
            <v>USD</v>
          </cell>
          <cell r="E2112" t="str">
            <v>03-Jan-2022</v>
          </cell>
          <cell r="F2112">
            <v>32052.81</v>
          </cell>
          <cell r="G2112">
            <v>529.31200000000001</v>
          </cell>
          <cell r="H2112">
            <v>60.56</v>
          </cell>
          <cell r="I2112">
            <v>0</v>
          </cell>
          <cell r="J2112">
            <v>60.56</v>
          </cell>
        </row>
        <row r="2113">
          <cell r="A2113" t="str">
            <v>LU2146568923</v>
          </cell>
          <cell r="B2113" t="str">
            <v>AMUNDI FUNDS - PIONEER US EQUITY ESG IMPROVERS</v>
          </cell>
          <cell r="C2113" t="str">
            <v>Class R2 USD (C)</v>
          </cell>
          <cell r="D2113" t="str">
            <v>USD</v>
          </cell>
          <cell r="E2113" t="str">
            <v>03-Jan-2022</v>
          </cell>
          <cell r="F2113">
            <v>5097.8</v>
          </cell>
          <cell r="G2113">
            <v>100</v>
          </cell>
          <cell r="H2113">
            <v>50.98</v>
          </cell>
          <cell r="I2113">
            <v>0</v>
          </cell>
          <cell r="J2113">
            <v>50.98</v>
          </cell>
        </row>
        <row r="2114">
          <cell r="A2114" t="str">
            <v>LU2359306334</v>
          </cell>
          <cell r="B2114" t="str">
            <v>AMUNDI FUNDS - PIONEER US EQUITY ESG IMPROVERS</v>
          </cell>
          <cell r="C2114" t="str">
            <v>Class R2 GBP (C)</v>
          </cell>
          <cell r="D2114" t="str">
            <v>GBP</v>
          </cell>
          <cell r="E2114" t="str">
            <v>03-Jan-2022</v>
          </cell>
          <cell r="F2114">
            <v>5538.76</v>
          </cell>
          <cell r="G2114">
            <v>100</v>
          </cell>
          <cell r="H2114">
            <v>55.39</v>
          </cell>
          <cell r="I2114">
            <v>0</v>
          </cell>
          <cell r="J2114">
            <v>55.39</v>
          </cell>
        </row>
        <row r="2115">
          <cell r="A2115" t="str">
            <v>LU2359306417</v>
          </cell>
          <cell r="B2115" t="str">
            <v>AMUNDI FUNDS - PIONEER US EQUITY ESG IMPROVERS</v>
          </cell>
          <cell r="C2115" t="str">
            <v>Class R USD (C)</v>
          </cell>
          <cell r="D2115" t="str">
            <v>USD</v>
          </cell>
          <cell r="E2115" t="str">
            <v>03-Jan-2022</v>
          </cell>
          <cell r="F2115">
            <v>5451.38</v>
          </cell>
          <cell r="G2115">
            <v>100</v>
          </cell>
          <cell r="H2115">
            <v>54.51</v>
          </cell>
          <cell r="I2115">
            <v>0</v>
          </cell>
          <cell r="J2115">
            <v>54.51</v>
          </cell>
        </row>
        <row r="2116">
          <cell r="A2116" t="str">
            <v>LU2146568410</v>
          </cell>
          <cell r="B2116" t="str">
            <v>AMUNDI FUNDS - PIONEER US EQUITY ESG IMPROVERS</v>
          </cell>
          <cell r="C2116" t="str">
            <v>Class G EUR (C)</v>
          </cell>
          <cell r="D2116" t="str">
            <v>EUR</v>
          </cell>
          <cell r="E2116" t="str">
            <v>03-Jan-2022</v>
          </cell>
          <cell r="F2116">
            <v>3479787.5</v>
          </cell>
          <cell r="G2116">
            <v>469760.37699999998</v>
          </cell>
          <cell r="H2116">
            <v>7.4080000000000004</v>
          </cell>
          <cell r="I2116">
            <v>0</v>
          </cell>
          <cell r="J2116">
            <v>7.63</v>
          </cell>
        </row>
        <row r="2117">
          <cell r="A2117" t="str">
            <v>LU2146569657</v>
          </cell>
          <cell r="B2117" t="str">
            <v>AMUNDI FUNDS - PIONEER US EQUITY ESG IMPROVERS</v>
          </cell>
          <cell r="C2117" t="str">
            <v>Class Z USD (C)</v>
          </cell>
          <cell r="D2117" t="str">
            <v>USD</v>
          </cell>
          <cell r="E2117" t="str">
            <v>03-Jan-2022</v>
          </cell>
          <cell r="F2117">
            <v>1749188.97</v>
          </cell>
          <cell r="G2117">
            <v>1156.2829999999999</v>
          </cell>
          <cell r="H2117">
            <v>1512.77</v>
          </cell>
          <cell r="I2117">
            <v>0</v>
          </cell>
          <cell r="J2117">
            <v>1512.77</v>
          </cell>
        </row>
        <row r="2118">
          <cell r="A2118" t="str">
            <v>LU2247575652</v>
          </cell>
          <cell r="B2118" t="str">
            <v>AMUNDI FUNDS ABSOLUTE RETURN GLOBAL OPP BD DYNAMIC</v>
          </cell>
          <cell r="C2118" t="str">
            <v>Class A2 USD (C)</v>
          </cell>
          <cell r="D2118" t="str">
            <v>USD</v>
          </cell>
          <cell r="E2118" t="str">
            <v>03-Jan-2022</v>
          </cell>
          <cell r="F2118">
            <v>5043.8999999999996</v>
          </cell>
          <cell r="G2118">
            <v>100</v>
          </cell>
          <cell r="H2118">
            <v>50.44</v>
          </cell>
          <cell r="I2118">
            <v>0</v>
          </cell>
          <cell r="J2118">
            <v>51.95</v>
          </cell>
        </row>
        <row r="2119">
          <cell r="A2119" t="str">
            <v>LU2247576031</v>
          </cell>
          <cell r="B2119" t="str">
            <v>AMUNDI FUNDS ABSOLUTE RETURN GLOBAL OPP BD DYNAMIC</v>
          </cell>
          <cell r="C2119" t="str">
            <v>Class I2 USD (C)</v>
          </cell>
          <cell r="D2119" t="str">
            <v>USD</v>
          </cell>
          <cell r="E2119" t="str">
            <v>03-Jan-2022</v>
          </cell>
          <cell r="F2119">
            <v>5075.3900000000003</v>
          </cell>
          <cell r="G2119">
            <v>5</v>
          </cell>
          <cell r="H2119">
            <v>1015.08</v>
          </cell>
          <cell r="I2119">
            <v>0</v>
          </cell>
          <cell r="J2119">
            <v>1015.08</v>
          </cell>
        </row>
        <row r="2120">
          <cell r="A2120" t="str">
            <v>LU2247575819</v>
          </cell>
          <cell r="B2120" t="str">
            <v>AMUNDI FUNDS ABSOLUTE RETURN GLOBAL OPP BD DYNAMIC</v>
          </cell>
          <cell r="C2120" t="str">
            <v>Class R2 USD (C)</v>
          </cell>
          <cell r="D2120" t="str">
            <v>USD</v>
          </cell>
          <cell r="E2120" t="str">
            <v>03-Jan-2022</v>
          </cell>
          <cell r="F2120">
            <v>5062.04</v>
          </cell>
          <cell r="G2120">
            <v>100</v>
          </cell>
          <cell r="H2120">
            <v>50.62</v>
          </cell>
          <cell r="I2120">
            <v>0</v>
          </cell>
          <cell r="J2120">
            <v>50.62</v>
          </cell>
        </row>
        <row r="2121">
          <cell r="A2121" t="str">
            <v>LU2247577195</v>
          </cell>
          <cell r="B2121" t="str">
            <v>AMUNDI FUNDS ABSOLUTE RETURN GLOBAL OPP BD DYNAMIC</v>
          </cell>
          <cell r="C2121" t="str">
            <v>Class H USD  ( C )</v>
          </cell>
          <cell r="D2121" t="str">
            <v>USD</v>
          </cell>
          <cell r="E2121" t="str">
            <v>03-Jan-2022</v>
          </cell>
          <cell r="F2121">
            <v>12722216.23</v>
          </cell>
          <cell r="G2121">
            <v>12500</v>
          </cell>
          <cell r="H2121">
            <v>1017.78</v>
          </cell>
          <cell r="I2121">
            <v>0</v>
          </cell>
          <cell r="J2121">
            <v>1017.78</v>
          </cell>
        </row>
        <row r="2122">
          <cell r="A2122" t="str">
            <v>LU2247576387</v>
          </cell>
          <cell r="B2122" t="str">
            <v>AMUNDI FUNDS ABSOLUTE RETURN GLOBAL OPP BD DYNAMIC</v>
          </cell>
          <cell r="C2122" t="str">
            <v>Class Z USD (C)</v>
          </cell>
          <cell r="D2122" t="str">
            <v>USD</v>
          </cell>
          <cell r="E2122" t="str">
            <v>03-Jan-2022</v>
          </cell>
          <cell r="F2122">
            <v>16274287.210000001</v>
          </cell>
          <cell r="G2122">
            <v>16000</v>
          </cell>
          <cell r="H2122">
            <v>1017.14</v>
          </cell>
          <cell r="I2122">
            <v>0</v>
          </cell>
          <cell r="J2122">
            <v>1017.14</v>
          </cell>
        </row>
        <row r="2123">
          <cell r="A2123" t="str">
            <v>LU2247576205</v>
          </cell>
          <cell r="B2123" t="str">
            <v>AMUNDI FUNDS ABSOLUTE RETURN GLOBAL OPP BD DYNAMIC</v>
          </cell>
          <cell r="C2123" t="str">
            <v>Class Z EUR Hgd (C)</v>
          </cell>
          <cell r="D2123" t="str">
            <v>EUR</v>
          </cell>
          <cell r="E2123" t="str">
            <v>03-Jan-2022</v>
          </cell>
          <cell r="F2123">
            <v>20211517.260000002</v>
          </cell>
          <cell r="G2123">
            <v>20000</v>
          </cell>
          <cell r="H2123">
            <v>1010.58</v>
          </cell>
          <cell r="I2123">
            <v>0</v>
          </cell>
          <cell r="J2123">
            <v>1010.58</v>
          </cell>
        </row>
        <row r="2124">
          <cell r="A2124" t="str">
            <v>LU2280506101</v>
          </cell>
          <cell r="B2124" t="str">
            <v>AMUNDI FUNDS - GLOBAL CORPORATE ESG IMPROVERS BOND</v>
          </cell>
          <cell r="C2124" t="str">
            <v>Class A2 USD (C)</v>
          </cell>
          <cell r="D2124" t="str">
            <v>USD</v>
          </cell>
          <cell r="E2124" t="str">
            <v>03-Jan-2022</v>
          </cell>
          <cell r="F2124">
            <v>5005.04</v>
          </cell>
          <cell r="G2124">
            <v>100</v>
          </cell>
          <cell r="H2124">
            <v>50.05</v>
          </cell>
          <cell r="I2124">
            <v>0</v>
          </cell>
          <cell r="J2124">
            <v>50.05</v>
          </cell>
        </row>
        <row r="2125">
          <cell r="A2125" t="str">
            <v>LU2359305369</v>
          </cell>
          <cell r="B2125" t="str">
            <v>AMUNDI FUNDS - GLOBAL CORPORATE ESG IMPROVERS BOND</v>
          </cell>
          <cell r="C2125" t="str">
            <v>Class A2 USD AD (D)</v>
          </cell>
          <cell r="D2125" t="str">
            <v>USD</v>
          </cell>
          <cell r="E2125" t="str">
            <v>03-Jan-2022</v>
          </cell>
          <cell r="F2125">
            <v>4902.2</v>
          </cell>
          <cell r="G2125">
            <v>100</v>
          </cell>
          <cell r="H2125">
            <v>49.02</v>
          </cell>
          <cell r="I2125">
            <v>0</v>
          </cell>
          <cell r="J2125">
            <v>49.02</v>
          </cell>
        </row>
        <row r="2126">
          <cell r="A2126" t="str">
            <v>LU2330497517</v>
          </cell>
          <cell r="B2126" t="str">
            <v>AMUNDI FUNDS - GLOBAL CORPORATE ESG IMPROVERS BOND</v>
          </cell>
          <cell r="C2126" t="str">
            <v>Class A2 EUR Hgd (C)</v>
          </cell>
          <cell r="D2126" t="str">
            <v>EUR</v>
          </cell>
          <cell r="E2126" t="str">
            <v>03-Jan-2022</v>
          </cell>
          <cell r="F2126">
            <v>99393.91</v>
          </cell>
          <cell r="G2126">
            <v>2000</v>
          </cell>
          <cell r="H2126">
            <v>49.7</v>
          </cell>
          <cell r="I2126">
            <v>0</v>
          </cell>
          <cell r="J2126">
            <v>49.7</v>
          </cell>
        </row>
        <row r="2127">
          <cell r="A2127" t="str">
            <v>LU2280506879</v>
          </cell>
          <cell r="B2127" t="str">
            <v>AMUNDI FUNDS - GLOBAL CORPORATE ESG IMPROVERS BOND</v>
          </cell>
          <cell r="C2127" t="str">
            <v>Class E2 EUR (C)</v>
          </cell>
          <cell r="D2127" t="str">
            <v>EUR</v>
          </cell>
          <cell r="E2127" t="str">
            <v>03-Jan-2022</v>
          </cell>
          <cell r="F2127">
            <v>22870.04</v>
          </cell>
          <cell r="G2127">
            <v>4300.7820000000002</v>
          </cell>
          <cell r="H2127">
            <v>5.3179999999999996</v>
          </cell>
          <cell r="I2127">
            <v>0</v>
          </cell>
          <cell r="J2127">
            <v>5.3179999999999996</v>
          </cell>
        </row>
        <row r="2128">
          <cell r="A2128" t="str">
            <v>LU2280506796</v>
          </cell>
          <cell r="B2128" t="str">
            <v>AMUNDI FUNDS - GLOBAL CORPORATE ESG IMPROVERS BOND</v>
          </cell>
          <cell r="C2128" t="str">
            <v>Class E2 EUR Hgd (C)</v>
          </cell>
          <cell r="D2128" t="str">
            <v>EUR</v>
          </cell>
          <cell r="E2128" t="str">
            <v>03-Jan-2022</v>
          </cell>
          <cell r="F2128">
            <v>99608.14</v>
          </cell>
          <cell r="G2128">
            <v>20000</v>
          </cell>
          <cell r="H2128">
            <v>4.9800000000000004</v>
          </cell>
          <cell r="I2128">
            <v>0</v>
          </cell>
          <cell r="J2128">
            <v>4.9800000000000004</v>
          </cell>
        </row>
        <row r="2129">
          <cell r="A2129" t="str">
            <v>LU2280507257</v>
          </cell>
          <cell r="B2129" t="str">
            <v>AMUNDI FUNDS - GLOBAL CORPORATE ESG IMPROVERS BOND</v>
          </cell>
          <cell r="C2129" t="str">
            <v>Class I2 USD (C)</v>
          </cell>
          <cell r="D2129" t="str">
            <v>USD</v>
          </cell>
          <cell r="E2129" t="str">
            <v>03-Jan-2022</v>
          </cell>
          <cell r="F2129">
            <v>5031.32</v>
          </cell>
          <cell r="G2129">
            <v>5</v>
          </cell>
          <cell r="H2129">
            <v>1006.26</v>
          </cell>
          <cell r="I2129">
            <v>0</v>
          </cell>
          <cell r="J2129">
            <v>1006.26</v>
          </cell>
        </row>
        <row r="2130">
          <cell r="A2130" t="str">
            <v>LU2359305872</v>
          </cell>
          <cell r="B2130" t="str">
            <v>AMUNDI FUNDS - GLOBAL CORPORATE ESG IMPROVERS BOND</v>
          </cell>
          <cell r="C2130" t="str">
            <v>Class I2 GBP (C)</v>
          </cell>
          <cell r="D2130" t="str">
            <v>GBP</v>
          </cell>
          <cell r="E2130" t="str">
            <v>03-Jan-2022</v>
          </cell>
          <cell r="F2130">
            <v>5029.18</v>
          </cell>
          <cell r="G2130">
            <v>5</v>
          </cell>
          <cell r="H2130">
            <v>1005.84</v>
          </cell>
          <cell r="I2130">
            <v>0</v>
          </cell>
          <cell r="J2130">
            <v>1005.84</v>
          </cell>
        </row>
        <row r="2131">
          <cell r="A2131" t="str">
            <v>LU2359305443</v>
          </cell>
          <cell r="B2131" t="str">
            <v>AMUNDI FUNDS - GLOBAL CORPORATE ESG IMPROVERS BOND</v>
          </cell>
          <cell r="C2131" t="str">
            <v>Class I2 USD AD (D)</v>
          </cell>
          <cell r="D2131" t="str">
            <v>USD</v>
          </cell>
          <cell r="E2131" t="str">
            <v>03-Jan-2022</v>
          </cell>
          <cell r="F2131">
            <v>4918.47</v>
          </cell>
          <cell r="G2131">
            <v>5</v>
          </cell>
          <cell r="H2131">
            <v>983.69</v>
          </cell>
          <cell r="I2131">
            <v>0</v>
          </cell>
          <cell r="J2131">
            <v>983.69</v>
          </cell>
        </row>
        <row r="2132">
          <cell r="A2132" t="str">
            <v>LU2330497608</v>
          </cell>
          <cell r="B2132" t="str">
            <v>AMUNDI FUNDS - GLOBAL CORPORATE ESG IMPROVERS BOND</v>
          </cell>
          <cell r="C2132" t="str">
            <v>Class I2 EUR Hgd (C)</v>
          </cell>
          <cell r="D2132" t="str">
            <v>EUR</v>
          </cell>
          <cell r="E2132" t="str">
            <v>03-Jan-2022</v>
          </cell>
          <cell r="F2132">
            <v>16472973.51</v>
          </cell>
          <cell r="G2132">
            <v>16496.092000000001</v>
          </cell>
          <cell r="H2132">
            <v>998.6</v>
          </cell>
          <cell r="I2132">
            <v>0</v>
          </cell>
          <cell r="J2132">
            <v>998.6</v>
          </cell>
        </row>
        <row r="2133">
          <cell r="A2133" t="str">
            <v>LU2280507414</v>
          </cell>
          <cell r="B2133" t="str">
            <v>AMUNDI FUNDS - GLOBAL CORPORATE ESG IMPROVERS BOND</v>
          </cell>
          <cell r="C2133" t="str">
            <v>Class M2 USD (C)</v>
          </cell>
          <cell r="D2133" t="str">
            <v>USD</v>
          </cell>
          <cell r="E2133" t="str">
            <v>03-Jan-2022</v>
          </cell>
          <cell r="F2133">
            <v>5031.32</v>
          </cell>
          <cell r="G2133">
            <v>5</v>
          </cell>
          <cell r="H2133">
            <v>1006.26</v>
          </cell>
          <cell r="I2133">
            <v>0</v>
          </cell>
          <cell r="J2133">
            <v>1006.26</v>
          </cell>
        </row>
        <row r="2134">
          <cell r="A2134" t="str">
            <v>LU2280507091</v>
          </cell>
          <cell r="B2134" t="str">
            <v>AMUNDI FUNDS - GLOBAL CORPORATE ESG IMPROVERS BOND</v>
          </cell>
          <cell r="C2134" t="str">
            <v>Class R2 USD (C)</v>
          </cell>
          <cell r="D2134" t="str">
            <v>USD</v>
          </cell>
          <cell r="E2134" t="str">
            <v>03-Jan-2022</v>
          </cell>
          <cell r="F2134">
            <v>5020.93</v>
          </cell>
          <cell r="G2134">
            <v>100</v>
          </cell>
          <cell r="H2134">
            <v>50.21</v>
          </cell>
          <cell r="I2134">
            <v>0</v>
          </cell>
          <cell r="J2134">
            <v>50.21</v>
          </cell>
        </row>
        <row r="2135">
          <cell r="A2135" t="str">
            <v>LU2359305799</v>
          </cell>
          <cell r="B2135" t="str">
            <v>AMUNDI FUNDS - GLOBAL CORPORATE ESG IMPROVERS BOND</v>
          </cell>
          <cell r="C2135" t="str">
            <v>Class R2 GBP (C)</v>
          </cell>
          <cell r="D2135" t="str">
            <v>GBP</v>
          </cell>
          <cell r="E2135" t="str">
            <v>03-Jan-2022</v>
          </cell>
          <cell r="F2135">
            <v>5023.51</v>
          </cell>
          <cell r="G2135">
            <v>100</v>
          </cell>
          <cell r="H2135">
            <v>50.24</v>
          </cell>
          <cell r="I2135">
            <v>0</v>
          </cell>
          <cell r="J2135">
            <v>50.24</v>
          </cell>
        </row>
        <row r="2136">
          <cell r="A2136" t="str">
            <v>LU2359305526</v>
          </cell>
          <cell r="B2136" t="str">
            <v>AMUNDI FUNDS - GLOBAL CORPORATE ESG IMPROVERS BOND</v>
          </cell>
          <cell r="C2136" t="str">
            <v>Class R2 USD AD (D)</v>
          </cell>
          <cell r="D2136" t="str">
            <v>USD</v>
          </cell>
          <cell r="E2136" t="str">
            <v>03-Jan-2022</v>
          </cell>
          <cell r="F2136">
            <v>4912.4399999999996</v>
          </cell>
          <cell r="G2136">
            <v>100</v>
          </cell>
          <cell r="H2136">
            <v>49.12</v>
          </cell>
          <cell r="I2136">
            <v>0</v>
          </cell>
          <cell r="J2136">
            <v>49.12</v>
          </cell>
        </row>
        <row r="2137">
          <cell r="A2137" t="str">
            <v>LU2280507331</v>
          </cell>
          <cell r="B2137" t="str">
            <v>AMUNDI FUNDS - GLOBAL CORPORATE ESG IMPROVERS BOND</v>
          </cell>
          <cell r="C2137" t="str">
            <v>Class Z USD (C)</v>
          </cell>
          <cell r="D2137" t="str">
            <v>USD</v>
          </cell>
          <cell r="E2137" t="str">
            <v>03-Jan-2022</v>
          </cell>
          <cell r="F2137">
            <v>50797901.530000001</v>
          </cell>
          <cell r="G2137">
            <v>50421.741000000002</v>
          </cell>
          <cell r="H2137">
            <v>1007.46</v>
          </cell>
          <cell r="I2137">
            <v>0</v>
          </cell>
          <cell r="J2137">
            <v>1007.46</v>
          </cell>
        </row>
        <row r="2138">
          <cell r="A2138" t="str">
            <v>LU2280507505</v>
          </cell>
          <cell r="B2138" t="str">
            <v>AMUNDI FUNDS - GLOBAL CORPORATE ESG IMPROVERS BOND</v>
          </cell>
          <cell r="C2138" t="str">
            <v>Class H USD (C)</v>
          </cell>
          <cell r="D2138" t="str">
            <v>USD</v>
          </cell>
          <cell r="E2138" t="str">
            <v>03-Jan-2022</v>
          </cell>
          <cell r="F2138">
            <v>5037.29</v>
          </cell>
          <cell r="G2138">
            <v>5</v>
          </cell>
          <cell r="H2138">
            <v>1007.46</v>
          </cell>
          <cell r="I2138">
            <v>0</v>
          </cell>
          <cell r="J2138">
            <v>1007.46</v>
          </cell>
        </row>
        <row r="2139">
          <cell r="A2139" t="str">
            <v>LU2330497780</v>
          </cell>
          <cell r="B2139" t="str">
            <v>AMUNDI FUNDS - GLOBAL CORPORATE ESG IMPROVERS BOND</v>
          </cell>
          <cell r="C2139" t="str">
            <v>Class Z EUR Hgd (C)</v>
          </cell>
          <cell r="D2139" t="str">
            <v>EUR</v>
          </cell>
          <cell r="E2139" t="str">
            <v>03-Jan-2022</v>
          </cell>
          <cell r="F2139">
            <v>8000117.0300000003</v>
          </cell>
          <cell r="G2139">
            <v>8000</v>
          </cell>
          <cell r="H2139">
            <v>1000.01</v>
          </cell>
          <cell r="I2139">
            <v>0</v>
          </cell>
          <cell r="J2139">
            <v>1000.01</v>
          </cell>
        </row>
        <row r="2140">
          <cell r="A2140" t="str">
            <v>LU2280507844</v>
          </cell>
          <cell r="B2140" t="str">
            <v>AMUNDI FUNDS - PIO GLOB HIGH YIELD ESG IMPROVER BD</v>
          </cell>
          <cell r="C2140" t="str">
            <v>Class A2 USD (C)</v>
          </cell>
          <cell r="D2140" t="str">
            <v>USD</v>
          </cell>
          <cell r="E2140" t="str">
            <v>03-Jan-2022</v>
          </cell>
          <cell r="F2140">
            <v>5114.53</v>
          </cell>
          <cell r="G2140">
            <v>100</v>
          </cell>
          <cell r="H2140">
            <v>51.15</v>
          </cell>
          <cell r="I2140">
            <v>0</v>
          </cell>
          <cell r="J2140">
            <v>51.15</v>
          </cell>
        </row>
        <row r="2141">
          <cell r="A2141" t="str">
            <v>LU2359304396</v>
          </cell>
          <cell r="B2141" t="str">
            <v>AMUNDI FUNDS - PIO GLOB HIGH YIELD ESG IMPROVER BD</v>
          </cell>
          <cell r="C2141" t="str">
            <v>Class A2 EUR (C)</v>
          </cell>
          <cell r="D2141" t="str">
            <v>EUR</v>
          </cell>
          <cell r="E2141" t="str">
            <v>03-Jan-2022</v>
          </cell>
          <cell r="F2141">
            <v>5258.12</v>
          </cell>
          <cell r="G2141">
            <v>100</v>
          </cell>
          <cell r="H2141">
            <v>52.58</v>
          </cell>
          <cell r="I2141">
            <v>0</v>
          </cell>
          <cell r="J2141">
            <v>52.58</v>
          </cell>
        </row>
        <row r="2142">
          <cell r="A2142" t="str">
            <v>LU2359304479</v>
          </cell>
          <cell r="B2142" t="str">
            <v>AMUNDI FUNDS - PIO GLOB HIGH YIELD ESG IMPROVER BD</v>
          </cell>
          <cell r="C2142" t="str">
            <v>Class A2 USD AD (D)</v>
          </cell>
          <cell r="D2142" t="str">
            <v>USD</v>
          </cell>
          <cell r="E2142" t="str">
            <v>03-Jan-2022</v>
          </cell>
          <cell r="F2142">
            <v>5034.6000000000004</v>
          </cell>
          <cell r="G2142">
            <v>100</v>
          </cell>
          <cell r="H2142">
            <v>50.35</v>
          </cell>
          <cell r="I2142">
            <v>0</v>
          </cell>
          <cell r="J2142">
            <v>50.35</v>
          </cell>
        </row>
        <row r="2143">
          <cell r="A2143" t="str">
            <v>LU2280508578</v>
          </cell>
          <cell r="B2143" t="str">
            <v>AMUNDI FUNDS - PIO GLOB HIGH YIELD ESG IMPROVER BD</v>
          </cell>
          <cell r="C2143" t="str">
            <v>Class E2 EUR (C)</v>
          </cell>
          <cell r="D2143" t="str">
            <v>EUR</v>
          </cell>
          <cell r="E2143" t="str">
            <v>03-Jan-2022</v>
          </cell>
          <cell r="F2143">
            <v>13115.29</v>
          </cell>
          <cell r="G2143">
            <v>2416.8989999999999</v>
          </cell>
          <cell r="H2143">
            <v>5.4260000000000002</v>
          </cell>
          <cell r="I2143">
            <v>0</v>
          </cell>
          <cell r="J2143">
            <v>5.4260000000000002</v>
          </cell>
        </row>
        <row r="2144">
          <cell r="A2144" t="str">
            <v>LU2280508495</v>
          </cell>
          <cell r="B2144" t="str">
            <v>AMUNDI FUNDS - PIO GLOB HIGH YIELD ESG IMPROVER BD</v>
          </cell>
          <cell r="C2144" t="str">
            <v>Class E2 EUR Hgd (C)</v>
          </cell>
          <cell r="D2144" t="str">
            <v>EUR</v>
          </cell>
          <cell r="E2144" t="str">
            <v>03-Jan-2022</v>
          </cell>
          <cell r="F2144">
            <v>101632.94</v>
          </cell>
          <cell r="G2144">
            <v>20000</v>
          </cell>
          <cell r="H2144">
            <v>5.0819999999999999</v>
          </cell>
          <cell r="I2144">
            <v>0</v>
          </cell>
          <cell r="J2144">
            <v>5.0819999999999999</v>
          </cell>
        </row>
        <row r="2145">
          <cell r="A2145" t="str">
            <v>LU2280508909</v>
          </cell>
          <cell r="B2145" t="str">
            <v>AMUNDI FUNDS - PIO GLOB HIGH YIELD ESG IMPROVER BD</v>
          </cell>
          <cell r="C2145" t="str">
            <v>Class I2 USD (C)</v>
          </cell>
          <cell r="D2145" t="str">
            <v>USD</v>
          </cell>
          <cell r="E2145" t="str">
            <v>03-Jan-2022</v>
          </cell>
          <cell r="F2145">
            <v>5146.51</v>
          </cell>
          <cell r="G2145">
            <v>5</v>
          </cell>
          <cell r="H2145">
            <v>1029.3</v>
          </cell>
          <cell r="I2145">
            <v>0</v>
          </cell>
          <cell r="J2145">
            <v>1029.3</v>
          </cell>
        </row>
        <row r="2146">
          <cell r="A2146" t="str">
            <v>LU2359304719</v>
          </cell>
          <cell r="B2146" t="str">
            <v>AMUNDI FUNDS - PIO GLOB HIGH YIELD ESG IMPROVER BD</v>
          </cell>
          <cell r="C2146" t="str">
            <v>Class I2 GBP (C)</v>
          </cell>
          <cell r="D2146" t="str">
            <v>GBP</v>
          </cell>
          <cell r="E2146" t="str">
            <v>03-Jan-2022</v>
          </cell>
          <cell r="F2146">
            <v>5170.25</v>
          </cell>
          <cell r="G2146">
            <v>5</v>
          </cell>
          <cell r="H2146">
            <v>1034.05</v>
          </cell>
          <cell r="I2146">
            <v>0</v>
          </cell>
          <cell r="J2146">
            <v>1034.05</v>
          </cell>
        </row>
        <row r="2147">
          <cell r="A2147" t="str">
            <v>LU2280509113</v>
          </cell>
          <cell r="B2147" t="str">
            <v>AMUNDI FUNDS - PIO GLOB HIGH YIELD ESG IMPROVER BD</v>
          </cell>
          <cell r="C2147" t="str">
            <v>Class M2 USD (C)</v>
          </cell>
          <cell r="D2147" t="str">
            <v>USD</v>
          </cell>
          <cell r="E2147" t="str">
            <v>03-Jan-2022</v>
          </cell>
          <cell r="F2147">
            <v>5144.29</v>
          </cell>
          <cell r="G2147">
            <v>5</v>
          </cell>
          <cell r="H2147">
            <v>1028.8599999999999</v>
          </cell>
          <cell r="I2147">
            <v>0</v>
          </cell>
          <cell r="J2147">
            <v>1028.8599999999999</v>
          </cell>
        </row>
        <row r="2148">
          <cell r="A2148" t="str">
            <v>LU2280508735</v>
          </cell>
          <cell r="B2148" t="str">
            <v>AMUNDI FUNDS - PIO GLOB HIGH YIELD ESG IMPROVER BD</v>
          </cell>
          <cell r="C2148" t="str">
            <v>Class R2 USD (C)</v>
          </cell>
          <cell r="D2148" t="str">
            <v>USD</v>
          </cell>
          <cell r="E2148" t="str">
            <v>03-Jan-2022</v>
          </cell>
          <cell r="F2148">
            <v>5137.42</v>
          </cell>
          <cell r="G2148">
            <v>100</v>
          </cell>
          <cell r="H2148">
            <v>51.37</v>
          </cell>
          <cell r="I2148">
            <v>0</v>
          </cell>
          <cell r="J2148">
            <v>51.37</v>
          </cell>
        </row>
        <row r="2149">
          <cell r="A2149" t="str">
            <v>LU2359304636</v>
          </cell>
          <cell r="B2149" t="str">
            <v>AMUNDI FUNDS - PIO GLOB HIGH YIELD ESG IMPROVER BD</v>
          </cell>
          <cell r="C2149" t="str">
            <v>Class R2 GBP (C)</v>
          </cell>
          <cell r="D2149" t="str">
            <v>GBP</v>
          </cell>
          <cell r="E2149" t="str">
            <v>03-Jan-2022</v>
          </cell>
          <cell r="F2149">
            <v>5164.67</v>
          </cell>
          <cell r="G2149">
            <v>100</v>
          </cell>
          <cell r="H2149">
            <v>51.65</v>
          </cell>
          <cell r="I2149">
            <v>0</v>
          </cell>
          <cell r="J2149">
            <v>51.65</v>
          </cell>
        </row>
        <row r="2150">
          <cell r="A2150" t="str">
            <v>LU2359304552</v>
          </cell>
          <cell r="B2150" t="str">
            <v>AMUNDI FUNDS - PIO GLOB HIGH YIELD ESG IMPROVER BD</v>
          </cell>
          <cell r="C2150" t="str">
            <v>Class R2 USD AD (D)</v>
          </cell>
          <cell r="D2150" t="str">
            <v>USD</v>
          </cell>
          <cell r="E2150" t="str">
            <v>03-Jan-2022</v>
          </cell>
          <cell r="F2150">
            <v>5048.3999999999996</v>
          </cell>
          <cell r="G2150">
            <v>100</v>
          </cell>
          <cell r="H2150">
            <v>50.48</v>
          </cell>
          <cell r="I2150">
            <v>0</v>
          </cell>
          <cell r="J2150">
            <v>50.48</v>
          </cell>
        </row>
        <row r="2151">
          <cell r="A2151" t="str">
            <v>LU2280509030</v>
          </cell>
          <cell r="B2151" t="str">
            <v>AMUNDI FUNDS - PIO GLOB HIGH YIELD ESG IMPROVER BD</v>
          </cell>
          <cell r="C2151" t="str">
            <v>Class Z USD (C)</v>
          </cell>
          <cell r="D2151" t="str">
            <v>USD</v>
          </cell>
          <cell r="E2151" t="str">
            <v>03-Jan-2022</v>
          </cell>
          <cell r="F2151">
            <v>23453330.149999999</v>
          </cell>
          <cell r="G2151">
            <v>22756.903999999999</v>
          </cell>
          <cell r="H2151">
            <v>1030.5999999999999</v>
          </cell>
          <cell r="I2151">
            <v>0</v>
          </cell>
          <cell r="J2151">
            <v>1030.5999999999999</v>
          </cell>
        </row>
        <row r="2152">
          <cell r="A2152" t="str">
            <v>LU2280509204</v>
          </cell>
          <cell r="B2152" t="str">
            <v>AMUNDI FUNDS - PIO GLOB HIGH YIELD ESG IMPROVER BD</v>
          </cell>
          <cell r="C2152" t="str">
            <v>Class H USD (C)</v>
          </cell>
          <cell r="D2152" t="str">
            <v>USD</v>
          </cell>
          <cell r="E2152" t="str">
            <v>03-Jan-2022</v>
          </cell>
          <cell r="F2152">
            <v>5154.84</v>
          </cell>
          <cell r="G2152">
            <v>5</v>
          </cell>
          <cell r="H2152">
            <v>1030.97</v>
          </cell>
          <cell r="I2152">
            <v>0</v>
          </cell>
          <cell r="J2152">
            <v>1030.97</v>
          </cell>
        </row>
        <row r="2153">
          <cell r="A2153" t="str">
            <v>LU2330498671</v>
          </cell>
          <cell r="B2153" t="str">
            <v>AMUNDI FUNDS - PIO GLOB HIGH YIELD ESG IMPROVER BD</v>
          </cell>
          <cell r="C2153" t="str">
            <v>Class H EUR Hgd QD (D)</v>
          </cell>
          <cell r="D2153" t="str">
            <v>EUR</v>
          </cell>
          <cell r="E2153" t="str">
            <v>03-Jan-2022</v>
          </cell>
          <cell r="F2153">
            <v>3032906.73</v>
          </cell>
          <cell r="G2153">
            <v>3063.0529999999999</v>
          </cell>
          <cell r="H2153">
            <v>990.16</v>
          </cell>
          <cell r="I2153">
            <v>0</v>
          </cell>
          <cell r="J2153">
            <v>990.16</v>
          </cell>
        </row>
        <row r="2154">
          <cell r="A2154" t="str">
            <v>LU2344284976</v>
          </cell>
          <cell r="B2154" t="str">
            <v>AMUNDI FUNDS - GLOBAL EQUITY ESG IMPROVERS</v>
          </cell>
          <cell r="C2154" t="str">
            <v>Class A2 USD (C)</v>
          </cell>
          <cell r="D2154" t="str">
            <v>USD</v>
          </cell>
          <cell r="E2154" t="str">
            <v>03-Jan-2022</v>
          </cell>
          <cell r="F2154">
            <v>6325.84</v>
          </cell>
          <cell r="G2154">
            <v>120</v>
          </cell>
          <cell r="H2154">
            <v>52.72</v>
          </cell>
          <cell r="I2154">
            <v>0</v>
          </cell>
          <cell r="J2154">
            <v>52.72</v>
          </cell>
        </row>
        <row r="2155">
          <cell r="A2155" t="str">
            <v>LU2344286328</v>
          </cell>
          <cell r="B2155" t="str">
            <v>AMUNDI FUNDS - GLOBAL EQUITY ESG IMPROVERS</v>
          </cell>
          <cell r="C2155" t="str">
            <v>Class E2 EUR (C)</v>
          </cell>
          <cell r="D2155" t="str">
            <v>EUR</v>
          </cell>
          <cell r="E2155" t="str">
            <v>03-Jan-2022</v>
          </cell>
          <cell r="F2155">
            <v>6587.65</v>
          </cell>
          <cell r="G2155">
            <v>1200</v>
          </cell>
          <cell r="H2155">
            <v>5.49</v>
          </cell>
          <cell r="I2155">
            <v>0</v>
          </cell>
          <cell r="J2155">
            <v>5.49</v>
          </cell>
        </row>
        <row r="2156">
          <cell r="A2156" t="str">
            <v>LU2344285353</v>
          </cell>
          <cell r="B2156" t="str">
            <v>AMUNDI FUNDS - GLOBAL EQUITY ESG IMPROVERS</v>
          </cell>
          <cell r="C2156" t="str">
            <v>Class I2 USD (C)</v>
          </cell>
          <cell r="D2156" t="str">
            <v>USD</v>
          </cell>
          <cell r="E2156" t="str">
            <v>03-Jan-2022</v>
          </cell>
          <cell r="F2156">
            <v>6348.23</v>
          </cell>
          <cell r="G2156">
            <v>6</v>
          </cell>
          <cell r="H2156">
            <v>1058.04</v>
          </cell>
          <cell r="I2156">
            <v>0</v>
          </cell>
          <cell r="J2156">
            <v>1058.04</v>
          </cell>
        </row>
        <row r="2157">
          <cell r="A2157" t="str">
            <v>LU2344285601</v>
          </cell>
          <cell r="B2157" t="str">
            <v>AMUNDI FUNDS - GLOBAL EQUITY ESG IMPROVERS</v>
          </cell>
          <cell r="C2157" t="str">
            <v>Class R2 USD (C)</v>
          </cell>
          <cell r="D2157" t="str">
            <v>USD</v>
          </cell>
          <cell r="E2157" t="str">
            <v>03-Jan-2022</v>
          </cell>
          <cell r="F2157">
            <v>6340.61</v>
          </cell>
          <cell r="G2157">
            <v>120</v>
          </cell>
          <cell r="H2157">
            <v>52.84</v>
          </cell>
          <cell r="I2157">
            <v>0</v>
          </cell>
          <cell r="J2157">
            <v>52.84</v>
          </cell>
        </row>
        <row r="2158">
          <cell r="A2158" t="str">
            <v>LU2344285940</v>
          </cell>
          <cell r="B2158" t="str">
            <v>AMUNDI FUNDS - GLOBAL EQUITY ESG IMPROVERS</v>
          </cell>
          <cell r="C2158" t="str">
            <v>Class Z USD (C)</v>
          </cell>
          <cell r="D2158" t="str">
            <v>USD</v>
          </cell>
          <cell r="E2158" t="str">
            <v>03-Jan-2022</v>
          </cell>
          <cell r="F2158">
            <v>14939397.91</v>
          </cell>
          <cell r="G2158">
            <v>14100.209000000001</v>
          </cell>
          <cell r="H2158">
            <v>1059.52</v>
          </cell>
          <cell r="I2158">
            <v>0</v>
          </cell>
          <cell r="J2158">
            <v>1059.52</v>
          </cell>
        </row>
        <row r="2159">
          <cell r="A2159" t="str">
            <v>LU2344286245</v>
          </cell>
          <cell r="B2159" t="str">
            <v>AMUNDI FUNDS - GLOBAL EQUITY ESG IMPROVERS</v>
          </cell>
          <cell r="C2159" t="str">
            <v>Class H EUR (C)</v>
          </cell>
          <cell r="D2159" t="str">
            <v>EUR</v>
          </cell>
          <cell r="E2159" t="str">
            <v>03-Jan-2022</v>
          </cell>
          <cell r="F2159">
            <v>6616</v>
          </cell>
          <cell r="G2159">
            <v>6</v>
          </cell>
          <cell r="H2159">
            <v>1102.67</v>
          </cell>
          <cell r="I2159">
            <v>0</v>
          </cell>
          <cell r="J2159">
            <v>1102.67</v>
          </cell>
        </row>
        <row r="2160">
          <cell r="A2160" t="str">
            <v>LU0281585215</v>
          </cell>
          <cell r="B2160" t="str">
            <v>Amundi S.F. - Euro Curve 10 + Year</v>
          </cell>
          <cell r="C2160" t="str">
            <v>Class A Distributing Annually</v>
          </cell>
          <cell r="D2160" t="str">
            <v>EUR</v>
          </cell>
          <cell r="E2160" t="str">
            <v>03-Jan-2022</v>
          </cell>
          <cell r="F2160">
            <v>346884.07</v>
          </cell>
          <cell r="G2160">
            <v>3129.0189999999998</v>
          </cell>
          <cell r="H2160">
            <v>110.86</v>
          </cell>
          <cell r="I2160">
            <v>0</v>
          </cell>
          <cell r="J2160">
            <v>114.19</v>
          </cell>
        </row>
        <row r="2161">
          <cell r="A2161" t="str">
            <v>LU0271691981</v>
          </cell>
          <cell r="B2161" t="str">
            <v>Amundi S.F. - Euro Curve 10 + Year</v>
          </cell>
          <cell r="C2161" t="str">
            <v>Class E Non - Distributing</v>
          </cell>
          <cell r="D2161" t="str">
            <v>EUR</v>
          </cell>
          <cell r="E2161" t="str">
            <v>03-Jan-2022</v>
          </cell>
          <cell r="F2161">
            <v>2062207.93</v>
          </cell>
          <cell r="G2161">
            <v>199557.92600000001</v>
          </cell>
          <cell r="H2161">
            <v>10.334</v>
          </cell>
          <cell r="I2161">
            <v>0</v>
          </cell>
          <cell r="J2161">
            <v>10.334</v>
          </cell>
        </row>
        <row r="2162">
          <cell r="A2162" t="str">
            <v>LU0857391741</v>
          </cell>
          <cell r="B2162" t="str">
            <v>Amundi S.F. - Euro Curve 10 + Year</v>
          </cell>
          <cell r="C2162" t="str">
            <v>Class E Distributing Quarterly Target</v>
          </cell>
          <cell r="D2162" t="str">
            <v>EUR</v>
          </cell>
          <cell r="E2162" t="str">
            <v>03-Jan-2022</v>
          </cell>
          <cell r="F2162">
            <v>590342.48</v>
          </cell>
          <cell r="G2162">
            <v>84172.195000000007</v>
          </cell>
          <cell r="H2162">
            <v>7.0140000000000002</v>
          </cell>
          <cell r="I2162">
            <v>1.9E-3</v>
          </cell>
          <cell r="J2162">
            <v>7.0140000000000002</v>
          </cell>
        </row>
        <row r="2163">
          <cell r="A2163" t="str">
            <v>LU0271692013</v>
          </cell>
          <cell r="B2163" t="str">
            <v>Amundi S.F. - Euro Curve 10 + Year</v>
          </cell>
          <cell r="C2163" t="str">
            <v>Class F Non - Distributing</v>
          </cell>
          <cell r="D2163" t="str">
            <v>EUR</v>
          </cell>
          <cell r="E2163" t="str">
            <v>03-Jan-2022</v>
          </cell>
          <cell r="F2163">
            <v>1566133.66</v>
          </cell>
          <cell r="G2163">
            <v>165630.451</v>
          </cell>
          <cell r="H2163">
            <v>9.4559999999999995</v>
          </cell>
          <cell r="I2163">
            <v>0</v>
          </cell>
          <cell r="J2163">
            <v>9.4559999999999995</v>
          </cell>
        </row>
        <row r="2164">
          <cell r="A2164" t="str">
            <v>LU0433266516</v>
          </cell>
          <cell r="B2164" t="str">
            <v>Amundi S.F. - Euro Curve 10 + Year</v>
          </cell>
          <cell r="C2164" t="str">
            <v>Class I Non - Distributing</v>
          </cell>
          <cell r="D2164" t="str">
            <v>EUR</v>
          </cell>
          <cell r="E2164" t="str">
            <v>03-Jan-2022</v>
          </cell>
          <cell r="F2164">
            <v>89927.21</v>
          </cell>
          <cell r="G2164">
            <v>40.130000000000003</v>
          </cell>
          <cell r="H2164">
            <v>2240.9</v>
          </cell>
          <cell r="I2164">
            <v>0</v>
          </cell>
          <cell r="J2164">
            <v>2240.9</v>
          </cell>
        </row>
        <row r="2165">
          <cell r="A2165" t="str">
            <v>LU0332132397</v>
          </cell>
          <cell r="B2165" t="str">
            <v>Amundi S.F. - Euro Curve 10 + Year</v>
          </cell>
          <cell r="C2165" t="str">
            <v>Class H Non - Distributing</v>
          </cell>
          <cell r="D2165" t="str">
            <v>EUR</v>
          </cell>
          <cell r="E2165" t="str">
            <v>03-Jan-2022</v>
          </cell>
          <cell r="F2165">
            <v>49394143.350000001</v>
          </cell>
          <cell r="G2165">
            <v>21049.163</v>
          </cell>
          <cell r="H2165">
            <v>2346.61</v>
          </cell>
          <cell r="I2165">
            <v>0</v>
          </cell>
          <cell r="J2165">
            <v>2393.54</v>
          </cell>
        </row>
        <row r="2166">
          <cell r="A2166" t="str">
            <v>LU0536711285</v>
          </cell>
          <cell r="B2166" t="str">
            <v>Amundi S.F. - Euro Curve 7-10 Year</v>
          </cell>
          <cell r="C2166" t="str">
            <v>Class A Distributing</v>
          </cell>
          <cell r="D2166" t="str">
            <v>EUR</v>
          </cell>
          <cell r="E2166" t="str">
            <v>03-Jan-2022</v>
          </cell>
          <cell r="F2166">
            <v>132945.23000000001</v>
          </cell>
          <cell r="G2166">
            <v>1732.644</v>
          </cell>
          <cell r="H2166">
            <v>76.73</v>
          </cell>
          <cell r="I2166">
            <v>0</v>
          </cell>
          <cell r="J2166">
            <v>79.03</v>
          </cell>
        </row>
        <row r="2167">
          <cell r="A2167" t="str">
            <v>LU0536711103</v>
          </cell>
          <cell r="B2167" t="str">
            <v>Amundi S.F. - Euro Curve 7-10 Year</v>
          </cell>
          <cell r="C2167" t="str">
            <v>Class A Distributing Annually</v>
          </cell>
          <cell r="D2167" t="str">
            <v>EUR</v>
          </cell>
          <cell r="E2167" t="str">
            <v>03-Jan-2022</v>
          </cell>
          <cell r="F2167">
            <v>16546681.789999999</v>
          </cell>
          <cell r="G2167">
            <v>204288.85399999999</v>
          </cell>
          <cell r="H2167">
            <v>81</v>
          </cell>
          <cell r="I2167">
            <v>0</v>
          </cell>
          <cell r="J2167">
            <v>83.43</v>
          </cell>
        </row>
        <row r="2168">
          <cell r="A2168" t="str">
            <v>LU0367810172</v>
          </cell>
          <cell r="B2168" t="str">
            <v>Amundi S.F. - Euro Curve 7-10 Year</v>
          </cell>
          <cell r="C2168" t="str">
            <v>Class A Non - Distributing</v>
          </cell>
          <cell r="D2168" t="str">
            <v>EUR</v>
          </cell>
          <cell r="E2168" t="str">
            <v>03-Jan-2022</v>
          </cell>
          <cell r="F2168">
            <v>11922320.890000001</v>
          </cell>
          <cell r="G2168">
            <v>129131.04700000001</v>
          </cell>
          <cell r="H2168">
            <v>92.33</v>
          </cell>
          <cell r="I2168">
            <v>0</v>
          </cell>
          <cell r="J2168">
            <v>95.1</v>
          </cell>
        </row>
        <row r="2169">
          <cell r="A2169" t="str">
            <v>LU0536711442</v>
          </cell>
          <cell r="B2169" t="str">
            <v>Amundi S.F. - Euro Curve 7-10 Year</v>
          </cell>
          <cell r="C2169" t="str">
            <v>Class C Non - Distributing</v>
          </cell>
          <cell r="D2169" t="str">
            <v>EUR</v>
          </cell>
          <cell r="E2169" t="str">
            <v>03-Jan-2022</v>
          </cell>
          <cell r="F2169">
            <v>5575.84</v>
          </cell>
          <cell r="G2169">
            <v>77.007000000000005</v>
          </cell>
          <cell r="H2169">
            <v>72.41</v>
          </cell>
          <cell r="I2169">
            <v>0</v>
          </cell>
          <cell r="J2169">
            <v>72.41</v>
          </cell>
        </row>
        <row r="2170">
          <cell r="A2170" t="str">
            <v>LU0271693920</v>
          </cell>
          <cell r="B2170" t="str">
            <v>Amundi S.F. - Euro Curve 7-10 Year</v>
          </cell>
          <cell r="C2170" t="str">
            <v>Class E Non - Distributing</v>
          </cell>
          <cell r="D2170" t="str">
            <v>EUR</v>
          </cell>
          <cell r="E2170" t="str">
            <v>03-Jan-2022</v>
          </cell>
          <cell r="F2170">
            <v>22666311.640000001</v>
          </cell>
          <cell r="G2170">
            <v>2609041.202</v>
          </cell>
          <cell r="H2170">
            <v>8.6880000000000006</v>
          </cell>
          <cell r="I2170">
            <v>0</v>
          </cell>
          <cell r="J2170">
            <v>8.6880000000000006</v>
          </cell>
        </row>
        <row r="2171">
          <cell r="A2171" t="str">
            <v>LU0857391824</v>
          </cell>
          <cell r="B2171" t="str">
            <v>Amundi S.F. - Euro Curve 7-10 Year</v>
          </cell>
          <cell r="C2171" t="str">
            <v>Class E Distributing Quarterly Target</v>
          </cell>
          <cell r="D2171" t="str">
            <v>EUR</v>
          </cell>
          <cell r="E2171" t="str">
            <v>03-Jan-2022</v>
          </cell>
          <cell r="F2171">
            <v>1007201.2</v>
          </cell>
          <cell r="G2171">
            <v>170088.63399999999</v>
          </cell>
          <cell r="H2171">
            <v>5.9219999999999997</v>
          </cell>
          <cell r="I2171">
            <v>1.5E-3</v>
          </cell>
          <cell r="J2171">
            <v>5.9219999999999997</v>
          </cell>
        </row>
        <row r="2172">
          <cell r="A2172" t="str">
            <v>LU0271694654</v>
          </cell>
          <cell r="B2172" t="str">
            <v>Amundi S.F. - Euro Curve 7-10 Year</v>
          </cell>
          <cell r="C2172" t="str">
            <v>Class F Non - Distributing</v>
          </cell>
          <cell r="D2172" t="str">
            <v>EUR</v>
          </cell>
          <cell r="E2172" t="str">
            <v>03-Jan-2022</v>
          </cell>
          <cell r="F2172">
            <v>2714476.34</v>
          </cell>
          <cell r="G2172">
            <v>341604.80499999999</v>
          </cell>
          <cell r="H2172">
            <v>7.9459999999999997</v>
          </cell>
          <cell r="I2172">
            <v>0</v>
          </cell>
          <cell r="J2172">
            <v>7.9459999999999997</v>
          </cell>
        </row>
        <row r="2173">
          <cell r="A2173" t="str">
            <v>LU0433266433</v>
          </cell>
          <cell r="B2173" t="str">
            <v>Amundi S.F. - Euro Curve 7-10 Year</v>
          </cell>
          <cell r="C2173" t="str">
            <v>Class I Non - Distributing</v>
          </cell>
          <cell r="D2173" t="str">
            <v>EUR</v>
          </cell>
          <cell r="E2173" t="str">
            <v>03-Jan-2022</v>
          </cell>
          <cell r="F2173">
            <v>7296444</v>
          </cell>
          <cell r="G2173">
            <v>4301.8339999999998</v>
          </cell>
          <cell r="H2173">
            <v>1696.12</v>
          </cell>
          <cell r="I2173">
            <v>0</v>
          </cell>
          <cell r="J2173">
            <v>1696.12</v>
          </cell>
        </row>
        <row r="2174">
          <cell r="A2174" t="str">
            <v>LU1706854665</v>
          </cell>
          <cell r="B2174" t="str">
            <v>Amundi S.F. - Euro Curve 7-10 Year</v>
          </cell>
          <cell r="C2174" t="str">
            <v>Class R Distributing</v>
          </cell>
          <cell r="D2174" t="str">
            <v>EUR</v>
          </cell>
          <cell r="E2174" t="str">
            <v>03-Jan-2022</v>
          </cell>
          <cell r="F2174">
            <v>5428.13</v>
          </cell>
          <cell r="G2174">
            <v>100.437</v>
          </cell>
          <cell r="H2174">
            <v>54.05</v>
          </cell>
          <cell r="I2174">
            <v>0</v>
          </cell>
          <cell r="J2174">
            <v>54.05</v>
          </cell>
        </row>
        <row r="2175">
          <cell r="A2175" t="str">
            <v>LU1706853857</v>
          </cell>
          <cell r="B2175" t="str">
            <v>Amundi S.F. - Euro Curve 7-10 Year</v>
          </cell>
          <cell r="C2175" t="str">
            <v>Class R Non - Distributing</v>
          </cell>
          <cell r="D2175" t="str">
            <v>EUR</v>
          </cell>
          <cell r="E2175" t="str">
            <v>03-Jan-2022</v>
          </cell>
          <cell r="F2175">
            <v>49698.93</v>
          </cell>
          <cell r="G2175">
            <v>909.61699999999996</v>
          </cell>
          <cell r="H2175">
            <v>54.64</v>
          </cell>
          <cell r="I2175">
            <v>0</v>
          </cell>
          <cell r="J2175">
            <v>54.64</v>
          </cell>
        </row>
        <row r="2176">
          <cell r="A2176" t="str">
            <v>LU0332132041</v>
          </cell>
          <cell r="B2176" t="str">
            <v>Amundi S.F. - Euro Curve 7-10 Year</v>
          </cell>
          <cell r="C2176" t="str">
            <v>Class H Non - Distributing</v>
          </cell>
          <cell r="D2176" t="str">
            <v>EUR</v>
          </cell>
          <cell r="E2176" t="str">
            <v>03-Jan-2022</v>
          </cell>
          <cell r="F2176">
            <v>38653027.219999999</v>
          </cell>
          <cell r="G2176">
            <v>20897.708999999999</v>
          </cell>
          <cell r="H2176">
            <v>1849.63</v>
          </cell>
          <cell r="I2176">
            <v>0</v>
          </cell>
          <cell r="J2176">
            <v>1886.62</v>
          </cell>
        </row>
        <row r="2177">
          <cell r="A2177" t="str">
            <v>LU0271695388</v>
          </cell>
          <cell r="B2177" t="str">
            <v>Amundi S.F. - EUR Commodities</v>
          </cell>
          <cell r="C2177" t="str">
            <v>Class A Non - Distributing</v>
          </cell>
          <cell r="D2177" t="str">
            <v>EUR</v>
          </cell>
          <cell r="E2177" t="str">
            <v>03-Jan-2022</v>
          </cell>
          <cell r="F2177">
            <v>50217981.619999997</v>
          </cell>
          <cell r="G2177">
            <v>1857634.699</v>
          </cell>
          <cell r="H2177">
            <v>27.03</v>
          </cell>
          <cell r="I2177">
            <v>0</v>
          </cell>
          <cell r="J2177">
            <v>28.11</v>
          </cell>
        </row>
        <row r="2178">
          <cell r="A2178" t="str">
            <v>LU1694769693</v>
          </cell>
          <cell r="B2178" t="str">
            <v>Amundi S.F. - EUR Commodities</v>
          </cell>
          <cell r="C2178" t="str">
            <v>Class A Hedged Non - Distributing</v>
          </cell>
          <cell r="D2178" t="str">
            <v>CHF</v>
          </cell>
          <cell r="E2178" t="str">
            <v>03-Jan-2022</v>
          </cell>
          <cell r="F2178">
            <v>174389.3</v>
          </cell>
          <cell r="G2178">
            <v>4862.13</v>
          </cell>
          <cell r="H2178">
            <v>35.869999999999997</v>
          </cell>
          <cell r="I2178">
            <v>0</v>
          </cell>
          <cell r="J2178">
            <v>37.299999999999997</v>
          </cell>
        </row>
        <row r="2179">
          <cell r="A2179" t="str">
            <v>LU1694769859</v>
          </cell>
          <cell r="B2179" t="str">
            <v>Amundi S.F. - EUR Commodities</v>
          </cell>
          <cell r="C2179" t="str">
            <v>Class A Hedged Non - Distributing</v>
          </cell>
          <cell r="D2179" t="str">
            <v>USD</v>
          </cell>
          <cell r="E2179" t="str">
            <v>03-Jan-2022</v>
          </cell>
          <cell r="F2179">
            <v>9236713.5099999998</v>
          </cell>
          <cell r="G2179">
            <v>241216.14799999999</v>
          </cell>
          <cell r="H2179">
            <v>38.29</v>
          </cell>
          <cell r="I2179">
            <v>0</v>
          </cell>
          <cell r="J2179">
            <v>39.82</v>
          </cell>
        </row>
        <row r="2180">
          <cell r="A2180" t="str">
            <v>LU0372625102</v>
          </cell>
          <cell r="B2180" t="str">
            <v>Amundi S.F. - EUR Commodities</v>
          </cell>
          <cell r="C2180" t="str">
            <v>Class C Non - Distributing</v>
          </cell>
          <cell r="D2180" t="str">
            <v>EUR</v>
          </cell>
          <cell r="E2180" t="str">
            <v>03-Jan-2022</v>
          </cell>
          <cell r="F2180">
            <v>371773.27</v>
          </cell>
          <cell r="G2180">
            <v>24051.312999999998</v>
          </cell>
          <cell r="H2180">
            <v>15.46</v>
          </cell>
          <cell r="I2180">
            <v>0</v>
          </cell>
          <cell r="J2180">
            <v>15.46</v>
          </cell>
        </row>
        <row r="2181">
          <cell r="A2181" t="str">
            <v>LU1694770196</v>
          </cell>
          <cell r="B2181" t="str">
            <v>Amundi S.F. - EUR Commodities</v>
          </cell>
          <cell r="C2181" t="str">
            <v>Class C Hedged Non - Distributing</v>
          </cell>
          <cell r="D2181" t="str">
            <v>USD</v>
          </cell>
          <cell r="E2181" t="str">
            <v>03-Jan-2022</v>
          </cell>
          <cell r="F2181">
            <v>448128.08</v>
          </cell>
          <cell r="G2181">
            <v>10627.425999999999</v>
          </cell>
          <cell r="H2181">
            <v>42.17</v>
          </cell>
          <cell r="I2181">
            <v>0</v>
          </cell>
          <cell r="J2181">
            <v>42.17</v>
          </cell>
        </row>
        <row r="2182">
          <cell r="A2182" t="str">
            <v>LU0273973874</v>
          </cell>
          <cell r="B2182" t="str">
            <v>Amundi S.F. - EUR Commodities</v>
          </cell>
          <cell r="C2182" t="str">
            <v>Class E Non - Distributing</v>
          </cell>
          <cell r="D2182" t="str">
            <v>EUR</v>
          </cell>
          <cell r="E2182" t="str">
            <v>03-Jan-2022</v>
          </cell>
          <cell r="F2182">
            <v>6625832.8899999997</v>
          </cell>
          <cell r="G2182">
            <v>2734916.5469999998</v>
          </cell>
          <cell r="H2182">
            <v>2.423</v>
          </cell>
          <cell r="I2182">
            <v>0</v>
          </cell>
          <cell r="J2182">
            <v>2.423</v>
          </cell>
        </row>
        <row r="2183">
          <cell r="A2183" t="str">
            <v>LU0273974336</v>
          </cell>
          <cell r="B2183" t="str">
            <v>Amundi S.F. - EUR Commodities</v>
          </cell>
          <cell r="C2183" t="str">
            <v>Class F Non - Distributing</v>
          </cell>
          <cell r="D2183" t="str">
            <v>EUR</v>
          </cell>
          <cell r="E2183" t="str">
            <v>03-Jan-2022</v>
          </cell>
          <cell r="F2183">
            <v>4650155.59</v>
          </cell>
          <cell r="G2183">
            <v>2145856.8859999999</v>
          </cell>
          <cell r="H2183">
            <v>2.1669999999999998</v>
          </cell>
          <cell r="I2183">
            <v>0</v>
          </cell>
          <cell r="J2183">
            <v>2.1669999999999998</v>
          </cell>
        </row>
        <row r="2184">
          <cell r="A2184" t="str">
            <v>LU1694770352</v>
          </cell>
          <cell r="B2184" t="str">
            <v>Amundi S.F. - EUR Commodities</v>
          </cell>
          <cell r="C2184" t="str">
            <v>Class I Distributing Annually</v>
          </cell>
          <cell r="D2184" t="str">
            <v>EUR</v>
          </cell>
          <cell r="E2184" t="str">
            <v>03-Jan-2022</v>
          </cell>
          <cell r="F2184">
            <v>2333135.96</v>
          </cell>
          <cell r="G2184">
            <v>4676</v>
          </cell>
          <cell r="H2184">
            <v>498.96</v>
          </cell>
          <cell r="I2184">
            <v>0</v>
          </cell>
          <cell r="J2184">
            <v>498.96</v>
          </cell>
        </row>
        <row r="2185">
          <cell r="A2185" t="str">
            <v>LU0271695461</v>
          </cell>
          <cell r="B2185" t="str">
            <v>Amundi S.F. - EUR Commodities</v>
          </cell>
          <cell r="C2185" t="str">
            <v>Class I Non - Distributing</v>
          </cell>
          <cell r="D2185" t="str">
            <v>EUR</v>
          </cell>
          <cell r="E2185" t="str">
            <v>03-Jan-2022</v>
          </cell>
          <cell r="F2185">
            <v>65862787.619999997</v>
          </cell>
          <cell r="G2185">
            <v>123433.576</v>
          </cell>
          <cell r="H2185">
            <v>533.59</v>
          </cell>
          <cell r="I2185">
            <v>0</v>
          </cell>
          <cell r="J2185">
            <v>533.59</v>
          </cell>
        </row>
        <row r="2186">
          <cell r="A2186" t="str">
            <v>LU0419230916</v>
          </cell>
          <cell r="B2186" t="str">
            <v>Amundi S.F. - EUR Commodities</v>
          </cell>
          <cell r="C2186" t="str">
            <v>Class I Hedge Non - Distributing</v>
          </cell>
          <cell r="D2186" t="str">
            <v>USD</v>
          </cell>
          <cell r="E2186" t="str">
            <v>03-Jan-2022</v>
          </cell>
          <cell r="F2186">
            <v>6194284.46</v>
          </cell>
          <cell r="G2186">
            <v>7032.857</v>
          </cell>
          <cell r="H2186">
            <v>880.76</v>
          </cell>
          <cell r="I2186">
            <v>0</v>
          </cell>
          <cell r="J2186">
            <v>880.76</v>
          </cell>
        </row>
        <row r="2187">
          <cell r="A2187" t="str">
            <v>LU1706853931</v>
          </cell>
          <cell r="B2187" t="str">
            <v>Amundi S.F. - EUR Commodities</v>
          </cell>
          <cell r="C2187" t="str">
            <v>Class R Non - Distributing</v>
          </cell>
          <cell r="D2187" t="str">
            <v>EUR</v>
          </cell>
          <cell r="E2187" t="str">
            <v>03-Jan-2022</v>
          </cell>
          <cell r="F2187">
            <v>386296.36</v>
          </cell>
          <cell r="G2187">
            <v>6993.125</v>
          </cell>
          <cell r="H2187">
            <v>55.24</v>
          </cell>
          <cell r="I2187">
            <v>0</v>
          </cell>
          <cell r="J2187">
            <v>55.24</v>
          </cell>
        </row>
        <row r="2188">
          <cell r="A2188" t="str">
            <v>LU1706854582</v>
          </cell>
          <cell r="B2188" t="str">
            <v>Amundi S.F. - EUR Commodities</v>
          </cell>
          <cell r="C2188" t="str">
            <v>Class R Hedged Non - Distributing</v>
          </cell>
          <cell r="D2188" t="str">
            <v>USD</v>
          </cell>
          <cell r="E2188" t="str">
            <v>03-Jan-2022</v>
          </cell>
          <cell r="F2188">
            <v>190118.77</v>
          </cell>
          <cell r="G2188">
            <v>3695.4380000000001</v>
          </cell>
          <cell r="H2188">
            <v>51.45</v>
          </cell>
          <cell r="I2188">
            <v>0</v>
          </cell>
          <cell r="J2188">
            <v>53.51</v>
          </cell>
        </row>
        <row r="2189">
          <cell r="A2189" t="str">
            <v>LU0484923635</v>
          </cell>
          <cell r="B2189" t="str">
            <v>Amundi S.F. - EUR Commodities</v>
          </cell>
          <cell r="C2189" t="str">
            <v>Class H Distributing Annually</v>
          </cell>
          <cell r="D2189" t="str">
            <v>EUR</v>
          </cell>
          <cell r="E2189" t="str">
            <v>03-Jan-2022</v>
          </cell>
          <cell r="F2189">
            <v>2865.65</v>
          </cell>
          <cell r="G2189">
            <v>4</v>
          </cell>
          <cell r="H2189">
            <v>716.41</v>
          </cell>
          <cell r="I2189">
            <v>0</v>
          </cell>
          <cell r="J2189">
            <v>730.74</v>
          </cell>
        </row>
        <row r="2190">
          <cell r="A2190" t="str">
            <v>LU0271872185</v>
          </cell>
          <cell r="B2190" t="str">
            <v>Amundi S.F. - EUR Commodities</v>
          </cell>
          <cell r="C2190" t="str">
            <v>Class H Non - Distributing</v>
          </cell>
          <cell r="D2190" t="str">
            <v>EUR</v>
          </cell>
          <cell r="E2190" t="str">
            <v>03-Jan-2022</v>
          </cell>
          <cell r="F2190">
            <v>16763157.77</v>
          </cell>
          <cell r="G2190">
            <v>32320.481</v>
          </cell>
          <cell r="H2190">
            <v>518.65</v>
          </cell>
          <cell r="I2190">
            <v>0</v>
          </cell>
          <cell r="J2190">
            <v>529.02</v>
          </cell>
        </row>
        <row r="2191">
          <cell r="A2191" t="str">
            <v>LU1772191695</v>
          </cell>
          <cell r="B2191" t="str">
            <v>Amundi S.F. - EUR Commodities</v>
          </cell>
          <cell r="C2191" t="str">
            <v>Class H Hedged Non - Distributing</v>
          </cell>
          <cell r="D2191" t="str">
            <v>USD</v>
          </cell>
          <cell r="E2191" t="str">
            <v>03-Jan-2022</v>
          </cell>
          <cell r="F2191">
            <v>684024.06</v>
          </cell>
          <cell r="G2191">
            <v>591.99400000000003</v>
          </cell>
          <cell r="H2191">
            <v>1155.46</v>
          </cell>
          <cell r="I2191">
            <v>0</v>
          </cell>
          <cell r="J2191">
            <v>1155.46</v>
          </cell>
        </row>
        <row r="2192">
          <cell r="A2192" t="str">
            <v>LU1390435458</v>
          </cell>
          <cell r="B2192" t="str">
            <v>Amundi S.F. - Saving Box I</v>
          </cell>
          <cell r="C2192" t="str">
            <v>Class E Non - Distributing</v>
          </cell>
          <cell r="D2192" t="str">
            <v>EUR</v>
          </cell>
          <cell r="E2192" t="str">
            <v>03-Jan-2022</v>
          </cell>
          <cell r="F2192">
            <v>2466349.84</v>
          </cell>
          <cell r="G2192">
            <v>470489.15100000001</v>
          </cell>
          <cell r="H2192">
            <v>5.242</v>
          </cell>
          <cell r="I2192">
            <v>0</v>
          </cell>
          <cell r="J2192">
            <v>5.242</v>
          </cell>
        </row>
        <row r="2193">
          <cell r="A2193" t="str">
            <v>LU1390435888</v>
          </cell>
          <cell r="B2193" t="str">
            <v>Amundi S.F. - Saving Box I</v>
          </cell>
          <cell r="C2193" t="str">
            <v>Class U Non - Distributing</v>
          </cell>
          <cell r="D2193" t="str">
            <v>EUR</v>
          </cell>
          <cell r="E2193" t="str">
            <v>03-Jan-2022</v>
          </cell>
          <cell r="F2193">
            <v>19710395.440000001</v>
          </cell>
          <cell r="G2193">
            <v>378087.58100000001</v>
          </cell>
          <cell r="H2193">
            <v>52.13</v>
          </cell>
          <cell r="I2193">
            <v>0</v>
          </cell>
          <cell r="J2193">
            <v>52.13</v>
          </cell>
        </row>
        <row r="2194">
          <cell r="A2194" t="str">
            <v>LU1410363276</v>
          </cell>
          <cell r="B2194" t="str">
            <v>Amundi S.F. - Abs Return Multi-Strategy Control</v>
          </cell>
          <cell r="C2194" t="str">
            <v>Class A Non - Distributing</v>
          </cell>
          <cell r="D2194" t="str">
            <v>EUR</v>
          </cell>
          <cell r="E2194" t="str">
            <v>03-Jan-2022</v>
          </cell>
          <cell r="F2194">
            <v>10242.69</v>
          </cell>
          <cell r="G2194">
            <v>198.78700000000001</v>
          </cell>
          <cell r="H2194">
            <v>51.53</v>
          </cell>
          <cell r="I2194">
            <v>0</v>
          </cell>
          <cell r="J2194">
            <v>53.59</v>
          </cell>
        </row>
        <row r="2195">
          <cell r="A2195" t="str">
            <v>LU1410363359</v>
          </cell>
          <cell r="B2195" t="str">
            <v>Amundi S.F. - Abs Return Multi-Strategy Control</v>
          </cell>
          <cell r="C2195" t="str">
            <v>Class E Non - Distributing</v>
          </cell>
          <cell r="D2195" t="str">
            <v>EUR</v>
          </cell>
          <cell r="E2195" t="str">
            <v>03-Jan-2022</v>
          </cell>
          <cell r="F2195">
            <v>614491.6</v>
          </cell>
          <cell r="G2195">
            <v>119529.406</v>
          </cell>
          <cell r="H2195">
            <v>5.141</v>
          </cell>
          <cell r="I2195">
            <v>0</v>
          </cell>
          <cell r="J2195">
            <v>5.141</v>
          </cell>
        </row>
        <row r="2196">
          <cell r="A2196" t="str">
            <v>LU1706854822</v>
          </cell>
          <cell r="B2196" t="str">
            <v>Amundi S.F. - Abs Return Multi-Strategy Control</v>
          </cell>
          <cell r="C2196" t="str">
            <v>Class R Non - Distributing</v>
          </cell>
          <cell r="D2196" t="str">
            <v>EUR</v>
          </cell>
          <cell r="E2196" t="str">
            <v>03-Jan-2022</v>
          </cell>
          <cell r="F2196">
            <v>5198.4799999999996</v>
          </cell>
          <cell r="G2196">
            <v>100</v>
          </cell>
          <cell r="H2196">
            <v>51.98</v>
          </cell>
          <cell r="I2196">
            <v>0</v>
          </cell>
          <cell r="J2196">
            <v>51.98</v>
          </cell>
        </row>
        <row r="2197">
          <cell r="A2197" t="str">
            <v>LU1410363433</v>
          </cell>
          <cell r="B2197" t="str">
            <v>Amundi S.F. - Abs Return Multi-Strategy Control</v>
          </cell>
          <cell r="C2197" t="str">
            <v>Class H Non - Distributing</v>
          </cell>
          <cell r="D2197" t="str">
            <v>EUR</v>
          </cell>
          <cell r="E2197" t="str">
            <v>03-Jan-2022</v>
          </cell>
          <cell r="F2197">
            <v>119299748.18000001</v>
          </cell>
          <cell r="G2197">
            <v>112905.246</v>
          </cell>
          <cell r="H2197">
            <v>1056.6400000000001</v>
          </cell>
          <cell r="I2197">
            <v>0</v>
          </cell>
          <cell r="J2197">
            <v>1077.77</v>
          </cell>
        </row>
        <row r="2198">
          <cell r="A2198" t="str">
            <v>LU1428820432</v>
          </cell>
          <cell r="B2198" t="str">
            <v>Amundi S.F. - Saving Box II</v>
          </cell>
          <cell r="C2198" t="str">
            <v>Class E Non - Distributing</v>
          </cell>
          <cell r="D2198" t="str">
            <v>EUR</v>
          </cell>
          <cell r="E2198" t="str">
            <v>03-Jan-2022</v>
          </cell>
          <cell r="F2198">
            <v>11029285.039999999</v>
          </cell>
          <cell r="G2198">
            <v>2115662.949</v>
          </cell>
          <cell r="H2198">
            <v>5.2130000000000001</v>
          </cell>
          <cell r="I2198">
            <v>0</v>
          </cell>
          <cell r="J2198">
            <v>5.2130000000000001</v>
          </cell>
        </row>
        <row r="2199">
          <cell r="A2199" t="str">
            <v>LU1428824004</v>
          </cell>
          <cell r="B2199" t="str">
            <v>Amundi S.F. - Saving Box II</v>
          </cell>
          <cell r="C2199" t="str">
            <v>Class U Non - Distributing</v>
          </cell>
          <cell r="D2199" t="str">
            <v>EUR</v>
          </cell>
          <cell r="E2199" t="str">
            <v>03-Jan-2022</v>
          </cell>
          <cell r="F2199">
            <v>38517702.399999999</v>
          </cell>
          <cell r="G2199">
            <v>740806.10400000005</v>
          </cell>
          <cell r="H2199">
            <v>51.99</v>
          </cell>
          <cell r="I2199">
            <v>0</v>
          </cell>
          <cell r="J2199">
            <v>51.99</v>
          </cell>
        </row>
        <row r="2200">
          <cell r="A2200" t="str">
            <v>LU1467375017</v>
          </cell>
          <cell r="B2200" t="str">
            <v>Amundi S.F. - Diversified Target Income 11/2022</v>
          </cell>
          <cell r="C2200" t="str">
            <v>Class W Distributing Annually</v>
          </cell>
          <cell r="D2200" t="str">
            <v>EUR</v>
          </cell>
          <cell r="E2200" t="str">
            <v>03-Jan-2022</v>
          </cell>
          <cell r="F2200">
            <v>39978279.990000002</v>
          </cell>
          <cell r="G2200">
            <v>779845</v>
          </cell>
          <cell r="H2200">
            <v>51.26</v>
          </cell>
          <cell r="I2200">
            <v>0</v>
          </cell>
          <cell r="J2200">
            <v>51.26</v>
          </cell>
        </row>
        <row r="2201">
          <cell r="A2201" t="str">
            <v>LU1467376098</v>
          </cell>
          <cell r="B2201" t="str">
            <v>Amundi S.F. - Saving Box III</v>
          </cell>
          <cell r="C2201" t="str">
            <v>Class E Non - Distributing</v>
          </cell>
          <cell r="D2201" t="str">
            <v>EUR</v>
          </cell>
          <cell r="E2201" t="str">
            <v>03-Jan-2022</v>
          </cell>
          <cell r="F2201">
            <v>936547.89</v>
          </cell>
          <cell r="G2201">
            <v>179759.53</v>
          </cell>
          <cell r="H2201">
            <v>5.21</v>
          </cell>
          <cell r="I2201">
            <v>0</v>
          </cell>
          <cell r="J2201">
            <v>5.21</v>
          </cell>
        </row>
        <row r="2202">
          <cell r="A2202" t="str">
            <v>LU1490758445</v>
          </cell>
          <cell r="B2202" t="str">
            <v>Amundi S.F. - Saving Box III</v>
          </cell>
          <cell r="C2202" t="str">
            <v>Class F Non - Distributing</v>
          </cell>
          <cell r="D2202" t="str">
            <v>EUR</v>
          </cell>
          <cell r="E2202" t="str">
            <v>03-Jan-2022</v>
          </cell>
          <cell r="F2202">
            <v>19616872.949999999</v>
          </cell>
          <cell r="G2202">
            <v>3775079.321</v>
          </cell>
          <cell r="H2202">
            <v>5.1959999999999997</v>
          </cell>
          <cell r="I2202">
            <v>0</v>
          </cell>
          <cell r="J2202">
            <v>5.1959999999999997</v>
          </cell>
        </row>
        <row r="2203">
          <cell r="A2203" t="str">
            <v>LU2357810188</v>
          </cell>
          <cell r="B2203" t="str">
            <v>Amundi S.F. - Diversified Short-Term Bond</v>
          </cell>
          <cell r="C2203" t="str">
            <v>Class A Distributing Annually</v>
          </cell>
          <cell r="D2203" t="str">
            <v>EUR</v>
          </cell>
          <cell r="E2203" t="str">
            <v>03-Jan-2022</v>
          </cell>
          <cell r="F2203">
            <v>2910418.29</v>
          </cell>
          <cell r="G2203">
            <v>58360.927000000003</v>
          </cell>
          <cell r="H2203">
            <v>49.87</v>
          </cell>
          <cell r="I2203">
            <v>0</v>
          </cell>
          <cell r="J2203">
            <v>50.87</v>
          </cell>
        </row>
        <row r="2204">
          <cell r="A2204" t="str">
            <v>LU1706854152</v>
          </cell>
          <cell r="B2204" t="str">
            <v>Amundi S.F. - Diversified Short-Term Bond</v>
          </cell>
          <cell r="C2204" t="str">
            <v>Class A Non - Distributing</v>
          </cell>
          <cell r="D2204" t="str">
            <v>EUR</v>
          </cell>
          <cell r="E2204" t="str">
            <v>03-Jan-2022</v>
          </cell>
          <cell r="F2204">
            <v>46281888.909999996</v>
          </cell>
          <cell r="G2204">
            <v>914860.84499999997</v>
          </cell>
          <cell r="H2204">
            <v>50.59</v>
          </cell>
          <cell r="I2204">
            <v>0</v>
          </cell>
          <cell r="J2204">
            <v>51.6</v>
          </cell>
        </row>
        <row r="2205">
          <cell r="A2205" t="str">
            <v>LU1499628912</v>
          </cell>
          <cell r="B2205" t="str">
            <v>Amundi S.F. - Diversified Short-Term Bond</v>
          </cell>
          <cell r="C2205" t="str">
            <v>Class E Non - Distributing</v>
          </cell>
          <cell r="D2205" t="str">
            <v>EUR</v>
          </cell>
          <cell r="E2205" t="str">
            <v>03-Jan-2022</v>
          </cell>
          <cell r="F2205">
            <v>909737894.71000004</v>
          </cell>
          <cell r="G2205">
            <v>177687469.391</v>
          </cell>
          <cell r="H2205">
            <v>5.12</v>
          </cell>
          <cell r="I2205">
            <v>0</v>
          </cell>
          <cell r="J2205">
            <v>5.12</v>
          </cell>
        </row>
        <row r="2206">
          <cell r="A2206" t="str">
            <v>LU1706854319</v>
          </cell>
          <cell r="B2206" t="str">
            <v>Amundi S.F. - Diversified Short-Term Bond</v>
          </cell>
          <cell r="C2206" t="str">
            <v>Class E Non - Distributing</v>
          </cell>
          <cell r="D2206" t="str">
            <v>USD</v>
          </cell>
          <cell r="E2206" t="str">
            <v>03-Jan-2022</v>
          </cell>
          <cell r="F2206">
            <v>1027276030.71</v>
          </cell>
          <cell r="G2206">
            <v>177687469.391</v>
          </cell>
          <cell r="H2206">
            <v>5.7809999999999997</v>
          </cell>
          <cell r="I2206">
            <v>0</v>
          </cell>
          <cell r="J2206">
            <v>5.7809999999999997</v>
          </cell>
        </row>
        <row r="2207">
          <cell r="A2207" t="str">
            <v>LU1706854236</v>
          </cell>
          <cell r="B2207" t="str">
            <v>Amundi S.F. - Diversified Short-Term Bond</v>
          </cell>
          <cell r="C2207" t="str">
            <v>Class E Distributing Quarterly</v>
          </cell>
          <cell r="D2207" t="str">
            <v>EUR</v>
          </cell>
          <cell r="E2207" t="str">
            <v>03-Jan-2022</v>
          </cell>
          <cell r="F2207">
            <v>5120.13</v>
          </cell>
          <cell r="G2207">
            <v>1015.956</v>
          </cell>
          <cell r="H2207">
            <v>5.04</v>
          </cell>
          <cell r="I2207">
            <v>5.7000000000000002E-3</v>
          </cell>
          <cell r="J2207">
            <v>5.04</v>
          </cell>
        </row>
        <row r="2208">
          <cell r="A2208" t="str">
            <v>LU2357810428</v>
          </cell>
          <cell r="B2208" t="str">
            <v>Amundi S.F. - Diversified Short-Term Bond</v>
          </cell>
          <cell r="C2208" t="str">
            <v>Class F Non - Distributing</v>
          </cell>
          <cell r="D2208" t="str">
            <v>EUR</v>
          </cell>
          <cell r="E2208" t="str">
            <v>03-Jan-2022</v>
          </cell>
          <cell r="F2208">
            <v>2703239.53</v>
          </cell>
          <cell r="G2208">
            <v>543156.79200000002</v>
          </cell>
          <cell r="H2208">
            <v>4.9770000000000003</v>
          </cell>
          <cell r="I2208">
            <v>0</v>
          </cell>
          <cell r="J2208">
            <v>4.9770000000000003</v>
          </cell>
        </row>
        <row r="2209">
          <cell r="A2209" t="str">
            <v>LU1706854400</v>
          </cell>
          <cell r="B2209" t="str">
            <v>Amundi S.F. - Diversified Short-Term Bond</v>
          </cell>
          <cell r="C2209" t="str">
            <v>Class I Non - Distributing</v>
          </cell>
          <cell r="D2209" t="str">
            <v>EUR</v>
          </cell>
          <cell r="E2209" t="str">
            <v>03-Jan-2022</v>
          </cell>
          <cell r="F2209">
            <v>281133156.93000001</v>
          </cell>
          <cell r="G2209">
            <v>274054.68</v>
          </cell>
          <cell r="H2209">
            <v>1025.83</v>
          </cell>
          <cell r="I2209">
            <v>0</v>
          </cell>
          <cell r="J2209">
            <v>1025.83</v>
          </cell>
        </row>
        <row r="2210">
          <cell r="A2210" t="str">
            <v>LU2357810931</v>
          </cell>
          <cell r="B2210" t="str">
            <v>Amundi S.F. - Diversified Short-Term Bond</v>
          </cell>
          <cell r="C2210" t="str">
            <v>Class R Distributing Annually</v>
          </cell>
          <cell r="D2210" t="str">
            <v>EUR</v>
          </cell>
          <cell r="E2210" t="str">
            <v>03-Jan-2022</v>
          </cell>
          <cell r="F2210">
            <v>9910.7900000000009</v>
          </cell>
          <cell r="G2210">
            <v>198.571</v>
          </cell>
          <cell r="H2210">
            <v>49.91</v>
          </cell>
          <cell r="I2210">
            <v>0</v>
          </cell>
          <cell r="J2210">
            <v>49.91</v>
          </cell>
        </row>
        <row r="2211">
          <cell r="A2211" t="str">
            <v>LU2357810774</v>
          </cell>
          <cell r="B2211" t="str">
            <v>Amundi S.F. - Diversified Short-Term Bond</v>
          </cell>
          <cell r="C2211" t="str">
            <v>Class R Non - Distributing</v>
          </cell>
          <cell r="D2211" t="str">
            <v>EUR</v>
          </cell>
          <cell r="E2211" t="str">
            <v>03-Jan-2022</v>
          </cell>
          <cell r="F2211">
            <v>9969.18</v>
          </cell>
          <cell r="G2211">
            <v>199.589</v>
          </cell>
          <cell r="H2211">
            <v>49.95</v>
          </cell>
          <cell r="I2211">
            <v>0</v>
          </cell>
          <cell r="J2211">
            <v>49.95</v>
          </cell>
        </row>
        <row r="2212">
          <cell r="A2212" t="str">
            <v>LU2357810691</v>
          </cell>
          <cell r="B2212" t="str">
            <v>Amundi S.F. - Diversified Short-Term Bond</v>
          </cell>
          <cell r="C2212" t="str">
            <v>Class H Distributing Annually</v>
          </cell>
          <cell r="D2212" t="str">
            <v>EUR</v>
          </cell>
          <cell r="E2212" t="str">
            <v>03-Jan-2022</v>
          </cell>
          <cell r="F2212">
            <v>47783.25</v>
          </cell>
          <cell r="G2212">
            <v>47.860999999999997</v>
          </cell>
          <cell r="H2212">
            <v>998.38</v>
          </cell>
          <cell r="I2212">
            <v>0</v>
          </cell>
          <cell r="J2212">
            <v>1018.35</v>
          </cell>
        </row>
        <row r="2213">
          <cell r="A2213" t="str">
            <v>LU1503126044</v>
          </cell>
          <cell r="B2213" t="str">
            <v>Amundi S.F. - Diversified Short-Term Bond</v>
          </cell>
          <cell r="C2213" t="str">
            <v>Class H Non - Distributing</v>
          </cell>
          <cell r="D2213" t="str">
            <v>EUR</v>
          </cell>
          <cell r="E2213" t="str">
            <v>03-Jan-2022</v>
          </cell>
          <cell r="F2213">
            <v>129803448.33</v>
          </cell>
          <cell r="G2213">
            <v>124788.579</v>
          </cell>
          <cell r="H2213">
            <v>1040.19</v>
          </cell>
          <cell r="I2213">
            <v>0</v>
          </cell>
          <cell r="J2213">
            <v>1060.99</v>
          </cell>
        </row>
        <row r="2214">
          <cell r="A2214" t="str">
            <v>LU1889052269</v>
          </cell>
          <cell r="B2214" t="str">
            <v>Amundi S.F. - Diversified Short-Term Bond</v>
          </cell>
          <cell r="C2214" t="str">
            <v>Class H Distributing Quarterly</v>
          </cell>
          <cell r="D2214" t="str">
            <v>EUR</v>
          </cell>
          <cell r="E2214" t="str">
            <v>03-Jan-2022</v>
          </cell>
          <cell r="F2214">
            <v>3918293.3</v>
          </cell>
          <cell r="G2214">
            <v>3866.797</v>
          </cell>
          <cell r="H2214">
            <v>1013.32</v>
          </cell>
          <cell r="I2214">
            <v>1.1358999999999999</v>
          </cell>
          <cell r="J2214">
            <v>1013.32</v>
          </cell>
        </row>
        <row r="2215">
          <cell r="A2215" t="str">
            <v>LU1681511959</v>
          </cell>
          <cell r="B2215" t="str">
            <v>Amundi S.F. - Amundi Target Trend 2024</v>
          </cell>
          <cell r="C2215" t="str">
            <v>Class A Distributing Annually</v>
          </cell>
          <cell r="D2215" t="str">
            <v>EUR</v>
          </cell>
          <cell r="E2215" t="str">
            <v>03-Jan-2022</v>
          </cell>
          <cell r="F2215">
            <v>3361677.38</v>
          </cell>
          <cell r="G2215">
            <v>63624</v>
          </cell>
          <cell r="H2215">
            <v>52.84</v>
          </cell>
          <cell r="I2215">
            <v>0</v>
          </cell>
          <cell r="J2215">
            <v>54.29</v>
          </cell>
        </row>
        <row r="2216">
          <cell r="A2216" t="str">
            <v>LU1664216329</v>
          </cell>
          <cell r="B2216" t="str">
            <v>Amundi S.F. - Amundi Target Trend 2024</v>
          </cell>
          <cell r="C2216" t="str">
            <v>Class W Distributing Annually</v>
          </cell>
          <cell r="D2216" t="str">
            <v>EUR</v>
          </cell>
          <cell r="E2216" t="str">
            <v>03-Jan-2022</v>
          </cell>
          <cell r="F2216">
            <v>9093922.1699999999</v>
          </cell>
          <cell r="G2216">
            <v>172313.935</v>
          </cell>
          <cell r="H2216">
            <v>52.78</v>
          </cell>
          <cell r="I2216">
            <v>0</v>
          </cell>
          <cell r="J2216">
            <v>52.78</v>
          </cell>
        </row>
        <row r="2217">
          <cell r="A2217" t="str">
            <v>LU1920531883</v>
          </cell>
          <cell r="B2217" t="str">
            <v>Amundi S.F. - European Equity Optimal Volatility</v>
          </cell>
          <cell r="C2217" t="str">
            <v>Class A Non - Distributing</v>
          </cell>
          <cell r="D2217" t="str">
            <v>EUR</v>
          </cell>
          <cell r="E2217" t="str">
            <v>03-Jan-2022</v>
          </cell>
          <cell r="F2217">
            <v>41284029.140000001</v>
          </cell>
          <cell r="G2217">
            <v>1187745.524</v>
          </cell>
          <cell r="H2217">
            <v>34.76</v>
          </cell>
          <cell r="I2217">
            <v>0</v>
          </cell>
          <cell r="J2217">
            <v>34.76</v>
          </cell>
        </row>
        <row r="2218">
          <cell r="A2218" t="str">
            <v>LU1920531966</v>
          </cell>
          <cell r="B2218" t="str">
            <v>Amundi S.F. - European Equity Optimal Volatility</v>
          </cell>
          <cell r="C2218" t="str">
            <v>Class A Non - Distributing</v>
          </cell>
          <cell r="D2218" t="str">
            <v>USD</v>
          </cell>
          <cell r="E2218" t="str">
            <v>03-Jan-2022</v>
          </cell>
          <cell r="F2218">
            <v>46617925.700000003</v>
          </cell>
          <cell r="G2218">
            <v>1187745.524</v>
          </cell>
          <cell r="H2218">
            <v>39.25</v>
          </cell>
          <cell r="I2218">
            <v>0</v>
          </cell>
          <cell r="J2218">
            <v>39.25</v>
          </cell>
        </row>
        <row r="2219">
          <cell r="A2219" t="str">
            <v>LU1920532345</v>
          </cell>
          <cell r="B2219" t="str">
            <v>Amundi S.F. - European Equity Optimal Volatility</v>
          </cell>
          <cell r="C2219" t="str">
            <v>Class C Non - Distributing</v>
          </cell>
          <cell r="D2219" t="str">
            <v>EUR</v>
          </cell>
          <cell r="E2219" t="str">
            <v>03-Jan-2022</v>
          </cell>
          <cell r="F2219">
            <v>100098.54</v>
          </cell>
          <cell r="G2219">
            <v>2791.328</v>
          </cell>
          <cell r="H2219">
            <v>35.86</v>
          </cell>
          <cell r="I2219">
            <v>0</v>
          </cell>
          <cell r="J2219">
            <v>35.86</v>
          </cell>
        </row>
        <row r="2220">
          <cell r="A2220" t="str">
            <v>LU1920532261</v>
          </cell>
          <cell r="B2220" t="str">
            <v>Amundi S.F. - European Equity Optimal Volatility</v>
          </cell>
          <cell r="C2220" t="str">
            <v>Class C Non - Distributing</v>
          </cell>
          <cell r="D2220" t="str">
            <v>USD</v>
          </cell>
          <cell r="E2220" t="str">
            <v>03-Jan-2022</v>
          </cell>
          <cell r="F2220">
            <v>113031.27</v>
          </cell>
          <cell r="G2220">
            <v>2791.328</v>
          </cell>
          <cell r="H2220">
            <v>40.49</v>
          </cell>
          <cell r="I2220">
            <v>0</v>
          </cell>
          <cell r="J2220">
            <v>40.49</v>
          </cell>
        </row>
        <row r="2221">
          <cell r="A2221" t="str">
            <v>LU1920532428</v>
          </cell>
          <cell r="B2221" t="str">
            <v>Amundi S.F. - European Equity Optimal Volatility</v>
          </cell>
          <cell r="C2221" t="str">
            <v>Class E Non - Distributing</v>
          </cell>
          <cell r="D2221" t="str">
            <v>EUR</v>
          </cell>
          <cell r="E2221" t="str">
            <v>03-Jan-2022</v>
          </cell>
          <cell r="F2221">
            <v>11408434.59</v>
          </cell>
          <cell r="G2221">
            <v>3286867.5410000002</v>
          </cell>
          <cell r="H2221">
            <v>3.4710000000000001</v>
          </cell>
          <cell r="I2221">
            <v>0</v>
          </cell>
          <cell r="J2221">
            <v>3.4710000000000001</v>
          </cell>
        </row>
        <row r="2222">
          <cell r="A2222" t="str">
            <v>LU1920532691</v>
          </cell>
          <cell r="B2222" t="str">
            <v>Amundi S.F. - European Equity Optimal Volatility</v>
          </cell>
          <cell r="C2222" t="str">
            <v>Class F Non - Distributing</v>
          </cell>
          <cell r="D2222" t="str">
            <v>EUR</v>
          </cell>
          <cell r="E2222" t="str">
            <v>03-Jan-2022</v>
          </cell>
          <cell r="F2222">
            <v>1471201.04</v>
          </cell>
          <cell r="G2222">
            <v>405736.005</v>
          </cell>
          <cell r="H2222">
            <v>3.6259999999999999</v>
          </cell>
          <cell r="I2222">
            <v>0</v>
          </cell>
          <cell r="J2222">
            <v>3.6259999999999999</v>
          </cell>
        </row>
        <row r="2223">
          <cell r="A2223" t="str">
            <v>LU1920533079</v>
          </cell>
          <cell r="B2223" t="str">
            <v>Amundi S.F. - European Equity Optimal Volatility</v>
          </cell>
          <cell r="C2223" t="str">
            <v>Class I Non - Distributing</v>
          </cell>
          <cell r="D2223" t="str">
            <v>EUR</v>
          </cell>
          <cell r="E2223" t="str">
            <v>03-Jan-2022</v>
          </cell>
          <cell r="F2223">
            <v>3683.74</v>
          </cell>
          <cell r="G2223">
            <v>5</v>
          </cell>
          <cell r="H2223">
            <v>736.75</v>
          </cell>
          <cell r="I2223">
            <v>0</v>
          </cell>
          <cell r="J2223">
            <v>736.75</v>
          </cell>
        </row>
        <row r="2224">
          <cell r="A2224" t="str">
            <v>LU1920532931</v>
          </cell>
          <cell r="B2224" t="str">
            <v>Amundi S.F. - European Equity Optimal Volatility</v>
          </cell>
          <cell r="C2224" t="str">
            <v>Class I Non - Distributing</v>
          </cell>
          <cell r="D2224" t="str">
            <v>USD</v>
          </cell>
          <cell r="E2224" t="str">
            <v>03-Jan-2022</v>
          </cell>
          <cell r="F2224">
            <v>4159.68</v>
          </cell>
          <cell r="G2224">
            <v>5</v>
          </cell>
          <cell r="H2224">
            <v>831.94</v>
          </cell>
          <cell r="I2224">
            <v>0</v>
          </cell>
          <cell r="J2224">
            <v>831.94</v>
          </cell>
        </row>
        <row r="2225">
          <cell r="A2225" t="str">
            <v>LU1920532774</v>
          </cell>
          <cell r="B2225" t="str">
            <v>Amundi S.F. - European Equity Optimal Volatility</v>
          </cell>
          <cell r="C2225" t="str">
            <v>Class G Non - Distributing</v>
          </cell>
          <cell r="D2225" t="str">
            <v>EUR</v>
          </cell>
          <cell r="E2225" t="str">
            <v>03-Jan-2022</v>
          </cell>
          <cell r="F2225">
            <v>4890.68</v>
          </cell>
          <cell r="G2225">
            <v>1362.8119999999999</v>
          </cell>
          <cell r="H2225">
            <v>3.589</v>
          </cell>
          <cell r="I2225">
            <v>0</v>
          </cell>
          <cell r="J2225">
            <v>3.589</v>
          </cell>
        </row>
        <row r="2226">
          <cell r="A2226" t="str">
            <v>LU1920533152</v>
          </cell>
          <cell r="B2226" t="str">
            <v>Amundi S.F. - European Equity Optimal Volatility</v>
          </cell>
          <cell r="C2226" t="str">
            <v>Class R Non - Distributing</v>
          </cell>
          <cell r="D2226" t="str">
            <v>EUR</v>
          </cell>
          <cell r="E2226" t="str">
            <v>03-Jan-2022</v>
          </cell>
          <cell r="F2226">
            <v>3834.94</v>
          </cell>
          <cell r="G2226">
            <v>100</v>
          </cell>
          <cell r="H2226">
            <v>38.35</v>
          </cell>
          <cell r="I2226">
            <v>0</v>
          </cell>
          <cell r="J2226">
            <v>38.35</v>
          </cell>
        </row>
        <row r="2227">
          <cell r="A2227" t="str">
            <v>LU1920532857</v>
          </cell>
          <cell r="B2227" t="str">
            <v>Amundi S.F. - European Equity Optimal Volatility</v>
          </cell>
          <cell r="C2227" t="str">
            <v>Class H Non - Distributing</v>
          </cell>
          <cell r="D2227" t="str">
            <v>EUR</v>
          </cell>
          <cell r="E2227" t="str">
            <v>03-Jan-2022</v>
          </cell>
          <cell r="F2227">
            <v>42035.31</v>
          </cell>
          <cell r="G2227">
            <v>58.088999999999999</v>
          </cell>
          <cell r="H2227">
            <v>723.64</v>
          </cell>
          <cell r="I2227">
            <v>0</v>
          </cell>
          <cell r="J2227">
            <v>723.64</v>
          </cell>
        </row>
        <row r="2228">
          <cell r="A2228" t="str">
            <v>LU2345345560</v>
          </cell>
          <cell r="B2228" t="str">
            <v>Amundi S.F. - High Potential Bond</v>
          </cell>
          <cell r="C2228" t="str">
            <v>Class A Distributing Annually</v>
          </cell>
          <cell r="D2228" t="str">
            <v>EUR</v>
          </cell>
          <cell r="E2228" t="str">
            <v>03-Jan-2022</v>
          </cell>
          <cell r="F2228">
            <v>533637.78</v>
          </cell>
          <cell r="G2228">
            <v>10541</v>
          </cell>
          <cell r="H2228">
            <v>50.62</v>
          </cell>
          <cell r="I2228">
            <v>0</v>
          </cell>
          <cell r="J2228">
            <v>52.14</v>
          </cell>
        </row>
        <row r="2229">
          <cell r="A2229" t="str">
            <v>LU2345346022</v>
          </cell>
          <cell r="B2229" t="str">
            <v>Amundi S.F. - High Potential Bond</v>
          </cell>
          <cell r="C2229" t="str">
            <v>Class A Non - Distributing</v>
          </cell>
          <cell r="D2229" t="str">
            <v>EUR</v>
          </cell>
          <cell r="E2229" t="str">
            <v>03-Jan-2022</v>
          </cell>
          <cell r="F2229">
            <v>121405.19</v>
          </cell>
          <cell r="G2229">
            <v>2398</v>
          </cell>
          <cell r="H2229">
            <v>50.63</v>
          </cell>
          <cell r="I2229">
            <v>0</v>
          </cell>
          <cell r="J2229">
            <v>52.15</v>
          </cell>
        </row>
        <row r="2230">
          <cell r="A2230" t="str">
            <v>LU2345345727</v>
          </cell>
          <cell r="B2230" t="str">
            <v>Amundi S.F. - High Potential Bond</v>
          </cell>
          <cell r="C2230" t="str">
            <v>Class A Hedged Non - Distributing</v>
          </cell>
          <cell r="D2230" t="str">
            <v>EUR</v>
          </cell>
          <cell r="E2230" t="str">
            <v>03-Jan-2022</v>
          </cell>
          <cell r="F2230">
            <v>99080.56</v>
          </cell>
          <cell r="G2230">
            <v>2000</v>
          </cell>
          <cell r="H2230">
            <v>49.54</v>
          </cell>
          <cell r="I2230">
            <v>0</v>
          </cell>
          <cell r="J2230">
            <v>51.03</v>
          </cell>
        </row>
        <row r="2231">
          <cell r="A2231" t="str">
            <v>LU2345345487</v>
          </cell>
          <cell r="B2231" t="str">
            <v>Amundi S.F. - High Potential Bond</v>
          </cell>
          <cell r="C2231" t="str">
            <v>Class A Hedged Distributing Annually</v>
          </cell>
          <cell r="D2231" t="str">
            <v>EUR</v>
          </cell>
          <cell r="E2231" t="str">
            <v>03-Jan-2022</v>
          </cell>
          <cell r="F2231">
            <v>99080.56</v>
          </cell>
          <cell r="G2231">
            <v>2000</v>
          </cell>
          <cell r="H2231">
            <v>49.54</v>
          </cell>
          <cell r="I2231">
            <v>0</v>
          </cell>
          <cell r="J2231">
            <v>51.03</v>
          </cell>
        </row>
        <row r="2232">
          <cell r="A2232" t="str">
            <v>LU2338909281</v>
          </cell>
          <cell r="B2232" t="str">
            <v>Amundi S.F. - High Potential Bond</v>
          </cell>
          <cell r="C2232" t="str">
            <v>Class E Non - Distributing</v>
          </cell>
          <cell r="D2232" t="str">
            <v>EUR</v>
          </cell>
          <cell r="E2232" t="str">
            <v>03-Jan-2022</v>
          </cell>
          <cell r="F2232">
            <v>38720617.640000001</v>
          </cell>
          <cell r="G2232">
            <v>7644307.1560000004</v>
          </cell>
          <cell r="H2232">
            <v>5.0650000000000004</v>
          </cell>
          <cell r="I2232">
            <v>0</v>
          </cell>
          <cell r="J2232">
            <v>5.0650000000000004</v>
          </cell>
        </row>
        <row r="2233">
          <cell r="A2233" t="str">
            <v>LU2321584760</v>
          </cell>
          <cell r="B2233" t="str">
            <v>Amundi S.F. - High Potential Bond</v>
          </cell>
          <cell r="C2233" t="str">
            <v>Class E Hedged Distributing Annually</v>
          </cell>
          <cell r="D2233" t="str">
            <v>EUR</v>
          </cell>
          <cell r="E2233" t="str">
            <v>03-Jan-2022</v>
          </cell>
          <cell r="F2233">
            <v>23589568.780000001</v>
          </cell>
          <cell r="G2233">
            <v>4757928.6809999999</v>
          </cell>
          <cell r="H2233">
            <v>4.9580000000000002</v>
          </cell>
          <cell r="I2233">
            <v>0</v>
          </cell>
          <cell r="J2233">
            <v>4.9580000000000002</v>
          </cell>
        </row>
        <row r="2234">
          <cell r="A2234" t="str">
            <v>LU2321588597</v>
          </cell>
          <cell r="B2234" t="str">
            <v>Amundi S.F. - High Potential Bond</v>
          </cell>
          <cell r="C2234" t="str">
            <v>Class G Distributing Annually</v>
          </cell>
          <cell r="D2234" t="str">
            <v>EUR</v>
          </cell>
          <cell r="E2234" t="str">
            <v>03-Jan-2022</v>
          </cell>
          <cell r="F2234">
            <v>16818892.690000001</v>
          </cell>
          <cell r="G2234">
            <v>3322624.8960000002</v>
          </cell>
          <cell r="H2234">
            <v>5.0620000000000003</v>
          </cell>
          <cell r="I2234">
            <v>0</v>
          </cell>
          <cell r="J2234">
            <v>5.0620000000000003</v>
          </cell>
        </row>
        <row r="2235">
          <cell r="A2235" t="str">
            <v>LU2338909364</v>
          </cell>
          <cell r="B2235" t="str">
            <v>Amundi S.F. - High Potential Bond</v>
          </cell>
          <cell r="C2235" t="str">
            <v>Class G Hedged Non - Distributing</v>
          </cell>
          <cell r="D2235" t="str">
            <v>EUR</v>
          </cell>
          <cell r="E2235" t="str">
            <v>03-Jan-2022</v>
          </cell>
          <cell r="F2235">
            <v>19818602.98</v>
          </cell>
          <cell r="G2235">
            <v>4000380.335</v>
          </cell>
          <cell r="H2235">
            <v>4.9539999999999997</v>
          </cell>
          <cell r="I2235">
            <v>0</v>
          </cell>
          <cell r="J2235">
            <v>4.9539999999999997</v>
          </cell>
        </row>
        <row r="2236">
          <cell r="A2236" t="str">
            <v>LU2321590148</v>
          </cell>
          <cell r="B2236" t="str">
            <v>Amundi S.F. - High Potential Bond</v>
          </cell>
          <cell r="C2236" t="str">
            <v>Class G Hedged Distributing Annually</v>
          </cell>
          <cell r="D2236" t="str">
            <v>EUR</v>
          </cell>
          <cell r="E2236" t="str">
            <v>03-Jan-2022</v>
          </cell>
          <cell r="F2236">
            <v>7143561.1900000004</v>
          </cell>
          <cell r="G2236">
            <v>1442011.5290000001</v>
          </cell>
          <cell r="H2236">
            <v>4.9539999999999997</v>
          </cell>
          <cell r="I2236">
            <v>0</v>
          </cell>
          <cell r="J2236">
            <v>4.9539999999999997</v>
          </cell>
        </row>
        <row r="2237">
          <cell r="A2237" t="str">
            <v>LU1437672998</v>
          </cell>
          <cell r="B2237" t="str">
            <v>Amundi Investment Funds - Tactical Allocation Fund</v>
          </cell>
          <cell r="C2237" t="str">
            <v>Class E Non - Distributing</v>
          </cell>
          <cell r="D2237" t="str">
            <v>EUR</v>
          </cell>
          <cell r="E2237" t="str">
            <v>03-Jan-2022</v>
          </cell>
          <cell r="F2237">
            <v>14901570.689999999</v>
          </cell>
          <cell r="G2237">
            <v>2561063.3679999998</v>
          </cell>
          <cell r="H2237">
            <v>5.819</v>
          </cell>
          <cell r="I2237">
            <v>0</v>
          </cell>
          <cell r="J2237">
            <v>6.0519999999999996</v>
          </cell>
        </row>
        <row r="2238">
          <cell r="A2238" t="str">
            <v>LU2091515960</v>
          </cell>
          <cell r="B2238" t="str">
            <v>Amundi Investment Funds - Tactical Allocation Fund</v>
          </cell>
          <cell r="C2238" t="str">
            <v>Class H Non - Distributing</v>
          </cell>
          <cell r="D2238" t="str">
            <v>EUR</v>
          </cell>
          <cell r="E2238" t="str">
            <v>03-Jan-2022</v>
          </cell>
          <cell r="F2238">
            <v>4943.62</v>
          </cell>
          <cell r="G2238">
            <v>5</v>
          </cell>
          <cell r="H2238">
            <v>988.72</v>
          </cell>
          <cell r="I2238">
            <v>0</v>
          </cell>
          <cell r="J2238">
            <v>988.72</v>
          </cell>
        </row>
        <row r="2239">
          <cell r="A2239" t="str">
            <v>LU1437673020</v>
          </cell>
          <cell r="B2239" t="str">
            <v>Amundi Investment Funds - Tactical Allocation Fund</v>
          </cell>
          <cell r="C2239" t="str">
            <v>Class M Non - Distributing</v>
          </cell>
          <cell r="D2239" t="str">
            <v>EUR</v>
          </cell>
          <cell r="E2239" t="str">
            <v>03-Jan-2022</v>
          </cell>
          <cell r="F2239">
            <v>83390898.310000002</v>
          </cell>
          <cell r="G2239">
            <v>1331268.7949999999</v>
          </cell>
          <cell r="H2239">
            <v>62.64</v>
          </cell>
          <cell r="I2239">
            <v>0</v>
          </cell>
          <cell r="J2239">
            <v>62.64</v>
          </cell>
        </row>
        <row r="2240">
          <cell r="A2240" t="str">
            <v>LU1437673293</v>
          </cell>
          <cell r="B2240" t="str">
            <v>Amundi Investment Funds - Tactical Alloc Bond Fund</v>
          </cell>
          <cell r="C2240" t="str">
            <v>Class E Non - Distributing</v>
          </cell>
          <cell r="D2240" t="str">
            <v>EUR</v>
          </cell>
          <cell r="E2240" t="str">
            <v>03-Jan-2022</v>
          </cell>
          <cell r="F2240">
            <v>29945714.16</v>
          </cell>
          <cell r="G2240">
            <v>3783864.5660000001</v>
          </cell>
          <cell r="H2240">
            <v>7.9139999999999997</v>
          </cell>
          <cell r="I2240">
            <v>0</v>
          </cell>
          <cell r="J2240">
            <v>7.9139999999999997</v>
          </cell>
        </row>
        <row r="2241">
          <cell r="A2241" t="str">
            <v>LU2091515887</v>
          </cell>
          <cell r="B2241" t="str">
            <v>Amundi Investment Funds - Tactical Alloc Bond Fund</v>
          </cell>
          <cell r="C2241" t="str">
            <v>Class H Non - Distributing</v>
          </cell>
          <cell r="D2241" t="str">
            <v>EUR</v>
          </cell>
          <cell r="E2241" t="str">
            <v>03-Jan-2022</v>
          </cell>
          <cell r="F2241">
            <v>5214.28</v>
          </cell>
          <cell r="G2241">
            <v>5</v>
          </cell>
          <cell r="H2241">
            <v>1042.8599999999999</v>
          </cell>
          <cell r="I2241">
            <v>0</v>
          </cell>
          <cell r="J2241">
            <v>1042.8599999999999</v>
          </cell>
        </row>
        <row r="2242">
          <cell r="A2242" t="str">
            <v>LU1437673376</v>
          </cell>
          <cell r="B2242" t="str">
            <v>Amundi Investment Funds - Tactical Alloc Bond Fund</v>
          </cell>
          <cell r="C2242" t="str">
            <v>Class M Non - Distributing</v>
          </cell>
          <cell r="D2242" t="str">
            <v>EUR</v>
          </cell>
          <cell r="E2242" t="str">
            <v>03-Jan-2022</v>
          </cell>
          <cell r="F2242">
            <v>114511615.45</v>
          </cell>
          <cell r="G2242">
            <v>68033.784</v>
          </cell>
          <cell r="H2242">
            <v>1683.16</v>
          </cell>
          <cell r="I2242">
            <v>0</v>
          </cell>
          <cell r="J2242">
            <v>1716.82</v>
          </cell>
        </row>
        <row r="2243">
          <cell r="A2243" t="str">
            <v>LU1437672642</v>
          </cell>
          <cell r="B2243" t="str">
            <v>Amundi Investment Funds - Optimiser</v>
          </cell>
          <cell r="C2243" t="str">
            <v>Class E Non - Distributing</v>
          </cell>
          <cell r="D2243" t="str">
            <v>EUR</v>
          </cell>
          <cell r="E2243" t="str">
            <v>03-Jan-2022</v>
          </cell>
          <cell r="F2243">
            <v>5680.34</v>
          </cell>
          <cell r="G2243">
            <v>918.78</v>
          </cell>
          <cell r="H2243">
            <v>6.1820000000000004</v>
          </cell>
          <cell r="I2243">
            <v>0</v>
          </cell>
          <cell r="J2243">
            <v>6.1820000000000004</v>
          </cell>
        </row>
        <row r="2244">
          <cell r="A2244" t="str">
            <v>LU2050942452</v>
          </cell>
          <cell r="B2244" t="str">
            <v>Amundi Investment Funds - Optimiser</v>
          </cell>
          <cell r="C2244" t="str">
            <v>Class I Non - Distributing</v>
          </cell>
          <cell r="D2244" t="str">
            <v>EUR</v>
          </cell>
          <cell r="E2244" t="str">
            <v>03-Jan-2022</v>
          </cell>
          <cell r="F2244">
            <v>1205.58</v>
          </cell>
          <cell r="G2244">
            <v>1</v>
          </cell>
          <cell r="H2244">
            <v>1205.58</v>
          </cell>
          <cell r="I2244">
            <v>0</v>
          </cell>
          <cell r="J2244">
            <v>1205.58</v>
          </cell>
        </row>
        <row r="2245">
          <cell r="A2245" t="str">
            <v>LU2114357127</v>
          </cell>
          <cell r="B2245" t="str">
            <v>Amundi Investment Funds - Optimiser</v>
          </cell>
          <cell r="C2245" t="str">
            <v>Class X Non - Distributing</v>
          </cell>
          <cell r="D2245" t="str">
            <v>EUR</v>
          </cell>
          <cell r="E2245" t="str">
            <v>03-Jan-2022</v>
          </cell>
          <cell r="F2245">
            <v>21888859.510000002</v>
          </cell>
          <cell r="G2245">
            <v>19145</v>
          </cell>
          <cell r="H2245">
            <v>1143.32</v>
          </cell>
          <cell r="I2245">
            <v>0</v>
          </cell>
          <cell r="J2245">
            <v>1143.32</v>
          </cell>
        </row>
        <row r="2246">
          <cell r="A2246" t="str">
            <v>LU2091515705</v>
          </cell>
          <cell r="B2246" t="str">
            <v>Amundi Investment Funds - Optimiser</v>
          </cell>
          <cell r="C2246" t="str">
            <v>Class H Non - Distributing</v>
          </cell>
          <cell r="D2246" t="str">
            <v>EUR</v>
          </cell>
          <cell r="E2246" t="str">
            <v>03-Jan-2022</v>
          </cell>
          <cell r="F2246">
            <v>185572052.08000001</v>
          </cell>
          <cell r="G2246">
            <v>158492.46900000001</v>
          </cell>
          <cell r="H2246">
            <v>1170.8599999999999</v>
          </cell>
          <cell r="I2246">
            <v>0</v>
          </cell>
          <cell r="J2246">
            <v>1170.8599999999999</v>
          </cell>
        </row>
        <row r="2247">
          <cell r="A2247" t="str">
            <v>LU1437672725</v>
          </cell>
          <cell r="B2247" t="str">
            <v>Amundi Investment Funds - Optimiser</v>
          </cell>
          <cell r="C2247" t="str">
            <v>Class M Non - Distributing</v>
          </cell>
          <cell r="D2247" t="str">
            <v>EUR</v>
          </cell>
          <cell r="E2247" t="str">
            <v>03-Jan-2022</v>
          </cell>
          <cell r="F2247">
            <v>500057489.26999998</v>
          </cell>
          <cell r="G2247">
            <v>245787.62700000001</v>
          </cell>
          <cell r="H2247">
            <v>2034.51</v>
          </cell>
          <cell r="I2247">
            <v>0</v>
          </cell>
          <cell r="J2247">
            <v>2075.1999999999998</v>
          </cell>
        </row>
        <row r="2248">
          <cell r="A2248" t="str">
            <v>LU2091515457</v>
          </cell>
          <cell r="B2248" t="str">
            <v>Amundi Investment Funds - Dynamic Allocation Fund</v>
          </cell>
          <cell r="C2248" t="str">
            <v>Class H Non - Distributing</v>
          </cell>
          <cell r="D2248" t="str">
            <v>EUR</v>
          </cell>
          <cell r="E2248" t="str">
            <v>03-Jan-2022</v>
          </cell>
          <cell r="F2248">
            <v>4182.5600000000004</v>
          </cell>
          <cell r="G2248">
            <v>5</v>
          </cell>
          <cell r="H2248">
            <v>836.51</v>
          </cell>
          <cell r="I2248">
            <v>0</v>
          </cell>
          <cell r="J2248">
            <v>836.51</v>
          </cell>
        </row>
        <row r="2249">
          <cell r="A2249" t="str">
            <v>LU1437672568</v>
          </cell>
          <cell r="B2249" t="str">
            <v>Amundi Investment Funds - Dynamic Allocation Fund</v>
          </cell>
          <cell r="C2249" t="str">
            <v>Class M Non - Distributing</v>
          </cell>
          <cell r="D2249" t="str">
            <v>EUR</v>
          </cell>
          <cell r="E2249" t="str">
            <v>03-Jan-2022</v>
          </cell>
          <cell r="F2249">
            <v>514627397.38999999</v>
          </cell>
          <cell r="G2249">
            <v>1920643.4080000001</v>
          </cell>
          <cell r="H2249">
            <v>267.95</v>
          </cell>
          <cell r="I2249">
            <v>0</v>
          </cell>
          <cell r="J2249">
            <v>273.31</v>
          </cell>
        </row>
        <row r="2250">
          <cell r="A2250" t="str">
            <v>LU1599403737</v>
          </cell>
          <cell r="B2250" t="str">
            <v>Amundi Investment Funds - Emerging Markets So Bond</v>
          </cell>
          <cell r="C2250" t="str">
            <v>Class A Non - Distributing</v>
          </cell>
          <cell r="D2250" t="str">
            <v>USD</v>
          </cell>
          <cell r="E2250" t="str">
            <v>03-Jan-2022</v>
          </cell>
          <cell r="F2250">
            <v>5916.49</v>
          </cell>
          <cell r="G2250">
            <v>100</v>
          </cell>
          <cell r="H2250">
            <v>59.16</v>
          </cell>
          <cell r="I2250">
            <v>0</v>
          </cell>
          <cell r="J2250">
            <v>59.16</v>
          </cell>
        </row>
        <row r="2251">
          <cell r="A2251" t="str">
            <v>LU1599403810</v>
          </cell>
          <cell r="B2251" t="str">
            <v>Amundi Investment Funds - Emerging Markets So Bond</v>
          </cell>
          <cell r="C2251" t="str">
            <v>Class I Non - Distributing</v>
          </cell>
          <cell r="D2251" t="str">
            <v>USD</v>
          </cell>
          <cell r="E2251" t="str">
            <v>03-Jan-2022</v>
          </cell>
          <cell r="F2251">
            <v>6148.51</v>
          </cell>
          <cell r="G2251">
            <v>5</v>
          </cell>
          <cell r="H2251">
            <v>1229.7</v>
          </cell>
          <cell r="I2251">
            <v>0</v>
          </cell>
          <cell r="J2251">
            <v>1229.7</v>
          </cell>
        </row>
        <row r="2252">
          <cell r="A2252" t="str">
            <v>LU1599404115</v>
          </cell>
          <cell r="B2252" t="str">
            <v>Amundi Investment Funds - Emerging Markets So Bond</v>
          </cell>
          <cell r="C2252" t="str">
            <v>Class S Non - Distributing</v>
          </cell>
          <cell r="D2252" t="str">
            <v>USD</v>
          </cell>
          <cell r="E2252" t="str">
            <v>03-Jan-2022</v>
          </cell>
          <cell r="F2252">
            <v>80342593.959999993</v>
          </cell>
          <cell r="G2252">
            <v>65000</v>
          </cell>
          <cell r="H2252">
            <v>1236.04</v>
          </cell>
          <cell r="I2252">
            <v>0</v>
          </cell>
          <cell r="J2252">
            <v>1236.04</v>
          </cell>
        </row>
        <row r="2253">
          <cell r="A2253" t="str">
            <v>LU2091515531</v>
          </cell>
          <cell r="B2253" t="str">
            <v>Amundi Investment Funds - Emerging Markets So Bond</v>
          </cell>
          <cell r="C2253" t="str">
            <v>Class H Non - Distributing</v>
          </cell>
          <cell r="D2253" t="str">
            <v>EUR</v>
          </cell>
          <cell r="E2253" t="str">
            <v>03-Jan-2022</v>
          </cell>
          <cell r="F2253">
            <v>38821336.140000001</v>
          </cell>
          <cell r="G2253">
            <v>37270</v>
          </cell>
          <cell r="H2253">
            <v>1041.6199999999999</v>
          </cell>
          <cell r="I2253">
            <v>0</v>
          </cell>
          <cell r="J2253">
            <v>1041.6199999999999</v>
          </cell>
        </row>
        <row r="2254">
          <cell r="A2254" t="str">
            <v>LU1599403901</v>
          </cell>
          <cell r="B2254" t="str">
            <v>Amundi Investment Funds - Emerging Markets So Bond</v>
          </cell>
          <cell r="C2254" t="str">
            <v>Class M Non - Distributing</v>
          </cell>
          <cell r="D2254" t="str">
            <v>USD</v>
          </cell>
          <cell r="E2254" t="str">
            <v>03-Jan-2022</v>
          </cell>
          <cell r="F2254">
            <v>6087.08</v>
          </cell>
          <cell r="G2254">
            <v>5</v>
          </cell>
          <cell r="H2254">
            <v>1217.42</v>
          </cell>
          <cell r="I2254">
            <v>0</v>
          </cell>
          <cell r="J2254">
            <v>1241.77</v>
          </cell>
        </row>
        <row r="2255">
          <cell r="A2255" t="str">
            <v>LU2091516000</v>
          </cell>
          <cell r="B2255" t="str">
            <v>Amundi Investment Funds - Tactical Allocati Pillar</v>
          </cell>
          <cell r="C2255" t="str">
            <v>Class M Non - Distributing</v>
          </cell>
          <cell r="D2255" t="str">
            <v>EUR</v>
          </cell>
          <cell r="E2255" t="str">
            <v>03-Jan-2022</v>
          </cell>
          <cell r="F2255">
            <v>222375779.09</v>
          </cell>
          <cell r="G2255">
            <v>186533.024</v>
          </cell>
          <cell r="H2255">
            <v>1192.1500000000001</v>
          </cell>
          <cell r="I2255">
            <v>0</v>
          </cell>
          <cell r="J2255">
            <v>1192.1500000000001</v>
          </cell>
        </row>
        <row r="2256">
          <cell r="A2256" t="str">
            <v>LU1599403653</v>
          </cell>
          <cell r="B2256" t="str">
            <v>Amundi Investment Funds - Multi-Asset Teodorico</v>
          </cell>
          <cell r="C2256" t="str">
            <v>Class I Quarterly Distributing</v>
          </cell>
          <cell r="D2256" t="str">
            <v>EUR</v>
          </cell>
          <cell r="E2256" t="str">
            <v>03-Jan-2022</v>
          </cell>
          <cell r="F2256">
            <v>417238816.75</v>
          </cell>
          <cell r="G2256">
            <v>377885.81900000002</v>
          </cell>
          <cell r="H2256">
            <v>1104.1400000000001</v>
          </cell>
          <cell r="I2256">
            <v>0</v>
          </cell>
          <cell r="J2256">
            <v>1104.1400000000001</v>
          </cell>
        </row>
        <row r="2257">
          <cell r="A2257" t="str">
            <v>LU1650523076</v>
          </cell>
          <cell r="B2257" t="str">
            <v>Amundi Investment Funds -  Em Market Eq Engagement</v>
          </cell>
          <cell r="C2257" t="str">
            <v>Class M Quarterly Distributing</v>
          </cell>
          <cell r="D2257" t="str">
            <v>EUR</v>
          </cell>
          <cell r="E2257" t="str">
            <v>03-Jan-2022</v>
          </cell>
          <cell r="F2257">
            <v>55043095.609999999</v>
          </cell>
          <cell r="G2257">
            <v>53997.125</v>
          </cell>
          <cell r="H2257">
            <v>1019.37</v>
          </cell>
          <cell r="I2257">
            <v>0</v>
          </cell>
          <cell r="J2257">
            <v>1039.76</v>
          </cell>
        </row>
        <row r="2258">
          <cell r="A2258" t="str">
            <v>LU2091516182</v>
          </cell>
          <cell r="B2258" t="str">
            <v>Amundi Investment Funds - Tactical Portfolio Incom</v>
          </cell>
          <cell r="C2258" t="str">
            <v>Class M Distributing Ex-Dividend</v>
          </cell>
          <cell r="D2258" t="str">
            <v>EUR</v>
          </cell>
          <cell r="E2258" t="str">
            <v>03-Jan-2022</v>
          </cell>
          <cell r="F2258">
            <v>211666143.81</v>
          </cell>
          <cell r="G2258">
            <v>179555.837</v>
          </cell>
          <cell r="H2258">
            <v>1178.83</v>
          </cell>
          <cell r="I2258">
            <v>2.6712500000000001</v>
          </cell>
          <cell r="J2258">
            <v>1178.83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</sheetNames>
    <sheetDataSet>
      <sheetData sheetId="0">
        <row r="1">
          <cell r="D1" t="str">
            <v>TAXATION %</v>
          </cell>
          <cell r="E1" t="str">
            <v>TAXATION CAPITAL AMOUNT (per share)</v>
          </cell>
          <cell r="F1" t="str">
            <v>TAXATION INCOME AMOUNT (per share)</v>
          </cell>
          <cell r="G1" t="str">
            <v>Dividend amount per share</v>
          </cell>
          <cell r="H1" t="str">
            <v>Currency</v>
          </cell>
        </row>
        <row r="2">
          <cell r="A2" t="str">
            <v>LU0565134938</v>
          </cell>
          <cell r="B2" t="str">
            <v>FIRST EAGLE AMUNDI INTERNATIONAL FUND</v>
          </cell>
          <cell r="C2" t="str">
            <v>Class AHE-QD</v>
          </cell>
          <cell r="D2" t="str">
            <v>19.74% Net Income</v>
          </cell>
          <cell r="E2">
            <v>0.66072900528838552</v>
          </cell>
          <cell r="F2">
            <v>0.16250999471161454</v>
          </cell>
          <cell r="G2">
            <v>0.82323900000000005</v>
          </cell>
          <cell r="H2" t="str">
            <v>EUR</v>
          </cell>
        </row>
        <row r="3">
          <cell r="A3" t="str">
            <v>LU0565135406</v>
          </cell>
          <cell r="B3" t="str">
            <v>FIRST EAGLE AMUNDI INTERNATIONAL FUND</v>
          </cell>
          <cell r="C3" t="str">
            <v>Class AHG-QD</v>
          </cell>
          <cell r="D3" t="str">
            <v>18.73% Net Income</v>
          </cell>
          <cell r="E3">
            <v>0.75267243125678152</v>
          </cell>
          <cell r="F3">
            <v>0.17350056874321851</v>
          </cell>
          <cell r="G3">
            <v>0.92617300000000002</v>
          </cell>
          <cell r="H3" t="str">
            <v>GBP</v>
          </cell>
        </row>
        <row r="4">
          <cell r="A4" t="str">
            <v>LU0565419693</v>
          </cell>
          <cell r="B4" t="str">
            <v>FIRST EAGLE AMUNDI INTERNATIONAL FUND</v>
          </cell>
          <cell r="C4" t="str">
            <v>Class AE-QD</v>
          </cell>
          <cell r="D4" t="str">
            <v>19.37% Net Income</v>
          </cell>
          <cell r="E4">
            <v>1.0645898395062239</v>
          </cell>
          <cell r="F4">
            <v>0.25573016049377617</v>
          </cell>
          <cell r="G4">
            <v>1.3203199999999999</v>
          </cell>
          <cell r="H4" t="str">
            <v>EUR</v>
          </cell>
        </row>
        <row r="5">
          <cell r="A5" t="str">
            <v>LU0878866978</v>
          </cell>
          <cell r="B5" t="str">
            <v>FIRST EAGLE AMUNDI INTERNATIONAL FUND</v>
          </cell>
          <cell r="C5" t="str">
            <v>Class AHS-QD</v>
          </cell>
          <cell r="D5" t="str">
            <v>20.65% Net Income</v>
          </cell>
          <cell r="E5">
            <v>0.77942667608365157</v>
          </cell>
          <cell r="F5">
            <v>0.20284832391634844</v>
          </cell>
          <cell r="G5">
            <v>0.98227500000000001</v>
          </cell>
          <cell r="H5" t="str">
            <v>SGD</v>
          </cell>
        </row>
        <row r="6">
          <cell r="A6" t="str">
            <v>LU0878867513</v>
          </cell>
          <cell r="B6" t="str">
            <v>FIRST EAGLE AMUNDI INTERNATIONAL FUND</v>
          </cell>
          <cell r="C6" t="str">
            <v>Class RE-QD</v>
          </cell>
          <cell r="D6" t="str">
            <v>36.05% Net Income</v>
          </cell>
          <cell r="E6">
            <v>0.6914950151545981</v>
          </cell>
          <cell r="F6">
            <v>0.38987098484540189</v>
          </cell>
          <cell r="G6">
            <v>1.081366</v>
          </cell>
          <cell r="H6" t="str">
            <v>EUR</v>
          </cell>
        </row>
        <row r="7">
          <cell r="A7" t="str">
            <v>LU0878867786</v>
          </cell>
          <cell r="B7" t="str">
            <v>FIRST EAGLE AMUNDI INTERNATIONAL FUND</v>
          </cell>
          <cell r="C7" t="str">
            <v>Class RU-QD</v>
          </cell>
          <cell r="D7" t="str">
            <v>37.96% Net Income</v>
          </cell>
          <cell r="E7">
            <v>0.61185532265966724</v>
          </cell>
          <cell r="F7">
            <v>0.37433967734033274</v>
          </cell>
          <cell r="G7">
            <v>0.98619500000000004</v>
          </cell>
          <cell r="H7" t="str">
            <v>USD</v>
          </cell>
        </row>
        <row r="8">
          <cell r="A8" t="str">
            <v>LU0878867943</v>
          </cell>
          <cell r="B8" t="str">
            <v>FIRST EAGLE AMUNDI INTERNATIONAL FUND</v>
          </cell>
          <cell r="C8" t="str">
            <v>Class RHE-QD</v>
          </cell>
          <cell r="D8" t="str">
            <v>36.69% Net Income</v>
          </cell>
          <cell r="E8">
            <v>0.57096134610950522</v>
          </cell>
          <cell r="F8">
            <v>0.33082765389049468</v>
          </cell>
          <cell r="G8">
            <v>0.90178899999999995</v>
          </cell>
          <cell r="H8" t="str">
            <v>EUR</v>
          </cell>
        </row>
        <row r="9">
          <cell r="A9" t="str">
            <v>LU1332727475</v>
          </cell>
          <cell r="B9" t="str">
            <v>FIRST EAGLE AMUNDI INTERNATIONAL FUND</v>
          </cell>
          <cell r="C9" t="str">
            <v>Class RHS-QD ( D )</v>
          </cell>
          <cell r="D9" t="str">
            <v>38.74% Net Income</v>
          </cell>
          <cell r="E9">
            <v>0.56106254320000004</v>
          </cell>
          <cell r="F9">
            <v>0.3548664567999999</v>
          </cell>
          <cell r="G9">
            <v>0.91592899999999999</v>
          </cell>
          <cell r="H9" t="str">
            <v>SGD</v>
          </cell>
        </row>
        <row r="10">
          <cell r="A10" t="str">
            <v>LU1095741473</v>
          </cell>
          <cell r="B10" t="str">
            <v>FIRST EAGLE AMUNDI INCOME BUILDER FUND</v>
          </cell>
          <cell r="C10" t="str">
            <v>Class IU-QD ( D )</v>
          </cell>
          <cell r="D10" t="str">
            <v>82.51% Net Income</v>
          </cell>
          <cell r="E10">
            <v>1.9004295536346891</v>
          </cell>
          <cell r="F10">
            <v>8.9637314463653102</v>
          </cell>
          <cell r="G10">
            <v>10.864160999999999</v>
          </cell>
          <cell r="H10" t="str">
            <v>USD</v>
          </cell>
        </row>
        <row r="11">
          <cell r="A11" t="str">
            <v>LU1095741556</v>
          </cell>
          <cell r="B11" t="str">
            <v>FIRST EAGLE AMUNDI INCOME BUILDER FUND</v>
          </cell>
          <cell r="C11" t="str">
            <v>Class IHE-QD ( D )</v>
          </cell>
          <cell r="D11" t="str">
            <v>79.86% Net Income</v>
          </cell>
          <cell r="E11">
            <v>1.8521236326497577</v>
          </cell>
          <cell r="F11">
            <v>7.3460753673502426</v>
          </cell>
          <cell r="G11">
            <v>9.1981990000000007</v>
          </cell>
          <cell r="H11" t="str">
            <v>EUR</v>
          </cell>
        </row>
        <row r="12">
          <cell r="A12" t="str">
            <v>LU1095741127</v>
          </cell>
          <cell r="B12" t="str">
            <v>FIRST EAGLE AMUNDI INCOME BUILDER FUND</v>
          </cell>
          <cell r="C12" t="str">
            <v>Class RHE-QD ( D )</v>
          </cell>
          <cell r="D12" t="str">
            <v>78.1% Net Income</v>
          </cell>
          <cell r="E12">
            <v>0.21967374399938402</v>
          </cell>
          <cell r="F12">
            <v>0.78322725600061605</v>
          </cell>
          <cell r="G12">
            <v>1.002901</v>
          </cell>
          <cell r="H12" t="str">
            <v>EUR</v>
          </cell>
        </row>
        <row r="13">
          <cell r="A13" t="str">
            <v>LU1095740665</v>
          </cell>
          <cell r="B13" t="str">
            <v>FIRST EAGLE AMUNDI INCOME BUILDER FUND</v>
          </cell>
          <cell r="C13" t="str">
            <v>Class FE-QD ( D )</v>
          </cell>
          <cell r="D13" t="str">
            <v>42.11% Net Income</v>
          </cell>
          <cell r="E13">
            <v>0.59351947394847948</v>
          </cell>
          <cell r="F13">
            <v>0.43168252605152047</v>
          </cell>
          <cell r="G13">
            <v>1.0252019999999999</v>
          </cell>
          <cell r="H13" t="str">
            <v>EUR</v>
          </cell>
        </row>
        <row r="14">
          <cell r="A14" t="str">
            <v>LU1095740749</v>
          </cell>
          <cell r="B14" t="str">
            <v>FIRST EAGLE AMUNDI INCOME BUILDER FUND</v>
          </cell>
          <cell r="C14" t="str">
            <v>Class FHE-QD ( D )</v>
          </cell>
          <cell r="D14" t="str">
            <v>42.84% Net Income</v>
          </cell>
          <cell r="E14">
            <v>0.46493151749760131</v>
          </cell>
          <cell r="F14">
            <v>0.34849048250239867</v>
          </cell>
          <cell r="G14">
            <v>0.81342199999999998</v>
          </cell>
          <cell r="H14" t="str">
            <v>EUR</v>
          </cell>
        </row>
        <row r="15">
          <cell r="A15" t="str">
            <v>LU1095739733</v>
          </cell>
          <cell r="B15" t="str">
            <v>FIRST EAGLE AMUNDI INCOME BUILDER FUND</v>
          </cell>
          <cell r="C15" t="str">
            <v>Class AE-QD ( D )</v>
          </cell>
          <cell r="D15" t="str">
            <v>61.27% Net Income</v>
          </cell>
          <cell r="E15">
            <v>0.4815098846142612</v>
          </cell>
          <cell r="F15">
            <v>0.76161211538573892</v>
          </cell>
          <cell r="G15">
            <v>1.2431220000000001</v>
          </cell>
          <cell r="H15" t="str">
            <v>EUR</v>
          </cell>
        </row>
        <row r="16">
          <cell r="A16" t="str">
            <v>LU1095739907</v>
          </cell>
          <cell r="B16" t="str">
            <v>FIRST EAGLE AMUNDI INCOME BUILDER FUND</v>
          </cell>
          <cell r="C16" t="str">
            <v>Class AU-QD ( D )</v>
          </cell>
          <cell r="D16" t="str">
            <v>64.48% Net Income</v>
          </cell>
          <cell r="E16">
            <v>0.35943452148165916</v>
          </cell>
          <cell r="F16">
            <v>0.65241347851834097</v>
          </cell>
          <cell r="G16">
            <v>1.0118480000000001</v>
          </cell>
          <cell r="H16" t="str">
            <v>USD</v>
          </cell>
        </row>
        <row r="17">
          <cell r="A17" t="str">
            <v>LU1095740400</v>
          </cell>
          <cell r="B17" t="str">
            <v>FIRST EAGLE AMUNDI INCOME BUILDER FUND</v>
          </cell>
          <cell r="C17" t="str">
            <v>Class AHG-QD ( D )</v>
          </cell>
          <cell r="D17" t="str">
            <v>59.51% Net Income</v>
          </cell>
          <cell r="E17">
            <v>0.38348523606474866</v>
          </cell>
          <cell r="F17">
            <v>0.56354976393525136</v>
          </cell>
          <cell r="G17">
            <v>0.94703499999999996</v>
          </cell>
          <cell r="H17" t="str">
            <v>GBP</v>
          </cell>
        </row>
        <row r="18">
          <cell r="A18" t="str">
            <v>LU1200996475</v>
          </cell>
          <cell r="B18" t="str">
            <v>FIRST EAGLE AMUNDI INCOME BUILDER FUND</v>
          </cell>
          <cell r="C18" t="str">
            <v>Class IU4-QD ( D )</v>
          </cell>
          <cell r="D18" t="str">
            <v>78.47% Net Income</v>
          </cell>
          <cell r="E18">
            <v>2.4899352615178056</v>
          </cell>
          <cell r="F18">
            <v>9.0742127384821938</v>
          </cell>
          <cell r="G18">
            <v>11.564147999999999</v>
          </cell>
          <cell r="H18" t="str">
            <v>USD</v>
          </cell>
        </row>
        <row r="19">
          <cell r="A19" t="str">
            <v>LU2104304311</v>
          </cell>
          <cell r="B19" t="str">
            <v>FIRST EAGLE AMUNDI INCOME BUILDER FUND</v>
          </cell>
          <cell r="C19" t="str">
            <v>Class AHE-QD ( D )</v>
          </cell>
          <cell r="D19" t="str">
            <v>62.37% Net Income</v>
          </cell>
          <cell r="E19">
            <v>0.40264305017630225</v>
          </cell>
          <cell r="F19">
            <v>0.6674319498236978</v>
          </cell>
          <cell r="G19">
            <v>1.0700750000000001</v>
          </cell>
          <cell r="H19" t="str">
            <v>EUR</v>
          </cell>
        </row>
        <row r="20">
          <cell r="A20" t="str">
            <v>LU2124192738</v>
          </cell>
          <cell r="B20" t="str">
            <v>FIRST EAGLE AMUNDI INCOME BUILDER FUND</v>
          </cell>
          <cell r="C20" t="str">
            <v>Class IU5-QD ( D )</v>
          </cell>
          <cell r="D20" t="str">
            <v>49.49% Net Income</v>
          </cell>
          <cell r="E20">
            <v>8.555923632859141</v>
          </cell>
          <cell r="F20">
            <v>8.3840763671408602</v>
          </cell>
          <cell r="G20">
            <v>16.940000000000001</v>
          </cell>
          <cell r="H20" t="str">
            <v>USD</v>
          </cell>
        </row>
        <row r="21">
          <cell r="A21" t="str">
            <v>LU1095740319</v>
          </cell>
          <cell r="B21" t="str">
            <v>FIRST EAGLE AMUNDI INCOME BUILDER FUND</v>
          </cell>
          <cell r="C21" t="str">
            <v>Class AHE-QVD ( D )</v>
          </cell>
          <cell r="D21" t="str">
            <v>100% Net Income</v>
          </cell>
          <cell r="E21">
            <v>0</v>
          </cell>
          <cell r="F21">
            <v>0.64223461999999998</v>
          </cell>
          <cell r="G21">
            <v>0.64223461999999998</v>
          </cell>
          <cell r="H21" t="str">
            <v>EUR</v>
          </cell>
        </row>
        <row r="22">
          <cell r="A22" t="str">
            <v>LU2100268353</v>
          </cell>
          <cell r="B22" t="str">
            <v>FIRST EAGLE AMUNDI INCOME BUILDER FUND</v>
          </cell>
          <cell r="C22" t="str">
            <v>Class AE-QVD (D)</v>
          </cell>
          <cell r="D22" t="str">
            <v>100% Net Income</v>
          </cell>
          <cell r="E22">
            <v>0</v>
          </cell>
          <cell r="F22">
            <v>0.89085232000000003</v>
          </cell>
          <cell r="G22">
            <v>0.89085232000000003</v>
          </cell>
          <cell r="H22" t="str">
            <v>EUR</v>
          </cell>
        </row>
        <row r="23">
          <cell r="A23" t="str">
            <v>LU2249593117</v>
          </cell>
          <cell r="B23" t="str">
            <v>FIRST EAGLE AMUNDI SUSTAINABLE VALUE FUND</v>
          </cell>
          <cell r="C23" t="str">
            <v>Class AE QVD ( D )</v>
          </cell>
          <cell r="D23" t="str">
            <v>100% Net Income</v>
          </cell>
          <cell r="E23">
            <v>0</v>
          </cell>
          <cell r="F23">
            <v>0.63431884999999999</v>
          </cell>
          <cell r="G23">
            <v>0.63431884999999999</v>
          </cell>
          <cell r="H23" t="str">
            <v>EUR</v>
          </cell>
        </row>
        <row r="24">
          <cell r="A24" t="str">
            <v>LU2249593208</v>
          </cell>
          <cell r="B24" t="str">
            <v>FIRST EAGLE AMUNDI SUSTAINABLE VALUE FUND</v>
          </cell>
          <cell r="C24" t="str">
            <v>Class AU QVD ( D )</v>
          </cell>
          <cell r="D24" t="str">
            <v>100% Net Income</v>
          </cell>
          <cell r="E24">
            <v>0</v>
          </cell>
          <cell r="F24">
            <v>0.54170476000000001</v>
          </cell>
          <cell r="G24">
            <v>0.54170476000000001</v>
          </cell>
          <cell r="H24" t="str">
            <v>USD</v>
          </cell>
        </row>
        <row r="25">
          <cell r="A25" t="str">
            <v>LU2249593380</v>
          </cell>
          <cell r="B25" t="str">
            <v>FIRST EAGLE AMUNDI SUSTAINABLE VALUE FUND</v>
          </cell>
          <cell r="C25" t="str">
            <v>Class AHE-QVD ( D )</v>
          </cell>
          <cell r="D25" t="str">
            <v>100% Net Income</v>
          </cell>
          <cell r="E25">
            <v>0</v>
          </cell>
          <cell r="F25">
            <v>0.54583267999999996</v>
          </cell>
          <cell r="G25">
            <v>0.54583267999999996</v>
          </cell>
          <cell r="H25" t="str">
            <v>EUR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</sheetNames>
    <sheetDataSet>
      <sheetData sheetId="0">
        <row r="1">
          <cell r="D1" t="str">
            <v>TAXATION %</v>
          </cell>
          <cell r="E1" t="str">
            <v>TAXATION CAPITAL AMOUNT (per share)</v>
          </cell>
          <cell r="F1" t="str">
            <v>TAXATION INCOME AMOUNT (per share)</v>
          </cell>
          <cell r="G1" t="str">
            <v>Dividend amount per share</v>
          </cell>
        </row>
        <row r="2">
          <cell r="A2" t="str">
            <v>LU1883311570</v>
          </cell>
          <cell r="B2" t="str">
            <v>AMUNDI FUNDS EUROPEAN EQUITY SUSTAINABLE INCOME</v>
          </cell>
          <cell r="C2" t="str">
            <v>Class A2 EUR MTI (D)</v>
          </cell>
          <cell r="D2" t="str">
            <v>100% Net Income</v>
          </cell>
          <cell r="E2">
            <v>0</v>
          </cell>
          <cell r="F2">
            <v>0.124</v>
          </cell>
          <cell r="G2">
            <v>0.124</v>
          </cell>
        </row>
        <row r="3">
          <cell r="A3" t="str">
            <v>LU1883321025</v>
          </cell>
          <cell r="B3" t="str">
            <v>AMUNDI FUNDS GLOBAL EQUITY SUSTAINABLE INCOME</v>
          </cell>
          <cell r="C3" t="str">
            <v>Class A2 EUR MTI (D)</v>
          </cell>
          <cell r="D3" t="str">
            <v>100% Net Income</v>
          </cell>
          <cell r="E3">
            <v>0</v>
          </cell>
          <cell r="F3">
            <v>0.16450000000000001</v>
          </cell>
          <cell r="G3">
            <v>0.16450000000000001</v>
          </cell>
        </row>
        <row r="4">
          <cell r="A4" t="str">
            <v>LU1883321454</v>
          </cell>
          <cell r="B4" t="str">
            <v>AMUNDI FUNDS GLOBAL EQUITY SUSTAINABLE INCOME</v>
          </cell>
          <cell r="C4" t="str">
            <v>Class A2 USD MTI (D)</v>
          </cell>
          <cell r="D4" t="str">
            <v>100% Net Income</v>
          </cell>
          <cell r="E4">
            <v>0</v>
          </cell>
          <cell r="F4">
            <v>0.14499999999999999</v>
          </cell>
          <cell r="G4">
            <v>0.14499999999999999</v>
          </cell>
        </row>
        <row r="5">
          <cell r="A5" t="str">
            <v>LU1883324391</v>
          </cell>
          <cell r="B5" t="str">
            <v>AMUNDI FUNDS GLOBAL EQUITY SUSTAINABLE INCOME</v>
          </cell>
          <cell r="C5" t="str">
            <v>Class R2 EUR MTI (D)</v>
          </cell>
          <cell r="D5" t="str">
            <v>100% Net Income</v>
          </cell>
          <cell r="E5">
            <v>0</v>
          </cell>
          <cell r="F5">
            <v>0.17430000000000001</v>
          </cell>
          <cell r="G5">
            <v>0.17430000000000001</v>
          </cell>
        </row>
        <row r="6">
          <cell r="A6" t="str">
            <v>LU1883324557</v>
          </cell>
          <cell r="B6" t="str">
            <v>AMUNDI FUNDS GLOBAL EQUITY SUSTAINABLE INCOME</v>
          </cell>
          <cell r="C6" t="str">
            <v>Class R2 GBP MTI (D)</v>
          </cell>
          <cell r="D6" t="str">
            <v>100% Net Income</v>
          </cell>
          <cell r="E6">
            <v>0</v>
          </cell>
          <cell r="F6">
            <v>0.15490000000000001</v>
          </cell>
          <cell r="G6">
            <v>0.15490000000000001</v>
          </cell>
        </row>
        <row r="7">
          <cell r="A7" t="str">
            <v>LU1883324631</v>
          </cell>
          <cell r="B7" t="str">
            <v>AMUNDI FUNDS GLOBAL EQUITY SUSTAINABLE INCOME</v>
          </cell>
          <cell r="C7" t="str">
            <v>Class R2 USD MTI (D)</v>
          </cell>
          <cell r="D7" t="str">
            <v>100% Net Income</v>
          </cell>
          <cell r="E7">
            <v>0</v>
          </cell>
          <cell r="F7">
            <v>0.18529999999999999</v>
          </cell>
          <cell r="G7">
            <v>0.18529999999999999</v>
          </cell>
        </row>
        <row r="8">
          <cell r="A8" t="str">
            <v>LU1883331412</v>
          </cell>
          <cell r="B8" t="str">
            <v>AMUNDI FUNDS GLOBAL MULTI-ASSET TARGET INCOME</v>
          </cell>
          <cell r="C8" t="str">
            <v>Class A2 USD MTI (D)</v>
          </cell>
          <cell r="D8" t="str">
            <v>100% Net Income</v>
          </cell>
          <cell r="E8">
            <v>0</v>
          </cell>
          <cell r="F8">
            <v>0.25690000000000002</v>
          </cell>
          <cell r="G8">
            <v>0.25690000000000002</v>
          </cell>
        </row>
        <row r="9">
          <cell r="A9" t="str">
            <v>LU1883334192</v>
          </cell>
          <cell r="B9" t="str">
            <v>AMUNDI FUNDS GLOBAL MULTI-ASSET TARGET INCOME</v>
          </cell>
          <cell r="C9" t="str">
            <v>Class R2 USD MTI (D)</v>
          </cell>
          <cell r="D9" t="str">
            <v>100% Net Income</v>
          </cell>
          <cell r="E9">
            <v>0</v>
          </cell>
          <cell r="F9">
            <v>0.20960000000000001</v>
          </cell>
          <cell r="G9">
            <v>0.20960000000000001</v>
          </cell>
        </row>
        <row r="10">
          <cell r="A10" t="str">
            <v>LU1883866102</v>
          </cell>
          <cell r="B10" t="str">
            <v>AMUNDI FUNDS REAL ASSETS TARGET INCOME</v>
          </cell>
          <cell r="C10" t="str">
            <v>Class A2 EUR HMTI(D)</v>
          </cell>
          <cell r="D10" t="str">
            <v>100% Net Income</v>
          </cell>
          <cell r="E10">
            <v>0</v>
          </cell>
          <cell r="F10">
            <v>0.21440000000000001</v>
          </cell>
          <cell r="G10">
            <v>0.21440000000000001</v>
          </cell>
        </row>
        <row r="11">
          <cell r="A11" t="str">
            <v>LU2462611562</v>
          </cell>
          <cell r="B11" t="str">
            <v>AMUNDI FUNDS REAL ASSETS TARGET INCOME</v>
          </cell>
          <cell r="C11" t="str">
            <v>Class A2 SGD HMTI(D)</v>
          </cell>
          <cell r="D11" t="str">
            <v>100% Net Income</v>
          </cell>
          <cell r="E11">
            <v>0</v>
          </cell>
          <cell r="F11">
            <v>0.24279999999999999</v>
          </cell>
          <cell r="G11">
            <v>0.24279999999999999</v>
          </cell>
        </row>
        <row r="12">
          <cell r="A12" t="str">
            <v>LU2462611646</v>
          </cell>
          <cell r="B12" t="str">
            <v>AMUNDI FUNDS REAL ASSETS TARGET INCOME</v>
          </cell>
          <cell r="C12" t="str">
            <v>Class A2 USD MTI (D)</v>
          </cell>
          <cell r="D12" t="str">
            <v>100% Net Income</v>
          </cell>
          <cell r="E12">
            <v>0</v>
          </cell>
          <cell r="F12">
            <v>0.2712</v>
          </cell>
          <cell r="G12">
            <v>0.2712</v>
          </cell>
        </row>
        <row r="13">
          <cell r="A13" t="str">
            <v>LU2498475776</v>
          </cell>
          <cell r="B13" t="str">
            <v>AMUNDI FUNDS REAL ASSETS TARGET INCOME</v>
          </cell>
          <cell r="C13" t="str">
            <v>Class A2 HKD MTI (D)</v>
          </cell>
          <cell r="D13" t="str">
            <v>0% Net Income</v>
          </cell>
          <cell r="E13">
            <v>0.27079999999999999</v>
          </cell>
          <cell r="F13">
            <v>0</v>
          </cell>
          <cell r="G13">
            <v>0.27079999999999999</v>
          </cell>
        </row>
        <row r="14">
          <cell r="A14" t="str">
            <v>LU2538405874</v>
          </cell>
          <cell r="B14" t="str">
            <v>AMUNDI FUNDS REAL ASSETS TARGET INCOME</v>
          </cell>
          <cell r="C14" t="str">
            <v>Class A2 RMB HMTI(D)</v>
          </cell>
          <cell r="D14" t="str">
            <v>10.02% Net Income</v>
          </cell>
          <cell r="E14">
            <v>0.24366181999999997</v>
          </cell>
          <cell r="F14">
            <v>2.7138180000000015E-2</v>
          </cell>
          <cell r="G14">
            <v>0.27079999999999999</v>
          </cell>
        </row>
        <row r="15">
          <cell r="A15" t="str">
            <v>LU2538405957</v>
          </cell>
          <cell r="B15" t="str">
            <v>AMUNDI FUNDS REAL ASSETS TARGET INCOME</v>
          </cell>
          <cell r="C15" t="str">
            <v>Class A2 AUD HMTI(D)</v>
          </cell>
          <cell r="D15" t="str">
            <v>5.72% Net Income</v>
          </cell>
          <cell r="E15">
            <v>0.25531027999999995</v>
          </cell>
          <cell r="F15">
            <v>1.5489720000000051E-2</v>
          </cell>
          <cell r="G15">
            <v>0.27079999999999999</v>
          </cell>
        </row>
        <row r="16">
          <cell r="A16" t="str">
            <v>LU1882475129</v>
          </cell>
          <cell r="B16" t="str">
            <v>AMUNDI FUNDS EURO MULTI-ASSET TARGET INCOME</v>
          </cell>
          <cell r="C16" t="str">
            <v>Class A2 CZK HQTI(D)</v>
          </cell>
          <cell r="D16" t="str">
            <v>100% Net Income</v>
          </cell>
          <cell r="E16">
            <v>0</v>
          </cell>
          <cell r="F16">
            <v>10.004099999999999</v>
          </cell>
          <cell r="G16">
            <v>10.004099999999999</v>
          </cell>
        </row>
        <row r="17">
          <cell r="A17" t="str">
            <v>LU1882475475</v>
          </cell>
          <cell r="B17" t="str">
            <v>AMUNDI FUNDS EURO MULTI-ASSET TARGET INCOME</v>
          </cell>
          <cell r="C17" t="str">
            <v>Class A2 EUR QTI (D)</v>
          </cell>
          <cell r="D17" t="str">
            <v>100% Net Income</v>
          </cell>
          <cell r="E17">
            <v>0</v>
          </cell>
          <cell r="F17">
            <v>0.45479999999999998</v>
          </cell>
          <cell r="G17">
            <v>0.45479999999999998</v>
          </cell>
        </row>
        <row r="18">
          <cell r="A18" t="str">
            <v>LU1882475558</v>
          </cell>
          <cell r="B18" t="str">
            <v>AMUNDI FUNDS EURO MULTI-ASSET TARGET INCOME</v>
          </cell>
          <cell r="C18" t="str">
            <v>Class E2 EUR QTI (D)</v>
          </cell>
          <cell r="D18" t="str">
            <v>100% Net Income</v>
          </cell>
          <cell r="E18">
            <v>0</v>
          </cell>
          <cell r="F18">
            <v>4.3499999999999997E-2</v>
          </cell>
          <cell r="G18">
            <v>4.3499999999999997E-2</v>
          </cell>
        </row>
        <row r="19">
          <cell r="A19" t="str">
            <v>LU1882475632</v>
          </cell>
          <cell r="B19" t="str">
            <v>AMUNDI FUNDS EURO MULTI-ASSET TARGET INCOME</v>
          </cell>
          <cell r="C19" t="str">
            <v>Class G2 EUR QTI (D)</v>
          </cell>
          <cell r="D19" t="str">
            <v>100% Net Income</v>
          </cell>
          <cell r="E19">
            <v>0</v>
          </cell>
          <cell r="F19">
            <v>4.2999999999999997E-2</v>
          </cell>
          <cell r="G19">
            <v>4.2999999999999997E-2</v>
          </cell>
        </row>
        <row r="20">
          <cell r="A20" t="str">
            <v>LU1882475715</v>
          </cell>
          <cell r="B20" t="str">
            <v>AMUNDI FUNDS EURO MULTI-ASSET TARGET INCOME</v>
          </cell>
          <cell r="C20" t="str">
            <v>Class M2 EUR QTI (D)</v>
          </cell>
          <cell r="D20" t="str">
            <v>100% Net Income</v>
          </cell>
          <cell r="E20">
            <v>0</v>
          </cell>
          <cell r="F20">
            <v>9.1012000000000004</v>
          </cell>
          <cell r="G20">
            <v>9.1012000000000004</v>
          </cell>
        </row>
        <row r="21">
          <cell r="A21" t="str">
            <v>LU2347634664</v>
          </cell>
          <cell r="B21" t="str">
            <v>AMUNDI FUNDS EURO MULTI-ASSET TARGET INCOME</v>
          </cell>
          <cell r="C21" t="str">
            <v>Class I2 EUR QTI (D)</v>
          </cell>
          <cell r="D21" t="str">
            <v>100% Net Income</v>
          </cell>
          <cell r="E21">
            <v>0</v>
          </cell>
          <cell r="F21">
            <v>8.8851999999999993</v>
          </cell>
          <cell r="G21">
            <v>8.8851999999999993</v>
          </cell>
        </row>
        <row r="22">
          <cell r="A22" t="str">
            <v>LU1883310846</v>
          </cell>
          <cell r="B22" t="str">
            <v>AMUNDI FUNDS EUROPEAN EQUITY SUSTAINABLE INCOME</v>
          </cell>
          <cell r="C22" t="str">
            <v>Class A2 AUD HQTI(D)</v>
          </cell>
          <cell r="D22" t="str">
            <v>100% Net Income</v>
          </cell>
          <cell r="E22">
            <v>0</v>
          </cell>
          <cell r="F22">
            <v>0.3518</v>
          </cell>
          <cell r="G22">
            <v>0.3518</v>
          </cell>
        </row>
        <row r="23">
          <cell r="A23" t="str">
            <v>LU1883311497</v>
          </cell>
          <cell r="B23" t="str">
            <v>AMUNDI FUNDS EUROPEAN EQUITY SUSTAINABLE INCOME</v>
          </cell>
          <cell r="C23" t="str">
            <v>Class A2 EUR HQTI(D)</v>
          </cell>
          <cell r="D23" t="str">
            <v>100% Net Income</v>
          </cell>
          <cell r="E23">
            <v>0</v>
          </cell>
          <cell r="F23">
            <v>0.3629</v>
          </cell>
          <cell r="G23">
            <v>0.3629</v>
          </cell>
        </row>
        <row r="24">
          <cell r="A24" t="str">
            <v>LU1883311737</v>
          </cell>
          <cell r="B24" t="str">
            <v>AMUNDI FUNDS EUROPEAN EQUITY SUSTAINABLE INCOME</v>
          </cell>
          <cell r="C24" t="str">
            <v>Class A2 SGD HQTI(D)</v>
          </cell>
          <cell r="D24" t="str">
            <v>100% Net Income</v>
          </cell>
          <cell r="E24">
            <v>0</v>
          </cell>
          <cell r="F24">
            <v>0.35010000000000002</v>
          </cell>
          <cell r="G24">
            <v>0.35010000000000002</v>
          </cell>
        </row>
        <row r="25">
          <cell r="A25" t="str">
            <v>LU1883311810</v>
          </cell>
          <cell r="B25" t="str">
            <v>AMUNDI FUNDS EUROPEAN EQUITY SUSTAINABLE INCOME</v>
          </cell>
          <cell r="C25" t="str">
            <v>Class A2 USD HQTI(D)</v>
          </cell>
          <cell r="D25" t="str">
            <v>100% Net Income</v>
          </cell>
          <cell r="E25">
            <v>0</v>
          </cell>
          <cell r="F25">
            <v>0.35499999999999998</v>
          </cell>
          <cell r="G25">
            <v>0.35499999999999998</v>
          </cell>
        </row>
        <row r="26">
          <cell r="A26" t="str">
            <v>LU1883320720</v>
          </cell>
          <cell r="B26" t="str">
            <v>AMUNDI FUNDS GLOBAL EQUITY SUSTAINABLE INCOME</v>
          </cell>
          <cell r="C26" t="str">
            <v>Class A2 CZK HQTI(D)</v>
          </cell>
          <cell r="D26" t="str">
            <v>100% Net Income</v>
          </cell>
          <cell r="E26">
            <v>0</v>
          </cell>
          <cell r="F26">
            <v>9.0538000000000007</v>
          </cell>
          <cell r="G26">
            <v>9.0538000000000007</v>
          </cell>
        </row>
        <row r="27">
          <cell r="A27" t="str">
            <v>LU1883321298</v>
          </cell>
          <cell r="B27" t="str">
            <v>AMUNDI FUNDS GLOBAL EQUITY SUSTAINABLE INCOME</v>
          </cell>
          <cell r="C27" t="str">
            <v>Class A2 EUR QTI (D)</v>
          </cell>
          <cell r="D27" t="str">
            <v>100% Net Income</v>
          </cell>
          <cell r="E27">
            <v>0</v>
          </cell>
          <cell r="F27">
            <v>0.51090000000000002</v>
          </cell>
          <cell r="G27">
            <v>0.51090000000000002</v>
          </cell>
        </row>
        <row r="28">
          <cell r="A28" t="str">
            <v>LU1883321538</v>
          </cell>
          <cell r="B28" t="str">
            <v>AMUNDI FUNDS GLOBAL EQUITY SUSTAINABLE INCOME</v>
          </cell>
          <cell r="C28" t="str">
            <v>Class A2 USD QTI (D)</v>
          </cell>
          <cell r="D28" t="str">
            <v>100% Net Income</v>
          </cell>
          <cell r="E28">
            <v>0</v>
          </cell>
          <cell r="F28">
            <v>0.54359999999999997</v>
          </cell>
          <cell r="G28">
            <v>0.54359999999999997</v>
          </cell>
        </row>
        <row r="29">
          <cell r="A29" t="str">
            <v>LU1883321702</v>
          </cell>
          <cell r="B29" t="str">
            <v>AMUNDI FUNDS GLOBAL EQUITY SUSTAINABLE INCOME</v>
          </cell>
          <cell r="C29" t="str">
            <v>Class C USD QTI (D)</v>
          </cell>
          <cell r="D29" t="str">
            <v>100% Net Income</v>
          </cell>
          <cell r="E29">
            <v>0</v>
          </cell>
          <cell r="F29">
            <v>0.47610000000000002</v>
          </cell>
          <cell r="G29">
            <v>0.47610000000000002</v>
          </cell>
        </row>
        <row r="30">
          <cell r="A30" t="str">
            <v>LU1883321967</v>
          </cell>
          <cell r="B30" t="str">
            <v>AMUNDI FUNDS GLOBAL EQUITY SUSTAINABLE INCOME</v>
          </cell>
          <cell r="C30" t="str">
            <v>Class E2 EUR QTI (D)</v>
          </cell>
          <cell r="D30" t="str">
            <v>100% Net Income</v>
          </cell>
          <cell r="E30">
            <v>0</v>
          </cell>
          <cell r="F30">
            <v>4.0800000000000003E-2</v>
          </cell>
          <cell r="G30">
            <v>4.0800000000000003E-2</v>
          </cell>
        </row>
        <row r="31">
          <cell r="A31" t="str">
            <v>LU1998915612</v>
          </cell>
          <cell r="B31" t="str">
            <v>AMUNDI FUNDS GLOBAL EQUITY SUSTAINABLE INCOME</v>
          </cell>
          <cell r="C31" t="str">
            <v>Class H EUR QTI (D)</v>
          </cell>
          <cell r="D31" t="str">
            <v>100% Net Income</v>
          </cell>
          <cell r="E31">
            <v>0</v>
          </cell>
          <cell r="F31">
            <v>10.861499999999999</v>
          </cell>
          <cell r="G31">
            <v>10.861499999999999</v>
          </cell>
        </row>
        <row r="32">
          <cell r="A32" t="str">
            <v>LU1883323070</v>
          </cell>
          <cell r="B32" t="str">
            <v>AMUNDI FUNDS GLOBAL EQUITY SUSTAINABLE INCOME</v>
          </cell>
          <cell r="C32" t="str">
            <v>Class I2 EUR QTI (D)</v>
          </cell>
          <cell r="D32" t="str">
            <v>100% Net Income</v>
          </cell>
          <cell r="E32">
            <v>0</v>
          </cell>
          <cell r="F32">
            <v>10.1303</v>
          </cell>
          <cell r="G32">
            <v>10.1303</v>
          </cell>
        </row>
        <row r="33">
          <cell r="A33" t="str">
            <v>LU1883323310</v>
          </cell>
          <cell r="B33" t="str">
            <v>AMUNDI FUNDS GLOBAL EQUITY SUSTAINABLE INCOME</v>
          </cell>
          <cell r="C33" t="str">
            <v>Class M2 EUR HQTI(D)</v>
          </cell>
          <cell r="D33" t="str">
            <v>100% Net Income</v>
          </cell>
          <cell r="E33">
            <v>0</v>
          </cell>
          <cell r="F33">
            <v>7.5636000000000001</v>
          </cell>
          <cell r="G33">
            <v>7.5636000000000001</v>
          </cell>
        </row>
        <row r="34">
          <cell r="A34" t="str">
            <v>LU1883323740</v>
          </cell>
          <cell r="B34" t="str">
            <v>AMUNDI FUNDS GLOBAL EQUITY SUSTAINABLE INCOME</v>
          </cell>
          <cell r="C34" t="str">
            <v>Class P2 USD QTI (D)</v>
          </cell>
          <cell r="D34" t="str">
            <v>100% Net Income</v>
          </cell>
          <cell r="E34">
            <v>0</v>
          </cell>
          <cell r="F34">
            <v>0.49509999999999998</v>
          </cell>
          <cell r="G34">
            <v>0.49509999999999998</v>
          </cell>
        </row>
        <row r="35">
          <cell r="A35" t="str">
            <v>LU1883324045</v>
          </cell>
          <cell r="B35" t="str">
            <v>AMUNDI FUNDS GLOBAL EQUITY SUSTAINABLE INCOME</v>
          </cell>
          <cell r="C35" t="str">
            <v>Class Q-D USD QTI(D)</v>
          </cell>
          <cell r="D35" t="str">
            <v>100% Net Income</v>
          </cell>
          <cell r="E35">
            <v>0</v>
          </cell>
          <cell r="F35">
            <v>0.45090000000000002</v>
          </cell>
          <cell r="G35">
            <v>0.45090000000000002</v>
          </cell>
        </row>
        <row r="36">
          <cell r="A36" t="str">
            <v>LU1883324474</v>
          </cell>
          <cell r="B36" t="str">
            <v>AMUNDI FUNDS GLOBAL EQUITY SUSTAINABLE INCOME</v>
          </cell>
          <cell r="C36" t="str">
            <v>Class R2 EUR QTI (D)</v>
          </cell>
          <cell r="D36" t="str">
            <v>100% Net Income</v>
          </cell>
          <cell r="E36">
            <v>0</v>
          </cell>
          <cell r="F36">
            <v>0.49780000000000002</v>
          </cell>
          <cell r="G36">
            <v>0.49780000000000002</v>
          </cell>
        </row>
        <row r="37">
          <cell r="A37" t="str">
            <v>LU1883324714</v>
          </cell>
          <cell r="B37" t="str">
            <v>AMUNDI FUNDS GLOBAL EQUITY SUSTAINABLE INCOME</v>
          </cell>
          <cell r="C37" t="str">
            <v>Class R2 USD QTI (D)</v>
          </cell>
          <cell r="D37" t="str">
            <v>100% Net Income</v>
          </cell>
          <cell r="E37">
            <v>0</v>
          </cell>
          <cell r="F37">
            <v>0.48380000000000001</v>
          </cell>
          <cell r="G37">
            <v>0.48380000000000001</v>
          </cell>
        </row>
        <row r="38">
          <cell r="A38" t="str">
            <v>LU1883330448</v>
          </cell>
          <cell r="B38" t="str">
            <v>AMUNDI FUNDS GLOBAL MULTI-ASSET TARGET INCOME</v>
          </cell>
          <cell r="C38" t="str">
            <v>Class A2 CZK HQTI(D)</v>
          </cell>
          <cell r="D38" t="str">
            <v>100% Net Income</v>
          </cell>
          <cell r="E38">
            <v>0</v>
          </cell>
          <cell r="F38">
            <v>10.132</v>
          </cell>
          <cell r="G38">
            <v>10.132</v>
          </cell>
        </row>
        <row r="39">
          <cell r="A39" t="str">
            <v>LU1883330877</v>
          </cell>
          <cell r="B39" t="str">
            <v>AMUNDI FUNDS GLOBAL MULTI-ASSET TARGET INCOME</v>
          </cell>
          <cell r="C39" t="str">
            <v>Class A2 EUR HQTI(D)</v>
          </cell>
          <cell r="D39" t="str">
            <v>100% Net Income</v>
          </cell>
          <cell r="E39">
            <v>0</v>
          </cell>
          <cell r="F39">
            <v>0.47160000000000002</v>
          </cell>
          <cell r="G39">
            <v>0.47160000000000002</v>
          </cell>
        </row>
        <row r="40">
          <cell r="A40" t="str">
            <v>LU1883330950</v>
          </cell>
          <cell r="B40" t="str">
            <v>AMUNDI FUNDS GLOBAL MULTI-ASSET TARGET INCOME</v>
          </cell>
          <cell r="C40" t="str">
            <v>Class A2 EUR QTI (D)</v>
          </cell>
          <cell r="D40" t="str">
            <v>100% Net Income</v>
          </cell>
          <cell r="E40">
            <v>0</v>
          </cell>
          <cell r="F40">
            <v>0.68189999999999995</v>
          </cell>
          <cell r="G40">
            <v>0.68189999999999995</v>
          </cell>
        </row>
        <row r="41">
          <cell r="A41" t="str">
            <v>LU1883331099</v>
          </cell>
          <cell r="B41" t="str">
            <v>AMUNDI FUNDS GLOBAL MULTI-ASSET TARGET INCOME</v>
          </cell>
          <cell r="C41" t="str">
            <v>Class A2 HUF HQTI(D)</v>
          </cell>
          <cell r="D41" t="str">
            <v>100% Net Income</v>
          </cell>
          <cell r="E41">
            <v>0</v>
          </cell>
          <cell r="F41">
            <v>119.9276</v>
          </cell>
          <cell r="G41">
            <v>119.9276</v>
          </cell>
        </row>
        <row r="42">
          <cell r="A42" t="str">
            <v>LU1883331503</v>
          </cell>
          <cell r="B42" t="str">
            <v>AMUNDI FUNDS GLOBAL MULTI-ASSET TARGET INCOME</v>
          </cell>
          <cell r="C42" t="str">
            <v>Class A2 USD QTI (D)</v>
          </cell>
          <cell r="D42" t="str">
            <v>100% Net Income</v>
          </cell>
          <cell r="E42">
            <v>0</v>
          </cell>
          <cell r="F42">
            <v>0.72499999999999998</v>
          </cell>
          <cell r="G42">
            <v>0.72499999999999998</v>
          </cell>
        </row>
        <row r="43">
          <cell r="A43" t="str">
            <v>LU1883331768</v>
          </cell>
          <cell r="B43" t="str">
            <v>AMUNDI FUNDS GLOBAL MULTI-ASSET TARGET INCOME</v>
          </cell>
          <cell r="C43" t="str">
            <v>Class C USD QTI (D)</v>
          </cell>
          <cell r="D43" t="str">
            <v>100% Net Income</v>
          </cell>
          <cell r="E43">
            <v>0</v>
          </cell>
          <cell r="F43">
            <v>0.50129999999999997</v>
          </cell>
          <cell r="G43">
            <v>0.50129999999999997</v>
          </cell>
        </row>
        <row r="44">
          <cell r="A44" t="str">
            <v>LU1883332063</v>
          </cell>
          <cell r="B44" t="str">
            <v>AMUNDI FUNDS GLOBAL MULTI-ASSET TARGET INCOME</v>
          </cell>
          <cell r="C44" t="str">
            <v>Class E2 EUR QTI (D)</v>
          </cell>
          <cell r="D44" t="str">
            <v>100% Net Income</v>
          </cell>
          <cell r="E44">
            <v>0</v>
          </cell>
          <cell r="F44">
            <v>6.8000000000000005E-2</v>
          </cell>
          <cell r="G44">
            <v>6.8000000000000005E-2</v>
          </cell>
        </row>
        <row r="45">
          <cell r="A45" t="str">
            <v>LU1883332576</v>
          </cell>
          <cell r="B45" t="str">
            <v>AMUNDI FUNDS GLOBAL MULTI-ASSET TARGET INCOME</v>
          </cell>
          <cell r="C45" t="str">
            <v>Class G2 EUR HQTI(D)</v>
          </cell>
          <cell r="D45" t="str">
            <v>100% Net Income</v>
          </cell>
          <cell r="E45">
            <v>0</v>
          </cell>
          <cell r="F45">
            <v>5.2699999999999997E-2</v>
          </cell>
          <cell r="G45">
            <v>5.2699999999999997E-2</v>
          </cell>
        </row>
        <row r="46">
          <cell r="A46" t="str">
            <v>LU1883333384</v>
          </cell>
          <cell r="B46" t="str">
            <v>AMUNDI FUNDS GLOBAL MULTI-ASSET TARGET INCOME</v>
          </cell>
          <cell r="C46" t="str">
            <v>Class P2 USD QTI (D)</v>
          </cell>
          <cell r="D46" t="str">
            <v>100% Net Income</v>
          </cell>
          <cell r="E46">
            <v>0</v>
          </cell>
          <cell r="F46">
            <v>0.63990000000000002</v>
          </cell>
          <cell r="G46">
            <v>0.63990000000000002</v>
          </cell>
        </row>
        <row r="47">
          <cell r="A47" t="str">
            <v>LU1883333467</v>
          </cell>
          <cell r="B47" t="str">
            <v>AMUNDI FUNDS GLOBAL MULTI-ASSET TARGET INCOME</v>
          </cell>
          <cell r="C47" t="str">
            <v>Class Q-D USD QTI(D)</v>
          </cell>
          <cell r="D47" t="str">
            <v>100% Net Income</v>
          </cell>
          <cell r="E47">
            <v>0</v>
          </cell>
          <cell r="F47">
            <v>0.51470000000000005</v>
          </cell>
          <cell r="G47">
            <v>0.51470000000000005</v>
          </cell>
        </row>
        <row r="48">
          <cell r="A48" t="str">
            <v>LU1883333624</v>
          </cell>
          <cell r="B48" t="str">
            <v>AMUNDI FUNDS GLOBAL MULTI-ASSET TARGET INCOME</v>
          </cell>
          <cell r="C48" t="str">
            <v>Class R2 EUR HQTI(D)</v>
          </cell>
          <cell r="D48" t="str">
            <v>100% Net Income</v>
          </cell>
          <cell r="E48">
            <v>0</v>
          </cell>
          <cell r="F48">
            <v>0.5554</v>
          </cell>
          <cell r="G48">
            <v>0.5554</v>
          </cell>
        </row>
        <row r="49">
          <cell r="A49" t="str">
            <v>LU1883333897</v>
          </cell>
          <cell r="B49" t="str">
            <v>AMUNDI FUNDS GLOBAL MULTI-ASSET TARGET INCOME</v>
          </cell>
          <cell r="C49" t="str">
            <v>Class R2 EUR QTI (D)</v>
          </cell>
          <cell r="D49" t="str">
            <v>100% Net Income</v>
          </cell>
          <cell r="E49">
            <v>0</v>
          </cell>
          <cell r="F49">
            <v>0.7046</v>
          </cell>
          <cell r="G49">
            <v>0.7046</v>
          </cell>
        </row>
        <row r="50">
          <cell r="A50" t="str">
            <v>LU1883331172</v>
          </cell>
          <cell r="B50" t="str">
            <v>AMUNDI FUNDS GLOBAL MULTI-ASSET TARGET INCOME</v>
          </cell>
          <cell r="C50" t="str">
            <v>Class R2 USD QTI (D)</v>
          </cell>
          <cell r="D50" t="str">
            <v>100% Net Income</v>
          </cell>
          <cell r="E50">
            <v>0</v>
          </cell>
          <cell r="F50">
            <v>0.63319999999999999</v>
          </cell>
          <cell r="G50">
            <v>0.63319999999999999</v>
          </cell>
        </row>
        <row r="51">
          <cell r="A51" t="str">
            <v>LU1883839711</v>
          </cell>
          <cell r="B51" t="str">
            <v>AMUNDI FUNDS PIONEER INCOME OPPORTUNITIES</v>
          </cell>
          <cell r="C51" t="str">
            <v>Class E2 EUR HQTI(D)</v>
          </cell>
          <cell r="D51" t="str">
            <v>100% Net Income</v>
          </cell>
          <cell r="E51">
            <v>0</v>
          </cell>
          <cell r="F51">
            <v>3.5499999999999997E-2</v>
          </cell>
          <cell r="G51">
            <v>3.5499999999999997E-2</v>
          </cell>
        </row>
        <row r="52">
          <cell r="A52" t="str">
            <v>LU1894681300</v>
          </cell>
          <cell r="B52" t="str">
            <v>AMUNDI FUNDS PIONEER INCOME OPPORTUNITIES</v>
          </cell>
          <cell r="C52" t="str">
            <v>Class E2 EURPHQTI(D)</v>
          </cell>
          <cell r="D52" t="str">
            <v>100% Net Income</v>
          </cell>
          <cell r="E52">
            <v>0</v>
          </cell>
          <cell r="F52">
            <v>5.2299999999999999E-2</v>
          </cell>
          <cell r="G52">
            <v>5.2299999999999999E-2</v>
          </cell>
        </row>
        <row r="53">
          <cell r="A53" t="str">
            <v>LU1883839802</v>
          </cell>
          <cell r="B53" t="str">
            <v>AMUNDI FUNDS PIONEER INCOME OPPORTUNITIES</v>
          </cell>
          <cell r="C53" t="str">
            <v>Class E2 EUR QTI (D)</v>
          </cell>
          <cell r="D53" t="str">
            <v>100% Net Income</v>
          </cell>
          <cell r="E53">
            <v>0</v>
          </cell>
          <cell r="F53">
            <v>6.25E-2</v>
          </cell>
          <cell r="G53">
            <v>6.25E-2</v>
          </cell>
        </row>
        <row r="54">
          <cell r="A54" t="str">
            <v>LU1883840131</v>
          </cell>
          <cell r="B54" t="str">
            <v>AMUNDI FUNDS PIONEER INCOME OPPORTUNITIES</v>
          </cell>
          <cell r="C54" t="str">
            <v>Class G EUR HQTI (D)</v>
          </cell>
          <cell r="D54" t="str">
            <v>100% Net Income</v>
          </cell>
          <cell r="E54">
            <v>0</v>
          </cell>
          <cell r="F54">
            <v>3.4599999999999999E-2</v>
          </cell>
          <cell r="G54">
            <v>3.4599999999999999E-2</v>
          </cell>
        </row>
        <row r="55">
          <cell r="A55" t="str">
            <v>LU1894681482</v>
          </cell>
          <cell r="B55" t="str">
            <v>AMUNDI FUNDS PIONEER INCOME OPPORTUNITIES</v>
          </cell>
          <cell r="C55" t="str">
            <v>Class G EUR PHQTI(D)</v>
          </cell>
          <cell r="D55" t="str">
            <v>100% Net Income</v>
          </cell>
          <cell r="E55">
            <v>0</v>
          </cell>
          <cell r="F55">
            <v>5.0299999999999997E-2</v>
          </cell>
          <cell r="G55">
            <v>5.0299999999999997E-2</v>
          </cell>
        </row>
        <row r="56">
          <cell r="A56" t="str">
            <v>LU1883840214</v>
          </cell>
          <cell r="B56" t="str">
            <v>AMUNDI FUNDS PIONEER INCOME OPPORTUNITIES</v>
          </cell>
          <cell r="C56" t="str">
            <v>Class G EUR QTI (D)</v>
          </cell>
          <cell r="D56" t="str">
            <v>100% Net Income</v>
          </cell>
          <cell r="E56">
            <v>0</v>
          </cell>
          <cell r="F56">
            <v>6.0600000000000001E-2</v>
          </cell>
          <cell r="G56">
            <v>6.0600000000000001E-2</v>
          </cell>
        </row>
        <row r="57">
          <cell r="A57" t="str">
            <v>LU2110862112</v>
          </cell>
          <cell r="B57" t="str">
            <v>AMUNDI FUNDS PIONEER INCOME OPPORTUNITIES</v>
          </cell>
          <cell r="C57" t="str">
            <v>Class I3 USD QTI (D)</v>
          </cell>
          <cell r="D57" t="str">
            <v>100% Net Income</v>
          </cell>
          <cell r="E57">
            <v>0</v>
          </cell>
          <cell r="F57">
            <v>16.9117</v>
          </cell>
          <cell r="G57">
            <v>16.9117</v>
          </cell>
        </row>
        <row r="58">
          <cell r="A58" t="str">
            <v>LU1883866284</v>
          </cell>
          <cell r="B58" t="str">
            <v>AMUNDI FUNDS REAL ASSETS TARGET INCOME</v>
          </cell>
          <cell r="C58" t="str">
            <v>Class A2 EUR HQTI(D)</v>
          </cell>
          <cell r="D58" t="str">
            <v>100% Net Income</v>
          </cell>
          <cell r="E58">
            <v>0</v>
          </cell>
          <cell r="F58">
            <v>0.64329999999999998</v>
          </cell>
          <cell r="G58">
            <v>0.64329999999999998</v>
          </cell>
        </row>
        <row r="59">
          <cell r="A59" t="str">
            <v>LU1883866367</v>
          </cell>
          <cell r="B59" t="str">
            <v>AMUNDI FUNDS REAL ASSETS TARGET INCOME</v>
          </cell>
          <cell r="C59" t="str">
            <v>Class A2 EUR QTI (D)</v>
          </cell>
          <cell r="D59" t="str">
            <v>100% Net Income</v>
          </cell>
          <cell r="E59">
            <v>0</v>
          </cell>
          <cell r="F59">
            <v>0.59130000000000005</v>
          </cell>
          <cell r="G59">
            <v>0.59130000000000005</v>
          </cell>
        </row>
        <row r="60">
          <cell r="A60" t="str">
            <v>LU1883866524</v>
          </cell>
          <cell r="B60" t="str">
            <v>AMUNDI FUNDS REAL ASSETS TARGET INCOME</v>
          </cell>
          <cell r="C60" t="str">
            <v>Class A2 USD QTI (D)</v>
          </cell>
          <cell r="D60" t="str">
            <v>100% Net Income</v>
          </cell>
          <cell r="E60">
            <v>0</v>
          </cell>
          <cell r="F60">
            <v>0.62760000000000005</v>
          </cell>
          <cell r="G60">
            <v>0.62760000000000005</v>
          </cell>
        </row>
        <row r="61">
          <cell r="A61" t="str">
            <v>LU1883867258</v>
          </cell>
          <cell r="B61" t="str">
            <v>AMUNDI FUNDS REAL ASSETS TARGET INCOME</v>
          </cell>
          <cell r="C61" t="str">
            <v>Class G2 EUR HQTI(D)</v>
          </cell>
          <cell r="D61" t="str">
            <v>100% Net Income</v>
          </cell>
          <cell r="E61">
            <v>0</v>
          </cell>
          <cell r="F61">
            <v>6.3100000000000003E-2</v>
          </cell>
          <cell r="G61">
            <v>6.3100000000000003E-2</v>
          </cell>
        </row>
        <row r="62">
          <cell r="A62" t="str">
            <v>LU1883867415</v>
          </cell>
          <cell r="B62" t="str">
            <v>AMUNDI FUNDS REAL ASSETS TARGET INCOME</v>
          </cell>
          <cell r="C62" t="str">
            <v>Class I2 EUR HQTI(D)</v>
          </cell>
          <cell r="D62" t="str">
            <v>100% Net Income</v>
          </cell>
          <cell r="E62">
            <v>0</v>
          </cell>
          <cell r="F62">
            <v>13.660399999999999</v>
          </cell>
          <cell r="G62">
            <v>13.660399999999999</v>
          </cell>
        </row>
        <row r="63">
          <cell r="A63" t="str">
            <v>LU2085675606</v>
          </cell>
          <cell r="B63" t="str">
            <v>AMUNDI FUNDS REAL ASSETS TARGET INCOME</v>
          </cell>
          <cell r="C63" t="str">
            <v>Class Z USD QTI (D)</v>
          </cell>
          <cell r="D63" t="str">
            <v>100% Net Income</v>
          </cell>
          <cell r="E63">
            <v>0</v>
          </cell>
          <cell r="F63">
            <v>15.994899999999999</v>
          </cell>
          <cell r="G63">
            <v>15.994899999999999</v>
          </cell>
        </row>
        <row r="64">
          <cell r="A64" t="str">
            <v>LU1883310929</v>
          </cell>
          <cell r="B64" t="str">
            <v>AMUNDI FUNDS EUROPEAN EQUITY SUSTAINABLE INCOME</v>
          </cell>
          <cell r="C64" t="str">
            <v>Class A2 CHFHSATI(D)</v>
          </cell>
          <cell r="D64" t="str">
            <v>100% Net Income</v>
          </cell>
          <cell r="E64">
            <v>0</v>
          </cell>
          <cell r="F64">
            <v>0.56000000000000005</v>
          </cell>
          <cell r="G64">
            <v>0.56000000000000005</v>
          </cell>
        </row>
        <row r="65">
          <cell r="A65" t="str">
            <v>LU1883311141</v>
          </cell>
          <cell r="B65" t="str">
            <v>AMUNDI FUNDS EUROPEAN EQUITY SUSTAINABLE INCOME</v>
          </cell>
          <cell r="C65" t="str">
            <v>Class A2 CZKHSATI(D)</v>
          </cell>
          <cell r="D65" t="str">
            <v>100% Net Income</v>
          </cell>
          <cell r="E65">
            <v>0</v>
          </cell>
          <cell r="F65">
            <v>17.985600000000002</v>
          </cell>
          <cell r="G65">
            <v>17.985600000000002</v>
          </cell>
        </row>
        <row r="66">
          <cell r="A66" t="str">
            <v>LU1883311653</v>
          </cell>
          <cell r="B66" t="str">
            <v>AMUNDI FUNDS EUROPEAN EQUITY SUSTAINABLE INCOME</v>
          </cell>
          <cell r="C66" t="str">
            <v>Class A2 EUR SATI(D)</v>
          </cell>
          <cell r="D66" t="str">
            <v>100% Net Income</v>
          </cell>
          <cell r="E66">
            <v>0</v>
          </cell>
          <cell r="F66">
            <v>0.81640000000000001</v>
          </cell>
          <cell r="G66">
            <v>0.81640000000000001</v>
          </cell>
        </row>
        <row r="67">
          <cell r="A67" t="str">
            <v>LU1883312115</v>
          </cell>
          <cell r="B67" t="str">
            <v>AMUNDI FUNDS EUROPEAN EQUITY SUSTAINABLE INCOME</v>
          </cell>
          <cell r="C67" t="str">
            <v>Class C EUR SATI (D)</v>
          </cell>
          <cell r="D67" t="str">
            <v>100% Net Income</v>
          </cell>
          <cell r="E67">
            <v>0</v>
          </cell>
          <cell r="F67">
            <v>0.58030000000000004</v>
          </cell>
          <cell r="G67">
            <v>0.58030000000000004</v>
          </cell>
        </row>
        <row r="68">
          <cell r="A68" t="str">
            <v>LU1883312388</v>
          </cell>
          <cell r="B68" t="str">
            <v>AMUNDI FUNDS EUROPEAN EQUITY SUSTAINABLE INCOME</v>
          </cell>
          <cell r="C68" t="str">
            <v>Class E2 EUR SATI(D)</v>
          </cell>
          <cell r="D68" t="str">
            <v>100% Net Income</v>
          </cell>
          <cell r="E68">
            <v>0</v>
          </cell>
          <cell r="F68">
            <v>8.1500000000000003E-2</v>
          </cell>
          <cell r="G68">
            <v>8.1500000000000003E-2</v>
          </cell>
        </row>
        <row r="69">
          <cell r="A69" t="str">
            <v>LU1883312461</v>
          </cell>
          <cell r="B69" t="str">
            <v>AMUNDI FUNDS EUROPEAN EQUITY SUSTAINABLE INCOME</v>
          </cell>
          <cell r="C69" t="str">
            <v>Class G2 EUR SATI(D)</v>
          </cell>
          <cell r="D69" t="str">
            <v>100% Net Income</v>
          </cell>
          <cell r="E69">
            <v>0</v>
          </cell>
          <cell r="F69">
            <v>7.0499999999999993E-2</v>
          </cell>
          <cell r="G69">
            <v>7.0499999999999993E-2</v>
          </cell>
        </row>
        <row r="70">
          <cell r="A70" t="str">
            <v>LU1998915372</v>
          </cell>
          <cell r="B70" t="str">
            <v>AMUNDI FUNDS EUROPEAN EQUITY SUSTAINABLE INCOME</v>
          </cell>
          <cell r="C70" t="str">
            <v>Class H EUR SATI (D)</v>
          </cell>
          <cell r="D70" t="str">
            <v>100% Net Income</v>
          </cell>
          <cell r="E70">
            <v>0</v>
          </cell>
          <cell r="F70">
            <v>18.851500000000001</v>
          </cell>
          <cell r="G70">
            <v>18.851500000000001</v>
          </cell>
        </row>
        <row r="71">
          <cell r="A71" t="str">
            <v>LU1883312628</v>
          </cell>
          <cell r="B71" t="str">
            <v>AMUNDI FUNDS EUROPEAN EQUITY SUSTAINABLE INCOME</v>
          </cell>
          <cell r="C71" t="str">
            <v>Class I2 EURHSATI(D)</v>
          </cell>
          <cell r="D71" t="str">
            <v>100% Net Income</v>
          </cell>
          <cell r="E71">
            <v>0</v>
          </cell>
          <cell r="F71">
            <v>15.592000000000001</v>
          </cell>
          <cell r="G71">
            <v>15.592000000000001</v>
          </cell>
        </row>
        <row r="72">
          <cell r="A72" t="str">
            <v>LU1883312891</v>
          </cell>
          <cell r="B72" t="str">
            <v>AMUNDI FUNDS EUROPEAN EQUITY SUSTAINABLE INCOME</v>
          </cell>
          <cell r="C72" t="str">
            <v>Class I2 EUR SATI(D)</v>
          </cell>
          <cell r="D72" t="str">
            <v>100% Net Income</v>
          </cell>
          <cell r="E72">
            <v>0</v>
          </cell>
          <cell r="F72">
            <v>18.412600000000001</v>
          </cell>
          <cell r="G72">
            <v>18.412600000000001</v>
          </cell>
        </row>
        <row r="73">
          <cell r="A73" t="str">
            <v>LU1883313436</v>
          </cell>
          <cell r="B73" t="str">
            <v>AMUNDI FUNDS EUROPEAN EQUITY SUSTAINABLE INCOME</v>
          </cell>
          <cell r="C73" t="str">
            <v>Class M2 EUR SATI(D)</v>
          </cell>
          <cell r="D73" t="str">
            <v>100% Net Income</v>
          </cell>
          <cell r="E73">
            <v>0</v>
          </cell>
          <cell r="F73">
            <v>15.515700000000001</v>
          </cell>
          <cell r="G73">
            <v>15.515700000000001</v>
          </cell>
        </row>
        <row r="74">
          <cell r="A74" t="str">
            <v>LU1883313600</v>
          </cell>
          <cell r="B74" t="str">
            <v>AMUNDI FUNDS EUROPEAN EQUITY SUSTAINABLE INCOME</v>
          </cell>
          <cell r="C74" t="str">
            <v>Class R2 EUR SATI(D)</v>
          </cell>
          <cell r="D74" t="str">
            <v>100% Net Income</v>
          </cell>
          <cell r="E74">
            <v>0</v>
          </cell>
          <cell r="F74">
            <v>0.68620000000000003</v>
          </cell>
          <cell r="G74">
            <v>0.68620000000000003</v>
          </cell>
        </row>
        <row r="75">
          <cell r="A75" t="str">
            <v>LU1883313782</v>
          </cell>
          <cell r="B75" t="str">
            <v>AMUNDI FUNDS EUROPEAN EQUITY SUSTAINABLE INCOME</v>
          </cell>
          <cell r="C75" t="str">
            <v>Class R2 GBP SATI(D)</v>
          </cell>
          <cell r="D75" t="str">
            <v>100% Net Income</v>
          </cell>
          <cell r="E75">
            <v>0</v>
          </cell>
          <cell r="F75">
            <v>0.59499999999999997</v>
          </cell>
          <cell r="G75">
            <v>0.59499999999999997</v>
          </cell>
        </row>
        <row r="76">
          <cell r="A76" t="str">
            <v>LU1883313949</v>
          </cell>
          <cell r="B76" t="str">
            <v>AMUNDI FUNDS EUROPEAN EQUITY SUSTAINABLE INCOME</v>
          </cell>
          <cell r="C76" t="str">
            <v>Class R2 USDHSATI(D)</v>
          </cell>
          <cell r="D76" t="str">
            <v>100% Net Income</v>
          </cell>
          <cell r="E76">
            <v>0</v>
          </cell>
          <cell r="F76">
            <v>0.71160000000000001</v>
          </cell>
          <cell r="G76">
            <v>0.71160000000000001</v>
          </cell>
        </row>
        <row r="77">
          <cell r="A77" t="str">
            <v>LU1883314087</v>
          </cell>
          <cell r="B77" t="str">
            <v>AMUNDI FUNDS EUROPEAN EQUITY SUSTAINABLE INCOME</v>
          </cell>
          <cell r="C77" t="str">
            <v>Class R2 USD SATI(D)</v>
          </cell>
          <cell r="D77" t="str">
            <v>100% Net Income</v>
          </cell>
          <cell r="E77">
            <v>0</v>
          </cell>
          <cell r="F77">
            <v>0.71209999999999996</v>
          </cell>
          <cell r="G77">
            <v>0.71209999999999996</v>
          </cell>
        </row>
        <row r="78">
          <cell r="A78" t="str">
            <v>LU1883322007</v>
          </cell>
          <cell r="B78" t="str">
            <v>AMUNDI FUNDS GLOBAL EQUITY SUSTAINABLE INCOME</v>
          </cell>
          <cell r="C78" t="str">
            <v>Class E2 EUR SATI(D)</v>
          </cell>
          <cell r="D78" t="str">
            <v>100% Net Income</v>
          </cell>
          <cell r="E78">
            <v>0</v>
          </cell>
          <cell r="F78">
            <v>9.1800000000000007E-2</v>
          </cell>
          <cell r="G78">
            <v>9.1800000000000007E-2</v>
          </cell>
        </row>
        <row r="79">
          <cell r="A79" t="str">
            <v>LU1883322775</v>
          </cell>
          <cell r="B79" t="str">
            <v>AMUNDI FUNDS GLOBAL EQUITY SUSTAINABLE INCOME</v>
          </cell>
          <cell r="C79" t="str">
            <v>Class G2 EUR SATI(D)</v>
          </cell>
          <cell r="D79" t="str">
            <v>100% Net Income</v>
          </cell>
          <cell r="E79">
            <v>0</v>
          </cell>
          <cell r="F79">
            <v>9.35E-2</v>
          </cell>
          <cell r="G79">
            <v>9.35E-2</v>
          </cell>
        </row>
        <row r="80">
          <cell r="A80" t="str">
            <v>LU2002722424</v>
          </cell>
          <cell r="B80" t="str">
            <v>AMUNDI FUNDS GLOBAL EQUITY SUSTAINABLE INCOME</v>
          </cell>
          <cell r="C80" t="str">
            <v>Class M2 EUR SATI(D)</v>
          </cell>
          <cell r="D80" t="str">
            <v>100% Net Income</v>
          </cell>
          <cell r="E80">
            <v>0</v>
          </cell>
          <cell r="F80">
            <v>21.673400000000001</v>
          </cell>
          <cell r="G80">
            <v>21.673400000000001</v>
          </cell>
        </row>
        <row r="81">
          <cell r="A81" t="str">
            <v>LU1883331925</v>
          </cell>
          <cell r="B81" t="str">
            <v>AMUNDI FUNDS GLOBAL MULTI-ASSET TARGET INCOME</v>
          </cell>
          <cell r="C81" t="str">
            <v>Class E2 EURHSATI(D)</v>
          </cell>
          <cell r="D81" t="str">
            <v>100% Net Income</v>
          </cell>
          <cell r="E81">
            <v>0</v>
          </cell>
          <cell r="F81">
            <v>9.69E-2</v>
          </cell>
          <cell r="G81">
            <v>9.69E-2</v>
          </cell>
        </row>
        <row r="82">
          <cell r="A82" t="str">
            <v>LU1883332147</v>
          </cell>
          <cell r="B82" t="str">
            <v>AMUNDI FUNDS GLOBAL MULTI-ASSET TARGET INCOME</v>
          </cell>
          <cell r="C82" t="str">
            <v>Class E2 EUR SATI(D)</v>
          </cell>
          <cell r="D82" t="str">
            <v>100% Net Income</v>
          </cell>
          <cell r="E82">
            <v>0</v>
          </cell>
          <cell r="F82">
            <v>0.1026</v>
          </cell>
          <cell r="G82">
            <v>0.1026</v>
          </cell>
        </row>
        <row r="83">
          <cell r="A83" t="str">
            <v>LU1883332907</v>
          </cell>
          <cell r="B83" t="str">
            <v>AMUNDI FUNDS GLOBAL MULTI-ASSET TARGET INCOME</v>
          </cell>
          <cell r="C83" t="str">
            <v>Class M2 EUR SATI(D)</v>
          </cell>
          <cell r="D83" t="str">
            <v>100% Net Income</v>
          </cell>
          <cell r="E83">
            <v>0</v>
          </cell>
          <cell r="F83">
            <v>29.522099999999998</v>
          </cell>
          <cell r="G83">
            <v>29.522099999999998</v>
          </cell>
        </row>
        <row r="84">
          <cell r="A84" t="str">
            <v>LU1883866870</v>
          </cell>
          <cell r="B84" t="str">
            <v>AMUNDI FUNDS REAL ASSETS TARGET INCOME</v>
          </cell>
          <cell r="C84" t="str">
            <v>Class E2 EURHSATI(D)</v>
          </cell>
          <cell r="D84" t="str">
            <v>100% Net Income</v>
          </cell>
          <cell r="E84">
            <v>0</v>
          </cell>
          <cell r="F84">
            <v>0.1128</v>
          </cell>
          <cell r="G84">
            <v>0.1128</v>
          </cell>
        </row>
        <row r="85">
          <cell r="A85" t="str">
            <v>LU2002723828</v>
          </cell>
          <cell r="B85" t="str">
            <v>AMUNDI FUNDS REAL ASSETS TARGET INCOME</v>
          </cell>
          <cell r="C85" t="str">
            <v>Class M2 EUR HgSA(D)</v>
          </cell>
          <cell r="D85" t="str">
            <v>54.49% Net Income</v>
          </cell>
          <cell r="E85">
            <v>14.790269490000002</v>
          </cell>
          <cell r="F85">
            <v>17.70973051</v>
          </cell>
          <cell r="G85">
            <v>32.5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PRICE_20250401014200_FPNO_20"/>
    </sheetNames>
    <sheetDataSet>
      <sheetData sheetId="0">
        <row r="1">
          <cell r="A1" t="str">
            <v>Account</v>
          </cell>
          <cell r="B1" t="str">
            <v>Description</v>
          </cell>
          <cell r="C1" t="str">
            <v>Share Class</v>
          </cell>
          <cell r="D1" t="str">
            <v>Currency</v>
          </cell>
          <cell r="E1" t="str">
            <v>Valuation Date</v>
          </cell>
          <cell r="F1" t="str">
            <v>Total NAV</v>
          </cell>
          <cell r="G1" t="str">
            <v>Units Outstanding</v>
          </cell>
          <cell r="H1" t="str">
            <v>NAV/share</v>
          </cell>
          <cell r="I1" t="str">
            <v>Distribution Rate</v>
          </cell>
          <cell r="J1" t="str">
            <v>Offer Price</v>
          </cell>
          <cell r="K1" t="str">
            <v>Delta</v>
          </cell>
        </row>
        <row r="2">
          <cell r="A2" t="str">
            <v>LU0616241476</v>
          </cell>
          <cell r="B2" t="str">
            <v>AMUNDI FUNDS EURO AGGREGATE BOND</v>
          </cell>
          <cell r="C2" t="str">
            <v>Class A EUR (C)</v>
          </cell>
          <cell r="D2" t="str">
            <v>EUR</v>
          </cell>
          <cell r="E2">
            <v>45747</v>
          </cell>
          <cell r="F2">
            <v>105512500.31</v>
          </cell>
          <cell r="G2">
            <v>815904.99100000004</v>
          </cell>
          <cell r="H2">
            <v>129.32</v>
          </cell>
          <cell r="I2">
            <v>0</v>
          </cell>
          <cell r="J2">
            <v>133.19999999999999</v>
          </cell>
          <cell r="K2">
            <v>-0.12</v>
          </cell>
        </row>
        <row r="3">
          <cell r="A3" t="str">
            <v>LU0616241559</v>
          </cell>
          <cell r="B3" t="str">
            <v>AMUNDI FUNDS EURO AGGREGATE BOND</v>
          </cell>
          <cell r="C3" t="str">
            <v>Class A EUR AD (D)</v>
          </cell>
          <cell r="D3" t="str">
            <v>EUR</v>
          </cell>
          <cell r="E3">
            <v>45747</v>
          </cell>
          <cell r="F3">
            <v>37938649.850000001</v>
          </cell>
          <cell r="G3">
            <v>335783.64199999999</v>
          </cell>
          <cell r="H3">
            <v>112.99</v>
          </cell>
          <cell r="I3">
            <v>0</v>
          </cell>
          <cell r="J3">
            <v>116.38</v>
          </cell>
          <cell r="K3">
            <v>-0.1</v>
          </cell>
        </row>
        <row r="4">
          <cell r="A4" t="str">
            <v>LU1882469072</v>
          </cell>
          <cell r="B4" t="str">
            <v>AMUNDI FUNDS EURO AGGREGATE BOND</v>
          </cell>
          <cell r="C4" t="str">
            <v>Class M2 EUR (C)</v>
          </cell>
          <cell r="D4" t="str">
            <v>EUR</v>
          </cell>
          <cell r="E4">
            <v>45747</v>
          </cell>
          <cell r="F4">
            <v>99843944.480000004</v>
          </cell>
          <cell r="G4">
            <v>104169.61900000001</v>
          </cell>
          <cell r="H4">
            <v>958.47</v>
          </cell>
          <cell r="I4">
            <v>0</v>
          </cell>
          <cell r="J4">
            <v>958.47</v>
          </cell>
          <cell r="K4">
            <v>-0.84</v>
          </cell>
        </row>
        <row r="5">
          <cell r="A5" t="str">
            <v>LU1882469155</v>
          </cell>
          <cell r="B5" t="str">
            <v>AMUNDI FUNDS EURO AGGREGATE BOND</v>
          </cell>
          <cell r="C5" t="str">
            <v>Class M2 EUR AD (D)</v>
          </cell>
          <cell r="D5" t="str">
            <v>EUR</v>
          </cell>
          <cell r="E5">
            <v>45747</v>
          </cell>
          <cell r="F5">
            <v>3265.01</v>
          </cell>
          <cell r="G5">
            <v>3.589</v>
          </cell>
          <cell r="H5">
            <v>909.73</v>
          </cell>
          <cell r="I5">
            <v>0</v>
          </cell>
          <cell r="J5">
            <v>909.73</v>
          </cell>
          <cell r="K5">
            <v>-0.79</v>
          </cell>
        </row>
        <row r="6">
          <cell r="A6" t="str">
            <v>LU1882467969</v>
          </cell>
          <cell r="B6" t="str">
            <v>AMUNDI FUNDS EURO AGGREGATE BOND</v>
          </cell>
          <cell r="C6" t="str">
            <v>Class C EUR (C)</v>
          </cell>
          <cell r="D6" t="str">
            <v>EUR</v>
          </cell>
          <cell r="E6">
            <v>45747</v>
          </cell>
          <cell r="F6">
            <v>1529508.25</v>
          </cell>
          <cell r="G6">
            <v>34983.892999999996</v>
          </cell>
          <cell r="H6">
            <v>43.72</v>
          </cell>
          <cell r="I6">
            <v>0</v>
          </cell>
          <cell r="J6">
            <v>43.72</v>
          </cell>
          <cell r="K6">
            <v>-0.04</v>
          </cell>
        </row>
        <row r="7">
          <cell r="A7" t="str">
            <v>LU1882469239</v>
          </cell>
          <cell r="B7" t="str">
            <v>AMUNDI FUNDS EURO AGGREGATE BOND</v>
          </cell>
          <cell r="C7" t="str">
            <v>Class M2 EUR QTD (D)</v>
          </cell>
          <cell r="D7" t="str">
            <v>EUR</v>
          </cell>
          <cell r="E7">
            <v>45747</v>
          </cell>
          <cell r="F7">
            <v>25149978.449999999</v>
          </cell>
          <cell r="G7">
            <v>28321.792000000001</v>
          </cell>
          <cell r="H7">
            <v>888.01</v>
          </cell>
          <cell r="I7">
            <v>0</v>
          </cell>
          <cell r="J7">
            <v>888.01</v>
          </cell>
          <cell r="K7">
            <v>-0.77</v>
          </cell>
        </row>
        <row r="8">
          <cell r="A8" t="str">
            <v>LU1882467886</v>
          </cell>
          <cell r="B8" t="str">
            <v>AMUNDI FUNDS EURO AGGREGATE BOND</v>
          </cell>
          <cell r="C8" t="str">
            <v>Class A2 USD Hgd (C)</v>
          </cell>
          <cell r="D8" t="str">
            <v>USD</v>
          </cell>
          <cell r="E8">
            <v>45747</v>
          </cell>
          <cell r="F8">
            <v>158211.88</v>
          </cell>
          <cell r="G8">
            <v>3118.3040000000001</v>
          </cell>
          <cell r="H8">
            <v>50.74</v>
          </cell>
          <cell r="I8">
            <v>0</v>
          </cell>
          <cell r="J8">
            <v>52.26</v>
          </cell>
          <cell r="K8">
            <v>-0.04</v>
          </cell>
        </row>
        <row r="9">
          <cell r="A9" t="str">
            <v>LU0616240825</v>
          </cell>
          <cell r="B9" t="str">
            <v>AMUNDI FUNDS EURO AGGREGATE BOND</v>
          </cell>
          <cell r="C9" t="str">
            <v>Class I2 EUR MD (D)</v>
          </cell>
          <cell r="D9" t="str">
            <v>EUR</v>
          </cell>
          <cell r="E9">
            <v>45747</v>
          </cell>
          <cell r="F9">
            <v>5812289.3600000003</v>
          </cell>
          <cell r="G9">
            <v>14240</v>
          </cell>
          <cell r="H9">
            <v>408.17</v>
          </cell>
          <cell r="I9">
            <v>0</v>
          </cell>
          <cell r="J9">
            <v>408.17</v>
          </cell>
          <cell r="K9">
            <v>-0.35</v>
          </cell>
        </row>
        <row r="10">
          <cell r="A10" t="str">
            <v>LU1882467613</v>
          </cell>
          <cell r="B10" t="str">
            <v>AMUNDI FUNDS EURO AGGREGATE BOND</v>
          </cell>
          <cell r="C10" t="str">
            <v>Class A2 EUR MTD (D)</v>
          </cell>
          <cell r="D10" t="str">
            <v>EUR</v>
          </cell>
          <cell r="E10">
            <v>45747</v>
          </cell>
          <cell r="F10">
            <v>92658.35</v>
          </cell>
          <cell r="G10">
            <v>2157.0619999999999</v>
          </cell>
          <cell r="H10">
            <v>42.96</v>
          </cell>
          <cell r="I10">
            <v>0</v>
          </cell>
          <cell r="J10">
            <v>44.25</v>
          </cell>
          <cell r="K10">
            <v>-0.04</v>
          </cell>
        </row>
        <row r="11">
          <cell r="A11" t="str">
            <v>LU1882468181</v>
          </cell>
          <cell r="B11" t="str">
            <v>AMUNDI FUNDS EURO AGGREGATE BOND</v>
          </cell>
          <cell r="C11" t="str">
            <v>Class E2 EUR AD (D)</v>
          </cell>
          <cell r="D11" t="str">
            <v>EUR</v>
          </cell>
          <cell r="E11">
            <v>45747</v>
          </cell>
          <cell r="F11">
            <v>7938045.9699999997</v>
          </cell>
          <cell r="G11">
            <v>1748678.4720000001</v>
          </cell>
          <cell r="H11">
            <v>4.5389999999999997</v>
          </cell>
          <cell r="I11">
            <v>0</v>
          </cell>
          <cell r="J11">
            <v>4.5389999999999997</v>
          </cell>
          <cell r="K11">
            <v>-5.0000000000000001E-3</v>
          </cell>
        </row>
        <row r="12">
          <cell r="A12" t="str">
            <v>LU1103159536</v>
          </cell>
          <cell r="B12" t="str">
            <v>AMUNDI FUNDS EURO AGGREGATE BOND</v>
          </cell>
          <cell r="C12" t="str">
            <v>Class A2 EUR (C)</v>
          </cell>
          <cell r="D12" t="str">
            <v>EUR</v>
          </cell>
          <cell r="E12">
            <v>45747</v>
          </cell>
          <cell r="F12">
            <v>36571372.049999997</v>
          </cell>
          <cell r="G12">
            <v>394707.05099999998</v>
          </cell>
          <cell r="H12">
            <v>92.65</v>
          </cell>
          <cell r="I12">
            <v>0</v>
          </cell>
          <cell r="J12">
            <v>92.65</v>
          </cell>
          <cell r="K12">
            <v>-0.09</v>
          </cell>
        </row>
        <row r="13">
          <cell r="A13" t="str">
            <v>LU1103159619</v>
          </cell>
          <cell r="B13" t="str">
            <v>AMUNDI FUNDS EURO AGGREGATE BOND</v>
          </cell>
          <cell r="C13" t="str">
            <v>Class A2 EUR AD (D)</v>
          </cell>
          <cell r="D13" t="str">
            <v>EUR</v>
          </cell>
          <cell r="E13">
            <v>45747</v>
          </cell>
          <cell r="F13">
            <v>27919540.09</v>
          </cell>
          <cell r="G13">
            <v>303709.45299999998</v>
          </cell>
          <cell r="H13">
            <v>91.93</v>
          </cell>
          <cell r="I13">
            <v>0</v>
          </cell>
          <cell r="J13">
            <v>91.93</v>
          </cell>
          <cell r="K13">
            <v>-0.08</v>
          </cell>
        </row>
        <row r="14">
          <cell r="A14" t="str">
            <v>LU1882468009</v>
          </cell>
          <cell r="B14" t="str">
            <v>AMUNDI FUNDS EURO AGGREGATE BOND</v>
          </cell>
          <cell r="C14" t="str">
            <v>Class E2 EUR (C)</v>
          </cell>
          <cell r="D14" t="str">
            <v>EUR</v>
          </cell>
          <cell r="E14">
            <v>45747</v>
          </cell>
          <cell r="F14">
            <v>40381410.799999997</v>
          </cell>
          <cell r="G14">
            <v>8614408.4100000001</v>
          </cell>
          <cell r="H14">
            <v>4.6879999999999997</v>
          </cell>
          <cell r="I14">
            <v>0</v>
          </cell>
          <cell r="J14">
            <v>4.6879999999999997</v>
          </cell>
          <cell r="K14">
            <v>-4.0000000000000001E-3</v>
          </cell>
        </row>
        <row r="15">
          <cell r="A15" t="str">
            <v>LU1882468421</v>
          </cell>
          <cell r="B15" t="str">
            <v>AMUNDI FUNDS EURO AGGREGATE BOND</v>
          </cell>
          <cell r="C15" t="str">
            <v>Class F EUR AD (D)</v>
          </cell>
          <cell r="D15" t="str">
            <v>EUR</v>
          </cell>
          <cell r="E15">
            <v>45747</v>
          </cell>
          <cell r="F15">
            <v>6535556.7800000003</v>
          </cell>
          <cell r="G15">
            <v>1456636.433</v>
          </cell>
          <cell r="H15">
            <v>4.4870000000000001</v>
          </cell>
          <cell r="I15">
            <v>0</v>
          </cell>
          <cell r="J15">
            <v>4.4870000000000001</v>
          </cell>
          <cell r="K15">
            <v>-4.0000000000000001E-3</v>
          </cell>
        </row>
        <row r="16">
          <cell r="A16" t="str">
            <v>LU0616241989</v>
          </cell>
          <cell r="B16" t="str">
            <v>AMUNDI FUNDS EURO AGGREGATE BOND</v>
          </cell>
          <cell r="C16" t="str">
            <v>Class F2 EUR (C)</v>
          </cell>
          <cell r="D16" t="str">
            <v>EUR</v>
          </cell>
          <cell r="E16">
            <v>45747</v>
          </cell>
          <cell r="F16">
            <v>1590118.53</v>
          </cell>
          <cell r="G16">
            <v>12973.619000000001</v>
          </cell>
          <cell r="H16">
            <v>122.57</v>
          </cell>
          <cell r="I16">
            <v>0</v>
          </cell>
          <cell r="J16">
            <v>122.57</v>
          </cell>
          <cell r="K16">
            <v>-0.11</v>
          </cell>
        </row>
        <row r="17">
          <cell r="A17" t="str">
            <v>LU1882468348</v>
          </cell>
          <cell r="B17" t="str">
            <v>AMUNDI FUNDS EURO AGGREGATE BOND</v>
          </cell>
          <cell r="C17" t="str">
            <v>Class F EUR (C)</v>
          </cell>
          <cell r="D17" t="str">
            <v>EUR</v>
          </cell>
          <cell r="E17">
            <v>45747</v>
          </cell>
          <cell r="F17">
            <v>12397716.289999999</v>
          </cell>
          <cell r="G17">
            <v>2733567.3169999998</v>
          </cell>
          <cell r="H17">
            <v>4.5350000000000001</v>
          </cell>
          <cell r="I17">
            <v>0</v>
          </cell>
          <cell r="J17">
            <v>4.5350000000000001</v>
          </cell>
          <cell r="K17">
            <v>-5.0000000000000001E-3</v>
          </cell>
        </row>
        <row r="18">
          <cell r="A18" t="str">
            <v>LU1998918475</v>
          </cell>
          <cell r="B18" t="str">
            <v>AMUNDI FUNDS EURO AGGREGATE BOND</v>
          </cell>
          <cell r="C18" t="str">
            <v>Class H EUR (C)</v>
          </cell>
          <cell r="D18" t="str">
            <v>EUR</v>
          </cell>
          <cell r="E18">
            <v>45747</v>
          </cell>
          <cell r="F18">
            <v>3316416.38</v>
          </cell>
          <cell r="G18">
            <v>3526</v>
          </cell>
          <cell r="H18">
            <v>940.56</v>
          </cell>
          <cell r="I18">
            <v>0</v>
          </cell>
          <cell r="J18">
            <v>940.56</v>
          </cell>
          <cell r="K18">
            <v>-0.79</v>
          </cell>
        </row>
        <row r="19">
          <cell r="A19" t="str">
            <v>LU0616240585</v>
          </cell>
          <cell r="B19" t="str">
            <v>AMUNDI FUNDS EURO AGGREGATE BOND</v>
          </cell>
          <cell r="C19" t="str">
            <v>Class I EUR (C)</v>
          </cell>
          <cell r="D19" t="str">
            <v>EUR</v>
          </cell>
          <cell r="E19">
            <v>45747</v>
          </cell>
          <cell r="F19">
            <v>6329382.0300000003</v>
          </cell>
          <cell r="G19">
            <v>4553.3389999999999</v>
          </cell>
          <cell r="H19">
            <v>1390.05</v>
          </cell>
          <cell r="I19">
            <v>0</v>
          </cell>
          <cell r="J19">
            <v>1390.05</v>
          </cell>
          <cell r="K19">
            <v>-1.2</v>
          </cell>
        </row>
        <row r="20">
          <cell r="A20" t="str">
            <v>LU1882468777</v>
          </cell>
          <cell r="B20" t="str">
            <v>AMUNDI FUNDS EURO AGGREGATE BOND</v>
          </cell>
          <cell r="C20" t="str">
            <v>Class I2 EUR QTD (D)</v>
          </cell>
          <cell r="D20" t="str">
            <v>EUR</v>
          </cell>
          <cell r="E20">
            <v>45747</v>
          </cell>
          <cell r="F20">
            <v>117845.87</v>
          </cell>
          <cell r="G20">
            <v>132.32400000000001</v>
          </cell>
          <cell r="H20">
            <v>890.59</v>
          </cell>
          <cell r="I20">
            <v>0</v>
          </cell>
          <cell r="J20">
            <v>890.59</v>
          </cell>
          <cell r="K20">
            <v>-0.77</v>
          </cell>
        </row>
        <row r="21">
          <cell r="A21" t="str">
            <v>LU1882468850</v>
          </cell>
          <cell r="B21" t="str">
            <v>AMUNDI FUNDS EURO AGGREGATE BOND</v>
          </cell>
          <cell r="C21" t="str">
            <v>Class I2 USD Hgd (C)</v>
          </cell>
          <cell r="D21" t="str">
            <v>USD</v>
          </cell>
          <cell r="E21">
            <v>45747</v>
          </cell>
          <cell r="F21">
            <v>240222.15</v>
          </cell>
          <cell r="G21">
            <v>228.59700000000001</v>
          </cell>
          <cell r="H21">
            <v>1050.8499999999999</v>
          </cell>
          <cell r="I21">
            <v>0</v>
          </cell>
          <cell r="J21">
            <v>1050.8499999999999</v>
          </cell>
          <cell r="K21">
            <v>-0.87</v>
          </cell>
        </row>
        <row r="22">
          <cell r="A22" t="str">
            <v>LU1882468264</v>
          </cell>
          <cell r="B22" t="str">
            <v>AMUNDI FUNDS EURO AGGREGATE BOND</v>
          </cell>
          <cell r="C22" t="str">
            <v>Class E2 EUR QTD (D)</v>
          </cell>
          <cell r="D22" t="str">
            <v>EUR</v>
          </cell>
          <cell r="E22">
            <v>45747</v>
          </cell>
          <cell r="F22">
            <v>11848898.92</v>
          </cell>
          <cell r="G22">
            <v>2724797.8650000002</v>
          </cell>
          <cell r="H22">
            <v>4.3490000000000002</v>
          </cell>
          <cell r="I22">
            <v>0</v>
          </cell>
          <cell r="J22">
            <v>4.3490000000000002</v>
          </cell>
          <cell r="K22">
            <v>-3.0000000000000001E-3</v>
          </cell>
        </row>
        <row r="23">
          <cell r="A23" t="str">
            <v>LU1882468694</v>
          </cell>
          <cell r="B23" t="str">
            <v>AMUNDI FUNDS EURO AGGREGATE BOND</v>
          </cell>
          <cell r="C23" t="str">
            <v>Class I2 EUR (C)</v>
          </cell>
          <cell r="D23" t="str">
            <v>EUR</v>
          </cell>
          <cell r="E23">
            <v>45747</v>
          </cell>
          <cell r="F23">
            <v>32405171.09</v>
          </cell>
          <cell r="G23">
            <v>33693.317999999999</v>
          </cell>
          <cell r="H23">
            <v>961.77</v>
          </cell>
          <cell r="I23">
            <v>0</v>
          </cell>
          <cell r="J23">
            <v>961.77</v>
          </cell>
          <cell r="K23">
            <v>-0.83</v>
          </cell>
        </row>
        <row r="24">
          <cell r="A24" t="str">
            <v>LU2477811884</v>
          </cell>
          <cell r="B24" t="str">
            <v>AMUNDI FUNDS EURO AGGREGATE BOND</v>
          </cell>
          <cell r="C24" t="str">
            <v>Class I2 SEK Hgd (C)</v>
          </cell>
          <cell r="D24" t="str">
            <v>SEK</v>
          </cell>
          <cell r="E24">
            <v>45747</v>
          </cell>
          <cell r="F24">
            <v>168092812.84</v>
          </cell>
          <cell r="G24">
            <v>16702</v>
          </cell>
          <cell r="H24">
            <v>10064.23</v>
          </cell>
          <cell r="I24">
            <v>0</v>
          </cell>
          <cell r="J24">
            <v>10064.23</v>
          </cell>
          <cell r="K24">
            <v>-8.67</v>
          </cell>
        </row>
        <row r="25">
          <cell r="A25" t="str">
            <v>LU1882468934</v>
          </cell>
          <cell r="B25" t="str">
            <v>AMUNDI FUNDS EURO AGGREGATE BOND</v>
          </cell>
          <cell r="C25" t="str">
            <v>Class J2 EUR (C)</v>
          </cell>
          <cell r="D25" t="str">
            <v>EUR</v>
          </cell>
          <cell r="E25">
            <v>45747</v>
          </cell>
          <cell r="F25">
            <v>84386714.620000005</v>
          </cell>
          <cell r="G25">
            <v>87122.824999999997</v>
          </cell>
          <cell r="H25">
            <v>968.59</v>
          </cell>
          <cell r="I25">
            <v>0</v>
          </cell>
          <cell r="J25">
            <v>968.59</v>
          </cell>
          <cell r="K25">
            <v>-0.83</v>
          </cell>
        </row>
        <row r="26">
          <cell r="A26" t="str">
            <v>LU0616241047</v>
          </cell>
          <cell r="B26" t="str">
            <v>AMUNDI FUNDS EURO AGGREGATE BOND</v>
          </cell>
          <cell r="C26" t="str">
            <v>Class M EUR (C)</v>
          </cell>
          <cell r="D26" t="str">
            <v>EUR</v>
          </cell>
          <cell r="E26">
            <v>45747</v>
          </cell>
          <cell r="F26">
            <v>67375373.069999993</v>
          </cell>
          <cell r="G26">
            <v>491317.17599999998</v>
          </cell>
          <cell r="H26">
            <v>137.13</v>
          </cell>
          <cell r="I26">
            <v>0</v>
          </cell>
          <cell r="J26">
            <v>137.13</v>
          </cell>
          <cell r="K26">
            <v>-0.12</v>
          </cell>
        </row>
        <row r="27">
          <cell r="A27" t="str">
            <v>LU1882469403</v>
          </cell>
          <cell r="B27" t="str">
            <v>AMUNDI FUNDS EURO AGGREGATE BOND</v>
          </cell>
          <cell r="C27" t="str">
            <v>Class R2 EUR AD (D)</v>
          </cell>
          <cell r="D27" t="str">
            <v>EUR</v>
          </cell>
          <cell r="E27">
            <v>45747</v>
          </cell>
          <cell r="F27">
            <v>153295.45000000001</v>
          </cell>
          <cell r="G27">
            <v>3378.0859999999998</v>
          </cell>
          <cell r="H27">
            <v>45.38</v>
          </cell>
          <cell r="I27">
            <v>0</v>
          </cell>
          <cell r="J27">
            <v>45.38</v>
          </cell>
          <cell r="K27">
            <v>-0.04</v>
          </cell>
        </row>
        <row r="28">
          <cell r="A28" t="str">
            <v>LU1882469312</v>
          </cell>
          <cell r="B28" t="str">
            <v>AMUNDI FUNDS EURO AGGREGATE BOND</v>
          </cell>
          <cell r="C28" t="str">
            <v>Class R2 EUR (C)</v>
          </cell>
          <cell r="D28" t="str">
            <v>EUR</v>
          </cell>
          <cell r="E28">
            <v>45747</v>
          </cell>
          <cell r="F28">
            <v>247446.68</v>
          </cell>
          <cell r="G28">
            <v>5419.5150000000003</v>
          </cell>
          <cell r="H28">
            <v>45.66</v>
          </cell>
          <cell r="I28">
            <v>0</v>
          </cell>
          <cell r="J28">
            <v>45.66</v>
          </cell>
          <cell r="K28">
            <v>-0.04</v>
          </cell>
        </row>
        <row r="29">
          <cell r="A29" t="str">
            <v>LU0616241393</v>
          </cell>
          <cell r="B29" t="str">
            <v>AMUNDI FUNDS EURO AGGREGATE BOND</v>
          </cell>
          <cell r="C29" t="str">
            <v>Class O EUR (C)</v>
          </cell>
          <cell r="D29" t="str">
            <v>EUR</v>
          </cell>
          <cell r="E29">
            <v>45747</v>
          </cell>
          <cell r="F29">
            <v>129519846.79000001</v>
          </cell>
          <cell r="G29">
            <v>102322.943</v>
          </cell>
          <cell r="H29">
            <v>1265.79</v>
          </cell>
          <cell r="I29">
            <v>0</v>
          </cell>
          <cell r="J29">
            <v>0</v>
          </cell>
          <cell r="K29">
            <v>-1.05</v>
          </cell>
        </row>
        <row r="30">
          <cell r="A30" t="str">
            <v>LU1882467704</v>
          </cell>
          <cell r="B30" t="str">
            <v>AMUNDI FUNDS EURO AGGREGATE BOND</v>
          </cell>
          <cell r="C30" t="str">
            <v>Class A2 EUR QTD (D)</v>
          </cell>
          <cell r="D30" t="str">
            <v>EUR</v>
          </cell>
          <cell r="E30">
            <v>45747</v>
          </cell>
          <cell r="F30">
            <v>721623.38</v>
          </cell>
          <cell r="G30">
            <v>16790.543000000001</v>
          </cell>
          <cell r="H30">
            <v>42.98</v>
          </cell>
          <cell r="I30">
            <v>0</v>
          </cell>
          <cell r="J30">
            <v>44.27</v>
          </cell>
          <cell r="K30">
            <v>-0.04</v>
          </cell>
        </row>
        <row r="31">
          <cell r="A31" t="str">
            <v>LU0839528493</v>
          </cell>
          <cell r="B31" t="str">
            <v>AMUNDI FUNDS EURO AGGREGATE BOND</v>
          </cell>
          <cell r="C31" t="str">
            <v>Class R EUR (C)</v>
          </cell>
          <cell r="D31" t="str">
            <v>EUR</v>
          </cell>
          <cell r="E31">
            <v>45747</v>
          </cell>
          <cell r="F31">
            <v>1698173.92</v>
          </cell>
          <cell r="G31">
            <v>17762.755000000001</v>
          </cell>
          <cell r="H31">
            <v>95.6</v>
          </cell>
          <cell r="I31">
            <v>0</v>
          </cell>
          <cell r="J31">
            <v>95.6</v>
          </cell>
          <cell r="K31">
            <v>-0.09</v>
          </cell>
        </row>
        <row r="32">
          <cell r="A32" t="str">
            <v>LU0839528733</v>
          </cell>
          <cell r="B32" t="str">
            <v>AMUNDI FUNDS EURO AGGREGATE BOND</v>
          </cell>
          <cell r="C32" t="str">
            <v>Class R EUR AD (D)</v>
          </cell>
          <cell r="D32" t="str">
            <v>EUR</v>
          </cell>
          <cell r="E32">
            <v>45747</v>
          </cell>
          <cell r="F32">
            <v>4568.54</v>
          </cell>
          <cell r="G32">
            <v>50.002000000000002</v>
          </cell>
          <cell r="H32">
            <v>91.37</v>
          </cell>
          <cell r="I32">
            <v>0</v>
          </cell>
          <cell r="J32">
            <v>91.37</v>
          </cell>
          <cell r="K32">
            <v>-0.08</v>
          </cell>
        </row>
        <row r="33">
          <cell r="A33" t="str">
            <v>LU0616241807</v>
          </cell>
          <cell r="B33" t="str">
            <v>AMUNDI FUNDS EURO AGGREGATE BOND</v>
          </cell>
          <cell r="C33" t="str">
            <v>Class G EUR (C)</v>
          </cell>
          <cell r="D33" t="str">
            <v>EUR</v>
          </cell>
          <cell r="E33">
            <v>45747</v>
          </cell>
          <cell r="F33">
            <v>28246256.77</v>
          </cell>
          <cell r="G33">
            <v>222773.704</v>
          </cell>
          <cell r="H33">
            <v>126.79</v>
          </cell>
          <cell r="I33">
            <v>0</v>
          </cell>
          <cell r="J33">
            <v>130.59</v>
          </cell>
          <cell r="K33">
            <v>-0.12</v>
          </cell>
        </row>
        <row r="34">
          <cell r="A34" t="str">
            <v>LU2085674898</v>
          </cell>
          <cell r="B34" t="str">
            <v>AMUNDI FUNDS EURO AGGREGATE BOND</v>
          </cell>
          <cell r="C34" t="str">
            <v>Class Z EUR (C)</v>
          </cell>
          <cell r="D34" t="str">
            <v>EUR</v>
          </cell>
          <cell r="E34">
            <v>45747</v>
          </cell>
          <cell r="F34">
            <v>133766746.43000001</v>
          </cell>
          <cell r="G34">
            <v>142637.58799999999</v>
          </cell>
          <cell r="H34">
            <v>937.81</v>
          </cell>
          <cell r="I34">
            <v>0</v>
          </cell>
          <cell r="J34">
            <v>937.81</v>
          </cell>
          <cell r="K34">
            <v>-0.8</v>
          </cell>
        </row>
        <row r="35">
          <cell r="A35" t="str">
            <v>LU0119099819</v>
          </cell>
          <cell r="B35" t="str">
            <v>AMUNDI FUNDS EURO CORPORATE ESG BOND</v>
          </cell>
          <cell r="C35" t="str">
            <v>Class A EUR (C)</v>
          </cell>
          <cell r="D35" t="str">
            <v>EUR</v>
          </cell>
          <cell r="E35">
            <v>45747</v>
          </cell>
          <cell r="F35">
            <v>20030832.18</v>
          </cell>
          <cell r="G35">
            <v>1003308.286</v>
          </cell>
          <cell r="H35">
            <v>19.96</v>
          </cell>
          <cell r="I35">
            <v>0</v>
          </cell>
          <cell r="J35">
            <v>20.56</v>
          </cell>
          <cell r="K35">
            <v>-0.02</v>
          </cell>
        </row>
        <row r="36">
          <cell r="A36" t="str">
            <v>LU1049751511</v>
          </cell>
          <cell r="B36" t="str">
            <v>AMUNDI FUNDS EURO CORPORATE ESG BOND</v>
          </cell>
          <cell r="C36" t="str">
            <v>Class A CZK Hgd (C)</v>
          </cell>
          <cell r="D36" t="str">
            <v>CZK</v>
          </cell>
          <cell r="E36">
            <v>45747</v>
          </cell>
          <cell r="F36">
            <v>130017248.31</v>
          </cell>
          <cell r="G36">
            <v>43805.067999999999</v>
          </cell>
          <cell r="H36">
            <v>2968.09</v>
          </cell>
          <cell r="I36">
            <v>0</v>
          </cell>
          <cell r="J36">
            <v>2968.09</v>
          </cell>
          <cell r="K36">
            <v>-2.57</v>
          </cell>
        </row>
        <row r="37">
          <cell r="A37" t="str">
            <v>LU0119100179</v>
          </cell>
          <cell r="B37" t="str">
            <v>AMUNDI FUNDS EURO CORPORATE ESG BOND</v>
          </cell>
          <cell r="C37" t="str">
            <v>Class A EUR AD (D)</v>
          </cell>
          <cell r="D37" t="str">
            <v>EUR</v>
          </cell>
          <cell r="E37">
            <v>45747</v>
          </cell>
          <cell r="F37">
            <v>8999703.5700000003</v>
          </cell>
          <cell r="G37">
            <v>819950.81700000004</v>
          </cell>
          <cell r="H37">
            <v>10.98</v>
          </cell>
          <cell r="I37">
            <v>0</v>
          </cell>
          <cell r="J37">
            <v>11.31</v>
          </cell>
          <cell r="K37">
            <v>-0.01</v>
          </cell>
        </row>
        <row r="38">
          <cell r="A38" t="str">
            <v>LU1882472704</v>
          </cell>
          <cell r="B38" t="str">
            <v>AMUNDI FUNDS EURO CORPORATE ESG BOND</v>
          </cell>
          <cell r="C38" t="str">
            <v>Class M2 EUR (C)</v>
          </cell>
          <cell r="D38" t="str">
            <v>EUR</v>
          </cell>
          <cell r="E38">
            <v>45747</v>
          </cell>
          <cell r="F38">
            <v>167297226.13</v>
          </cell>
          <cell r="G38">
            <v>162846.49299999999</v>
          </cell>
          <cell r="H38">
            <v>1027.33</v>
          </cell>
          <cell r="I38">
            <v>0</v>
          </cell>
          <cell r="J38">
            <v>1027.33</v>
          </cell>
          <cell r="K38">
            <v>-0.99</v>
          </cell>
        </row>
        <row r="39">
          <cell r="A39" t="str">
            <v>LU1882472886</v>
          </cell>
          <cell r="B39" t="str">
            <v>AMUNDI FUNDS EURO CORPORATE ESG BOND</v>
          </cell>
          <cell r="C39" t="str">
            <v>Class M2 EUR AD (D)</v>
          </cell>
          <cell r="D39" t="str">
            <v>EUR</v>
          </cell>
          <cell r="E39">
            <v>45747</v>
          </cell>
          <cell r="F39">
            <v>52029.919999999998</v>
          </cell>
          <cell r="G39">
            <v>55.826000000000001</v>
          </cell>
          <cell r="H39">
            <v>932</v>
          </cell>
          <cell r="I39">
            <v>0</v>
          </cell>
          <cell r="J39">
            <v>932</v>
          </cell>
          <cell r="K39">
            <v>-0.9</v>
          </cell>
        </row>
        <row r="40">
          <cell r="A40" t="str">
            <v>LU1882470245</v>
          </cell>
          <cell r="B40" t="str">
            <v>AMUNDI FUNDS EURO CORPORATE ESG BOND</v>
          </cell>
          <cell r="C40" t="str">
            <v>Class C EUR (C)</v>
          </cell>
          <cell r="D40" t="str">
            <v>EUR</v>
          </cell>
          <cell r="E40">
            <v>45747</v>
          </cell>
          <cell r="F40">
            <v>922762.95</v>
          </cell>
          <cell r="G40">
            <v>19691.931</v>
          </cell>
          <cell r="H40">
            <v>46.86</v>
          </cell>
          <cell r="I40">
            <v>0</v>
          </cell>
          <cell r="J40">
            <v>46.86</v>
          </cell>
          <cell r="K40">
            <v>-0.05</v>
          </cell>
        </row>
        <row r="41">
          <cell r="A41" t="str">
            <v>LU1882470591</v>
          </cell>
          <cell r="B41" t="str">
            <v>AMUNDI FUNDS EURO CORPORATE ESG BOND</v>
          </cell>
          <cell r="C41" t="str">
            <v>Class C USD (C)</v>
          </cell>
          <cell r="D41" t="str">
            <v>USD</v>
          </cell>
          <cell r="E41">
            <v>45747</v>
          </cell>
          <cell r="F41">
            <v>17943.97</v>
          </cell>
          <cell r="G41">
            <v>395.14299999999997</v>
          </cell>
          <cell r="H41">
            <v>45.41</v>
          </cell>
          <cell r="I41">
            <v>0</v>
          </cell>
          <cell r="J41">
            <v>45.41</v>
          </cell>
          <cell r="K41">
            <v>-0.14000000000000001</v>
          </cell>
        </row>
        <row r="42">
          <cell r="A42" t="str">
            <v>LU1882472969</v>
          </cell>
          <cell r="B42" t="str">
            <v>AMUNDI FUNDS EURO CORPORATE ESG BOND</v>
          </cell>
          <cell r="C42" t="str">
            <v>Class M2 EUR QTD (D)</v>
          </cell>
          <cell r="D42" t="str">
            <v>EUR</v>
          </cell>
          <cell r="E42">
            <v>45747</v>
          </cell>
          <cell r="F42">
            <v>11628119.59</v>
          </cell>
          <cell r="G42">
            <v>11530.817999999999</v>
          </cell>
          <cell r="H42">
            <v>1008.44</v>
          </cell>
          <cell r="I42">
            <v>0</v>
          </cell>
          <cell r="J42">
            <v>1008.44</v>
          </cell>
          <cell r="K42">
            <v>-0.97</v>
          </cell>
        </row>
        <row r="43">
          <cell r="A43" t="str">
            <v>LU1882470161</v>
          </cell>
          <cell r="B43" t="str">
            <v>AMUNDI FUNDS EURO CORPORATE ESG BOND</v>
          </cell>
          <cell r="C43" t="str">
            <v>Class A2 USD MTD (D)</v>
          </cell>
          <cell r="D43" t="str">
            <v>USD</v>
          </cell>
          <cell r="E43">
            <v>45747</v>
          </cell>
          <cell r="F43">
            <v>57474.95</v>
          </cell>
          <cell r="G43">
            <v>1317.2670000000001</v>
          </cell>
          <cell r="H43">
            <v>43.63</v>
          </cell>
          <cell r="I43">
            <v>0</v>
          </cell>
          <cell r="J43">
            <v>44.94</v>
          </cell>
          <cell r="K43">
            <v>-0.13</v>
          </cell>
        </row>
        <row r="44">
          <cell r="A44" t="str">
            <v>LU0158083906</v>
          </cell>
          <cell r="B44" t="str">
            <v>AMUNDI FUNDS EURO CORPORATE ESG BOND</v>
          </cell>
          <cell r="C44" t="str">
            <v>Class I2 EUR MD (D)</v>
          </cell>
          <cell r="D44" t="str">
            <v>EUR</v>
          </cell>
          <cell r="E44">
            <v>45747</v>
          </cell>
          <cell r="F44">
            <v>6212058.4800000004</v>
          </cell>
          <cell r="G44">
            <v>216500</v>
          </cell>
          <cell r="H44">
            <v>28.69</v>
          </cell>
          <cell r="I44">
            <v>0</v>
          </cell>
          <cell r="J44">
            <v>28.69</v>
          </cell>
          <cell r="K44">
            <v>-0.03</v>
          </cell>
        </row>
        <row r="45">
          <cell r="A45" t="str">
            <v>LU1882469742</v>
          </cell>
          <cell r="B45" t="str">
            <v>AMUNDI FUNDS EURO CORPORATE ESG BOND</v>
          </cell>
          <cell r="C45" t="str">
            <v>Class A2 EUR MTD (D)</v>
          </cell>
          <cell r="D45" t="str">
            <v>EUR</v>
          </cell>
          <cell r="E45">
            <v>45747</v>
          </cell>
          <cell r="F45">
            <v>55171.31</v>
          </cell>
          <cell r="G45">
            <v>1225.346</v>
          </cell>
          <cell r="H45">
            <v>45.03</v>
          </cell>
          <cell r="I45">
            <v>0</v>
          </cell>
          <cell r="J45">
            <v>46.38</v>
          </cell>
          <cell r="K45">
            <v>-0.04</v>
          </cell>
        </row>
        <row r="46">
          <cell r="A46" t="str">
            <v>LU1882521765</v>
          </cell>
          <cell r="B46" t="str">
            <v>AMUNDI FUNDS EURO CORPORATE ESG BOND</v>
          </cell>
          <cell r="C46" t="str">
            <v>Class E2 EUR (C)</v>
          </cell>
          <cell r="D46" t="str">
            <v>EUR</v>
          </cell>
          <cell r="E46">
            <v>45747</v>
          </cell>
          <cell r="F46">
            <v>29275711.379999999</v>
          </cell>
          <cell r="G46">
            <v>5828587.3969999999</v>
          </cell>
          <cell r="H46">
            <v>5.0229999999999997</v>
          </cell>
          <cell r="I46">
            <v>0</v>
          </cell>
          <cell r="J46">
            <v>5.0229999999999997</v>
          </cell>
          <cell r="K46">
            <v>-5.0000000000000001E-3</v>
          </cell>
        </row>
        <row r="47">
          <cell r="A47" t="str">
            <v>LU0839528907</v>
          </cell>
          <cell r="B47" t="str">
            <v>AMUNDI FUNDS EURO CORPORATE ESG BOND</v>
          </cell>
          <cell r="C47" t="str">
            <v>Class A2 EUR (C)</v>
          </cell>
          <cell r="D47" t="str">
            <v>EUR</v>
          </cell>
          <cell r="E47">
            <v>45747</v>
          </cell>
          <cell r="F47">
            <v>10163958.57</v>
          </cell>
          <cell r="G47">
            <v>102355.099</v>
          </cell>
          <cell r="H47">
            <v>99.3</v>
          </cell>
          <cell r="I47">
            <v>0</v>
          </cell>
          <cell r="J47">
            <v>99.3</v>
          </cell>
          <cell r="K47">
            <v>-0.1</v>
          </cell>
        </row>
        <row r="48">
          <cell r="A48" t="str">
            <v>LU0839529202</v>
          </cell>
          <cell r="B48" t="str">
            <v>AMUNDI FUNDS EURO CORPORATE ESG BOND</v>
          </cell>
          <cell r="C48" t="str">
            <v>Class A2 EUR AD (D)</v>
          </cell>
          <cell r="D48" t="str">
            <v>EUR</v>
          </cell>
          <cell r="E48">
            <v>45747</v>
          </cell>
          <cell r="F48">
            <v>3426933.6</v>
          </cell>
          <cell r="G48">
            <v>36669.995000000003</v>
          </cell>
          <cell r="H48">
            <v>93.45</v>
          </cell>
          <cell r="I48">
            <v>0</v>
          </cell>
          <cell r="J48">
            <v>93.45</v>
          </cell>
          <cell r="K48">
            <v>-0.1</v>
          </cell>
        </row>
        <row r="49">
          <cell r="A49" t="str">
            <v>LU0987187969</v>
          </cell>
          <cell r="B49" t="str">
            <v>AMUNDI FUNDS EURO CORPORATE ESG BOND</v>
          </cell>
          <cell r="C49" t="str">
            <v>Class A2 USD (C)</v>
          </cell>
          <cell r="D49" t="str">
            <v>USD</v>
          </cell>
          <cell r="E49">
            <v>45747</v>
          </cell>
          <cell r="F49">
            <v>373677.84</v>
          </cell>
          <cell r="G49">
            <v>3897.1210000000001</v>
          </cell>
          <cell r="H49">
            <v>95.89</v>
          </cell>
          <cell r="I49">
            <v>0</v>
          </cell>
          <cell r="J49">
            <v>95.89</v>
          </cell>
          <cell r="K49">
            <v>-0.28000000000000003</v>
          </cell>
        </row>
        <row r="50">
          <cell r="A50" t="str">
            <v>LU1882522144</v>
          </cell>
          <cell r="B50" t="str">
            <v>AMUNDI FUNDS EURO CORPORATE ESG BOND</v>
          </cell>
          <cell r="C50" t="str">
            <v>Class F EUR (C)</v>
          </cell>
          <cell r="D50" t="str">
            <v>EUR</v>
          </cell>
          <cell r="E50">
            <v>45747</v>
          </cell>
          <cell r="F50">
            <v>12756109.880000001</v>
          </cell>
          <cell r="G50">
            <v>2615106.9739999999</v>
          </cell>
          <cell r="H50">
            <v>4.8780000000000001</v>
          </cell>
          <cell r="I50">
            <v>0</v>
          </cell>
          <cell r="J50">
            <v>4.8780000000000001</v>
          </cell>
          <cell r="K50">
            <v>-5.0000000000000001E-3</v>
          </cell>
        </row>
        <row r="51">
          <cell r="A51" t="str">
            <v>LU0557859294</v>
          </cell>
          <cell r="B51" t="str">
            <v>AMUNDI FUNDS EURO CORPORATE ESG BOND</v>
          </cell>
          <cell r="C51" t="str">
            <v>Class F2 EUR (C)</v>
          </cell>
          <cell r="D51" t="str">
            <v>EUR</v>
          </cell>
          <cell r="E51">
            <v>45747</v>
          </cell>
          <cell r="F51">
            <v>1127090.31</v>
          </cell>
          <cell r="G51">
            <v>9224.0190000000002</v>
          </cell>
          <cell r="H51">
            <v>122.19</v>
          </cell>
          <cell r="I51">
            <v>0</v>
          </cell>
          <cell r="J51">
            <v>122.19</v>
          </cell>
          <cell r="K51">
            <v>-0.13</v>
          </cell>
        </row>
        <row r="52">
          <cell r="A52" t="str">
            <v>LU0119099496</v>
          </cell>
          <cell r="B52" t="str">
            <v>AMUNDI FUNDS EURO CORPORATE ESG BOND</v>
          </cell>
          <cell r="C52" t="str">
            <v>Class I EUR (C)</v>
          </cell>
          <cell r="D52" t="str">
            <v>EUR</v>
          </cell>
          <cell r="E52">
            <v>45747</v>
          </cell>
          <cell r="F52">
            <v>190977240.99000001</v>
          </cell>
          <cell r="G52">
            <v>88435.232000000004</v>
          </cell>
          <cell r="H52">
            <v>2159.52</v>
          </cell>
          <cell r="I52">
            <v>0</v>
          </cell>
          <cell r="J52">
            <v>2159.52</v>
          </cell>
          <cell r="K52">
            <v>-1.95</v>
          </cell>
        </row>
        <row r="53">
          <cell r="A53" t="str">
            <v>LU1882472456</v>
          </cell>
          <cell r="B53" t="str">
            <v>AMUNDI FUNDS EURO CORPORATE ESG BOND</v>
          </cell>
          <cell r="C53" t="str">
            <v>Class I2 EUR AD (D)</v>
          </cell>
          <cell r="D53" t="str">
            <v>EUR</v>
          </cell>
          <cell r="E53">
            <v>45747</v>
          </cell>
          <cell r="F53">
            <v>1127949.9099999999</v>
          </cell>
          <cell r="G53">
            <v>1211.05</v>
          </cell>
          <cell r="H53">
            <v>931.38</v>
          </cell>
          <cell r="I53">
            <v>0</v>
          </cell>
          <cell r="J53">
            <v>931.38</v>
          </cell>
          <cell r="K53">
            <v>-0.89</v>
          </cell>
        </row>
        <row r="54">
          <cell r="A54" t="str">
            <v>LU1882472530</v>
          </cell>
          <cell r="B54" t="str">
            <v>AMUNDI FUNDS EURO CORPORATE ESG BOND</v>
          </cell>
          <cell r="C54" t="str">
            <v>Class I2 EUR QTD (D)</v>
          </cell>
          <cell r="D54" t="str">
            <v>EUR</v>
          </cell>
          <cell r="E54">
            <v>45747</v>
          </cell>
          <cell r="F54">
            <v>1073952.3999999999</v>
          </cell>
          <cell r="G54">
            <v>1151.018</v>
          </cell>
          <cell r="H54">
            <v>933.05</v>
          </cell>
          <cell r="I54">
            <v>0</v>
          </cell>
          <cell r="J54">
            <v>933.05</v>
          </cell>
          <cell r="K54">
            <v>-0.89</v>
          </cell>
        </row>
        <row r="55">
          <cell r="A55" t="str">
            <v>LU1882522060</v>
          </cell>
          <cell r="B55" t="str">
            <v>AMUNDI FUNDS EURO CORPORATE ESG BOND</v>
          </cell>
          <cell r="C55" t="str">
            <v>Class E2 EUR QTD (D)</v>
          </cell>
          <cell r="D55" t="str">
            <v>EUR</v>
          </cell>
          <cell r="E55">
            <v>45747</v>
          </cell>
          <cell r="F55">
            <v>10044942.25</v>
          </cell>
          <cell r="G55">
            <v>2202648.5010000002</v>
          </cell>
          <cell r="H55">
            <v>4.5599999999999996</v>
          </cell>
          <cell r="I55">
            <v>0</v>
          </cell>
          <cell r="J55">
            <v>4.5599999999999996</v>
          </cell>
          <cell r="K55">
            <v>-5.0000000000000001E-3</v>
          </cell>
        </row>
        <row r="56">
          <cell r="A56" t="str">
            <v>LU1882472373</v>
          </cell>
          <cell r="B56" t="str">
            <v>AMUNDI FUNDS EURO CORPORATE ESG BOND</v>
          </cell>
          <cell r="C56" t="str">
            <v>Class I2 EUR (C)</v>
          </cell>
          <cell r="D56" t="str">
            <v>EUR</v>
          </cell>
          <cell r="E56">
            <v>45747</v>
          </cell>
          <cell r="F56">
            <v>18481516.219999999</v>
          </cell>
          <cell r="G56">
            <v>17936.828000000001</v>
          </cell>
          <cell r="H56">
            <v>1030.3699999999999</v>
          </cell>
          <cell r="I56">
            <v>0</v>
          </cell>
          <cell r="J56">
            <v>1030.3699999999999</v>
          </cell>
          <cell r="K56">
            <v>-0.98</v>
          </cell>
        </row>
        <row r="57">
          <cell r="A57" t="str">
            <v>LU0329442999</v>
          </cell>
          <cell r="B57" t="str">
            <v>AMUNDI FUNDS EURO CORPORATE ESG BOND</v>
          </cell>
          <cell r="C57" t="str">
            <v>Class M EUR (C)</v>
          </cell>
          <cell r="D57" t="str">
            <v>EUR</v>
          </cell>
          <cell r="E57">
            <v>45747</v>
          </cell>
          <cell r="F57">
            <v>3953785.68</v>
          </cell>
          <cell r="G57">
            <v>23870.346000000001</v>
          </cell>
          <cell r="H57">
            <v>165.64</v>
          </cell>
          <cell r="I57">
            <v>0</v>
          </cell>
          <cell r="J57">
            <v>165.64</v>
          </cell>
          <cell r="K57">
            <v>-0.15</v>
          </cell>
        </row>
        <row r="58">
          <cell r="A58" t="str">
            <v>LU1882473009</v>
          </cell>
          <cell r="B58" t="str">
            <v>AMUNDI FUNDS EURO CORPORATE ESG BOND</v>
          </cell>
          <cell r="C58" t="str">
            <v>Class R2 EUR (C)</v>
          </cell>
          <cell r="D58" t="str">
            <v>EUR</v>
          </cell>
          <cell r="E58">
            <v>45747</v>
          </cell>
          <cell r="F58">
            <v>3225620.88</v>
          </cell>
          <cell r="G58">
            <v>63237.207000000002</v>
          </cell>
          <cell r="H58">
            <v>51.01</v>
          </cell>
          <cell r="I58">
            <v>0</v>
          </cell>
          <cell r="J58">
            <v>51.01</v>
          </cell>
          <cell r="K58">
            <v>-0.05</v>
          </cell>
        </row>
        <row r="59">
          <cell r="A59" t="str">
            <v>LU0557859377</v>
          </cell>
          <cell r="B59" t="str">
            <v>AMUNDI FUNDS EURO CORPORATE ESG BOND</v>
          </cell>
          <cell r="C59" t="str">
            <v>Class O EUR (C)</v>
          </cell>
          <cell r="D59" t="str">
            <v>EUR</v>
          </cell>
          <cell r="E59">
            <v>45747</v>
          </cell>
          <cell r="F59">
            <v>111126.83</v>
          </cell>
          <cell r="G59">
            <v>98</v>
          </cell>
          <cell r="H59">
            <v>1133.95</v>
          </cell>
          <cell r="I59">
            <v>0</v>
          </cell>
          <cell r="J59">
            <v>1133.95</v>
          </cell>
          <cell r="K59">
            <v>-1.04</v>
          </cell>
        </row>
        <row r="60">
          <cell r="A60" t="str">
            <v>LU0839529467</v>
          </cell>
          <cell r="B60" t="str">
            <v>AMUNDI FUNDS EURO CORPORATE ESG BOND</v>
          </cell>
          <cell r="C60" t="str">
            <v>Class R EUR (C)</v>
          </cell>
          <cell r="D60" t="str">
            <v>EUR</v>
          </cell>
          <cell r="E60">
            <v>45747</v>
          </cell>
          <cell r="F60">
            <v>539437.54</v>
          </cell>
          <cell r="G60">
            <v>4597.1090000000004</v>
          </cell>
          <cell r="H60">
            <v>117.34</v>
          </cell>
          <cell r="I60">
            <v>0</v>
          </cell>
          <cell r="J60">
            <v>117.34</v>
          </cell>
          <cell r="K60">
            <v>-0.12</v>
          </cell>
        </row>
        <row r="61">
          <cell r="A61" t="str">
            <v>LU0839529897</v>
          </cell>
          <cell r="B61" t="str">
            <v>AMUNDI FUNDS EURO CORPORATE ESG BOND</v>
          </cell>
          <cell r="C61" t="str">
            <v>Class R EUR AD (D)</v>
          </cell>
          <cell r="D61" t="str">
            <v>EUR</v>
          </cell>
          <cell r="E61">
            <v>45747</v>
          </cell>
          <cell r="F61">
            <v>4800487.41</v>
          </cell>
          <cell r="G61">
            <v>46456.351000000002</v>
          </cell>
          <cell r="H61">
            <v>103.33</v>
          </cell>
          <cell r="I61">
            <v>0</v>
          </cell>
          <cell r="J61">
            <v>103.33</v>
          </cell>
          <cell r="K61">
            <v>-0.1</v>
          </cell>
        </row>
        <row r="62">
          <cell r="A62" t="str">
            <v>LU0119100252</v>
          </cell>
          <cell r="B62" t="str">
            <v>AMUNDI FUNDS EURO CORPORATE ESG BOND</v>
          </cell>
          <cell r="C62" t="str">
            <v>Class G EUR (C)</v>
          </cell>
          <cell r="D62" t="str">
            <v>EUR</v>
          </cell>
          <cell r="E62">
            <v>45747</v>
          </cell>
          <cell r="F62">
            <v>15486420.539999999</v>
          </cell>
          <cell r="G62">
            <v>806626.98699999996</v>
          </cell>
          <cell r="H62">
            <v>19.2</v>
          </cell>
          <cell r="I62">
            <v>0</v>
          </cell>
          <cell r="J62">
            <v>19.78</v>
          </cell>
          <cell r="K62">
            <v>-0.02</v>
          </cell>
        </row>
        <row r="63">
          <cell r="A63" t="str">
            <v>LU1998921008</v>
          </cell>
          <cell r="B63" t="str">
            <v>AMUNDI FUNDS EURO CORPORATE ESG BOND</v>
          </cell>
          <cell r="C63" t="str">
            <v>Class X EUR ( C )</v>
          </cell>
          <cell r="D63" t="str">
            <v>EUR</v>
          </cell>
          <cell r="E63">
            <v>45747</v>
          </cell>
          <cell r="F63">
            <v>2676587.21</v>
          </cell>
          <cell r="G63">
            <v>2618.9780000000001</v>
          </cell>
          <cell r="H63">
            <v>1022</v>
          </cell>
          <cell r="I63">
            <v>0</v>
          </cell>
          <cell r="J63">
            <v>1022</v>
          </cell>
          <cell r="K63">
            <v>-0.94</v>
          </cell>
        </row>
        <row r="64">
          <cell r="A64" t="str">
            <v>LU2070304063</v>
          </cell>
          <cell r="B64" t="str">
            <v>AMUNDI FUNDS EURO CORPORATE ESG BOND</v>
          </cell>
          <cell r="C64" t="str">
            <v>Class Z EUR (C)</v>
          </cell>
          <cell r="D64" t="str">
            <v>EUR</v>
          </cell>
          <cell r="E64">
            <v>45747</v>
          </cell>
          <cell r="F64">
            <v>274171499.62</v>
          </cell>
          <cell r="G64">
            <v>273755.66600000003</v>
          </cell>
          <cell r="H64">
            <v>1001.52</v>
          </cell>
          <cell r="I64">
            <v>0</v>
          </cell>
          <cell r="J64">
            <v>1001.52</v>
          </cell>
          <cell r="K64">
            <v>-0.87</v>
          </cell>
        </row>
        <row r="65">
          <cell r="A65" t="str">
            <v>LU0119110723</v>
          </cell>
          <cell r="B65" t="str">
            <v>AMUNDI FUNDS EURO HIGH YIELD BOND</v>
          </cell>
          <cell r="C65" t="str">
            <v>Class A EUR (C)</v>
          </cell>
          <cell r="D65" t="str">
            <v>EUR</v>
          </cell>
          <cell r="E65">
            <v>45747</v>
          </cell>
          <cell r="F65">
            <v>48343503.009999998</v>
          </cell>
          <cell r="G65">
            <v>2007176.7949999999</v>
          </cell>
          <cell r="H65">
            <v>24.09</v>
          </cell>
          <cell r="I65">
            <v>0</v>
          </cell>
          <cell r="J65">
            <v>25.05</v>
          </cell>
          <cell r="K65">
            <v>-0.06</v>
          </cell>
        </row>
        <row r="66">
          <cell r="A66" t="str">
            <v>LU2098274686</v>
          </cell>
          <cell r="B66" t="str">
            <v>AMUNDI FUNDS EURO HIGH YIELD BOND</v>
          </cell>
          <cell r="C66" t="str">
            <v>Class A2 AUD Hgd MTD3 (D)</v>
          </cell>
          <cell r="D66" t="str">
            <v>AUD</v>
          </cell>
          <cell r="E66">
            <v>45747</v>
          </cell>
          <cell r="F66">
            <v>469857.36</v>
          </cell>
          <cell r="G66">
            <v>13229.066999999999</v>
          </cell>
          <cell r="H66">
            <v>35.520000000000003</v>
          </cell>
          <cell r="I66">
            <v>0</v>
          </cell>
          <cell r="J66">
            <v>35.520000000000003</v>
          </cell>
          <cell r="K66">
            <v>-0.1</v>
          </cell>
        </row>
        <row r="67">
          <cell r="A67" t="str">
            <v>LU2098274769</v>
          </cell>
          <cell r="B67" t="str">
            <v>AMUNDI FUNDS EURO HIGH YIELD BOND</v>
          </cell>
          <cell r="C67" t="str">
            <v>Class A2 EUR MTD3 (D)</v>
          </cell>
          <cell r="D67" t="str">
            <v>EUR</v>
          </cell>
          <cell r="E67">
            <v>45747</v>
          </cell>
          <cell r="F67">
            <v>304684.49</v>
          </cell>
          <cell r="G67">
            <v>7876.75</v>
          </cell>
          <cell r="H67">
            <v>38.68</v>
          </cell>
          <cell r="I67">
            <v>0</v>
          </cell>
          <cell r="J67">
            <v>38.68</v>
          </cell>
          <cell r="K67">
            <v>-0.11</v>
          </cell>
        </row>
        <row r="68">
          <cell r="A68" t="str">
            <v>LU2098274843</v>
          </cell>
          <cell r="B68" t="str">
            <v>AMUNDI FUNDS EURO HIGH YIELD BOND</v>
          </cell>
          <cell r="C68" t="str">
            <v>Class A2 USD Hgd MTD3 (D)</v>
          </cell>
          <cell r="D68" t="str">
            <v>USD</v>
          </cell>
          <cell r="E68">
            <v>45747</v>
          </cell>
          <cell r="F68">
            <v>1305567.6399999999</v>
          </cell>
          <cell r="G68">
            <v>34997.748</v>
          </cell>
          <cell r="H68">
            <v>37.299999999999997</v>
          </cell>
          <cell r="I68">
            <v>0</v>
          </cell>
          <cell r="J68">
            <v>37.299999999999997</v>
          </cell>
          <cell r="K68">
            <v>-0.11</v>
          </cell>
        </row>
        <row r="69">
          <cell r="A69" t="str">
            <v>LU1049751867</v>
          </cell>
          <cell r="B69" t="str">
            <v>AMUNDI FUNDS EURO HIGH YIELD BOND</v>
          </cell>
          <cell r="C69" t="str">
            <v>Class A CZK Hgd (C)</v>
          </cell>
          <cell r="D69" t="str">
            <v>CZK</v>
          </cell>
          <cell r="E69">
            <v>45747</v>
          </cell>
          <cell r="F69">
            <v>615534279.48000002</v>
          </cell>
          <cell r="G69">
            <v>182047.64799999999</v>
          </cell>
          <cell r="H69">
            <v>3381.17</v>
          </cell>
          <cell r="I69">
            <v>0</v>
          </cell>
          <cell r="J69">
            <v>3381.17</v>
          </cell>
          <cell r="K69">
            <v>-9.57</v>
          </cell>
        </row>
        <row r="70">
          <cell r="A70" t="str">
            <v>LU0987188777</v>
          </cell>
          <cell r="B70" t="str">
            <v>AMUNDI FUNDS EURO HIGH YIELD BOND</v>
          </cell>
          <cell r="C70" t="str">
            <v>Class A USD Hgd (C)</v>
          </cell>
          <cell r="D70" t="str">
            <v>USD</v>
          </cell>
          <cell r="E70">
            <v>45747</v>
          </cell>
          <cell r="F70">
            <v>143725.01999999999</v>
          </cell>
          <cell r="G70">
            <v>997.78</v>
          </cell>
          <cell r="H70">
            <v>144.04</v>
          </cell>
          <cell r="I70">
            <v>0</v>
          </cell>
          <cell r="J70">
            <v>149.80000000000001</v>
          </cell>
          <cell r="K70">
            <v>-0.4</v>
          </cell>
        </row>
        <row r="71">
          <cell r="A71" t="str">
            <v>LU1650130187</v>
          </cell>
          <cell r="B71" t="str">
            <v>AMUNDI FUNDS EURO HIGH YIELD BOND</v>
          </cell>
          <cell r="C71" t="str">
            <v>Class A2 USD Hgd MD (D)</v>
          </cell>
          <cell r="D71" t="str">
            <v>USD</v>
          </cell>
          <cell r="E71">
            <v>45747</v>
          </cell>
          <cell r="F71">
            <v>646049.02</v>
          </cell>
          <cell r="G71">
            <v>8424.4529999999995</v>
          </cell>
          <cell r="H71">
            <v>76.69</v>
          </cell>
          <cell r="I71">
            <v>0</v>
          </cell>
          <cell r="J71">
            <v>76.69</v>
          </cell>
          <cell r="K71">
            <v>-0.21</v>
          </cell>
        </row>
        <row r="72">
          <cell r="A72" t="str">
            <v>LU0119110996</v>
          </cell>
          <cell r="B72" t="str">
            <v>AMUNDI FUNDS EURO HIGH YIELD BOND</v>
          </cell>
          <cell r="C72" t="str">
            <v>Class A EUR AD (D)</v>
          </cell>
          <cell r="D72" t="str">
            <v>EUR</v>
          </cell>
          <cell r="E72">
            <v>45747</v>
          </cell>
          <cell r="F72">
            <v>3001067.01</v>
          </cell>
          <cell r="G72">
            <v>288477.609</v>
          </cell>
          <cell r="H72">
            <v>10.4</v>
          </cell>
          <cell r="I72">
            <v>0</v>
          </cell>
          <cell r="J72">
            <v>10.82</v>
          </cell>
          <cell r="K72">
            <v>-0.03</v>
          </cell>
        </row>
        <row r="73">
          <cell r="A73" t="str">
            <v>LU2098274926</v>
          </cell>
          <cell r="B73" t="str">
            <v>AMUNDI FUNDS EURO HIGH YIELD BOND</v>
          </cell>
          <cell r="C73" t="str">
            <v>Class A2 ZAR Hgd MTD3 (D)</v>
          </cell>
          <cell r="D73" t="str">
            <v>ZAR</v>
          </cell>
          <cell r="E73">
            <v>45747</v>
          </cell>
          <cell r="F73">
            <v>16916615.739999998</v>
          </cell>
          <cell r="G73">
            <v>23075.846000000001</v>
          </cell>
          <cell r="H73">
            <v>733.09</v>
          </cell>
          <cell r="I73">
            <v>0</v>
          </cell>
          <cell r="J73">
            <v>733.09</v>
          </cell>
          <cell r="K73">
            <v>-1.97</v>
          </cell>
        </row>
        <row r="74">
          <cell r="A74" t="str">
            <v>LU0187736193</v>
          </cell>
          <cell r="B74" t="str">
            <v>AMUNDI FUNDS EURO HIGH YIELD BOND</v>
          </cell>
          <cell r="C74" t="str">
            <v>Class I2 EUR MD (D)</v>
          </cell>
          <cell r="D74" t="str">
            <v>EUR</v>
          </cell>
          <cell r="E74">
            <v>45747</v>
          </cell>
          <cell r="F74">
            <v>10610177.85</v>
          </cell>
          <cell r="G74">
            <v>938200</v>
          </cell>
          <cell r="H74">
            <v>11.31</v>
          </cell>
          <cell r="I74">
            <v>0</v>
          </cell>
          <cell r="J74">
            <v>11.31</v>
          </cell>
          <cell r="K74">
            <v>-0.03</v>
          </cell>
        </row>
        <row r="75">
          <cell r="A75" t="str">
            <v>LU0839530044</v>
          </cell>
          <cell r="B75" t="str">
            <v>AMUNDI FUNDS EURO HIGH YIELD BOND</v>
          </cell>
          <cell r="C75" t="str">
            <v>Class A2 EUR (C)</v>
          </cell>
          <cell r="D75" t="str">
            <v>EUR</v>
          </cell>
          <cell r="E75">
            <v>45747</v>
          </cell>
          <cell r="F75">
            <v>7339449.25</v>
          </cell>
          <cell r="G75">
            <v>307911.30699999997</v>
          </cell>
          <cell r="H75">
            <v>23.84</v>
          </cell>
          <cell r="I75">
            <v>0</v>
          </cell>
          <cell r="J75">
            <v>23.84</v>
          </cell>
          <cell r="K75">
            <v>-0.06</v>
          </cell>
        </row>
        <row r="76">
          <cell r="A76" t="str">
            <v>LU0906522494</v>
          </cell>
          <cell r="B76" t="str">
            <v>AMUNDI FUNDS EURO HIGH YIELD BOND</v>
          </cell>
          <cell r="C76" t="str">
            <v>Class F2 EUR MD (D)</v>
          </cell>
          <cell r="D76" t="str">
            <v>EUR</v>
          </cell>
          <cell r="E76">
            <v>45747</v>
          </cell>
          <cell r="F76">
            <v>1008036.05</v>
          </cell>
          <cell r="G76">
            <v>12052.712</v>
          </cell>
          <cell r="H76">
            <v>83.64</v>
          </cell>
          <cell r="I76">
            <v>0</v>
          </cell>
          <cell r="J76">
            <v>83.64</v>
          </cell>
          <cell r="K76">
            <v>-0.24</v>
          </cell>
        </row>
        <row r="77">
          <cell r="A77" t="str">
            <v>LU0557859880</v>
          </cell>
          <cell r="B77" t="str">
            <v>AMUNDI FUNDS EURO HIGH YIELD BOND</v>
          </cell>
          <cell r="C77" t="str">
            <v>Class F2 EUR (C)</v>
          </cell>
          <cell r="D77" t="str">
            <v>EUR</v>
          </cell>
          <cell r="E77">
            <v>45747</v>
          </cell>
          <cell r="F77">
            <v>3128771.34</v>
          </cell>
          <cell r="G77">
            <v>22170.487000000001</v>
          </cell>
          <cell r="H77">
            <v>141.12</v>
          </cell>
          <cell r="I77">
            <v>0</v>
          </cell>
          <cell r="J77">
            <v>141.12</v>
          </cell>
          <cell r="K77">
            <v>-0.41</v>
          </cell>
        </row>
        <row r="78">
          <cell r="A78" t="str">
            <v>LU2018719729</v>
          </cell>
          <cell r="B78" t="str">
            <v>AMUNDI FUNDS EURO HIGH YIELD BOND</v>
          </cell>
          <cell r="C78" t="str">
            <v>Class F EUR (C)</v>
          </cell>
          <cell r="D78" t="str">
            <v>EUR</v>
          </cell>
          <cell r="E78">
            <v>45747</v>
          </cell>
          <cell r="F78">
            <v>447640.33</v>
          </cell>
          <cell r="G78">
            <v>86508.944000000003</v>
          </cell>
          <cell r="H78">
            <v>5.1740000000000004</v>
          </cell>
          <cell r="I78">
            <v>0</v>
          </cell>
          <cell r="J78">
            <v>5.1740000000000004</v>
          </cell>
          <cell r="K78">
            <v>-1.4999999999999999E-2</v>
          </cell>
        </row>
        <row r="79">
          <cell r="A79" t="str">
            <v>LU2018719992</v>
          </cell>
          <cell r="B79" t="str">
            <v>AMUNDI FUNDS EURO HIGH YIELD BOND</v>
          </cell>
          <cell r="C79" t="str">
            <v>Class F EUR MTD (D)</v>
          </cell>
          <cell r="D79" t="str">
            <v>EUR</v>
          </cell>
          <cell r="E79">
            <v>45747</v>
          </cell>
          <cell r="F79">
            <v>75472.83</v>
          </cell>
          <cell r="G79">
            <v>18068.716</v>
          </cell>
          <cell r="H79">
            <v>4.1769999999999996</v>
          </cell>
          <cell r="I79">
            <v>0</v>
          </cell>
          <cell r="J79">
            <v>4.1769999999999996</v>
          </cell>
          <cell r="K79">
            <v>-1.2E-2</v>
          </cell>
        </row>
        <row r="80">
          <cell r="A80" t="str">
            <v>LU0119109980</v>
          </cell>
          <cell r="B80" t="str">
            <v>AMUNDI FUNDS EURO HIGH YIELD BOND</v>
          </cell>
          <cell r="C80" t="str">
            <v>Class I EUR (C)</v>
          </cell>
          <cell r="D80" t="str">
            <v>EUR</v>
          </cell>
          <cell r="E80">
            <v>45747</v>
          </cell>
          <cell r="F80">
            <v>25340706.530000001</v>
          </cell>
          <cell r="G80">
            <v>8261.5779999999995</v>
          </cell>
          <cell r="H80">
            <v>3067.3</v>
          </cell>
          <cell r="I80">
            <v>0</v>
          </cell>
          <cell r="J80">
            <v>3067.3</v>
          </cell>
          <cell r="K80">
            <v>-8.51</v>
          </cell>
        </row>
        <row r="81">
          <cell r="A81" t="str">
            <v>LU1897298805</v>
          </cell>
          <cell r="B81" t="str">
            <v>AMUNDI FUNDS EURO HIGH YIELD BOND</v>
          </cell>
          <cell r="C81" t="str">
            <v>Class I2 GBP (C)</v>
          </cell>
          <cell r="D81" t="str">
            <v>GBP</v>
          </cell>
          <cell r="E81">
            <v>45747</v>
          </cell>
          <cell r="F81">
            <v>5404.85</v>
          </cell>
          <cell r="G81">
            <v>5</v>
          </cell>
          <cell r="H81">
            <v>1080.97</v>
          </cell>
          <cell r="I81">
            <v>0</v>
          </cell>
          <cell r="J81">
            <v>1080.97</v>
          </cell>
          <cell r="K81">
            <v>-2.29</v>
          </cell>
        </row>
        <row r="82">
          <cell r="A82" t="str">
            <v>LU1897298987</v>
          </cell>
          <cell r="B82" t="str">
            <v>AMUNDI FUNDS EURO HIGH YIELD BOND</v>
          </cell>
          <cell r="C82" t="str">
            <v>Class I2 GBP Hgd (C)</v>
          </cell>
          <cell r="D82" t="str">
            <v>GBP</v>
          </cell>
          <cell r="E82">
            <v>45747</v>
          </cell>
          <cell r="F82">
            <v>58052.959999999999</v>
          </cell>
          <cell r="G82">
            <v>49.451999999999998</v>
          </cell>
          <cell r="H82">
            <v>1173.93</v>
          </cell>
          <cell r="I82">
            <v>0</v>
          </cell>
          <cell r="J82">
            <v>1173.93</v>
          </cell>
          <cell r="K82">
            <v>-3.86</v>
          </cell>
        </row>
        <row r="83">
          <cell r="A83" t="str">
            <v>LU0194908405</v>
          </cell>
          <cell r="B83" t="str">
            <v>AMUNDI FUNDS EURO HIGH YIELD BOND</v>
          </cell>
          <cell r="C83" t="str">
            <v>Class I EUR AD (D)</v>
          </cell>
          <cell r="D83" t="str">
            <v>EUR</v>
          </cell>
          <cell r="E83">
            <v>45747</v>
          </cell>
          <cell r="F83">
            <v>13127324</v>
          </cell>
          <cell r="G83">
            <v>13000.759</v>
          </cell>
          <cell r="H83">
            <v>1009.74</v>
          </cell>
          <cell r="I83">
            <v>0</v>
          </cell>
          <cell r="J83">
            <v>1009.74</v>
          </cell>
          <cell r="K83">
            <v>-2.8</v>
          </cell>
        </row>
        <row r="84">
          <cell r="A84" t="str">
            <v>LU0329443294</v>
          </cell>
          <cell r="B84" t="str">
            <v>AMUNDI FUNDS EURO HIGH YIELD BOND</v>
          </cell>
          <cell r="C84" t="str">
            <v>Class M EUR (C)</v>
          </cell>
          <cell r="D84" t="str">
            <v>EUR</v>
          </cell>
          <cell r="E84">
            <v>45747</v>
          </cell>
          <cell r="F84">
            <v>1618286.29</v>
          </cell>
          <cell r="G84">
            <v>7661.4570000000003</v>
          </cell>
          <cell r="H84">
            <v>211.22</v>
          </cell>
          <cell r="I84">
            <v>0</v>
          </cell>
          <cell r="J84">
            <v>211.22</v>
          </cell>
          <cell r="K84">
            <v>-0.59</v>
          </cell>
        </row>
        <row r="85">
          <cell r="A85" t="str">
            <v>LU0557859963</v>
          </cell>
          <cell r="B85" t="str">
            <v>AMUNDI FUNDS EURO HIGH YIELD BOND</v>
          </cell>
          <cell r="C85" t="str">
            <v>Class O EUR (C)</v>
          </cell>
          <cell r="D85" t="str">
            <v>EUR</v>
          </cell>
          <cell r="E85">
            <v>45747</v>
          </cell>
          <cell r="F85">
            <v>11431001.119999999</v>
          </cell>
          <cell r="G85">
            <v>10558.924999999999</v>
          </cell>
          <cell r="H85">
            <v>1082.5899999999999</v>
          </cell>
          <cell r="I85">
            <v>0</v>
          </cell>
          <cell r="J85">
            <v>1082.5899999999999</v>
          </cell>
          <cell r="K85">
            <v>-2.96</v>
          </cell>
        </row>
        <row r="86">
          <cell r="A86" t="str">
            <v>LU2070304733</v>
          </cell>
          <cell r="B86" t="str">
            <v>AMUNDI FUNDS EURO HIGH YIELD BOND</v>
          </cell>
          <cell r="C86" t="str">
            <v>Class U AUD HGD MTD3 (D)</v>
          </cell>
          <cell r="D86" t="str">
            <v>AUD</v>
          </cell>
          <cell r="E86">
            <v>45747</v>
          </cell>
          <cell r="F86">
            <v>1358335.15</v>
          </cell>
          <cell r="G86">
            <v>40628.144</v>
          </cell>
          <cell r="H86">
            <v>33.43</v>
          </cell>
          <cell r="I86">
            <v>0</v>
          </cell>
          <cell r="J86">
            <v>33.43</v>
          </cell>
          <cell r="K86">
            <v>-0.1</v>
          </cell>
        </row>
        <row r="87">
          <cell r="A87" t="str">
            <v>LU2070304816</v>
          </cell>
          <cell r="B87" t="str">
            <v>AMUNDI FUNDS EURO HIGH YIELD BOND</v>
          </cell>
          <cell r="C87" t="str">
            <v>Class U EUR MTD3 (D)</v>
          </cell>
          <cell r="D87" t="str">
            <v>EUR</v>
          </cell>
          <cell r="E87">
            <v>45747</v>
          </cell>
          <cell r="F87">
            <v>6242795.1500000004</v>
          </cell>
          <cell r="G87">
            <v>171836.88099999999</v>
          </cell>
          <cell r="H87">
            <v>36.33</v>
          </cell>
          <cell r="I87">
            <v>0</v>
          </cell>
          <cell r="J87">
            <v>36.33</v>
          </cell>
          <cell r="K87">
            <v>-0.11</v>
          </cell>
        </row>
        <row r="88">
          <cell r="A88" t="str">
            <v>LU2070305037</v>
          </cell>
          <cell r="B88" t="str">
            <v>AMUNDI FUNDS EURO HIGH YIELD BOND</v>
          </cell>
          <cell r="C88" t="str">
            <v>Class U ZAR HGD MTD3 (D)</v>
          </cell>
          <cell r="D88" t="str">
            <v>ZAR</v>
          </cell>
          <cell r="E88">
            <v>45747</v>
          </cell>
          <cell r="F88">
            <v>3093759.53</v>
          </cell>
          <cell r="G88">
            <v>90232.207999999999</v>
          </cell>
          <cell r="H88">
            <v>34.29</v>
          </cell>
          <cell r="I88">
            <v>0</v>
          </cell>
          <cell r="J88">
            <v>34.29</v>
          </cell>
          <cell r="K88">
            <v>-0.09</v>
          </cell>
        </row>
        <row r="89">
          <cell r="A89" t="str">
            <v>LU2070304907</v>
          </cell>
          <cell r="B89" t="str">
            <v>AMUNDI FUNDS EURO HIGH YIELD BOND</v>
          </cell>
          <cell r="C89" t="str">
            <v>Class U USD HGD MTD3 (D)</v>
          </cell>
          <cell r="D89" t="str">
            <v>USD</v>
          </cell>
          <cell r="E89">
            <v>45747</v>
          </cell>
          <cell r="F89">
            <v>2730059.67</v>
          </cell>
          <cell r="G89">
            <v>77915.429999999993</v>
          </cell>
          <cell r="H89">
            <v>35.04</v>
          </cell>
          <cell r="I89">
            <v>0</v>
          </cell>
          <cell r="J89">
            <v>35.04</v>
          </cell>
          <cell r="K89">
            <v>-0.1</v>
          </cell>
        </row>
        <row r="90">
          <cell r="A90" t="str">
            <v>LU0839530630</v>
          </cell>
          <cell r="B90" t="str">
            <v>AMUNDI FUNDS EURO HIGH YIELD BOND</v>
          </cell>
          <cell r="C90" t="str">
            <v>Class R EUR (C)</v>
          </cell>
          <cell r="D90" t="str">
            <v>EUR</v>
          </cell>
          <cell r="E90">
            <v>45747</v>
          </cell>
          <cell r="F90">
            <v>1862641.8</v>
          </cell>
          <cell r="G90">
            <v>13366.635</v>
          </cell>
          <cell r="H90">
            <v>139.35</v>
          </cell>
          <cell r="I90">
            <v>0</v>
          </cell>
          <cell r="J90">
            <v>139.35</v>
          </cell>
          <cell r="K90">
            <v>-0.39</v>
          </cell>
        </row>
        <row r="91">
          <cell r="A91" t="str">
            <v>LU0119111028</v>
          </cell>
          <cell r="B91" t="str">
            <v>AMUNDI FUNDS EURO HIGH YIELD BOND</v>
          </cell>
          <cell r="C91" t="str">
            <v>Class G EUR (C)</v>
          </cell>
          <cell r="D91" t="str">
            <v>EUR</v>
          </cell>
          <cell r="E91">
            <v>45747</v>
          </cell>
          <cell r="F91">
            <v>18686362.949999999</v>
          </cell>
          <cell r="G91">
            <v>821801.29200000002</v>
          </cell>
          <cell r="H91">
            <v>22.74</v>
          </cell>
          <cell r="I91">
            <v>0</v>
          </cell>
          <cell r="J91">
            <v>23.42</v>
          </cell>
          <cell r="K91">
            <v>-0.06</v>
          </cell>
        </row>
        <row r="92">
          <cell r="A92" t="str">
            <v>LU0906522734</v>
          </cell>
          <cell r="B92" t="str">
            <v>AMUNDI FUNDS EURO HIGH YIELD BOND</v>
          </cell>
          <cell r="C92" t="str">
            <v>Class G EUR MD (D)</v>
          </cell>
          <cell r="D92" t="str">
            <v>EUR</v>
          </cell>
          <cell r="E92">
            <v>45747</v>
          </cell>
          <cell r="F92">
            <v>7803181.4800000004</v>
          </cell>
          <cell r="G92">
            <v>90545.201000000001</v>
          </cell>
          <cell r="H92">
            <v>86.18</v>
          </cell>
          <cell r="I92">
            <v>0</v>
          </cell>
          <cell r="J92">
            <v>86.18</v>
          </cell>
          <cell r="K92">
            <v>-0.25</v>
          </cell>
        </row>
        <row r="93">
          <cell r="A93" t="str">
            <v>LU1327396179</v>
          </cell>
          <cell r="B93" t="str">
            <v>AMUNDI FUNDS EURO HIGH YIELD BOND</v>
          </cell>
          <cell r="C93" t="str">
            <v>Class G AUD Hgd MD (D)</v>
          </cell>
          <cell r="D93" t="str">
            <v>AUD</v>
          </cell>
          <cell r="E93">
            <v>45747</v>
          </cell>
          <cell r="F93">
            <v>4989.08</v>
          </cell>
          <cell r="G93">
            <v>68.322999999999993</v>
          </cell>
          <cell r="H93">
            <v>73.02</v>
          </cell>
          <cell r="I93">
            <v>0</v>
          </cell>
          <cell r="J93">
            <v>73.02</v>
          </cell>
          <cell r="K93">
            <v>-0.21</v>
          </cell>
        </row>
        <row r="94">
          <cell r="A94" t="str">
            <v>LU1327396336</v>
          </cell>
          <cell r="B94" t="str">
            <v>AMUNDI FUNDS EURO HIGH YIELD BOND</v>
          </cell>
          <cell r="C94" t="str">
            <v>Class G USD Hgd MD (D)</v>
          </cell>
          <cell r="D94" t="str">
            <v>USD</v>
          </cell>
          <cell r="E94">
            <v>45747</v>
          </cell>
          <cell r="F94">
            <v>91436.09</v>
          </cell>
          <cell r="G94">
            <v>1212.8499999999999</v>
          </cell>
          <cell r="H94">
            <v>75.39</v>
          </cell>
          <cell r="I94">
            <v>0</v>
          </cell>
          <cell r="J94">
            <v>75.39</v>
          </cell>
          <cell r="K94">
            <v>-0.21</v>
          </cell>
        </row>
        <row r="95">
          <cell r="A95" t="str">
            <v>LU1998921347</v>
          </cell>
          <cell r="B95" t="str">
            <v>AMUNDI FUNDS EURO HIGH YIELD BOND</v>
          </cell>
          <cell r="C95" t="str">
            <v>Class X EUR (C)</v>
          </cell>
          <cell r="D95" t="str">
            <v>EUR</v>
          </cell>
          <cell r="E95">
            <v>45747</v>
          </cell>
          <cell r="F95">
            <v>9604572.4199999999</v>
          </cell>
          <cell r="G95">
            <v>8320.2029999999995</v>
          </cell>
          <cell r="H95">
            <v>1154.3699999999999</v>
          </cell>
          <cell r="I95">
            <v>0</v>
          </cell>
          <cell r="J95">
            <v>1154.3699999999999</v>
          </cell>
          <cell r="K95">
            <v>-3.16</v>
          </cell>
        </row>
        <row r="96">
          <cell r="A96" t="str">
            <v>LU2132230207</v>
          </cell>
          <cell r="B96" t="str">
            <v>AMUNDI FUNDS EURO HIGH YIELD BOND</v>
          </cell>
          <cell r="C96" t="str">
            <v>Class Z EUR (C)</v>
          </cell>
          <cell r="D96" t="str">
            <v>EUR</v>
          </cell>
          <cell r="E96">
            <v>45747</v>
          </cell>
          <cell r="F96">
            <v>25365096.030000001</v>
          </cell>
          <cell r="G96">
            <v>21999.835999999999</v>
          </cell>
          <cell r="H96">
            <v>1152.97</v>
          </cell>
          <cell r="I96">
            <v>0</v>
          </cell>
          <cell r="J96">
            <v>1152.97</v>
          </cell>
          <cell r="K96">
            <v>-3.19</v>
          </cell>
        </row>
        <row r="97">
          <cell r="A97" t="str">
            <v>LU0201576401</v>
          </cell>
          <cell r="B97" t="str">
            <v>AMUNDI FUNDS EURO INFLATION BOND</v>
          </cell>
          <cell r="C97" t="str">
            <v>Class A EUR (C)</v>
          </cell>
          <cell r="D97" t="str">
            <v>EUR</v>
          </cell>
          <cell r="E97">
            <v>45747</v>
          </cell>
          <cell r="F97">
            <v>8271171.8799999999</v>
          </cell>
          <cell r="G97">
            <v>59217.741000000002</v>
          </cell>
          <cell r="H97">
            <v>139.66999999999999</v>
          </cell>
          <cell r="I97">
            <v>0</v>
          </cell>
          <cell r="J97">
            <v>143.86000000000001</v>
          </cell>
          <cell r="K97">
            <v>0.12</v>
          </cell>
        </row>
        <row r="98">
          <cell r="A98" t="str">
            <v>LU0201602504</v>
          </cell>
          <cell r="B98" t="str">
            <v>AMUNDI FUNDS EURO INFLATION BOND</v>
          </cell>
          <cell r="C98" t="str">
            <v>Class A EUR AD (D)</v>
          </cell>
          <cell r="D98" t="str">
            <v>EUR</v>
          </cell>
          <cell r="E98">
            <v>45747</v>
          </cell>
          <cell r="F98">
            <v>1320980.45</v>
          </cell>
          <cell r="G98">
            <v>10970.037</v>
          </cell>
          <cell r="H98">
            <v>120.42</v>
          </cell>
          <cell r="I98">
            <v>0</v>
          </cell>
          <cell r="J98">
            <v>124.03</v>
          </cell>
          <cell r="K98">
            <v>0.11</v>
          </cell>
        </row>
        <row r="99">
          <cell r="A99" t="str">
            <v>LU2018720495</v>
          </cell>
          <cell r="B99" t="str">
            <v>AMUNDI FUNDS EURO INFLATION BOND</v>
          </cell>
          <cell r="C99" t="str">
            <v>Class F EUR (C)</v>
          </cell>
          <cell r="D99" t="str">
            <v>EUR</v>
          </cell>
          <cell r="E99">
            <v>45747</v>
          </cell>
          <cell r="F99">
            <v>329743.31</v>
          </cell>
          <cell r="G99">
            <v>72882.994999999995</v>
          </cell>
          <cell r="H99">
            <v>4.524</v>
          </cell>
          <cell r="I99">
            <v>0</v>
          </cell>
          <cell r="J99">
            <v>4.524</v>
          </cell>
          <cell r="K99">
            <v>4.0000000000000001E-3</v>
          </cell>
        </row>
        <row r="100">
          <cell r="A100" t="str">
            <v>LU0557860110</v>
          </cell>
          <cell r="B100" t="str">
            <v>AMUNDI FUNDS EURO INFLATION BOND</v>
          </cell>
          <cell r="C100" t="str">
            <v>Class F2 EUR (C)</v>
          </cell>
          <cell r="D100" t="str">
            <v>EUR</v>
          </cell>
          <cell r="E100">
            <v>45747</v>
          </cell>
          <cell r="F100">
            <v>936727.08</v>
          </cell>
          <cell r="G100">
            <v>9407.1239999999998</v>
          </cell>
          <cell r="H100">
            <v>99.58</v>
          </cell>
          <cell r="I100">
            <v>0</v>
          </cell>
          <cell r="J100">
            <v>99.58</v>
          </cell>
          <cell r="K100">
            <v>0.09</v>
          </cell>
        </row>
        <row r="101">
          <cell r="A101" t="str">
            <v>LU0201577045</v>
          </cell>
          <cell r="B101" t="str">
            <v>AMUNDI FUNDS EURO INFLATION BOND</v>
          </cell>
          <cell r="C101" t="str">
            <v>Class I EUR (C)</v>
          </cell>
          <cell r="D101" t="str">
            <v>EUR</v>
          </cell>
          <cell r="E101">
            <v>45747</v>
          </cell>
          <cell r="F101">
            <v>4789127.76</v>
          </cell>
          <cell r="G101">
            <v>3060.0010000000002</v>
          </cell>
          <cell r="H101">
            <v>1565.07</v>
          </cell>
          <cell r="I101">
            <v>0</v>
          </cell>
          <cell r="J101">
            <v>1565.07</v>
          </cell>
          <cell r="K101">
            <v>1.5</v>
          </cell>
        </row>
        <row r="102">
          <cell r="A102" t="str">
            <v>LU0329443377</v>
          </cell>
          <cell r="B102" t="str">
            <v>AMUNDI FUNDS EURO INFLATION BOND</v>
          </cell>
          <cell r="C102" t="str">
            <v>Class M EUR (C)</v>
          </cell>
          <cell r="D102" t="str">
            <v>EUR</v>
          </cell>
          <cell r="E102">
            <v>45747</v>
          </cell>
          <cell r="F102">
            <v>1023051.88</v>
          </cell>
          <cell r="G102">
            <v>7936.8249999999998</v>
          </cell>
          <cell r="H102">
            <v>128.9</v>
          </cell>
          <cell r="I102">
            <v>0</v>
          </cell>
          <cell r="J102">
            <v>128.9</v>
          </cell>
          <cell r="K102">
            <v>0.12</v>
          </cell>
        </row>
        <row r="103">
          <cell r="A103" t="str">
            <v>LU0906523039</v>
          </cell>
          <cell r="B103" t="str">
            <v>AMUNDI FUNDS EURO INFLATION BOND</v>
          </cell>
          <cell r="C103" t="str">
            <v>Class OR EUR (C)</v>
          </cell>
          <cell r="D103" t="str">
            <v>EUR</v>
          </cell>
          <cell r="E103">
            <v>45747</v>
          </cell>
          <cell r="F103">
            <v>17790745.739999998</v>
          </cell>
          <cell r="G103">
            <v>16906.780999999999</v>
          </cell>
          <cell r="H103">
            <v>1052.28</v>
          </cell>
          <cell r="I103">
            <v>0</v>
          </cell>
          <cell r="J103">
            <v>1052.28</v>
          </cell>
          <cell r="K103">
            <v>1.04</v>
          </cell>
        </row>
        <row r="104">
          <cell r="A104" t="str">
            <v>LU0839532099</v>
          </cell>
          <cell r="B104" t="str">
            <v>AMUNDI FUNDS EURO INFLATION BOND</v>
          </cell>
          <cell r="C104" t="str">
            <v>Class R EUR (C)</v>
          </cell>
          <cell r="D104" t="str">
            <v>EUR</v>
          </cell>
          <cell r="E104">
            <v>45747</v>
          </cell>
          <cell r="F104">
            <v>159603.91</v>
          </cell>
          <cell r="G104">
            <v>1494</v>
          </cell>
          <cell r="H104">
            <v>106.83</v>
          </cell>
          <cell r="I104">
            <v>0</v>
          </cell>
          <cell r="J104">
            <v>106.83</v>
          </cell>
          <cell r="K104">
            <v>0.1</v>
          </cell>
        </row>
        <row r="105">
          <cell r="A105" t="str">
            <v>LU0839532255</v>
          </cell>
          <cell r="B105" t="str">
            <v>AMUNDI FUNDS EURO INFLATION BOND</v>
          </cell>
          <cell r="C105" t="str">
            <v>Class R EUR AD (D)</v>
          </cell>
          <cell r="D105" t="str">
            <v>EUR</v>
          </cell>
          <cell r="E105">
            <v>45747</v>
          </cell>
          <cell r="F105">
            <v>1704924.07</v>
          </cell>
          <cell r="G105">
            <v>17031.415000000001</v>
          </cell>
          <cell r="H105">
            <v>100.1</v>
          </cell>
          <cell r="I105">
            <v>0</v>
          </cell>
          <cell r="J105">
            <v>100.1</v>
          </cell>
          <cell r="K105">
            <v>0.09</v>
          </cell>
        </row>
        <row r="106">
          <cell r="A106" t="str">
            <v>LU0201576666</v>
          </cell>
          <cell r="B106" t="str">
            <v>AMUNDI FUNDS EURO INFLATION BOND</v>
          </cell>
          <cell r="C106" t="str">
            <v>Class G EUR (C)</v>
          </cell>
          <cell r="D106" t="str">
            <v>EUR</v>
          </cell>
          <cell r="E106">
            <v>45747</v>
          </cell>
          <cell r="F106">
            <v>7697910.0899999999</v>
          </cell>
          <cell r="G106">
            <v>56984.184999999998</v>
          </cell>
          <cell r="H106">
            <v>135.09</v>
          </cell>
          <cell r="I106">
            <v>0</v>
          </cell>
          <cell r="J106">
            <v>139.13999999999999</v>
          </cell>
          <cell r="K106">
            <v>0.13</v>
          </cell>
        </row>
        <row r="107">
          <cell r="A107" t="str">
            <v>LU0201602843</v>
          </cell>
          <cell r="B107" t="str">
            <v>AMUNDI FUNDS EURO INFLATION BOND</v>
          </cell>
          <cell r="C107" t="str">
            <v>Class I EUR AD (D)</v>
          </cell>
          <cell r="D107" t="str">
            <v>EUR</v>
          </cell>
          <cell r="E107">
            <v>45747</v>
          </cell>
          <cell r="F107">
            <v>14690.52</v>
          </cell>
          <cell r="G107">
            <v>15.744</v>
          </cell>
          <cell r="H107">
            <v>933.09</v>
          </cell>
          <cell r="I107">
            <v>0</v>
          </cell>
          <cell r="J107">
            <v>933.09</v>
          </cell>
          <cell r="K107">
            <v>0.9</v>
          </cell>
        </row>
        <row r="108">
          <cell r="A108" t="str">
            <v>LU0752741818</v>
          </cell>
          <cell r="B108" t="str">
            <v>AMUNDI FUNDS EURO INFLATION BOND</v>
          </cell>
          <cell r="C108" t="str">
            <v>Class Q-X EUR (C)</v>
          </cell>
          <cell r="D108" t="str">
            <v>EUR</v>
          </cell>
          <cell r="E108">
            <v>45747</v>
          </cell>
          <cell r="F108">
            <v>122792.47</v>
          </cell>
          <cell r="G108">
            <v>112</v>
          </cell>
          <cell r="H108">
            <v>1096.3599999999999</v>
          </cell>
          <cell r="I108">
            <v>0</v>
          </cell>
          <cell r="J108">
            <v>1096.3599999999999</v>
          </cell>
          <cell r="K108">
            <v>1.07</v>
          </cell>
        </row>
        <row r="109">
          <cell r="A109" t="str">
            <v>LU0557861860</v>
          </cell>
          <cell r="B109" t="str">
            <v>AMUNDI FUNDS GLOBAL BOND</v>
          </cell>
          <cell r="C109" t="str">
            <v>Class A EUR (C)</v>
          </cell>
          <cell r="D109" t="str">
            <v>EUR</v>
          </cell>
          <cell r="E109">
            <v>45747</v>
          </cell>
          <cell r="F109">
            <v>20994364.77</v>
          </cell>
          <cell r="G109">
            <v>148424.103</v>
          </cell>
          <cell r="H109">
            <v>141.44999999999999</v>
          </cell>
          <cell r="I109">
            <v>0</v>
          </cell>
          <cell r="J109">
            <v>145.69</v>
          </cell>
          <cell r="K109">
            <v>0.66</v>
          </cell>
        </row>
        <row r="110">
          <cell r="A110" t="str">
            <v>LU0119133188</v>
          </cell>
          <cell r="B110" t="str">
            <v>AMUNDI FUNDS GLOBAL BOND</v>
          </cell>
          <cell r="C110" t="str">
            <v>Class A USD (C)</v>
          </cell>
          <cell r="D110" t="str">
            <v>USD</v>
          </cell>
          <cell r="E110">
            <v>45747</v>
          </cell>
          <cell r="F110">
            <v>16162107.1</v>
          </cell>
          <cell r="G110">
            <v>619841.09499999997</v>
          </cell>
          <cell r="H110">
            <v>26.07</v>
          </cell>
          <cell r="I110">
            <v>0</v>
          </cell>
          <cell r="J110">
            <v>26.85</v>
          </cell>
          <cell r="K110">
            <v>7.0000000000000007E-2</v>
          </cell>
        </row>
        <row r="111">
          <cell r="A111" t="str">
            <v>LU0557861944</v>
          </cell>
          <cell r="B111" t="str">
            <v>AMUNDI FUNDS GLOBAL BOND</v>
          </cell>
          <cell r="C111" t="str">
            <v>Class A EUR AD (D)</v>
          </cell>
          <cell r="D111" t="str">
            <v>EUR</v>
          </cell>
          <cell r="E111">
            <v>45747</v>
          </cell>
          <cell r="F111">
            <v>21772572.739999998</v>
          </cell>
          <cell r="G111">
            <v>206866.36499999999</v>
          </cell>
          <cell r="H111">
            <v>105.25</v>
          </cell>
          <cell r="I111">
            <v>0</v>
          </cell>
          <cell r="J111">
            <v>108.41</v>
          </cell>
          <cell r="K111">
            <v>0.49</v>
          </cell>
        </row>
        <row r="112">
          <cell r="A112" t="str">
            <v>LU0119133691</v>
          </cell>
          <cell r="B112" t="str">
            <v>AMUNDI FUNDS GLOBAL BOND</v>
          </cell>
          <cell r="C112" t="str">
            <v>Class A USD AD (D)</v>
          </cell>
          <cell r="D112" t="str">
            <v>USD</v>
          </cell>
          <cell r="E112">
            <v>45747</v>
          </cell>
          <cell r="F112">
            <v>1366008.84</v>
          </cell>
          <cell r="G112">
            <v>107393.27899999999</v>
          </cell>
          <cell r="H112">
            <v>12.72</v>
          </cell>
          <cell r="I112">
            <v>0</v>
          </cell>
          <cell r="J112">
            <v>13.1</v>
          </cell>
          <cell r="K112">
            <v>0.03</v>
          </cell>
        </row>
        <row r="113">
          <cell r="A113" t="str">
            <v>LU0839533063</v>
          </cell>
          <cell r="B113" t="str">
            <v>AMUNDI FUNDS GLOBAL BOND</v>
          </cell>
          <cell r="C113" t="str">
            <v>Class A2 USD (C)</v>
          </cell>
          <cell r="D113" t="str">
            <v>USD</v>
          </cell>
          <cell r="E113">
            <v>45747</v>
          </cell>
          <cell r="F113">
            <v>2028950.23</v>
          </cell>
          <cell r="G113">
            <v>75890.297999999995</v>
          </cell>
          <cell r="H113">
            <v>26.74</v>
          </cell>
          <cell r="I113">
            <v>0</v>
          </cell>
          <cell r="J113">
            <v>26.74</v>
          </cell>
          <cell r="K113">
            <v>0.08</v>
          </cell>
        </row>
        <row r="114">
          <cell r="A114" t="str">
            <v>LU0839533220</v>
          </cell>
          <cell r="B114" t="str">
            <v>AMUNDI FUNDS GLOBAL BOND</v>
          </cell>
          <cell r="C114" t="str">
            <v>Class A2 USD AD (D)</v>
          </cell>
          <cell r="D114" t="str">
            <v>USD</v>
          </cell>
          <cell r="E114">
            <v>45747</v>
          </cell>
          <cell r="F114">
            <v>1144.72</v>
          </cell>
          <cell r="G114">
            <v>85.47</v>
          </cell>
          <cell r="H114">
            <v>13.39</v>
          </cell>
          <cell r="I114">
            <v>0</v>
          </cell>
          <cell r="J114">
            <v>13.39</v>
          </cell>
          <cell r="K114">
            <v>0.03</v>
          </cell>
        </row>
        <row r="115">
          <cell r="A115" t="str">
            <v>LU2018722194</v>
          </cell>
          <cell r="B115" t="str">
            <v>AMUNDI FUNDS GLOBAL BOND</v>
          </cell>
          <cell r="C115" t="str">
            <v>Class F EUR Hgd MTD (D)</v>
          </cell>
          <cell r="D115" t="str">
            <v>EUR</v>
          </cell>
          <cell r="E115">
            <v>45747</v>
          </cell>
          <cell r="F115">
            <v>746846.33</v>
          </cell>
          <cell r="G115">
            <v>223850.092</v>
          </cell>
          <cell r="H115">
            <v>3.3359999999999999</v>
          </cell>
          <cell r="I115">
            <v>0</v>
          </cell>
          <cell r="J115">
            <v>3.3359999999999999</v>
          </cell>
          <cell r="K115">
            <v>8.0000000000000002E-3</v>
          </cell>
        </row>
        <row r="116">
          <cell r="A116" t="str">
            <v>LU0557862165</v>
          </cell>
          <cell r="B116" t="str">
            <v>AMUNDI FUNDS GLOBAL BOND</v>
          </cell>
          <cell r="C116" t="str">
            <v>Class F2 USD (C)</v>
          </cell>
          <cell r="D116" t="str">
            <v>USD</v>
          </cell>
          <cell r="E116">
            <v>45747</v>
          </cell>
          <cell r="F116">
            <v>436827.61</v>
          </cell>
          <cell r="G116">
            <v>4523.9719999999998</v>
          </cell>
          <cell r="H116">
            <v>96.56</v>
          </cell>
          <cell r="I116">
            <v>0</v>
          </cell>
          <cell r="J116">
            <v>96.56</v>
          </cell>
          <cell r="K116">
            <v>0.25</v>
          </cell>
        </row>
        <row r="117">
          <cell r="A117" t="str">
            <v>LU0557862082</v>
          </cell>
          <cell r="B117" t="str">
            <v>AMUNDI FUNDS GLOBAL BOND</v>
          </cell>
          <cell r="C117" t="str">
            <v>Class F2 EUR Hgd (C)</v>
          </cell>
          <cell r="D117" t="str">
            <v>EUR</v>
          </cell>
          <cell r="E117">
            <v>45747</v>
          </cell>
          <cell r="F117">
            <v>44697.19</v>
          </cell>
          <cell r="G117">
            <v>578.02800000000002</v>
          </cell>
          <cell r="H117">
            <v>77.33</v>
          </cell>
          <cell r="I117">
            <v>0</v>
          </cell>
          <cell r="J117">
            <v>77.33</v>
          </cell>
          <cell r="K117">
            <v>0.2</v>
          </cell>
        </row>
        <row r="118">
          <cell r="A118" t="str">
            <v>LU0613078343</v>
          </cell>
          <cell r="B118" t="str">
            <v>AMUNDI FUNDS GLOBAL BOND</v>
          </cell>
          <cell r="C118" t="str">
            <v>Class F2 EUR Hgd MD (D)</v>
          </cell>
          <cell r="D118" t="str">
            <v>EUR</v>
          </cell>
          <cell r="E118">
            <v>45747</v>
          </cell>
          <cell r="F118">
            <v>437107.94</v>
          </cell>
          <cell r="G118">
            <v>7963.8760000000002</v>
          </cell>
          <cell r="H118">
            <v>54.89</v>
          </cell>
          <cell r="I118">
            <v>0</v>
          </cell>
          <cell r="J118">
            <v>54.89</v>
          </cell>
          <cell r="K118">
            <v>0.14000000000000001</v>
          </cell>
        </row>
        <row r="119">
          <cell r="A119" t="str">
            <v>LU0613078186</v>
          </cell>
          <cell r="B119" t="str">
            <v>AMUNDI FUNDS GLOBAL BOND</v>
          </cell>
          <cell r="C119" t="str">
            <v>Class G EUR Hgd MD (D)</v>
          </cell>
          <cell r="D119" t="str">
            <v>EUR</v>
          </cell>
          <cell r="E119">
            <v>45747</v>
          </cell>
          <cell r="F119">
            <v>4345701.8600000003</v>
          </cell>
          <cell r="G119">
            <v>79210.532999999996</v>
          </cell>
          <cell r="H119">
            <v>54.86</v>
          </cell>
          <cell r="I119">
            <v>0</v>
          </cell>
          <cell r="J119">
            <v>56.51</v>
          </cell>
          <cell r="K119">
            <v>0.14000000000000001</v>
          </cell>
        </row>
        <row r="120">
          <cell r="A120" t="str">
            <v>LU2052288888</v>
          </cell>
          <cell r="B120" t="str">
            <v>AMUNDI FUNDS GLOBAL BOND</v>
          </cell>
          <cell r="C120" t="str">
            <v>Class I2 GBP (C)</v>
          </cell>
          <cell r="D120" t="str">
            <v>GBP</v>
          </cell>
          <cell r="E120">
            <v>45747</v>
          </cell>
          <cell r="F120">
            <v>4455.6899999999996</v>
          </cell>
          <cell r="G120">
            <v>5</v>
          </cell>
          <cell r="H120">
            <v>891.14</v>
          </cell>
          <cell r="I120">
            <v>0</v>
          </cell>
          <cell r="J120">
            <v>891.14</v>
          </cell>
          <cell r="K120">
            <v>4.7</v>
          </cell>
        </row>
        <row r="121">
          <cell r="A121" t="str">
            <v>LU0119131489</v>
          </cell>
          <cell r="B121" t="str">
            <v>AMUNDI FUNDS GLOBAL BOND</v>
          </cell>
          <cell r="C121" t="str">
            <v>Class I USD (C)</v>
          </cell>
          <cell r="D121" t="str">
            <v>USD</v>
          </cell>
          <cell r="E121">
            <v>45747</v>
          </cell>
          <cell r="F121">
            <v>172424.76</v>
          </cell>
          <cell r="G121">
            <v>64.069000000000003</v>
          </cell>
          <cell r="H121">
            <v>2691.24</v>
          </cell>
          <cell r="I121">
            <v>0</v>
          </cell>
          <cell r="J121">
            <v>2691.24</v>
          </cell>
          <cell r="K121">
            <v>7.41</v>
          </cell>
        </row>
        <row r="122">
          <cell r="A122" t="str">
            <v>LU0228160049</v>
          </cell>
          <cell r="B122" t="str">
            <v>AMUNDI FUNDS GLOBAL BOND</v>
          </cell>
          <cell r="C122" t="str">
            <v>Class Q-I15 EUR AD (D)</v>
          </cell>
          <cell r="D122" t="str">
            <v>EUR</v>
          </cell>
          <cell r="E122">
            <v>45747</v>
          </cell>
          <cell r="F122">
            <v>504372.38</v>
          </cell>
          <cell r="G122">
            <v>522.39300000000003</v>
          </cell>
          <cell r="H122">
            <v>965.5</v>
          </cell>
          <cell r="I122">
            <v>0</v>
          </cell>
          <cell r="J122">
            <v>965.5</v>
          </cell>
          <cell r="K122">
            <v>4.4400000000000004</v>
          </cell>
        </row>
        <row r="123">
          <cell r="A123" t="str">
            <v>LU1971432742</v>
          </cell>
          <cell r="B123" t="str">
            <v>AMUNDI FUNDS GLOBAL BOND</v>
          </cell>
          <cell r="C123" t="str">
            <v>Class M EUR (C)</v>
          </cell>
          <cell r="D123" t="str">
            <v>EUR</v>
          </cell>
          <cell r="E123">
            <v>45747</v>
          </cell>
          <cell r="F123">
            <v>7127055.8600000003</v>
          </cell>
          <cell r="G123">
            <v>71781.455000000002</v>
          </cell>
          <cell r="H123">
            <v>99.29</v>
          </cell>
          <cell r="I123">
            <v>0</v>
          </cell>
          <cell r="J123">
            <v>0</v>
          </cell>
          <cell r="K123">
            <v>0.47</v>
          </cell>
        </row>
        <row r="124">
          <cell r="A124" t="str">
            <v>LU0329445158</v>
          </cell>
          <cell r="B124" t="str">
            <v>AMUNDI FUNDS GLOBAL BOND</v>
          </cell>
          <cell r="C124" t="str">
            <v>Class M USD (C)</v>
          </cell>
          <cell r="D124" t="str">
            <v>USD</v>
          </cell>
          <cell r="E124">
            <v>45747</v>
          </cell>
          <cell r="F124">
            <v>744278.66</v>
          </cell>
          <cell r="G124">
            <v>5091.1509999999998</v>
          </cell>
          <cell r="H124">
            <v>146.19</v>
          </cell>
          <cell r="I124">
            <v>0</v>
          </cell>
          <cell r="J124">
            <v>146.19</v>
          </cell>
          <cell r="K124">
            <v>0.4</v>
          </cell>
        </row>
        <row r="125">
          <cell r="A125" t="str">
            <v>LU0557862322</v>
          </cell>
          <cell r="B125" t="str">
            <v>AMUNDI FUNDS GLOBAL BOND</v>
          </cell>
          <cell r="C125" t="str">
            <v>Class M EUR Hgd (C)</v>
          </cell>
          <cell r="D125" t="str">
            <v>EUR</v>
          </cell>
          <cell r="E125">
            <v>45747</v>
          </cell>
          <cell r="F125">
            <v>1472593.24</v>
          </cell>
          <cell r="G125">
            <v>17603.486000000001</v>
          </cell>
          <cell r="H125">
            <v>83.65</v>
          </cell>
          <cell r="I125">
            <v>0</v>
          </cell>
          <cell r="J125">
            <v>83.65</v>
          </cell>
          <cell r="K125">
            <v>0.22</v>
          </cell>
        </row>
        <row r="126">
          <cell r="A126" t="str">
            <v>LU2052289423</v>
          </cell>
          <cell r="B126" t="str">
            <v>AMUNDI FUNDS GLOBAL BOND</v>
          </cell>
          <cell r="C126" t="str">
            <v>Class P2 USD (C)</v>
          </cell>
          <cell r="D126" t="str">
            <v>USD</v>
          </cell>
          <cell r="E126">
            <v>45747</v>
          </cell>
          <cell r="F126">
            <v>4400.76</v>
          </cell>
          <cell r="G126">
            <v>100</v>
          </cell>
          <cell r="H126">
            <v>44.01</v>
          </cell>
          <cell r="I126">
            <v>0</v>
          </cell>
          <cell r="J126">
            <v>44.01</v>
          </cell>
          <cell r="K126">
            <v>0.12</v>
          </cell>
        </row>
        <row r="127">
          <cell r="A127" t="str">
            <v>LU0119133931</v>
          </cell>
          <cell r="B127" t="str">
            <v>AMUNDI FUNDS GLOBAL BOND</v>
          </cell>
          <cell r="C127" t="str">
            <v>Class G USD (C)</v>
          </cell>
          <cell r="D127" t="str">
            <v>USD</v>
          </cell>
          <cell r="E127">
            <v>45747</v>
          </cell>
          <cell r="F127">
            <v>4259398.84</v>
          </cell>
          <cell r="G127">
            <v>173504.174</v>
          </cell>
          <cell r="H127">
            <v>24.55</v>
          </cell>
          <cell r="I127">
            <v>0</v>
          </cell>
          <cell r="J127">
            <v>25.29</v>
          </cell>
          <cell r="K127">
            <v>7.0000000000000007E-2</v>
          </cell>
        </row>
        <row r="128">
          <cell r="A128" t="str">
            <v>LU0557862678</v>
          </cell>
          <cell r="B128" t="str">
            <v>AMUNDI FUNDS GLOBAL BOND</v>
          </cell>
          <cell r="C128" t="str">
            <v>Class G EUR Hgd (C)</v>
          </cell>
          <cell r="D128" t="str">
            <v>EUR</v>
          </cell>
          <cell r="E128">
            <v>45747</v>
          </cell>
          <cell r="F128">
            <v>1678642.36</v>
          </cell>
          <cell r="G128">
            <v>19996.248</v>
          </cell>
          <cell r="H128">
            <v>83.95</v>
          </cell>
          <cell r="I128">
            <v>0</v>
          </cell>
          <cell r="J128">
            <v>86.47</v>
          </cell>
          <cell r="K128">
            <v>0.22</v>
          </cell>
        </row>
        <row r="129">
          <cell r="A129" t="str">
            <v>LU0557861274</v>
          </cell>
          <cell r="B129" t="str">
            <v>AMUNDI FUNDS GLOBAL AGGREGATE BOND</v>
          </cell>
          <cell r="C129" t="str">
            <v>Class A EUR (C)</v>
          </cell>
          <cell r="D129" t="str">
            <v>EUR</v>
          </cell>
          <cell r="E129">
            <v>45747</v>
          </cell>
          <cell r="F129">
            <v>317782275.94999999</v>
          </cell>
          <cell r="G129">
            <v>1645355.706</v>
          </cell>
          <cell r="H129">
            <v>193.14</v>
          </cell>
          <cell r="I129">
            <v>0</v>
          </cell>
          <cell r="J129">
            <v>198.93</v>
          </cell>
          <cell r="K129">
            <v>0.71</v>
          </cell>
        </row>
        <row r="130">
          <cell r="A130" t="str">
            <v>LU0319688015</v>
          </cell>
          <cell r="B130" t="str">
            <v>AMUNDI FUNDS GLOBAL AGGREGATE BOND</v>
          </cell>
          <cell r="C130" t="str">
            <v>Class A USD (C)</v>
          </cell>
          <cell r="D130" t="str">
            <v>USD</v>
          </cell>
          <cell r="E130">
            <v>45747</v>
          </cell>
          <cell r="F130">
            <v>72338514.620000005</v>
          </cell>
          <cell r="G130">
            <v>279366.08299999998</v>
          </cell>
          <cell r="H130">
            <v>258.94</v>
          </cell>
          <cell r="I130">
            <v>0</v>
          </cell>
          <cell r="J130">
            <v>266.70999999999998</v>
          </cell>
          <cell r="K130">
            <v>0.45</v>
          </cell>
        </row>
        <row r="131">
          <cell r="A131" t="str">
            <v>LU0906524433</v>
          </cell>
          <cell r="B131" t="str">
            <v>AMUNDI FUNDS GLOBAL AGGREGATE BOND</v>
          </cell>
          <cell r="C131" t="str">
            <v>Class A USD MD (D)</v>
          </cell>
          <cell r="D131" t="str">
            <v>USD</v>
          </cell>
          <cell r="E131">
            <v>45747</v>
          </cell>
          <cell r="F131">
            <v>869057.6</v>
          </cell>
          <cell r="G131">
            <v>9367.42</v>
          </cell>
          <cell r="H131">
            <v>92.77</v>
          </cell>
          <cell r="I131">
            <v>0</v>
          </cell>
          <cell r="J131">
            <v>92.77</v>
          </cell>
          <cell r="K131">
            <v>0.16</v>
          </cell>
        </row>
        <row r="132">
          <cell r="A132" t="str">
            <v>LU2002721616</v>
          </cell>
          <cell r="B132" t="str">
            <v>AMUNDI FUNDS GLOBAL AGGREGATE BOND</v>
          </cell>
          <cell r="C132" t="str">
            <v>Class M2 EUR Hgd AD ( D )</v>
          </cell>
          <cell r="D132" t="str">
            <v>EUR</v>
          </cell>
          <cell r="E132">
            <v>45747</v>
          </cell>
          <cell r="F132">
            <v>305807.84999999998</v>
          </cell>
          <cell r="G132">
            <v>343.86</v>
          </cell>
          <cell r="H132">
            <v>889.34</v>
          </cell>
          <cell r="I132">
            <v>0</v>
          </cell>
          <cell r="J132">
            <v>889.34</v>
          </cell>
          <cell r="K132">
            <v>1.54</v>
          </cell>
        </row>
        <row r="133">
          <cell r="A133" t="str">
            <v>LU1049752089</v>
          </cell>
          <cell r="B133" t="str">
            <v>AMUNDI FUNDS GLOBAL AGGREGATE BOND</v>
          </cell>
          <cell r="C133" t="str">
            <v>Class A2 SGD Hgd MD (D)</v>
          </cell>
          <cell r="D133" t="str">
            <v>SGD</v>
          </cell>
          <cell r="E133">
            <v>45747</v>
          </cell>
          <cell r="F133">
            <v>833825.7</v>
          </cell>
          <cell r="G133">
            <v>9688.6209999999992</v>
          </cell>
          <cell r="H133">
            <v>86.06</v>
          </cell>
          <cell r="I133">
            <v>0</v>
          </cell>
          <cell r="J133">
            <v>86.06</v>
          </cell>
          <cell r="K133">
            <v>0.15</v>
          </cell>
        </row>
        <row r="134">
          <cell r="A134" t="str">
            <v>LU1049752162</v>
          </cell>
          <cell r="B134" t="str">
            <v>AMUNDI FUNDS GLOBAL AGGREGATE BOND</v>
          </cell>
          <cell r="C134" t="str">
            <v>Class A2 USD MD (D)</v>
          </cell>
          <cell r="D134" t="str">
            <v>USD</v>
          </cell>
          <cell r="E134">
            <v>45747</v>
          </cell>
          <cell r="F134">
            <v>218654.76</v>
          </cell>
          <cell r="G134">
            <v>2354.6999999999998</v>
          </cell>
          <cell r="H134">
            <v>92.86</v>
          </cell>
          <cell r="I134">
            <v>0</v>
          </cell>
          <cell r="J134">
            <v>92.86</v>
          </cell>
          <cell r="K134">
            <v>0.16</v>
          </cell>
        </row>
        <row r="135">
          <cell r="A135" t="str">
            <v>LU2032056355</v>
          </cell>
          <cell r="B135" t="str">
            <v>AMUNDI FUNDS GLOBAL AGGREGATE BOND</v>
          </cell>
          <cell r="C135" t="str">
            <v>Class A5 EUR (C)</v>
          </cell>
          <cell r="D135" t="str">
            <v>EUR</v>
          </cell>
          <cell r="E135">
            <v>45747</v>
          </cell>
          <cell r="F135">
            <v>45386622.350000001</v>
          </cell>
          <cell r="G135">
            <v>841499.38500000001</v>
          </cell>
          <cell r="H135">
            <v>53.94</v>
          </cell>
          <cell r="I135">
            <v>0</v>
          </cell>
          <cell r="J135">
            <v>53.94</v>
          </cell>
          <cell r="K135">
            <v>0.2</v>
          </cell>
        </row>
        <row r="136">
          <cell r="A136" t="str">
            <v>LU2070309617</v>
          </cell>
          <cell r="B136" t="str">
            <v>AMUNDI FUNDS GLOBAL AGGREGATE BOND</v>
          </cell>
          <cell r="C136" t="str">
            <v>Class A2 EUR AD (D)</v>
          </cell>
          <cell r="D136" t="str">
            <v>EUR</v>
          </cell>
          <cell r="E136">
            <v>45747</v>
          </cell>
          <cell r="F136">
            <v>3644576.58</v>
          </cell>
          <cell r="G136">
            <v>72584</v>
          </cell>
          <cell r="H136">
            <v>50.21</v>
          </cell>
          <cell r="I136">
            <v>0</v>
          </cell>
          <cell r="J136">
            <v>51.72</v>
          </cell>
          <cell r="K136">
            <v>0.18</v>
          </cell>
        </row>
        <row r="137">
          <cell r="A137" t="str">
            <v>LU0945157773</v>
          </cell>
          <cell r="B137" t="str">
            <v>AMUNDI FUNDS GLOBAL AGGREGATE BOND</v>
          </cell>
          <cell r="C137" t="str">
            <v>Class A CHF Hgd (C)</v>
          </cell>
          <cell r="D137" t="str">
            <v>CHF</v>
          </cell>
          <cell r="E137">
            <v>45747</v>
          </cell>
          <cell r="F137">
            <v>9803690.1400000006</v>
          </cell>
          <cell r="G137">
            <v>100560.61</v>
          </cell>
          <cell r="H137">
            <v>97.49</v>
          </cell>
          <cell r="I137">
            <v>0</v>
          </cell>
          <cell r="J137">
            <v>97.49</v>
          </cell>
          <cell r="K137">
            <v>0.16</v>
          </cell>
        </row>
        <row r="138">
          <cell r="A138" t="str">
            <v>LU1327396765</v>
          </cell>
          <cell r="B138" t="str">
            <v>AMUNDI FUNDS GLOBAL AGGREGATE BOND</v>
          </cell>
          <cell r="C138" t="str">
            <v>Class A EUR MD (D)</v>
          </cell>
          <cell r="D138" t="str">
            <v>EUR</v>
          </cell>
          <cell r="E138">
            <v>45747</v>
          </cell>
          <cell r="F138">
            <v>237611629.18000001</v>
          </cell>
          <cell r="G138">
            <v>2505616.5780000002</v>
          </cell>
          <cell r="H138">
            <v>94.83</v>
          </cell>
          <cell r="I138">
            <v>0</v>
          </cell>
          <cell r="J138">
            <v>94.83</v>
          </cell>
          <cell r="K138">
            <v>0.35</v>
          </cell>
        </row>
        <row r="139">
          <cell r="A139" t="str">
            <v>LU0906524193</v>
          </cell>
          <cell r="B139" t="str">
            <v>AMUNDI FUNDS GLOBAL AGGREGATE BOND</v>
          </cell>
          <cell r="C139" t="str">
            <v>Class A EUR Hgd (C)</v>
          </cell>
          <cell r="D139" t="str">
            <v>EUR</v>
          </cell>
          <cell r="E139">
            <v>45747</v>
          </cell>
          <cell r="F139">
            <v>282982362.50999999</v>
          </cell>
          <cell r="G139">
            <v>2623151.2459999998</v>
          </cell>
          <cell r="H139">
            <v>107.88</v>
          </cell>
          <cell r="I139">
            <v>0</v>
          </cell>
          <cell r="J139">
            <v>111.12</v>
          </cell>
          <cell r="K139">
            <v>0.18</v>
          </cell>
        </row>
        <row r="140">
          <cell r="A140" t="str">
            <v>LU1049752758</v>
          </cell>
          <cell r="B140" t="str">
            <v>AMUNDI FUNDS GLOBAL AGGREGATE BOND</v>
          </cell>
          <cell r="C140" t="str">
            <v>Class A CZK Hgd (C)</v>
          </cell>
          <cell r="D140" t="str">
            <v>CZK</v>
          </cell>
          <cell r="E140">
            <v>45747</v>
          </cell>
          <cell r="F140">
            <v>1716253180.02</v>
          </cell>
          <cell r="G140">
            <v>592651.76899999997</v>
          </cell>
          <cell r="H140">
            <v>2895.89</v>
          </cell>
          <cell r="I140">
            <v>0</v>
          </cell>
          <cell r="J140">
            <v>2895.89</v>
          </cell>
          <cell r="K140">
            <v>4.9800000000000004</v>
          </cell>
        </row>
        <row r="141">
          <cell r="A141" t="str">
            <v>LU1883317932</v>
          </cell>
          <cell r="B141" t="str">
            <v>AMUNDI FUNDS GLOBAL AGGREGATE BOND</v>
          </cell>
          <cell r="C141" t="str">
            <v>Class M2 EUR (C)</v>
          </cell>
          <cell r="D141" t="str">
            <v>EUR</v>
          </cell>
          <cell r="E141">
            <v>45747</v>
          </cell>
          <cell r="F141">
            <v>65546044.799999997</v>
          </cell>
          <cell r="G141">
            <v>54813.957999999999</v>
          </cell>
          <cell r="H141">
            <v>1195.79</v>
          </cell>
          <cell r="I141">
            <v>0</v>
          </cell>
          <cell r="J141">
            <v>1195.79</v>
          </cell>
          <cell r="K141">
            <v>4.43</v>
          </cell>
        </row>
        <row r="142">
          <cell r="A142" t="str">
            <v>LU0557861357</v>
          </cell>
          <cell r="B142" t="str">
            <v>AMUNDI FUNDS GLOBAL AGGREGATE BOND</v>
          </cell>
          <cell r="C142" t="str">
            <v>Class A EUR AD (D)</v>
          </cell>
          <cell r="D142" t="str">
            <v>EUR</v>
          </cell>
          <cell r="E142">
            <v>45747</v>
          </cell>
          <cell r="F142">
            <v>245366514.11000001</v>
          </cell>
          <cell r="G142">
            <v>1551427.219</v>
          </cell>
          <cell r="H142">
            <v>158.16</v>
          </cell>
          <cell r="I142">
            <v>0</v>
          </cell>
          <cell r="J142">
            <v>162.9</v>
          </cell>
          <cell r="K142">
            <v>0.59</v>
          </cell>
        </row>
        <row r="143">
          <cell r="A143" t="str">
            <v>LU0319688288</v>
          </cell>
          <cell r="B143" t="str">
            <v>AMUNDI FUNDS GLOBAL AGGREGATE BOND</v>
          </cell>
          <cell r="C143" t="str">
            <v>Class A USD AD (D)</v>
          </cell>
          <cell r="D143" t="str">
            <v>USD</v>
          </cell>
          <cell r="E143">
            <v>45747</v>
          </cell>
          <cell r="F143">
            <v>13763053.5</v>
          </cell>
          <cell r="G143">
            <v>113101.091</v>
          </cell>
          <cell r="H143">
            <v>121.69</v>
          </cell>
          <cell r="I143">
            <v>0</v>
          </cell>
          <cell r="J143">
            <v>125.34</v>
          </cell>
          <cell r="K143">
            <v>0.21</v>
          </cell>
        </row>
        <row r="144">
          <cell r="A144" t="str">
            <v>LU1883316702</v>
          </cell>
          <cell r="B144" t="str">
            <v>AMUNDI FUNDS GLOBAL AGGREGATE BOND</v>
          </cell>
          <cell r="C144" t="str">
            <v>Class B USD MTD (D)</v>
          </cell>
          <cell r="D144" t="str">
            <v>USD</v>
          </cell>
          <cell r="E144">
            <v>45747</v>
          </cell>
          <cell r="F144">
            <v>969064.09</v>
          </cell>
          <cell r="G144">
            <v>21701.556</v>
          </cell>
          <cell r="H144">
            <v>44.65</v>
          </cell>
          <cell r="I144">
            <v>0</v>
          </cell>
          <cell r="J144">
            <v>44.65</v>
          </cell>
          <cell r="K144">
            <v>7.0000000000000007E-2</v>
          </cell>
        </row>
        <row r="145">
          <cell r="A145" t="str">
            <v>LU1392371701</v>
          </cell>
          <cell r="B145" t="str">
            <v>AMUNDI FUNDS GLOBAL AGGREGATE BOND</v>
          </cell>
          <cell r="C145" t="str">
            <v>Class OR USD AD (D)</v>
          </cell>
          <cell r="D145" t="str">
            <v>USD</v>
          </cell>
          <cell r="E145">
            <v>45747</v>
          </cell>
          <cell r="F145">
            <v>701861.72</v>
          </cell>
          <cell r="G145">
            <v>653.40599999999995</v>
          </cell>
          <cell r="H145">
            <v>1074.1600000000001</v>
          </cell>
          <cell r="I145">
            <v>0</v>
          </cell>
          <cell r="J145">
            <v>1074.1600000000001</v>
          </cell>
          <cell r="K145">
            <v>1.95</v>
          </cell>
        </row>
        <row r="146">
          <cell r="A146" t="str">
            <v>LU0906524276</v>
          </cell>
          <cell r="B146" t="str">
            <v>AMUNDI FUNDS GLOBAL AGGREGATE BOND</v>
          </cell>
          <cell r="C146" t="str">
            <v>Class A EUR Hgd AD (D)</v>
          </cell>
          <cell r="D146" t="str">
            <v>EUR</v>
          </cell>
          <cell r="E146">
            <v>45747</v>
          </cell>
          <cell r="F146">
            <v>26109399.620000001</v>
          </cell>
          <cell r="G146">
            <v>291415.17099999997</v>
          </cell>
          <cell r="H146">
            <v>89.6</v>
          </cell>
          <cell r="I146">
            <v>0</v>
          </cell>
          <cell r="J146">
            <v>92.29</v>
          </cell>
          <cell r="K146">
            <v>0.16</v>
          </cell>
        </row>
        <row r="147">
          <cell r="A147" t="str">
            <v>LU0987191649</v>
          </cell>
          <cell r="B147" t="str">
            <v>AMUNDI FUNDS GLOBAL AGGREGATE BOND</v>
          </cell>
          <cell r="C147" t="str">
            <v>Class I GBP Hgd AD (D)</v>
          </cell>
          <cell r="D147" t="str">
            <v>GBP</v>
          </cell>
          <cell r="E147">
            <v>45747</v>
          </cell>
          <cell r="F147">
            <v>1101182.99</v>
          </cell>
          <cell r="G147">
            <v>1159.204</v>
          </cell>
          <cell r="H147">
            <v>949.95</v>
          </cell>
          <cell r="I147">
            <v>0</v>
          </cell>
          <cell r="J147">
            <v>949.95</v>
          </cell>
          <cell r="K147">
            <v>1.69</v>
          </cell>
        </row>
        <row r="148">
          <cell r="A148" t="str">
            <v>LU2002721889</v>
          </cell>
          <cell r="B148" t="str">
            <v>AMUNDI FUNDS GLOBAL AGGREGATE BOND</v>
          </cell>
          <cell r="C148" t="str">
            <v>Class M2 EUR Hgd (C)</v>
          </cell>
          <cell r="D148" t="str">
            <v>EUR</v>
          </cell>
          <cell r="E148">
            <v>45747</v>
          </cell>
          <cell r="F148">
            <v>30725059.41</v>
          </cell>
          <cell r="G148">
            <v>30852.903999999999</v>
          </cell>
          <cell r="H148">
            <v>995.86</v>
          </cell>
          <cell r="I148">
            <v>0</v>
          </cell>
          <cell r="J148">
            <v>995.86</v>
          </cell>
          <cell r="K148">
            <v>1.72</v>
          </cell>
        </row>
        <row r="149">
          <cell r="A149" t="str">
            <v>LU1883318070</v>
          </cell>
          <cell r="B149" t="str">
            <v>AMUNDI FUNDS GLOBAL AGGREGATE BOND</v>
          </cell>
          <cell r="C149" t="str">
            <v>Class M2 EUR Hgd QTD (D)</v>
          </cell>
          <cell r="D149" t="str">
            <v>EUR</v>
          </cell>
          <cell r="E149">
            <v>45747</v>
          </cell>
          <cell r="F149">
            <v>559089.75</v>
          </cell>
          <cell r="G149">
            <v>633.471</v>
          </cell>
          <cell r="H149">
            <v>882.58</v>
          </cell>
          <cell r="I149">
            <v>0</v>
          </cell>
          <cell r="J149">
            <v>882.58</v>
          </cell>
          <cell r="K149">
            <v>1.52</v>
          </cell>
        </row>
        <row r="150">
          <cell r="A150" t="str">
            <v>LU1883316884</v>
          </cell>
          <cell r="B150" t="str">
            <v>AMUNDI FUNDS GLOBAL AGGREGATE BOND</v>
          </cell>
          <cell r="C150" t="str">
            <v>Class C EUR (C)</v>
          </cell>
          <cell r="D150" t="str">
            <v>EUR</v>
          </cell>
          <cell r="E150">
            <v>45747</v>
          </cell>
          <cell r="F150">
            <v>22598.69</v>
          </cell>
          <cell r="G150">
            <v>415.60300000000001</v>
          </cell>
          <cell r="H150">
            <v>54.38</v>
          </cell>
          <cell r="I150">
            <v>0</v>
          </cell>
          <cell r="J150">
            <v>54.38</v>
          </cell>
          <cell r="K150">
            <v>0.2</v>
          </cell>
        </row>
        <row r="151">
          <cell r="A151" t="str">
            <v>LU1883317007</v>
          </cell>
          <cell r="B151" t="str">
            <v>AMUNDI FUNDS GLOBAL AGGREGATE BOND</v>
          </cell>
          <cell r="C151" t="str">
            <v>Class C USD (C)</v>
          </cell>
          <cell r="D151" t="str">
            <v>USD</v>
          </cell>
          <cell r="E151">
            <v>45747</v>
          </cell>
          <cell r="F151">
            <v>178038.23</v>
          </cell>
          <cell r="G151">
            <v>3435.6370000000002</v>
          </cell>
          <cell r="H151">
            <v>51.82</v>
          </cell>
          <cell r="I151">
            <v>0</v>
          </cell>
          <cell r="J151">
            <v>51.82</v>
          </cell>
          <cell r="K151">
            <v>0.08</v>
          </cell>
        </row>
        <row r="152">
          <cell r="A152" t="str">
            <v>LU1883317189</v>
          </cell>
          <cell r="B152" t="str">
            <v>AMUNDI FUNDS GLOBAL AGGREGATE BOND</v>
          </cell>
          <cell r="C152" t="str">
            <v>Class C USD MTD (D)</v>
          </cell>
          <cell r="D152" t="str">
            <v>USD</v>
          </cell>
          <cell r="E152">
            <v>45747</v>
          </cell>
          <cell r="F152">
            <v>63273.37</v>
          </cell>
          <cell r="G152">
            <v>1416.982</v>
          </cell>
          <cell r="H152">
            <v>44.65</v>
          </cell>
          <cell r="I152">
            <v>0</v>
          </cell>
          <cell r="J152">
            <v>44.65</v>
          </cell>
          <cell r="K152">
            <v>7.0000000000000007E-2</v>
          </cell>
        </row>
        <row r="153">
          <cell r="A153" t="str">
            <v>LU1883318153</v>
          </cell>
          <cell r="B153" t="str">
            <v>AMUNDI FUNDS GLOBAL AGGREGATE BOND</v>
          </cell>
          <cell r="C153" t="str">
            <v>Class M2 EUR QTD (D)</v>
          </cell>
          <cell r="D153" t="str">
            <v>EUR</v>
          </cell>
          <cell r="E153">
            <v>45747</v>
          </cell>
          <cell r="F153">
            <v>9444688.1300000008</v>
          </cell>
          <cell r="G153">
            <v>9120.9950000000008</v>
          </cell>
          <cell r="H153">
            <v>1035.49</v>
          </cell>
          <cell r="I153">
            <v>0</v>
          </cell>
          <cell r="J153">
            <v>1035.49</v>
          </cell>
          <cell r="K153">
            <v>3.84</v>
          </cell>
        </row>
        <row r="154">
          <cell r="A154" t="str">
            <v>LU1854487466</v>
          </cell>
          <cell r="B154" t="str">
            <v>AMUNDI FUNDS GLOBAL AGGREGATE BOND</v>
          </cell>
          <cell r="C154" t="str">
            <v>Class Q-I19 EUR Hgd</v>
          </cell>
          <cell r="D154" t="str">
            <v>EUR</v>
          </cell>
          <cell r="E154">
            <v>45747</v>
          </cell>
          <cell r="F154">
            <v>316575534.5</v>
          </cell>
          <cell r="G154">
            <v>307915.69900000002</v>
          </cell>
          <cell r="H154">
            <v>1028.1199999999999</v>
          </cell>
          <cell r="I154">
            <v>0</v>
          </cell>
          <cell r="J154">
            <v>1028.1199999999999</v>
          </cell>
          <cell r="K154">
            <v>1.78</v>
          </cell>
        </row>
        <row r="155">
          <cell r="A155" t="str">
            <v>LU1883316371</v>
          </cell>
          <cell r="B155" t="str">
            <v>AMUNDI FUNDS GLOBAL AGGREGATE BOND</v>
          </cell>
          <cell r="C155" t="str">
            <v>Class A2 EUR (C)</v>
          </cell>
          <cell r="D155" t="str">
            <v>EUR</v>
          </cell>
          <cell r="E155">
            <v>45747</v>
          </cell>
          <cell r="F155">
            <v>10382173.35</v>
          </cell>
          <cell r="G155">
            <v>180145.481</v>
          </cell>
          <cell r="H155">
            <v>57.63</v>
          </cell>
          <cell r="I155">
            <v>0</v>
          </cell>
          <cell r="J155">
            <v>59.36</v>
          </cell>
          <cell r="K155">
            <v>0.21</v>
          </cell>
        </row>
        <row r="156">
          <cell r="A156" t="str">
            <v>LU1883316454</v>
          </cell>
          <cell r="B156" t="str">
            <v>AMUNDI FUNDS GLOBAL AGGREGATE BOND</v>
          </cell>
          <cell r="C156" t="str">
            <v>Class A2 EUR MTD (D)</v>
          </cell>
          <cell r="D156" t="str">
            <v>EUR</v>
          </cell>
          <cell r="E156">
            <v>45747</v>
          </cell>
          <cell r="F156">
            <v>116343.88</v>
          </cell>
          <cell r="G156">
            <v>2343.623</v>
          </cell>
          <cell r="H156">
            <v>49.64</v>
          </cell>
          <cell r="I156">
            <v>0</v>
          </cell>
          <cell r="J156">
            <v>51.13</v>
          </cell>
          <cell r="K156">
            <v>0.18</v>
          </cell>
        </row>
        <row r="157">
          <cell r="A157" t="str">
            <v>LU1883317262</v>
          </cell>
          <cell r="B157" t="str">
            <v>AMUNDI FUNDS GLOBAL AGGREGATE BOND</v>
          </cell>
          <cell r="C157" t="str">
            <v>Class E2 EUR (C)</v>
          </cell>
          <cell r="D157" t="str">
            <v>EUR</v>
          </cell>
          <cell r="E157">
            <v>45747</v>
          </cell>
          <cell r="F157">
            <v>12926081.09</v>
          </cell>
          <cell r="G157">
            <v>2222300.6150000002</v>
          </cell>
          <cell r="H157">
            <v>5.8170000000000002</v>
          </cell>
          <cell r="I157">
            <v>0</v>
          </cell>
          <cell r="J157">
            <v>5.8170000000000002</v>
          </cell>
          <cell r="K157">
            <v>2.1999999999999999E-2</v>
          </cell>
        </row>
        <row r="158">
          <cell r="A158" t="str">
            <v>LU1049752592</v>
          </cell>
          <cell r="B158" t="str">
            <v>AMUNDI FUNDS GLOBAL AGGREGATE BOND</v>
          </cell>
          <cell r="C158" t="str">
            <v>Class A2 USD (C)</v>
          </cell>
          <cell r="D158" t="str">
            <v>USD</v>
          </cell>
          <cell r="E158">
            <v>45747</v>
          </cell>
          <cell r="F158">
            <v>4692507.93</v>
          </cell>
          <cell r="G158">
            <v>38700.159</v>
          </cell>
          <cell r="H158">
            <v>121.25</v>
          </cell>
          <cell r="I158">
            <v>0</v>
          </cell>
          <cell r="J158">
            <v>121.25</v>
          </cell>
          <cell r="K158">
            <v>0.21</v>
          </cell>
        </row>
        <row r="159">
          <cell r="A159" t="str">
            <v>LU2018719646</v>
          </cell>
          <cell r="B159" t="str">
            <v>AMUNDI FUNDS GLOBAL AGGREGATE BOND</v>
          </cell>
          <cell r="C159" t="str">
            <v>Class F EUR Hgd MTD (D)</v>
          </cell>
          <cell r="D159" t="str">
            <v>EUR</v>
          </cell>
          <cell r="E159">
            <v>45747</v>
          </cell>
          <cell r="F159">
            <v>99165.05</v>
          </cell>
          <cell r="G159">
            <v>24863.599999999999</v>
          </cell>
          <cell r="H159">
            <v>3.988</v>
          </cell>
          <cell r="I159">
            <v>0</v>
          </cell>
          <cell r="J159">
            <v>3.988</v>
          </cell>
          <cell r="K159">
            <v>6.0000000000000001E-3</v>
          </cell>
        </row>
        <row r="160">
          <cell r="A160" t="str">
            <v>LU1883317429</v>
          </cell>
          <cell r="B160" t="str">
            <v>AMUNDI FUNDS GLOBAL AGGREGATE BOND</v>
          </cell>
          <cell r="C160" t="str">
            <v>Class F EUR (C)</v>
          </cell>
          <cell r="D160" t="str">
            <v>EUR</v>
          </cell>
          <cell r="E160">
            <v>45747</v>
          </cell>
          <cell r="F160">
            <v>7166683.3200000003</v>
          </cell>
          <cell r="G160">
            <v>1281345.122</v>
          </cell>
          <cell r="H160">
            <v>5.593</v>
          </cell>
          <cell r="I160">
            <v>0</v>
          </cell>
          <cell r="J160">
            <v>5.593</v>
          </cell>
          <cell r="K160">
            <v>0.02</v>
          </cell>
        </row>
        <row r="161">
          <cell r="A161" t="str">
            <v>LU0557861431</v>
          </cell>
          <cell r="B161" t="str">
            <v>AMUNDI FUNDS GLOBAL AGGREGATE BOND</v>
          </cell>
          <cell r="C161" t="str">
            <v>Class F2 USD (C)</v>
          </cell>
          <cell r="D161" t="str">
            <v>USD</v>
          </cell>
          <cell r="E161">
            <v>45747</v>
          </cell>
          <cell r="F161">
            <v>16142671.390000001</v>
          </cell>
          <cell r="G161">
            <v>120803.364</v>
          </cell>
          <cell r="H161">
            <v>133.63</v>
          </cell>
          <cell r="I161">
            <v>0</v>
          </cell>
          <cell r="J161">
            <v>133.63</v>
          </cell>
          <cell r="K161">
            <v>0.23</v>
          </cell>
        </row>
        <row r="162">
          <cell r="A162" t="str">
            <v>LU2208986872</v>
          </cell>
          <cell r="B162" t="str">
            <v>AMUNDI FUNDS GLOBAL AGGREGATE BOND</v>
          </cell>
          <cell r="C162" t="str">
            <v>Class F USD (C)</v>
          </cell>
          <cell r="D162" t="str">
            <v>USD</v>
          </cell>
          <cell r="E162">
            <v>45747</v>
          </cell>
          <cell r="F162">
            <v>57834.62</v>
          </cell>
          <cell r="G162">
            <v>11519.504000000001</v>
          </cell>
          <cell r="H162">
            <v>5.0209999999999999</v>
          </cell>
          <cell r="I162">
            <v>0</v>
          </cell>
          <cell r="J162">
            <v>5.0209999999999999</v>
          </cell>
          <cell r="K162">
            <v>8.9999999999999993E-3</v>
          </cell>
        </row>
        <row r="163">
          <cell r="A163" t="str">
            <v>LU1250884811</v>
          </cell>
          <cell r="B163" t="str">
            <v>AMUNDI FUNDS GLOBAL AGGREGATE BOND</v>
          </cell>
          <cell r="C163" t="str">
            <v>Class F2 USD MD (D)</v>
          </cell>
          <cell r="D163" t="str">
            <v>USD</v>
          </cell>
          <cell r="E163">
            <v>45747</v>
          </cell>
          <cell r="F163">
            <v>405209.64</v>
          </cell>
          <cell r="G163">
            <v>4433.0640000000003</v>
          </cell>
          <cell r="H163">
            <v>91.41</v>
          </cell>
          <cell r="I163">
            <v>0</v>
          </cell>
          <cell r="J163">
            <v>91.41</v>
          </cell>
          <cell r="K163">
            <v>0.16</v>
          </cell>
        </row>
        <row r="164">
          <cell r="A164" t="str">
            <v>LU0613077535</v>
          </cell>
          <cell r="B164" t="str">
            <v>AMUNDI FUNDS GLOBAL AGGREGATE BOND</v>
          </cell>
          <cell r="C164" t="str">
            <v>Class F2 EUR Hgd (C)</v>
          </cell>
          <cell r="D164" t="str">
            <v>EUR</v>
          </cell>
          <cell r="E164">
            <v>45747</v>
          </cell>
          <cell r="F164">
            <v>12847045.93</v>
          </cell>
          <cell r="G164">
            <v>117412.533</v>
          </cell>
          <cell r="H164">
            <v>109.42</v>
          </cell>
          <cell r="I164">
            <v>0</v>
          </cell>
          <cell r="J164">
            <v>109.42</v>
          </cell>
          <cell r="K164">
            <v>0.18</v>
          </cell>
        </row>
        <row r="165">
          <cell r="A165" t="str">
            <v>LU2208986013</v>
          </cell>
          <cell r="B165" t="str">
            <v>AMUNDI FUNDS GLOBAL AGGREGATE BOND</v>
          </cell>
          <cell r="C165" t="str">
            <v>Class F EUR Hgd (C)</v>
          </cell>
          <cell r="D165" t="str">
            <v>EUR</v>
          </cell>
          <cell r="E165">
            <v>45747</v>
          </cell>
          <cell r="F165">
            <v>1632456.53</v>
          </cell>
          <cell r="G165">
            <v>350017.87099999998</v>
          </cell>
          <cell r="H165">
            <v>4.6639999999999997</v>
          </cell>
          <cell r="I165">
            <v>0</v>
          </cell>
          <cell r="J165">
            <v>4.6639999999999997</v>
          </cell>
          <cell r="K165">
            <v>8.0000000000000002E-3</v>
          </cell>
        </row>
        <row r="166">
          <cell r="A166" t="str">
            <v>LU0613077709</v>
          </cell>
          <cell r="B166" t="str">
            <v>AMUNDI FUNDS GLOBAL AGGREGATE BOND</v>
          </cell>
          <cell r="C166" t="str">
            <v>Class F2 EUR Hgd MD (D)</v>
          </cell>
          <cell r="D166" t="str">
            <v>EUR</v>
          </cell>
          <cell r="E166">
            <v>45747</v>
          </cell>
          <cell r="F166">
            <v>30087339.739999998</v>
          </cell>
          <cell r="G166">
            <v>413197.77100000001</v>
          </cell>
          <cell r="H166">
            <v>72.819999999999993</v>
          </cell>
          <cell r="I166">
            <v>0</v>
          </cell>
          <cell r="J166">
            <v>72.819999999999993</v>
          </cell>
          <cell r="K166">
            <v>0.12</v>
          </cell>
        </row>
        <row r="167">
          <cell r="A167" t="str">
            <v>LU0613077295</v>
          </cell>
          <cell r="B167" t="str">
            <v>AMUNDI FUNDS GLOBAL AGGREGATE BOND</v>
          </cell>
          <cell r="C167" t="str">
            <v>Class G EUR Hgd MD (D)</v>
          </cell>
          <cell r="D167" t="str">
            <v>EUR</v>
          </cell>
          <cell r="E167">
            <v>45747</v>
          </cell>
          <cell r="F167">
            <v>106411501.73</v>
          </cell>
          <cell r="G167">
            <v>1400730.0109999999</v>
          </cell>
          <cell r="H167">
            <v>75.97</v>
          </cell>
          <cell r="I167">
            <v>0</v>
          </cell>
          <cell r="J167">
            <v>78.25</v>
          </cell>
          <cell r="K167">
            <v>0.13</v>
          </cell>
        </row>
        <row r="168">
          <cell r="A168" t="str">
            <v>LU1706545289</v>
          </cell>
          <cell r="B168" t="str">
            <v>AMUNDI FUNDS GLOBAL AGGREGATE BOND</v>
          </cell>
          <cell r="C168" t="str">
            <v>Class G EUR Hgd QD (D)</v>
          </cell>
          <cell r="D168" t="str">
            <v>EUR</v>
          </cell>
          <cell r="E168">
            <v>45747</v>
          </cell>
          <cell r="F168">
            <v>8018045.3399999999</v>
          </cell>
          <cell r="G168">
            <v>99763.387000000002</v>
          </cell>
          <cell r="H168">
            <v>80.37</v>
          </cell>
          <cell r="I168">
            <v>0</v>
          </cell>
          <cell r="J168">
            <v>80.37</v>
          </cell>
          <cell r="K168">
            <v>0.13</v>
          </cell>
        </row>
        <row r="169">
          <cell r="A169" t="str">
            <v>LU1883317775</v>
          </cell>
          <cell r="B169" t="str">
            <v>AMUNDI FUNDS GLOBAL AGGREGATE BOND</v>
          </cell>
          <cell r="C169" t="str">
            <v>Class I2 EUR Hgd (C)</v>
          </cell>
          <cell r="D169" t="str">
            <v>EUR</v>
          </cell>
          <cell r="E169">
            <v>45747</v>
          </cell>
          <cell r="F169">
            <v>21367373.489999998</v>
          </cell>
          <cell r="G169">
            <v>20769.764999999999</v>
          </cell>
          <cell r="H169">
            <v>1028.77</v>
          </cell>
          <cell r="I169">
            <v>0</v>
          </cell>
          <cell r="J169">
            <v>1028.77</v>
          </cell>
          <cell r="K169">
            <v>1.77</v>
          </cell>
        </row>
        <row r="170">
          <cell r="A170" t="str">
            <v>LU0839535514</v>
          </cell>
          <cell r="B170" t="str">
            <v>AMUNDI FUNDS GLOBAL AGGREGATE BOND</v>
          </cell>
          <cell r="C170" t="str">
            <v>Class I EUR (C)</v>
          </cell>
          <cell r="D170" t="str">
            <v>EUR</v>
          </cell>
          <cell r="E170">
            <v>45747</v>
          </cell>
          <cell r="F170">
            <v>37834528.780000001</v>
          </cell>
          <cell r="G170">
            <v>22083.356</v>
          </cell>
          <cell r="H170">
            <v>1713.26</v>
          </cell>
          <cell r="I170">
            <v>0</v>
          </cell>
          <cell r="J170">
            <v>1713.26</v>
          </cell>
          <cell r="K170">
            <v>6.39</v>
          </cell>
        </row>
        <row r="171">
          <cell r="A171" t="str">
            <v>LU0319687637</v>
          </cell>
          <cell r="B171" t="str">
            <v>AMUNDI FUNDS GLOBAL AGGREGATE BOND</v>
          </cell>
          <cell r="C171" t="str">
            <v>Class I USD (C)</v>
          </cell>
          <cell r="D171" t="str">
            <v>USD</v>
          </cell>
          <cell r="E171">
            <v>45747</v>
          </cell>
          <cell r="F171">
            <v>65068525.810000002</v>
          </cell>
          <cell r="G171">
            <v>25137.769</v>
          </cell>
          <cell r="H171">
            <v>2588.48</v>
          </cell>
          <cell r="I171">
            <v>0</v>
          </cell>
          <cell r="J171">
            <v>2588.48</v>
          </cell>
          <cell r="K171">
            <v>4.62</v>
          </cell>
        </row>
        <row r="172">
          <cell r="A172" t="str">
            <v>LU2330497434</v>
          </cell>
          <cell r="B172" t="str">
            <v>AMUNDI FUNDS GLOBAL AGGREGATE BOND</v>
          </cell>
          <cell r="C172" t="str">
            <v>Class I2 USD MTD (D)</v>
          </cell>
          <cell r="D172" t="str">
            <v>USD</v>
          </cell>
          <cell r="E172">
            <v>45747</v>
          </cell>
          <cell r="F172">
            <v>4648.26</v>
          </cell>
          <cell r="G172">
            <v>5</v>
          </cell>
          <cell r="H172">
            <v>929.65</v>
          </cell>
          <cell r="I172">
            <v>0</v>
          </cell>
          <cell r="J172">
            <v>929.65</v>
          </cell>
          <cell r="K172">
            <v>1.64</v>
          </cell>
        </row>
        <row r="173">
          <cell r="A173" t="str">
            <v>LU2819204053</v>
          </cell>
          <cell r="B173" t="str">
            <v>AMUNDI FUNDS GLOBAL AGGREGATE BOND</v>
          </cell>
          <cell r="C173" t="str">
            <v>Class I22 USD (C)</v>
          </cell>
          <cell r="D173" t="str">
            <v>USD</v>
          </cell>
          <cell r="E173">
            <v>45747</v>
          </cell>
          <cell r="F173">
            <v>3488016.34</v>
          </cell>
          <cell r="G173">
            <v>3388.8069999999998</v>
          </cell>
          <cell r="H173">
            <v>1029.28</v>
          </cell>
          <cell r="I173">
            <v>0</v>
          </cell>
          <cell r="J173">
            <v>1029.28</v>
          </cell>
          <cell r="K173">
            <v>1.86</v>
          </cell>
        </row>
        <row r="174">
          <cell r="A174" t="str">
            <v>LU1103162241</v>
          </cell>
          <cell r="B174" t="str">
            <v>AMUNDI FUNDS GLOBAL AGGREGATE BOND</v>
          </cell>
          <cell r="C174" t="str">
            <v>Class Q-I11 USD (C)</v>
          </cell>
          <cell r="D174" t="str">
            <v>USD</v>
          </cell>
          <cell r="E174">
            <v>45747</v>
          </cell>
          <cell r="F174">
            <v>497138.73</v>
          </cell>
          <cell r="G174">
            <v>393.60700000000003</v>
          </cell>
          <cell r="H174">
            <v>1263.03</v>
          </cell>
          <cell r="I174">
            <v>0</v>
          </cell>
          <cell r="J174">
            <v>1263.03</v>
          </cell>
          <cell r="K174">
            <v>2.23</v>
          </cell>
        </row>
        <row r="175">
          <cell r="A175" t="str">
            <v>LU2330497350</v>
          </cell>
          <cell r="B175" t="str">
            <v>AMUNDI FUNDS GLOBAL AGGREGATE BOND</v>
          </cell>
          <cell r="C175" t="str">
            <v>Class I2 USD AD (D)</v>
          </cell>
          <cell r="D175" t="str">
            <v>USD</v>
          </cell>
          <cell r="E175">
            <v>45747</v>
          </cell>
          <cell r="F175">
            <v>4920.82</v>
          </cell>
          <cell r="G175">
            <v>5</v>
          </cell>
          <cell r="H175">
            <v>984.16</v>
          </cell>
          <cell r="I175">
            <v>0</v>
          </cell>
          <cell r="J175">
            <v>984.16</v>
          </cell>
          <cell r="K175">
            <v>1.74</v>
          </cell>
        </row>
        <row r="176">
          <cell r="A176" t="str">
            <v>LU0906524789</v>
          </cell>
          <cell r="B176" t="str">
            <v>AMUNDI FUNDS GLOBAL AGGREGATE BOND</v>
          </cell>
          <cell r="C176" t="str">
            <v>Class I CAD Hgd AD (D)</v>
          </cell>
          <cell r="D176" t="str">
            <v>CAD</v>
          </cell>
          <cell r="E176">
            <v>45747</v>
          </cell>
          <cell r="F176">
            <v>354304.13</v>
          </cell>
          <cell r="G176">
            <v>339</v>
          </cell>
          <cell r="H176">
            <v>1045.1400000000001</v>
          </cell>
          <cell r="I176">
            <v>0</v>
          </cell>
          <cell r="J176">
            <v>1045.1400000000001</v>
          </cell>
          <cell r="K176">
            <v>1.87</v>
          </cell>
        </row>
        <row r="177">
          <cell r="A177" t="str">
            <v>LU0945157690</v>
          </cell>
          <cell r="B177" t="str">
            <v>AMUNDI FUNDS GLOBAL AGGREGATE BOND</v>
          </cell>
          <cell r="C177" t="str">
            <v>Class I CHF Hgd (C)</v>
          </cell>
          <cell r="D177" t="str">
            <v>CHF</v>
          </cell>
          <cell r="E177">
            <v>45747</v>
          </cell>
          <cell r="F177">
            <v>17984008.809999999</v>
          </cell>
          <cell r="G177">
            <v>17446.216</v>
          </cell>
          <cell r="H177">
            <v>1030.83</v>
          </cell>
          <cell r="I177">
            <v>0</v>
          </cell>
          <cell r="J177">
            <v>1030.83</v>
          </cell>
          <cell r="K177">
            <v>1.74</v>
          </cell>
        </row>
        <row r="178">
          <cell r="A178" t="str">
            <v>LU1883317346</v>
          </cell>
          <cell r="B178" t="str">
            <v>AMUNDI FUNDS GLOBAL AGGREGATE BOND</v>
          </cell>
          <cell r="C178" t="str">
            <v>Class E2 EUR QTD (D)</v>
          </cell>
          <cell r="D178" t="str">
            <v>EUR</v>
          </cell>
          <cell r="E178">
            <v>45747</v>
          </cell>
          <cell r="F178">
            <v>3927909.3</v>
          </cell>
          <cell r="G178">
            <v>778717.82499999995</v>
          </cell>
          <cell r="H178">
            <v>5.0439999999999996</v>
          </cell>
          <cell r="I178">
            <v>0</v>
          </cell>
          <cell r="J178">
            <v>5.0439999999999996</v>
          </cell>
          <cell r="K178">
            <v>1.7999999999999999E-2</v>
          </cell>
        </row>
        <row r="179">
          <cell r="A179" t="str">
            <v>LU0839535357</v>
          </cell>
          <cell r="B179" t="str">
            <v>AMUNDI FUNDS GLOBAL AGGREGATE BOND</v>
          </cell>
          <cell r="C179" t="str">
            <v>Class I EUR Hgd (C)</v>
          </cell>
          <cell r="D179" t="str">
            <v>EUR</v>
          </cell>
          <cell r="E179">
            <v>45747</v>
          </cell>
          <cell r="F179">
            <v>75452833.109999999</v>
          </cell>
          <cell r="G179">
            <v>63499.010999999999</v>
          </cell>
          <cell r="H179">
            <v>1188.25</v>
          </cell>
          <cell r="I179">
            <v>0</v>
          </cell>
          <cell r="J179">
            <v>1188.25</v>
          </cell>
          <cell r="K179">
            <v>2.04</v>
          </cell>
        </row>
        <row r="180">
          <cell r="A180" t="str">
            <v>LU2819204137</v>
          </cell>
          <cell r="B180" t="str">
            <v>AMUNDI FUNDS GLOBAL AGGREGATE BOND</v>
          </cell>
          <cell r="C180" t="str">
            <v>Class I22 SGD Hgd (C)</v>
          </cell>
          <cell r="D180" t="str">
            <v>SGD</v>
          </cell>
          <cell r="E180">
            <v>45747</v>
          </cell>
          <cell r="F180">
            <v>122638528.59</v>
          </cell>
          <cell r="G180">
            <v>120366.86199999999</v>
          </cell>
          <cell r="H180">
            <v>1018.87</v>
          </cell>
          <cell r="I180">
            <v>0</v>
          </cell>
          <cell r="J180">
            <v>1018.87</v>
          </cell>
          <cell r="K180">
            <v>1.85</v>
          </cell>
        </row>
        <row r="181">
          <cell r="A181" t="str">
            <v>LU0987191565</v>
          </cell>
          <cell r="B181" t="str">
            <v>AMUNDI FUNDS GLOBAL AGGREGATE BOND</v>
          </cell>
          <cell r="C181" t="str">
            <v>Class I GBP Hgd (C)</v>
          </cell>
          <cell r="D181" t="str">
            <v>GBP</v>
          </cell>
          <cell r="E181">
            <v>45747</v>
          </cell>
          <cell r="F181">
            <v>14102595.279999999</v>
          </cell>
          <cell r="G181">
            <v>11869.391</v>
          </cell>
          <cell r="H181">
            <v>1188.1500000000001</v>
          </cell>
          <cell r="I181">
            <v>0</v>
          </cell>
          <cell r="J181">
            <v>1188.1500000000001</v>
          </cell>
          <cell r="K181">
            <v>2.11</v>
          </cell>
        </row>
        <row r="182">
          <cell r="A182" t="str">
            <v>LU0987191722</v>
          </cell>
          <cell r="B182" t="str">
            <v>AMUNDI FUNDS GLOBAL AGGREGATE BOND</v>
          </cell>
          <cell r="C182" t="str">
            <v>Class I EUR Hgd AD (D)</v>
          </cell>
          <cell r="D182" t="str">
            <v>EUR</v>
          </cell>
          <cell r="E182">
            <v>45747</v>
          </cell>
          <cell r="F182">
            <v>43458849.140000001</v>
          </cell>
          <cell r="G182">
            <v>50152.400999999998</v>
          </cell>
          <cell r="H182">
            <v>866.54</v>
          </cell>
          <cell r="I182">
            <v>0</v>
          </cell>
          <cell r="J182">
            <v>866.54</v>
          </cell>
          <cell r="K182">
            <v>1.49</v>
          </cell>
        </row>
        <row r="183">
          <cell r="A183" t="str">
            <v>LU1883317692</v>
          </cell>
          <cell r="B183" t="str">
            <v>AMUNDI FUNDS GLOBAL AGGREGATE BOND</v>
          </cell>
          <cell r="C183" t="str">
            <v>Class I2 EUR (C)</v>
          </cell>
          <cell r="D183" t="str">
            <v>EUR</v>
          </cell>
          <cell r="E183">
            <v>45747</v>
          </cell>
          <cell r="F183">
            <v>63660286.840000004</v>
          </cell>
          <cell r="G183">
            <v>53237.078000000001</v>
          </cell>
          <cell r="H183">
            <v>1195.79</v>
          </cell>
          <cell r="I183">
            <v>0</v>
          </cell>
          <cell r="J183">
            <v>1195.79</v>
          </cell>
          <cell r="K183">
            <v>4.4400000000000004</v>
          </cell>
        </row>
        <row r="184">
          <cell r="A184" t="str">
            <v>LU1897299365</v>
          </cell>
          <cell r="B184" t="str">
            <v>AMUNDI FUNDS GLOBAL AGGREGATE BOND</v>
          </cell>
          <cell r="C184" t="str">
            <v>Class I2 GBP (C)</v>
          </cell>
          <cell r="D184" t="str">
            <v>GBP</v>
          </cell>
          <cell r="E184">
            <v>45747</v>
          </cell>
          <cell r="F184">
            <v>5236.58</v>
          </cell>
          <cell r="G184">
            <v>5</v>
          </cell>
          <cell r="H184">
            <v>1047.32</v>
          </cell>
          <cell r="I184">
            <v>0</v>
          </cell>
          <cell r="J184">
            <v>1047.32</v>
          </cell>
          <cell r="K184">
            <v>4.57</v>
          </cell>
        </row>
        <row r="185">
          <cell r="A185" t="str">
            <v>LU2031983880</v>
          </cell>
          <cell r="B185" t="str">
            <v>AMUNDI FUNDS GLOBAL AGGREGATE BOND</v>
          </cell>
          <cell r="C185" t="str">
            <v>Class I2 GBP QD (D)</v>
          </cell>
          <cell r="D185" t="str">
            <v>GBP</v>
          </cell>
          <cell r="E185">
            <v>45747</v>
          </cell>
          <cell r="F185">
            <v>4605.18</v>
          </cell>
          <cell r="G185">
            <v>5</v>
          </cell>
          <cell r="H185">
            <v>921.04</v>
          </cell>
          <cell r="I185">
            <v>7.68</v>
          </cell>
          <cell r="J185">
            <v>921.04</v>
          </cell>
          <cell r="K185">
            <v>-3.62</v>
          </cell>
        </row>
        <row r="186">
          <cell r="A186" t="str">
            <v>LU2347636446</v>
          </cell>
          <cell r="B186" t="str">
            <v>AMUNDI FUNDS GLOBAL AGGREGATE BOND</v>
          </cell>
          <cell r="C186" t="str">
            <v>Class Z EUR Hgd (C)</v>
          </cell>
          <cell r="D186" t="str">
            <v>EUR</v>
          </cell>
          <cell r="E186">
            <v>45747</v>
          </cell>
          <cell r="F186">
            <v>24852222.440000001</v>
          </cell>
          <cell r="G186">
            <v>23072.665000000001</v>
          </cell>
          <cell r="H186">
            <v>1077.1300000000001</v>
          </cell>
          <cell r="I186">
            <v>0</v>
          </cell>
          <cell r="J186">
            <v>1077.1300000000001</v>
          </cell>
          <cell r="K186">
            <v>1.86</v>
          </cell>
        </row>
        <row r="187">
          <cell r="A187" t="str">
            <v>LU1883317858</v>
          </cell>
          <cell r="B187" t="str">
            <v>AMUNDI FUNDS GLOBAL AGGREGATE BOND</v>
          </cell>
          <cell r="C187" t="str">
            <v>Class I2 USD (C)</v>
          </cell>
          <cell r="D187" t="str">
            <v>USD</v>
          </cell>
          <cell r="E187">
            <v>45747</v>
          </cell>
          <cell r="F187">
            <v>309427787.54000002</v>
          </cell>
          <cell r="G187">
            <v>285081.01400000002</v>
          </cell>
          <cell r="H187">
            <v>1085.4000000000001</v>
          </cell>
          <cell r="I187">
            <v>0</v>
          </cell>
          <cell r="J187">
            <v>1085.4000000000001</v>
          </cell>
          <cell r="K187">
            <v>1.92</v>
          </cell>
        </row>
        <row r="188">
          <cell r="A188" t="str">
            <v>LU0839535860</v>
          </cell>
          <cell r="B188" t="str">
            <v>AMUNDI FUNDS GLOBAL AGGREGATE BOND</v>
          </cell>
          <cell r="C188" t="str">
            <v>Class I EUR AD (D)</v>
          </cell>
          <cell r="D188" t="str">
            <v>EUR</v>
          </cell>
          <cell r="E188">
            <v>45747</v>
          </cell>
          <cell r="F188">
            <v>14605224.74</v>
          </cell>
          <cell r="G188">
            <v>12790.004000000001</v>
          </cell>
          <cell r="H188">
            <v>1141.92</v>
          </cell>
          <cell r="I188">
            <v>0</v>
          </cell>
          <cell r="J188">
            <v>1141.92</v>
          </cell>
          <cell r="K188">
            <v>4.25</v>
          </cell>
        </row>
        <row r="189">
          <cell r="A189" t="str">
            <v>LU0319687710</v>
          </cell>
          <cell r="B189" t="str">
            <v>AMUNDI FUNDS GLOBAL AGGREGATE BOND</v>
          </cell>
          <cell r="C189" t="str">
            <v>Class I USD AD (D)</v>
          </cell>
          <cell r="D189" t="str">
            <v>USD</v>
          </cell>
          <cell r="E189">
            <v>45747</v>
          </cell>
          <cell r="F189">
            <v>1443630.1</v>
          </cell>
          <cell r="G189">
            <v>1295.75</v>
          </cell>
          <cell r="H189">
            <v>1114.1300000000001</v>
          </cell>
          <cell r="I189">
            <v>0</v>
          </cell>
          <cell r="J189">
            <v>1114.1300000000001</v>
          </cell>
          <cell r="K189">
            <v>1.99</v>
          </cell>
        </row>
        <row r="190">
          <cell r="A190" t="str">
            <v>LU0329444938</v>
          </cell>
          <cell r="B190" t="str">
            <v>AMUNDI FUNDS GLOBAL AGGREGATE BOND</v>
          </cell>
          <cell r="C190" t="str">
            <v>Class M USD (C)</v>
          </cell>
          <cell r="D190" t="str">
            <v>USD</v>
          </cell>
          <cell r="E190">
            <v>45747</v>
          </cell>
          <cell r="F190">
            <v>79199571.340000004</v>
          </cell>
          <cell r="G190">
            <v>466160.09899999999</v>
          </cell>
          <cell r="H190">
            <v>169.9</v>
          </cell>
          <cell r="I190">
            <v>0</v>
          </cell>
          <cell r="J190">
            <v>169.9</v>
          </cell>
          <cell r="K190">
            <v>0.3</v>
          </cell>
        </row>
        <row r="191">
          <cell r="A191" t="str">
            <v>LU0613076487</v>
          </cell>
          <cell r="B191" t="str">
            <v>AMUNDI FUNDS GLOBAL AGGREGATE BOND</v>
          </cell>
          <cell r="C191" t="str">
            <v>Class M EUR Hgd (C)</v>
          </cell>
          <cell r="D191" t="str">
            <v>EUR</v>
          </cell>
          <cell r="E191">
            <v>45747</v>
          </cell>
          <cell r="F191">
            <v>113107870.66</v>
          </cell>
          <cell r="G191">
            <v>883990.53899999999</v>
          </cell>
          <cell r="H191">
            <v>127.95</v>
          </cell>
          <cell r="I191">
            <v>0</v>
          </cell>
          <cell r="J191">
            <v>127.95</v>
          </cell>
          <cell r="K191">
            <v>0.22</v>
          </cell>
        </row>
        <row r="192">
          <cell r="A192" t="str">
            <v>LU2002721707</v>
          </cell>
          <cell r="B192" t="str">
            <v>AMUNDI FUNDS GLOBAL AGGREGATE BOND</v>
          </cell>
          <cell r="C192" t="str">
            <v>Class M2 USD ( C )</v>
          </cell>
          <cell r="D192" t="str">
            <v>USD</v>
          </cell>
          <cell r="E192">
            <v>45747</v>
          </cell>
          <cell r="F192">
            <v>5494.3</v>
          </cell>
          <cell r="G192">
            <v>5</v>
          </cell>
          <cell r="H192">
            <v>1098.8599999999999</v>
          </cell>
          <cell r="I192">
            <v>0</v>
          </cell>
          <cell r="J192">
            <v>1098.8599999999999</v>
          </cell>
          <cell r="K192">
            <v>1.95</v>
          </cell>
        </row>
        <row r="193">
          <cell r="A193" t="str">
            <v>LU0557861514</v>
          </cell>
          <cell r="B193" t="str">
            <v>AMUNDI FUNDS GLOBAL AGGREGATE BOND</v>
          </cell>
          <cell r="C193" t="str">
            <v>Class O USD (C)</v>
          </cell>
          <cell r="D193" t="str">
            <v>USD</v>
          </cell>
          <cell r="E193">
            <v>45747</v>
          </cell>
          <cell r="F193">
            <v>9279426.4000000004</v>
          </cell>
          <cell r="G193">
            <v>5607.2240000000002</v>
          </cell>
          <cell r="H193">
            <v>1654.91</v>
          </cell>
          <cell r="I193">
            <v>0</v>
          </cell>
          <cell r="J193">
            <v>1654.91</v>
          </cell>
          <cell r="K193">
            <v>3</v>
          </cell>
        </row>
        <row r="194">
          <cell r="A194" t="str">
            <v>LU1883318237</v>
          </cell>
          <cell r="B194" t="str">
            <v>AMUNDI FUNDS GLOBAL AGGREGATE BOND</v>
          </cell>
          <cell r="C194" t="str">
            <v>Class P2 USD (C)</v>
          </cell>
          <cell r="D194" t="str">
            <v>USD</v>
          </cell>
          <cell r="E194">
            <v>45747</v>
          </cell>
          <cell r="F194">
            <v>256930.65</v>
          </cell>
          <cell r="G194">
            <v>4570.9560000000001</v>
          </cell>
          <cell r="H194">
            <v>56.21</v>
          </cell>
          <cell r="I194">
            <v>0</v>
          </cell>
          <cell r="J194">
            <v>56.21</v>
          </cell>
          <cell r="K194">
            <v>0.1</v>
          </cell>
        </row>
        <row r="195">
          <cell r="A195" t="str">
            <v>LU0906524946</v>
          </cell>
          <cell r="B195" t="str">
            <v>AMUNDI FUNDS GLOBAL AGGREGATE BOND</v>
          </cell>
          <cell r="C195" t="str">
            <v>Class Q-R GBP Hgd AD (D)</v>
          </cell>
          <cell r="D195" t="str">
            <v>GBP</v>
          </cell>
          <cell r="E195">
            <v>45747</v>
          </cell>
          <cell r="F195">
            <v>18644.97</v>
          </cell>
          <cell r="G195">
            <v>184.297</v>
          </cell>
          <cell r="H195">
            <v>101.17</v>
          </cell>
          <cell r="I195">
            <v>0</v>
          </cell>
          <cell r="J195">
            <v>101.17</v>
          </cell>
          <cell r="K195">
            <v>0.18</v>
          </cell>
        </row>
        <row r="196">
          <cell r="A196" t="str">
            <v>LU1250884738</v>
          </cell>
          <cell r="B196" t="str">
            <v>AMUNDI FUNDS GLOBAL AGGREGATE BOND</v>
          </cell>
          <cell r="C196" t="str">
            <v>Class R CHF Hgd (C)</v>
          </cell>
          <cell r="D196" t="str">
            <v>CHF</v>
          </cell>
          <cell r="E196">
            <v>45747</v>
          </cell>
          <cell r="F196">
            <v>89947.73</v>
          </cell>
          <cell r="G196">
            <v>950</v>
          </cell>
          <cell r="H196">
            <v>94.68</v>
          </cell>
          <cell r="I196">
            <v>0</v>
          </cell>
          <cell r="J196">
            <v>94.68</v>
          </cell>
          <cell r="K196">
            <v>0.16</v>
          </cell>
        </row>
        <row r="197">
          <cell r="A197" t="str">
            <v>LU0839533659</v>
          </cell>
          <cell r="B197" t="str">
            <v>AMUNDI FUNDS GLOBAL AGGREGATE BOND</v>
          </cell>
          <cell r="C197" t="str">
            <v>Class Q-R GBP (C)</v>
          </cell>
          <cell r="D197" t="str">
            <v>GBP</v>
          </cell>
          <cell r="E197">
            <v>45747</v>
          </cell>
          <cell r="F197">
            <v>97147.839999999997</v>
          </cell>
          <cell r="G197">
            <v>804.47299999999996</v>
          </cell>
          <cell r="H197">
            <v>120.76</v>
          </cell>
          <cell r="I197">
            <v>0</v>
          </cell>
          <cell r="J197">
            <v>120.76</v>
          </cell>
          <cell r="K197">
            <v>0.52</v>
          </cell>
        </row>
        <row r="198">
          <cell r="A198" t="str">
            <v>LU0839534624</v>
          </cell>
          <cell r="B198" t="str">
            <v>AMUNDI FUNDS GLOBAL AGGREGATE BOND</v>
          </cell>
          <cell r="C198" t="str">
            <v>Class R USD (C)</v>
          </cell>
          <cell r="D198" t="str">
            <v>USD</v>
          </cell>
          <cell r="E198">
            <v>45747</v>
          </cell>
          <cell r="F198">
            <v>7075803.6299999999</v>
          </cell>
          <cell r="G198">
            <v>51936.39</v>
          </cell>
          <cell r="H198">
            <v>136.24</v>
          </cell>
          <cell r="I198">
            <v>0</v>
          </cell>
          <cell r="J198">
            <v>136.24</v>
          </cell>
          <cell r="K198">
            <v>0.24</v>
          </cell>
        </row>
        <row r="199">
          <cell r="A199" t="str">
            <v>LU0839534384</v>
          </cell>
          <cell r="B199" t="str">
            <v>AMUNDI FUNDS GLOBAL AGGREGATE BOND</v>
          </cell>
          <cell r="C199" t="str">
            <v>Class R EUR Hgd AD (D)</v>
          </cell>
          <cell r="D199" t="str">
            <v>EUR</v>
          </cell>
          <cell r="E199">
            <v>45747</v>
          </cell>
          <cell r="F199">
            <v>1928517.18</v>
          </cell>
          <cell r="G199">
            <v>21227.592000000001</v>
          </cell>
          <cell r="H199">
            <v>90.85</v>
          </cell>
          <cell r="I199">
            <v>0</v>
          </cell>
          <cell r="J199">
            <v>90.85</v>
          </cell>
          <cell r="K199">
            <v>0.16</v>
          </cell>
        </row>
        <row r="200">
          <cell r="A200" t="str">
            <v>LU0839534970</v>
          </cell>
          <cell r="B200" t="str">
            <v>AMUNDI FUNDS GLOBAL AGGREGATE BOND</v>
          </cell>
          <cell r="C200" t="str">
            <v>Class R USD AD (D)</v>
          </cell>
          <cell r="D200" t="str">
            <v>USD</v>
          </cell>
          <cell r="E200">
            <v>45747</v>
          </cell>
          <cell r="F200">
            <v>237384.32000000001</v>
          </cell>
          <cell r="G200">
            <v>2169.9609999999998</v>
          </cell>
          <cell r="H200">
            <v>109.4</v>
          </cell>
          <cell r="I200">
            <v>0</v>
          </cell>
          <cell r="J200">
            <v>109.4</v>
          </cell>
          <cell r="K200">
            <v>0.2</v>
          </cell>
        </row>
        <row r="201">
          <cell r="A201" t="str">
            <v>LU0839533816</v>
          </cell>
          <cell r="B201" t="str">
            <v>AMUNDI FUNDS GLOBAL AGGREGATE BOND</v>
          </cell>
          <cell r="C201" t="str">
            <v>Class Q-R GBP AD (D)</v>
          </cell>
          <cell r="D201" t="str">
            <v>GBP</v>
          </cell>
          <cell r="E201">
            <v>45747</v>
          </cell>
          <cell r="F201">
            <v>236896.09</v>
          </cell>
          <cell r="G201">
            <v>1665</v>
          </cell>
          <cell r="H201">
            <v>142.28</v>
          </cell>
          <cell r="I201">
            <v>0</v>
          </cell>
          <cell r="J201">
            <v>142.28</v>
          </cell>
          <cell r="K201">
            <v>0.62</v>
          </cell>
        </row>
        <row r="202">
          <cell r="A202" t="str">
            <v>LU1873222944</v>
          </cell>
          <cell r="B202" t="str">
            <v>AMUNDI FUNDS GLOBAL AGGREGATE BOND</v>
          </cell>
          <cell r="C202" t="str">
            <v>Class R CHF Hgd AD (D)</v>
          </cell>
          <cell r="D202" t="str">
            <v>CHF</v>
          </cell>
          <cell r="E202">
            <v>45747</v>
          </cell>
          <cell r="F202">
            <v>316944.46999999997</v>
          </cell>
          <cell r="G202">
            <v>3751.9369999999999</v>
          </cell>
          <cell r="H202">
            <v>84.47</v>
          </cell>
          <cell r="I202">
            <v>0</v>
          </cell>
          <cell r="J202">
            <v>84.47</v>
          </cell>
          <cell r="K202">
            <v>0.14000000000000001</v>
          </cell>
        </row>
        <row r="203">
          <cell r="A203" t="str">
            <v>LU1327397144</v>
          </cell>
          <cell r="B203" t="str">
            <v>AMUNDI FUNDS GLOBAL AGGREGATE BOND</v>
          </cell>
          <cell r="C203" t="str">
            <v>Class R EUR (C)</v>
          </cell>
          <cell r="D203" t="str">
            <v>EUR</v>
          </cell>
          <cell r="E203">
            <v>45747</v>
          </cell>
          <cell r="F203">
            <v>17812075.609999999</v>
          </cell>
          <cell r="G203">
            <v>142309.6</v>
          </cell>
          <cell r="H203">
            <v>125.16</v>
          </cell>
          <cell r="I203">
            <v>0</v>
          </cell>
          <cell r="J203">
            <v>125.16</v>
          </cell>
          <cell r="K203">
            <v>0.46</v>
          </cell>
        </row>
        <row r="204">
          <cell r="A204" t="str">
            <v>LU1327397227</v>
          </cell>
          <cell r="B204" t="str">
            <v>AMUNDI FUNDS GLOBAL AGGREGATE BOND</v>
          </cell>
          <cell r="C204" t="str">
            <v>Class R EUR AD (D)</v>
          </cell>
          <cell r="D204" t="str">
            <v>EUR</v>
          </cell>
          <cell r="E204">
            <v>45747</v>
          </cell>
          <cell r="F204">
            <v>216190.85</v>
          </cell>
          <cell r="G204">
            <v>1857.5630000000001</v>
          </cell>
          <cell r="H204">
            <v>116.38</v>
          </cell>
          <cell r="I204">
            <v>0</v>
          </cell>
          <cell r="J204">
            <v>116.38</v>
          </cell>
          <cell r="K204">
            <v>0.43</v>
          </cell>
        </row>
        <row r="205">
          <cell r="A205" t="str">
            <v>LU0839534111</v>
          </cell>
          <cell r="B205" t="str">
            <v>AMUNDI FUNDS GLOBAL AGGREGATE BOND</v>
          </cell>
          <cell r="C205" t="str">
            <v>Class R EUR Hgd (C)</v>
          </cell>
          <cell r="D205" t="str">
            <v>EUR</v>
          </cell>
          <cell r="E205">
            <v>45747</v>
          </cell>
          <cell r="F205">
            <v>15190804.279999999</v>
          </cell>
          <cell r="G205">
            <v>134072.16</v>
          </cell>
          <cell r="H205">
            <v>113.3</v>
          </cell>
          <cell r="I205">
            <v>0</v>
          </cell>
          <cell r="J205">
            <v>113.3</v>
          </cell>
          <cell r="K205">
            <v>0.19</v>
          </cell>
        </row>
        <row r="206">
          <cell r="A206" t="str">
            <v>LU0906524862</v>
          </cell>
          <cell r="B206" t="str">
            <v>AMUNDI FUNDS GLOBAL AGGREGATE BOND</v>
          </cell>
          <cell r="C206" t="str">
            <v>Class Q-R GBP Hgd (C)</v>
          </cell>
          <cell r="D206" t="str">
            <v>GBP</v>
          </cell>
          <cell r="E206">
            <v>45747</v>
          </cell>
          <cell r="F206">
            <v>615462.96</v>
          </cell>
          <cell r="G206">
            <v>4820.4780000000001</v>
          </cell>
          <cell r="H206">
            <v>127.68</v>
          </cell>
          <cell r="I206">
            <v>0</v>
          </cell>
          <cell r="J206">
            <v>127.68</v>
          </cell>
          <cell r="K206">
            <v>0.23</v>
          </cell>
        </row>
        <row r="207">
          <cell r="A207" t="str">
            <v>LU1508889729</v>
          </cell>
          <cell r="B207" t="str">
            <v>AMUNDI FUNDS GLOBAL AGGREGATE BOND</v>
          </cell>
          <cell r="C207" t="str">
            <v>Class Q-R2 EUR Hgd (C)</v>
          </cell>
          <cell r="D207" t="str">
            <v>EUR</v>
          </cell>
          <cell r="E207">
            <v>45747</v>
          </cell>
          <cell r="F207">
            <v>6939822.5899999999</v>
          </cell>
          <cell r="G207">
            <v>65704.092000000004</v>
          </cell>
          <cell r="H207">
            <v>105.62</v>
          </cell>
          <cell r="I207">
            <v>0</v>
          </cell>
          <cell r="J207">
            <v>105.62</v>
          </cell>
          <cell r="K207">
            <v>0.18</v>
          </cell>
        </row>
        <row r="208">
          <cell r="A208" t="str">
            <v>LU1883318583</v>
          </cell>
          <cell r="B208" t="str">
            <v>AMUNDI FUNDS GLOBAL AGGREGATE BOND</v>
          </cell>
          <cell r="C208" t="str">
            <v>Class R2 USD (C)</v>
          </cell>
          <cell r="D208" t="str">
            <v>USD</v>
          </cell>
          <cell r="E208">
            <v>45747</v>
          </cell>
          <cell r="F208">
            <v>7997541.4199999999</v>
          </cell>
          <cell r="G208">
            <v>141480.51800000001</v>
          </cell>
          <cell r="H208">
            <v>56.53</v>
          </cell>
          <cell r="I208">
            <v>0</v>
          </cell>
          <cell r="J208">
            <v>56.53</v>
          </cell>
          <cell r="K208">
            <v>0.1</v>
          </cell>
        </row>
        <row r="209">
          <cell r="A209" t="str">
            <v>LU0319688361</v>
          </cell>
          <cell r="B209" t="str">
            <v>AMUNDI FUNDS GLOBAL AGGREGATE BOND</v>
          </cell>
          <cell r="C209" t="str">
            <v>Class G USD (C)</v>
          </cell>
          <cell r="D209" t="str">
            <v>USD</v>
          </cell>
          <cell r="E209">
            <v>45747</v>
          </cell>
          <cell r="F209">
            <v>134329220.5</v>
          </cell>
          <cell r="G209">
            <v>536537.91099999996</v>
          </cell>
          <cell r="H209">
            <v>250.36</v>
          </cell>
          <cell r="I209">
            <v>0</v>
          </cell>
          <cell r="J209">
            <v>257.87</v>
          </cell>
          <cell r="K209">
            <v>0.43</v>
          </cell>
        </row>
        <row r="210">
          <cell r="A210" t="str">
            <v>LU0797053575</v>
          </cell>
          <cell r="B210" t="str">
            <v>AMUNDI FUNDS GLOBAL AGGREGATE BOND</v>
          </cell>
          <cell r="C210" t="str">
            <v>Class G GBP Hgd AD (D)</v>
          </cell>
          <cell r="D210" t="str">
            <v>GBP</v>
          </cell>
          <cell r="E210">
            <v>45747</v>
          </cell>
          <cell r="F210">
            <v>380434.49</v>
          </cell>
          <cell r="G210">
            <v>3866.4609999999998</v>
          </cell>
          <cell r="H210">
            <v>98.39</v>
          </cell>
          <cell r="I210">
            <v>0</v>
          </cell>
          <cell r="J210">
            <v>101.34</v>
          </cell>
          <cell r="K210">
            <v>0.17</v>
          </cell>
        </row>
        <row r="211">
          <cell r="A211" t="str">
            <v>LU0613076990</v>
          </cell>
          <cell r="B211" t="str">
            <v>AMUNDI FUNDS GLOBAL AGGREGATE BOND</v>
          </cell>
          <cell r="C211" t="str">
            <v>Class G EUR Hgd (C)</v>
          </cell>
          <cell r="D211" t="str">
            <v>EUR</v>
          </cell>
          <cell r="E211">
            <v>45747</v>
          </cell>
          <cell r="F211">
            <v>91399734.180000007</v>
          </cell>
          <cell r="G211">
            <v>779499.53700000001</v>
          </cell>
          <cell r="H211">
            <v>117.25</v>
          </cell>
          <cell r="I211">
            <v>0</v>
          </cell>
          <cell r="J211">
            <v>120.77</v>
          </cell>
          <cell r="K211">
            <v>0.19</v>
          </cell>
        </row>
        <row r="212">
          <cell r="A212" t="str">
            <v>LU1327397060</v>
          </cell>
          <cell r="B212" t="str">
            <v>AMUNDI FUNDS GLOBAL AGGREGATE BOND</v>
          </cell>
          <cell r="C212" t="str">
            <v>Class G USD MD (D)</v>
          </cell>
          <cell r="D212" t="str">
            <v>USD</v>
          </cell>
          <cell r="E212">
            <v>45747</v>
          </cell>
          <cell r="F212">
            <v>851162.95</v>
          </cell>
          <cell r="G212">
            <v>9353.2080000000005</v>
          </cell>
          <cell r="H212">
            <v>91</v>
          </cell>
          <cell r="I212">
            <v>0</v>
          </cell>
          <cell r="J212">
            <v>91</v>
          </cell>
          <cell r="K212">
            <v>0.16</v>
          </cell>
        </row>
        <row r="213">
          <cell r="A213" t="str">
            <v>LU2085676323</v>
          </cell>
          <cell r="B213" t="str">
            <v>AMUNDI FUNDS GLOBAL AGGREGATE BOND</v>
          </cell>
          <cell r="C213" t="str">
            <v>Class X EUR Hgd AD  ( D )</v>
          </cell>
          <cell r="D213" t="str">
            <v>EUR</v>
          </cell>
          <cell r="E213">
            <v>45747</v>
          </cell>
          <cell r="F213">
            <v>958033289.62</v>
          </cell>
          <cell r="G213">
            <v>1075406.3060000001</v>
          </cell>
          <cell r="H213">
            <v>890.86</v>
          </cell>
          <cell r="I213">
            <v>0</v>
          </cell>
          <cell r="J213">
            <v>890.86</v>
          </cell>
          <cell r="K213">
            <v>1.57</v>
          </cell>
        </row>
        <row r="214">
          <cell r="A214" t="str">
            <v>LU1327396419</v>
          </cell>
          <cell r="B214" t="str">
            <v>AMUNDI FUNDS GLOBAL AGGREGATE BOND</v>
          </cell>
          <cell r="C214" t="str">
            <v>Class I USD MD (D)</v>
          </cell>
          <cell r="D214" t="str">
            <v>USD</v>
          </cell>
          <cell r="E214">
            <v>45747</v>
          </cell>
          <cell r="F214">
            <v>2929369.71</v>
          </cell>
          <cell r="G214">
            <v>2950.3440000000001</v>
          </cell>
          <cell r="H214">
            <v>992.89</v>
          </cell>
          <cell r="I214">
            <v>0</v>
          </cell>
          <cell r="J214">
            <v>992.89</v>
          </cell>
          <cell r="K214">
            <v>1.77</v>
          </cell>
        </row>
        <row r="215">
          <cell r="A215" t="str">
            <v>LU1327396849</v>
          </cell>
          <cell r="B215" t="str">
            <v>AMUNDI FUNDS GLOBAL AGGREGATE BOND</v>
          </cell>
          <cell r="C215" t="str">
            <v>Class A2 SGD (C)</v>
          </cell>
          <cell r="D215" t="str">
            <v>SGD</v>
          </cell>
          <cell r="E215">
            <v>45747</v>
          </cell>
          <cell r="F215">
            <v>517021.58</v>
          </cell>
          <cell r="G215">
            <v>4287.75</v>
          </cell>
          <cell r="H215">
            <v>120.58</v>
          </cell>
          <cell r="I215">
            <v>0</v>
          </cell>
          <cell r="J215">
            <v>120.58</v>
          </cell>
          <cell r="K215">
            <v>0.49</v>
          </cell>
        </row>
        <row r="216">
          <cell r="A216" t="str">
            <v>LU1327396922</v>
          </cell>
          <cell r="B216" t="str">
            <v>AMUNDI FUNDS GLOBAL AGGREGATE BOND</v>
          </cell>
          <cell r="C216" t="str">
            <v>Class A2 SGD MD (D)</v>
          </cell>
          <cell r="D216" t="str">
            <v>SGD</v>
          </cell>
          <cell r="E216">
            <v>45747</v>
          </cell>
          <cell r="F216">
            <v>14222.17</v>
          </cell>
          <cell r="G216">
            <v>155.67699999999999</v>
          </cell>
          <cell r="H216">
            <v>91.36</v>
          </cell>
          <cell r="I216">
            <v>0</v>
          </cell>
          <cell r="J216">
            <v>91.36</v>
          </cell>
          <cell r="K216">
            <v>0.38</v>
          </cell>
        </row>
        <row r="217">
          <cell r="A217" t="str">
            <v>LU0557863056</v>
          </cell>
          <cell r="B217" t="str">
            <v>AMUNDI FUNDS GLOBAL CORPORATE BOND</v>
          </cell>
          <cell r="C217" t="str">
            <v>Class A EUR (C)</v>
          </cell>
          <cell r="D217" t="str">
            <v>EUR</v>
          </cell>
          <cell r="E217">
            <v>45747</v>
          </cell>
          <cell r="F217">
            <v>19952407.440000001</v>
          </cell>
          <cell r="G217">
            <v>95003.804000000004</v>
          </cell>
          <cell r="H217">
            <v>210.02</v>
          </cell>
          <cell r="I217">
            <v>0</v>
          </cell>
          <cell r="J217">
            <v>216.32</v>
          </cell>
          <cell r="K217">
            <v>0.55000000000000004</v>
          </cell>
        </row>
        <row r="218">
          <cell r="A218" t="str">
            <v>LU0319688791</v>
          </cell>
          <cell r="B218" t="str">
            <v>AMUNDI FUNDS GLOBAL CORPORATE BOND</v>
          </cell>
          <cell r="C218" t="str">
            <v>Class A USD (C)</v>
          </cell>
          <cell r="D218" t="str">
            <v>USD</v>
          </cell>
          <cell r="E218">
            <v>45747</v>
          </cell>
          <cell r="F218">
            <v>15192089.17</v>
          </cell>
          <cell r="G218">
            <v>78636.286999999997</v>
          </cell>
          <cell r="H218">
            <v>193.19</v>
          </cell>
          <cell r="I218">
            <v>0</v>
          </cell>
          <cell r="J218">
            <v>198.99</v>
          </cell>
          <cell r="K218">
            <v>0.13</v>
          </cell>
        </row>
        <row r="219">
          <cell r="A219" t="str">
            <v>LU0906525240</v>
          </cell>
          <cell r="B219" t="str">
            <v>AMUNDI FUNDS GLOBAL CORPORATE BOND</v>
          </cell>
          <cell r="C219" t="str">
            <v>Class A EUR Hgd MD (D)</v>
          </cell>
          <cell r="D219" t="str">
            <v>EUR</v>
          </cell>
          <cell r="E219">
            <v>45747</v>
          </cell>
          <cell r="F219">
            <v>1222516.72</v>
          </cell>
          <cell r="G219">
            <v>16879.056</v>
          </cell>
          <cell r="H219">
            <v>72.430000000000007</v>
          </cell>
          <cell r="I219">
            <v>0</v>
          </cell>
          <cell r="J219">
            <v>72.430000000000007</v>
          </cell>
          <cell r="K219">
            <v>0.05</v>
          </cell>
        </row>
        <row r="220">
          <cell r="A220" t="str">
            <v>LU0839536322</v>
          </cell>
          <cell r="B220" t="str">
            <v>AMUNDI FUNDS GLOBAL CORPORATE BOND</v>
          </cell>
          <cell r="C220" t="str">
            <v>Class A EUR Hgd (C)</v>
          </cell>
          <cell r="D220" t="str">
            <v>EUR</v>
          </cell>
          <cell r="E220">
            <v>45747</v>
          </cell>
          <cell r="F220">
            <v>5898798.5300000003</v>
          </cell>
          <cell r="G220">
            <v>51287.067999999999</v>
          </cell>
          <cell r="H220">
            <v>115.02</v>
          </cell>
          <cell r="I220">
            <v>0</v>
          </cell>
          <cell r="J220">
            <v>118.47</v>
          </cell>
          <cell r="K220">
            <v>0.08</v>
          </cell>
        </row>
        <row r="221">
          <cell r="A221" t="str">
            <v>LU2976322052</v>
          </cell>
          <cell r="B221" t="str">
            <v>AMUNDI FUNDS GLOBAL CORPORATE BOND</v>
          </cell>
          <cell r="C221" t="str">
            <v>Class A2 JPY Hgd MTD3 (D)</v>
          </cell>
          <cell r="D221" t="str">
            <v>JPY</v>
          </cell>
          <cell r="E221">
            <v>45747</v>
          </cell>
          <cell r="F221">
            <v>15953364</v>
          </cell>
          <cell r="G221">
            <v>1600</v>
          </cell>
          <cell r="H221">
            <v>9971</v>
          </cell>
          <cell r="I221">
            <v>0</v>
          </cell>
          <cell r="J221">
            <v>9971</v>
          </cell>
          <cell r="K221">
            <v>6</v>
          </cell>
        </row>
        <row r="222">
          <cell r="A222" t="str">
            <v>LU2976321914</v>
          </cell>
          <cell r="B222" t="str">
            <v>AMUNDI FUNDS GLOBAL CORPORATE BOND</v>
          </cell>
          <cell r="C222" t="str">
            <v>Class A2 USD MTD3 (D)</v>
          </cell>
          <cell r="D222" t="str">
            <v>USD</v>
          </cell>
          <cell r="E222">
            <v>45747</v>
          </cell>
          <cell r="F222">
            <v>5025.78</v>
          </cell>
          <cell r="G222">
            <v>100</v>
          </cell>
          <cell r="H222">
            <v>50.26</v>
          </cell>
          <cell r="I222">
            <v>0</v>
          </cell>
          <cell r="J222">
            <v>50.26</v>
          </cell>
          <cell r="K222">
            <v>0.04</v>
          </cell>
        </row>
        <row r="223">
          <cell r="A223" t="str">
            <v>LU0557863130</v>
          </cell>
          <cell r="B223" t="str">
            <v>AMUNDI FUNDS GLOBAL CORPORATE BOND</v>
          </cell>
          <cell r="C223" t="str">
            <v>Class A EUR AD (D)</v>
          </cell>
          <cell r="D223" t="str">
            <v>EUR</v>
          </cell>
          <cell r="E223">
            <v>45747</v>
          </cell>
          <cell r="F223">
            <v>28922217.010000002</v>
          </cell>
          <cell r="G223">
            <v>189882.06899999999</v>
          </cell>
          <cell r="H223">
            <v>152.32</v>
          </cell>
          <cell r="I223">
            <v>0</v>
          </cell>
          <cell r="J223">
            <v>156.88999999999999</v>
          </cell>
          <cell r="K223">
            <v>0.4</v>
          </cell>
        </row>
        <row r="224">
          <cell r="A224" t="str">
            <v>LU0319688874</v>
          </cell>
          <cell r="B224" t="str">
            <v>AMUNDI FUNDS GLOBAL CORPORATE BOND</v>
          </cell>
          <cell r="C224" t="str">
            <v>Class A USD AD (D)</v>
          </cell>
          <cell r="D224" t="str">
            <v>USD</v>
          </cell>
          <cell r="E224">
            <v>45747</v>
          </cell>
          <cell r="F224">
            <v>2370929.25</v>
          </cell>
          <cell r="G224">
            <v>18582.006000000001</v>
          </cell>
          <cell r="H224">
            <v>127.59</v>
          </cell>
          <cell r="I224">
            <v>0</v>
          </cell>
          <cell r="J224">
            <v>131.41999999999999</v>
          </cell>
          <cell r="K224">
            <v>0.08</v>
          </cell>
        </row>
        <row r="225">
          <cell r="A225" t="str">
            <v>LU2002722002</v>
          </cell>
          <cell r="B225" t="str">
            <v>AMUNDI FUNDS GLOBAL CORPORATE BOND</v>
          </cell>
          <cell r="C225" t="str">
            <v>Class M2 EUR Hgd ( C )</v>
          </cell>
          <cell r="D225" t="str">
            <v>EUR</v>
          </cell>
          <cell r="E225">
            <v>45747</v>
          </cell>
          <cell r="F225">
            <v>38637650.079999998</v>
          </cell>
          <cell r="G225">
            <v>38772.154000000002</v>
          </cell>
          <cell r="H225">
            <v>996.53</v>
          </cell>
          <cell r="I225">
            <v>0</v>
          </cell>
          <cell r="J225">
            <v>996.53</v>
          </cell>
          <cell r="K225">
            <v>0.67</v>
          </cell>
        </row>
        <row r="226">
          <cell r="A226" t="str">
            <v>LU2110861221</v>
          </cell>
          <cell r="B226" t="str">
            <v>AMUNDI FUNDS GLOBAL CORPORATE BOND</v>
          </cell>
          <cell r="C226" t="str">
            <v>Class M2 EUR Hgd QTD (D)</v>
          </cell>
          <cell r="D226" t="str">
            <v>EUR</v>
          </cell>
          <cell r="E226">
            <v>45747</v>
          </cell>
          <cell r="F226">
            <v>4017613.2</v>
          </cell>
          <cell r="G226">
            <v>4976.6149999999998</v>
          </cell>
          <cell r="H226">
            <v>807.3</v>
          </cell>
          <cell r="I226">
            <v>0</v>
          </cell>
          <cell r="J226">
            <v>807.3</v>
          </cell>
          <cell r="K226">
            <v>0.55000000000000004</v>
          </cell>
        </row>
        <row r="227">
          <cell r="A227" t="str">
            <v>LU1327397573</v>
          </cell>
          <cell r="B227" t="str">
            <v>AMUNDI FUNDS GLOBAL CORPORATE BOND</v>
          </cell>
          <cell r="C227" t="str">
            <v>Class Q-I4 USD (C)</v>
          </cell>
          <cell r="D227" t="str">
            <v>USD</v>
          </cell>
          <cell r="E227">
            <v>45747</v>
          </cell>
          <cell r="F227">
            <v>1144109.33</v>
          </cell>
          <cell r="G227">
            <v>903.779</v>
          </cell>
          <cell r="H227">
            <v>1265.92</v>
          </cell>
          <cell r="I227">
            <v>0</v>
          </cell>
          <cell r="J227">
            <v>1265.92</v>
          </cell>
          <cell r="K227">
            <v>0.91</v>
          </cell>
        </row>
        <row r="228">
          <cell r="A228" t="str">
            <v>LU1103153331</v>
          </cell>
          <cell r="B228" t="str">
            <v>AMUNDI FUNDS GLOBAL CORPORATE BOND</v>
          </cell>
          <cell r="C228" t="str">
            <v>Class A2 USD (C)</v>
          </cell>
          <cell r="D228" t="str">
            <v>USD</v>
          </cell>
          <cell r="E228">
            <v>45747</v>
          </cell>
          <cell r="F228">
            <v>374385.74</v>
          </cell>
          <cell r="G228">
            <v>3781.183</v>
          </cell>
          <cell r="H228">
            <v>99.01</v>
          </cell>
          <cell r="I228">
            <v>0</v>
          </cell>
          <cell r="J228">
            <v>99.01</v>
          </cell>
          <cell r="K228">
            <v>0.06</v>
          </cell>
        </row>
        <row r="229">
          <cell r="A229" t="str">
            <v>LU2018722780</v>
          </cell>
          <cell r="B229" t="str">
            <v>AMUNDI FUNDS GLOBAL CORPORATE BOND</v>
          </cell>
          <cell r="C229" t="str">
            <v>Class F EUR Hgd MTD (D)</v>
          </cell>
          <cell r="D229" t="str">
            <v>EUR</v>
          </cell>
          <cell r="E229">
            <v>45747</v>
          </cell>
          <cell r="F229">
            <v>144234.99</v>
          </cell>
          <cell r="G229">
            <v>37501.434000000001</v>
          </cell>
          <cell r="H229">
            <v>3.8460000000000001</v>
          </cell>
          <cell r="I229">
            <v>0</v>
          </cell>
          <cell r="J229">
            <v>3.8460000000000001</v>
          </cell>
          <cell r="K229">
            <v>2E-3</v>
          </cell>
        </row>
        <row r="230">
          <cell r="A230" t="str">
            <v>LU0557863213</v>
          </cell>
          <cell r="B230" t="str">
            <v>AMUNDI FUNDS GLOBAL CORPORATE BOND</v>
          </cell>
          <cell r="C230" t="str">
            <v>Class F2 USD (C)</v>
          </cell>
          <cell r="D230" t="str">
            <v>USD</v>
          </cell>
          <cell r="E230">
            <v>45747</v>
          </cell>
          <cell r="F230">
            <v>912421.74</v>
          </cell>
          <cell r="G230">
            <v>6347.4070000000002</v>
          </cell>
          <cell r="H230">
            <v>143.75</v>
          </cell>
          <cell r="I230">
            <v>0</v>
          </cell>
          <cell r="J230">
            <v>143.75</v>
          </cell>
          <cell r="K230">
            <v>0.09</v>
          </cell>
        </row>
        <row r="231">
          <cell r="A231" t="str">
            <v>LU1103153091</v>
          </cell>
          <cell r="B231" t="str">
            <v>AMUNDI FUNDS GLOBAL CORPORATE BOND</v>
          </cell>
          <cell r="C231" t="str">
            <v>Class F2 EUR Hgd MD (D)</v>
          </cell>
          <cell r="D231" t="str">
            <v>EUR</v>
          </cell>
          <cell r="E231">
            <v>45747</v>
          </cell>
          <cell r="F231">
            <v>685437.27</v>
          </cell>
          <cell r="G231">
            <v>10153.281000000001</v>
          </cell>
          <cell r="H231">
            <v>67.510000000000005</v>
          </cell>
          <cell r="I231">
            <v>0</v>
          </cell>
          <cell r="J231">
            <v>67.510000000000005</v>
          </cell>
          <cell r="K231">
            <v>0.04</v>
          </cell>
        </row>
        <row r="232">
          <cell r="A232" t="str">
            <v>LU1103152879</v>
          </cell>
          <cell r="B232" t="str">
            <v>AMUNDI FUNDS GLOBAL CORPORATE BOND</v>
          </cell>
          <cell r="C232" t="str">
            <v>Class G EUR Hgd MD (D)</v>
          </cell>
          <cell r="D232" t="str">
            <v>EUR</v>
          </cell>
          <cell r="E232">
            <v>45747</v>
          </cell>
          <cell r="F232">
            <v>16702311.16</v>
          </cell>
          <cell r="G232">
            <v>234750.95499999999</v>
          </cell>
          <cell r="H232">
            <v>71.150000000000006</v>
          </cell>
          <cell r="I232">
            <v>0</v>
          </cell>
          <cell r="J232">
            <v>71.150000000000006</v>
          </cell>
          <cell r="K232">
            <v>0.05</v>
          </cell>
        </row>
        <row r="233">
          <cell r="A233" t="str">
            <v>LU2183143416</v>
          </cell>
          <cell r="B233" t="str">
            <v>AMUNDI FUNDS GLOBAL CORPORATE BOND</v>
          </cell>
          <cell r="C233" t="str">
            <v>Class I2 USD (C)</v>
          </cell>
          <cell r="D233" t="str">
            <v>USD</v>
          </cell>
          <cell r="E233">
            <v>45747</v>
          </cell>
          <cell r="F233">
            <v>5223.47</v>
          </cell>
          <cell r="G233">
            <v>5</v>
          </cell>
          <cell r="H233">
            <v>1044.69</v>
          </cell>
          <cell r="I233">
            <v>0</v>
          </cell>
          <cell r="J233">
            <v>1044.69</v>
          </cell>
          <cell r="K233">
            <v>0.76</v>
          </cell>
        </row>
        <row r="234">
          <cell r="A234" t="str">
            <v>LU0319688445</v>
          </cell>
          <cell r="B234" t="str">
            <v>AMUNDI FUNDS GLOBAL CORPORATE BOND</v>
          </cell>
          <cell r="C234" t="str">
            <v>Class I USD (C)</v>
          </cell>
          <cell r="D234" t="str">
            <v>USD</v>
          </cell>
          <cell r="E234">
            <v>45747</v>
          </cell>
          <cell r="F234">
            <v>19760498.760000002</v>
          </cell>
          <cell r="G234">
            <v>9406.4069999999992</v>
          </cell>
          <cell r="H234">
            <v>2100.75</v>
          </cell>
          <cell r="I234">
            <v>0</v>
          </cell>
          <cell r="J234">
            <v>2100.75</v>
          </cell>
          <cell r="K234">
            <v>1.53</v>
          </cell>
        </row>
        <row r="235">
          <cell r="A235" t="str">
            <v>LU0839536082</v>
          </cell>
          <cell r="B235" t="str">
            <v>AMUNDI FUNDS GLOBAL CORPORATE BOND</v>
          </cell>
          <cell r="C235" t="str">
            <v>Class I EUR Hgd (C)</v>
          </cell>
          <cell r="D235" t="str">
            <v>EUR</v>
          </cell>
          <cell r="E235">
            <v>45747</v>
          </cell>
          <cell r="F235">
            <v>47810468.549999997</v>
          </cell>
          <cell r="G235">
            <v>38736.252999999997</v>
          </cell>
          <cell r="H235">
            <v>1234.26</v>
          </cell>
          <cell r="I235">
            <v>0</v>
          </cell>
          <cell r="J235">
            <v>1234.26</v>
          </cell>
          <cell r="K235">
            <v>0.84</v>
          </cell>
        </row>
        <row r="236">
          <cell r="A236" t="str">
            <v>LU2931223189</v>
          </cell>
          <cell r="B236" t="str">
            <v>AMUNDI FUNDS GLOBAL CORPORATE BOND</v>
          </cell>
          <cell r="C236" t="str">
            <v>Class J19 EUR Hgd AD (D)</v>
          </cell>
          <cell r="D236" t="str">
            <v>EUR</v>
          </cell>
          <cell r="E236">
            <v>45747</v>
          </cell>
          <cell r="F236">
            <v>13758931.93</v>
          </cell>
          <cell r="G236">
            <v>13570</v>
          </cell>
          <cell r="H236">
            <v>1013.92</v>
          </cell>
          <cell r="I236">
            <v>0</v>
          </cell>
          <cell r="J236">
            <v>1013.92</v>
          </cell>
          <cell r="K236">
            <v>0.72</v>
          </cell>
        </row>
        <row r="237">
          <cell r="A237" t="str">
            <v>LU2782805357</v>
          </cell>
          <cell r="B237" t="str">
            <v>AMUNDI FUNDS GLOBAL CORPORATE BOND</v>
          </cell>
          <cell r="C237" t="str">
            <v>Class J19 USD (C)</v>
          </cell>
          <cell r="D237" t="str">
            <v>USD</v>
          </cell>
          <cell r="E237">
            <v>45747</v>
          </cell>
          <cell r="F237">
            <v>34206600.619999997</v>
          </cell>
          <cell r="G237">
            <v>32162.879000000001</v>
          </cell>
          <cell r="H237">
            <v>1063.54</v>
          </cell>
          <cell r="I237">
            <v>0</v>
          </cell>
          <cell r="J237">
            <v>1063.54</v>
          </cell>
          <cell r="K237">
            <v>0.8</v>
          </cell>
        </row>
        <row r="238">
          <cell r="A238" t="str">
            <v>LU2782805431</v>
          </cell>
          <cell r="B238" t="str">
            <v>AMUNDI FUNDS GLOBAL CORPORATE BOND</v>
          </cell>
          <cell r="C238" t="str">
            <v>Class J19 EUR Hgd (C)</v>
          </cell>
          <cell r="D238" t="str">
            <v>EUR</v>
          </cell>
          <cell r="E238">
            <v>45747</v>
          </cell>
          <cell r="F238">
            <v>66281517.060000002</v>
          </cell>
          <cell r="G238">
            <v>63281.947999999997</v>
          </cell>
          <cell r="H238">
            <v>1047.4000000000001</v>
          </cell>
          <cell r="I238">
            <v>0</v>
          </cell>
          <cell r="J238">
            <v>1047.4000000000001</v>
          </cell>
          <cell r="K238">
            <v>0.74</v>
          </cell>
        </row>
        <row r="239">
          <cell r="A239" t="str">
            <v>LU2782805514</v>
          </cell>
          <cell r="B239" t="str">
            <v>AMUNDI FUNDS GLOBAL CORPORATE BOND</v>
          </cell>
          <cell r="C239" t="str">
            <v>Class J19 GBP Hgd (C)</v>
          </cell>
          <cell r="D239" t="str">
            <v>GBP</v>
          </cell>
          <cell r="E239">
            <v>45747</v>
          </cell>
          <cell r="F239">
            <v>683150.92</v>
          </cell>
          <cell r="G239">
            <v>643</v>
          </cell>
          <cell r="H239">
            <v>1062.44</v>
          </cell>
          <cell r="I239">
            <v>0</v>
          </cell>
          <cell r="J239">
            <v>1062.44</v>
          </cell>
          <cell r="K239">
            <v>0.82</v>
          </cell>
        </row>
        <row r="240">
          <cell r="A240" t="str">
            <v>LU2782805605</v>
          </cell>
          <cell r="B240" t="str">
            <v>AMUNDI FUNDS GLOBAL CORPORATE BOND</v>
          </cell>
          <cell r="C240" t="str">
            <v>Class J19 GBP Hgd QD (D)</v>
          </cell>
          <cell r="D240" t="str">
            <v>GBP</v>
          </cell>
          <cell r="E240">
            <v>45747</v>
          </cell>
          <cell r="F240">
            <v>3013294.32</v>
          </cell>
          <cell r="G240">
            <v>2940.7469999999998</v>
          </cell>
          <cell r="H240">
            <v>1024.67</v>
          </cell>
          <cell r="I240">
            <v>11.125078</v>
          </cell>
          <cell r="J240">
            <v>1024.67</v>
          </cell>
          <cell r="K240">
            <v>-10.33</v>
          </cell>
        </row>
        <row r="241">
          <cell r="A241" t="str">
            <v>LU2782805787</v>
          </cell>
          <cell r="B241" t="str">
            <v>AMUNDI FUNDS GLOBAL CORPORATE BOND</v>
          </cell>
          <cell r="C241" t="str">
            <v>Class J19 CHF Hgd (C)</v>
          </cell>
          <cell r="D241" t="str">
            <v>CHF</v>
          </cell>
          <cell r="E241">
            <v>45747</v>
          </cell>
          <cell r="F241">
            <v>16915696.02</v>
          </cell>
          <cell r="G241">
            <v>16523</v>
          </cell>
          <cell r="H241">
            <v>1023.77</v>
          </cell>
          <cell r="I241">
            <v>0</v>
          </cell>
          <cell r="J241">
            <v>1023.77</v>
          </cell>
          <cell r="K241">
            <v>0.69</v>
          </cell>
        </row>
        <row r="242">
          <cell r="A242" t="str">
            <v>LU2870883290</v>
          </cell>
          <cell r="B242" t="str">
            <v>AMUNDI FUNDS GLOBAL CORPORATE BOND</v>
          </cell>
          <cell r="C242" t="str">
            <v>Class J19 USD AD (D)</v>
          </cell>
          <cell r="D242" t="str">
            <v>USD</v>
          </cell>
          <cell r="E242">
            <v>45747</v>
          </cell>
          <cell r="F242">
            <v>3796301.33</v>
          </cell>
          <cell r="G242">
            <v>3720</v>
          </cell>
          <cell r="H242">
            <v>1020.51</v>
          </cell>
          <cell r="I242">
            <v>0</v>
          </cell>
          <cell r="J242">
            <v>1020.51</v>
          </cell>
          <cell r="K242">
            <v>0.77</v>
          </cell>
        </row>
        <row r="243">
          <cell r="A243" t="str">
            <v>LU0329445315</v>
          </cell>
          <cell r="B243" t="str">
            <v>AMUNDI FUNDS GLOBAL CORPORATE BOND</v>
          </cell>
          <cell r="C243" t="str">
            <v>Class M USD (C)</v>
          </cell>
          <cell r="D243" t="str">
            <v>USD</v>
          </cell>
          <cell r="E243">
            <v>45747</v>
          </cell>
          <cell r="F243">
            <v>179197.7</v>
          </cell>
          <cell r="G243">
            <v>1136.085</v>
          </cell>
          <cell r="H243">
            <v>157.72999999999999</v>
          </cell>
          <cell r="I243">
            <v>0</v>
          </cell>
          <cell r="J243">
            <v>157.72999999999999</v>
          </cell>
          <cell r="K243">
            <v>0.11</v>
          </cell>
        </row>
        <row r="244">
          <cell r="A244" t="str">
            <v>LU1971433120</v>
          </cell>
          <cell r="B244" t="str">
            <v>AMUNDI FUNDS GLOBAL CORPORATE BOND</v>
          </cell>
          <cell r="C244" t="str">
            <v>Class M EUR HGD (C)</v>
          </cell>
          <cell r="D244" t="str">
            <v>EUR</v>
          </cell>
          <cell r="E244">
            <v>45747</v>
          </cell>
          <cell r="F244">
            <v>2297698.1800000002</v>
          </cell>
          <cell r="G244">
            <v>22169.08</v>
          </cell>
          <cell r="H244">
            <v>103.64</v>
          </cell>
          <cell r="I244">
            <v>0</v>
          </cell>
          <cell r="J244">
            <v>0</v>
          </cell>
          <cell r="K244">
            <v>7.0000000000000007E-2</v>
          </cell>
        </row>
        <row r="245">
          <cell r="A245" t="str">
            <v>LU0557863304</v>
          </cell>
          <cell r="B245" t="str">
            <v>AMUNDI FUNDS GLOBAL CORPORATE BOND</v>
          </cell>
          <cell r="C245" t="str">
            <v>Class O USD (C)</v>
          </cell>
          <cell r="D245" t="str">
            <v>USD</v>
          </cell>
          <cell r="E245">
            <v>45747</v>
          </cell>
          <cell r="F245">
            <v>307190715.23000002</v>
          </cell>
          <cell r="G245">
            <v>183251.97500000001</v>
          </cell>
          <cell r="H245">
            <v>1676.33</v>
          </cell>
          <cell r="I245">
            <v>0</v>
          </cell>
          <cell r="J245">
            <v>1676.33</v>
          </cell>
          <cell r="K245">
            <v>1.28</v>
          </cell>
        </row>
        <row r="246">
          <cell r="A246" t="str">
            <v>LU1103153174</v>
          </cell>
          <cell r="B246" t="str">
            <v>AMUNDI FUNDS GLOBAL CORPORATE BOND</v>
          </cell>
          <cell r="C246" t="str">
            <v>Class O EUR Hgd (C)</v>
          </cell>
          <cell r="D246" t="str">
            <v>EUR</v>
          </cell>
          <cell r="E246">
            <v>45747</v>
          </cell>
          <cell r="F246">
            <v>29049978.190000001</v>
          </cell>
          <cell r="G246">
            <v>25422.026000000002</v>
          </cell>
          <cell r="H246">
            <v>1142.71</v>
          </cell>
          <cell r="I246">
            <v>0</v>
          </cell>
          <cell r="J246">
            <v>1142.71</v>
          </cell>
          <cell r="K246">
            <v>0.82</v>
          </cell>
        </row>
        <row r="247">
          <cell r="A247" t="str">
            <v>LU1737510369</v>
          </cell>
          <cell r="B247" t="str">
            <v>AMUNDI FUNDS GLOBAL CORPORATE BOND</v>
          </cell>
          <cell r="C247" t="str">
            <v>Class R USD (C)</v>
          </cell>
          <cell r="D247" t="str">
            <v>USD</v>
          </cell>
          <cell r="E247">
            <v>45747</v>
          </cell>
          <cell r="F247">
            <v>2953605.11</v>
          </cell>
          <cell r="G247">
            <v>51326.209000000003</v>
          </cell>
          <cell r="H247">
            <v>57.55</v>
          </cell>
          <cell r="I247">
            <v>0</v>
          </cell>
          <cell r="J247">
            <v>57.55</v>
          </cell>
          <cell r="K247">
            <v>0.05</v>
          </cell>
        </row>
        <row r="248">
          <cell r="A248" t="str">
            <v>LU0906525679</v>
          </cell>
          <cell r="B248" t="str">
            <v>AMUNDI FUNDS GLOBAL CORPORATE BOND</v>
          </cell>
          <cell r="C248" t="str">
            <v>Class R EUR Hgd AD (D)</v>
          </cell>
          <cell r="D248" t="str">
            <v>EUR</v>
          </cell>
          <cell r="E248">
            <v>45747</v>
          </cell>
          <cell r="F248">
            <v>13317.71</v>
          </cell>
          <cell r="G248">
            <v>150</v>
          </cell>
          <cell r="H248">
            <v>88.78</v>
          </cell>
          <cell r="I248">
            <v>0</v>
          </cell>
          <cell r="J248">
            <v>88.78</v>
          </cell>
          <cell r="K248">
            <v>0.05</v>
          </cell>
        </row>
        <row r="249">
          <cell r="A249" t="str">
            <v>LU0906525596</v>
          </cell>
          <cell r="B249" t="str">
            <v>AMUNDI FUNDS GLOBAL CORPORATE BOND</v>
          </cell>
          <cell r="C249" t="str">
            <v>Class R EUR Hgd (C)</v>
          </cell>
          <cell r="D249" t="str">
            <v>EUR</v>
          </cell>
          <cell r="E249">
            <v>45747</v>
          </cell>
          <cell r="F249">
            <v>15728621.789999999</v>
          </cell>
          <cell r="G249">
            <v>153408.98300000001</v>
          </cell>
          <cell r="H249">
            <v>102.53</v>
          </cell>
          <cell r="I249">
            <v>0</v>
          </cell>
          <cell r="J249">
            <v>102.53</v>
          </cell>
          <cell r="K249">
            <v>7.0000000000000007E-2</v>
          </cell>
        </row>
        <row r="250">
          <cell r="A250" t="str">
            <v>LU0319688957</v>
          </cell>
          <cell r="B250" t="str">
            <v>AMUNDI FUNDS GLOBAL CORPORATE BOND</v>
          </cell>
          <cell r="C250" t="str">
            <v>Class G USD (C)</v>
          </cell>
          <cell r="D250" t="str">
            <v>USD</v>
          </cell>
          <cell r="E250">
            <v>45747</v>
          </cell>
          <cell r="F250">
            <v>7507745.1900000004</v>
          </cell>
          <cell r="G250">
            <v>39949.620000000003</v>
          </cell>
          <cell r="H250">
            <v>187.93</v>
          </cell>
          <cell r="I250">
            <v>0</v>
          </cell>
          <cell r="J250">
            <v>193.57</v>
          </cell>
          <cell r="K250">
            <v>0.13</v>
          </cell>
        </row>
        <row r="251">
          <cell r="A251" t="str">
            <v>LU2976322300</v>
          </cell>
          <cell r="B251" t="str">
            <v>AMUNDI FUNDS GLOBAL CORPORATE BOND</v>
          </cell>
          <cell r="C251" t="str">
            <v>Class U JPY Hgd MTD3 (D)</v>
          </cell>
          <cell r="D251" t="str">
            <v>JPY</v>
          </cell>
          <cell r="E251">
            <v>45747</v>
          </cell>
          <cell r="F251">
            <v>15927018</v>
          </cell>
          <cell r="G251">
            <v>1600</v>
          </cell>
          <cell r="H251">
            <v>9954</v>
          </cell>
          <cell r="I251">
            <v>0</v>
          </cell>
          <cell r="J251">
            <v>9954</v>
          </cell>
          <cell r="K251">
            <v>4</v>
          </cell>
        </row>
        <row r="252">
          <cell r="A252" t="str">
            <v>LU2976322136</v>
          </cell>
          <cell r="B252" t="str">
            <v>AMUNDI FUNDS GLOBAL CORPORATE BOND</v>
          </cell>
          <cell r="C252" t="str">
            <v>Class U USD (C)</v>
          </cell>
          <cell r="D252" t="str">
            <v>USD</v>
          </cell>
          <cell r="E252">
            <v>45747</v>
          </cell>
          <cell r="F252">
            <v>5067.47</v>
          </cell>
          <cell r="G252">
            <v>100</v>
          </cell>
          <cell r="H252">
            <v>50.67</v>
          </cell>
          <cell r="I252">
            <v>0</v>
          </cell>
          <cell r="J252">
            <v>50.67</v>
          </cell>
          <cell r="K252">
            <v>0.03</v>
          </cell>
        </row>
        <row r="253">
          <cell r="A253" t="str">
            <v>LU2976322219</v>
          </cell>
          <cell r="B253" t="str">
            <v>AMUNDI FUNDS GLOBAL CORPORATE BOND</v>
          </cell>
          <cell r="C253" t="str">
            <v>Class U USD MTD3 (D)</v>
          </cell>
          <cell r="D253" t="str">
            <v>USD</v>
          </cell>
          <cell r="E253">
            <v>45747</v>
          </cell>
          <cell r="F253">
            <v>5017.6000000000004</v>
          </cell>
          <cell r="G253">
            <v>100</v>
          </cell>
          <cell r="H253">
            <v>50.18</v>
          </cell>
          <cell r="I253">
            <v>0</v>
          </cell>
          <cell r="J253">
            <v>50.18</v>
          </cell>
          <cell r="K253">
            <v>0.03</v>
          </cell>
        </row>
        <row r="254">
          <cell r="A254" t="str">
            <v>LU2401725697</v>
          </cell>
          <cell r="B254" t="str">
            <v>AMUNDI FUNDS GLOBAL CORPORATE BOND</v>
          </cell>
          <cell r="C254" t="str">
            <v>Class X USD (C)</v>
          </cell>
          <cell r="D254" t="str">
            <v>USD</v>
          </cell>
          <cell r="E254">
            <v>45747</v>
          </cell>
          <cell r="F254">
            <v>90625876.480000004</v>
          </cell>
          <cell r="G254">
            <v>80100.963000000003</v>
          </cell>
          <cell r="H254">
            <v>1131.4000000000001</v>
          </cell>
          <cell r="I254">
            <v>0</v>
          </cell>
          <cell r="J254">
            <v>1131.4000000000001</v>
          </cell>
          <cell r="K254">
            <v>0.87</v>
          </cell>
        </row>
        <row r="255">
          <cell r="A255" t="str">
            <v>LU1998921693</v>
          </cell>
          <cell r="B255" t="str">
            <v>AMUNDI FUNDS GLOBAL CORPORATE BOND</v>
          </cell>
          <cell r="C255" t="str">
            <v>Class X EUR Hgd  ( C )</v>
          </cell>
          <cell r="D255" t="str">
            <v>EUR</v>
          </cell>
          <cell r="E255">
            <v>45747</v>
          </cell>
          <cell r="F255">
            <v>30956310.760000002</v>
          </cell>
          <cell r="G255">
            <v>30118.379000000001</v>
          </cell>
          <cell r="H255">
            <v>1027.82</v>
          </cell>
          <cell r="I255">
            <v>0</v>
          </cell>
          <cell r="J255">
            <v>1027.82</v>
          </cell>
          <cell r="K255">
            <v>0.74</v>
          </cell>
        </row>
        <row r="256">
          <cell r="A256" t="str">
            <v>LU1998919879</v>
          </cell>
          <cell r="B256" t="str">
            <v>AMUNDI FUNDS GLOBAL CORPORATE BOND</v>
          </cell>
          <cell r="C256" t="str">
            <v>Class H EUR Hgd  ( C )</v>
          </cell>
          <cell r="D256" t="str">
            <v>EUR</v>
          </cell>
          <cell r="E256">
            <v>45747</v>
          </cell>
          <cell r="F256">
            <v>101045.03</v>
          </cell>
          <cell r="G256">
            <v>100</v>
          </cell>
          <cell r="H256">
            <v>1010.45</v>
          </cell>
          <cell r="I256">
            <v>0</v>
          </cell>
          <cell r="J256">
            <v>1010.45</v>
          </cell>
          <cell r="K256">
            <v>0.69</v>
          </cell>
        </row>
        <row r="257">
          <cell r="A257" t="str">
            <v>LU0442405998</v>
          </cell>
          <cell r="B257" t="str">
            <v>AMUNDI FUNDS GLOBAL INFLATION SHORT DURATION BOND</v>
          </cell>
          <cell r="C257" t="str">
            <v>Class A EUR (C)</v>
          </cell>
          <cell r="D257" t="str">
            <v>EUR</v>
          </cell>
          <cell r="E257">
            <v>45747</v>
          </cell>
          <cell r="F257">
            <v>3906894.84</v>
          </cell>
          <cell r="G257">
            <v>37063.300999999999</v>
          </cell>
          <cell r="H257">
            <v>105.41</v>
          </cell>
          <cell r="I257">
            <v>0</v>
          </cell>
          <cell r="J257">
            <v>108.57</v>
          </cell>
          <cell r="K257">
            <v>0.08</v>
          </cell>
        </row>
        <row r="258">
          <cell r="A258" t="str">
            <v>LU2070308056</v>
          </cell>
          <cell r="B258" t="str">
            <v>AMUNDI FUNDS GLOBAL INFLATION SHORT DURATION BOND</v>
          </cell>
          <cell r="C258" t="str">
            <v>Class A5 EUR (C)</v>
          </cell>
          <cell r="D258" t="str">
            <v>EUR</v>
          </cell>
          <cell r="E258">
            <v>45747</v>
          </cell>
          <cell r="F258">
            <v>64522.92</v>
          </cell>
          <cell r="G258">
            <v>1471.9849999999999</v>
          </cell>
          <cell r="H258">
            <v>43.83</v>
          </cell>
          <cell r="I258">
            <v>0</v>
          </cell>
          <cell r="J258">
            <v>43.83</v>
          </cell>
          <cell r="K258">
            <v>0.03</v>
          </cell>
        </row>
        <row r="259">
          <cell r="A259" t="str">
            <v>LU0906528699</v>
          </cell>
          <cell r="B259" t="str">
            <v>AMUNDI FUNDS GLOBAL INFLATION SHORT DURATION BOND</v>
          </cell>
          <cell r="C259" t="str">
            <v>Class A EUR MD (D)</v>
          </cell>
          <cell r="D259" t="str">
            <v>EUR</v>
          </cell>
          <cell r="E259">
            <v>45747</v>
          </cell>
          <cell r="F259">
            <v>20504.47</v>
          </cell>
          <cell r="G259">
            <v>412.17700000000002</v>
          </cell>
          <cell r="H259">
            <v>49.75</v>
          </cell>
          <cell r="I259">
            <v>0</v>
          </cell>
          <cell r="J259">
            <v>49.75</v>
          </cell>
          <cell r="K259">
            <v>0.04</v>
          </cell>
        </row>
        <row r="260">
          <cell r="A260" t="str">
            <v>LU0442406376</v>
          </cell>
          <cell r="B260" t="str">
            <v>AMUNDI FUNDS GLOBAL INFLATION SHORT DURATION BOND</v>
          </cell>
          <cell r="C260" t="str">
            <v>Class A EUR AD (D)</v>
          </cell>
          <cell r="D260" t="str">
            <v>EUR</v>
          </cell>
          <cell r="E260">
            <v>45747</v>
          </cell>
          <cell r="F260">
            <v>609908.49</v>
          </cell>
          <cell r="G260">
            <v>6619.1360000000004</v>
          </cell>
          <cell r="H260">
            <v>92.14</v>
          </cell>
          <cell r="I260">
            <v>0</v>
          </cell>
          <cell r="J260">
            <v>94.9</v>
          </cell>
          <cell r="K260">
            <v>7.0000000000000007E-2</v>
          </cell>
        </row>
        <row r="261">
          <cell r="A261" t="str">
            <v>LU1883325109</v>
          </cell>
          <cell r="B261" t="str">
            <v>AMUNDI FUNDS GLOBAL INFLATION SHORT DURATION BOND</v>
          </cell>
          <cell r="C261" t="str">
            <v>Class M2 EUR (C)</v>
          </cell>
          <cell r="D261" t="str">
            <v>EUR</v>
          </cell>
          <cell r="E261">
            <v>45747</v>
          </cell>
          <cell r="F261">
            <v>135296.71</v>
          </cell>
          <cell r="G261">
            <v>148.804</v>
          </cell>
          <cell r="H261">
            <v>909.23</v>
          </cell>
          <cell r="I261">
            <v>0</v>
          </cell>
          <cell r="J261">
            <v>909.23</v>
          </cell>
          <cell r="K261">
            <v>0.78</v>
          </cell>
        </row>
        <row r="262">
          <cell r="A262" t="str">
            <v>LU1883324805</v>
          </cell>
          <cell r="B262" t="str">
            <v>AMUNDI FUNDS GLOBAL INFLATION SHORT DURATION BOND</v>
          </cell>
          <cell r="C262" t="str">
            <v>Class A2 EUR (C)</v>
          </cell>
          <cell r="D262" t="str">
            <v>EUR</v>
          </cell>
          <cell r="E262">
            <v>45747</v>
          </cell>
          <cell r="F262">
            <v>194208.89</v>
          </cell>
          <cell r="G262">
            <v>4428.982</v>
          </cell>
          <cell r="H262">
            <v>43.85</v>
          </cell>
          <cell r="I262">
            <v>0</v>
          </cell>
          <cell r="J262">
            <v>45.17</v>
          </cell>
          <cell r="K262">
            <v>0.04</v>
          </cell>
        </row>
        <row r="263">
          <cell r="A263" t="str">
            <v>LU1883324987</v>
          </cell>
          <cell r="B263" t="str">
            <v>AMUNDI FUNDS GLOBAL INFLATION SHORT DURATION BOND</v>
          </cell>
          <cell r="C263" t="str">
            <v>Class E2 EUR (C)</v>
          </cell>
          <cell r="D263" t="str">
            <v>EUR</v>
          </cell>
          <cell r="E263">
            <v>45747</v>
          </cell>
          <cell r="F263">
            <v>432993.24</v>
          </cell>
          <cell r="G263">
            <v>97307.63</v>
          </cell>
          <cell r="H263">
            <v>4.45</v>
          </cell>
          <cell r="I263">
            <v>0</v>
          </cell>
          <cell r="J263">
            <v>4.45</v>
          </cell>
          <cell r="K263">
            <v>4.0000000000000001E-3</v>
          </cell>
        </row>
        <row r="264">
          <cell r="A264" t="str">
            <v>LU2018722277</v>
          </cell>
          <cell r="B264" t="str">
            <v>AMUNDI FUNDS GLOBAL INFLATION SHORT DURATION BOND</v>
          </cell>
          <cell r="C264" t="str">
            <v>Class F EUR (C)</v>
          </cell>
          <cell r="D264" t="str">
            <v>EUR</v>
          </cell>
          <cell r="E264">
            <v>45747</v>
          </cell>
          <cell r="F264">
            <v>175510.16</v>
          </cell>
          <cell r="G264">
            <v>41462.311000000002</v>
          </cell>
          <cell r="H264">
            <v>4.2329999999999997</v>
          </cell>
          <cell r="I264">
            <v>0</v>
          </cell>
          <cell r="J264">
            <v>4.2329999999999997</v>
          </cell>
          <cell r="K264">
            <v>3.0000000000000001E-3</v>
          </cell>
        </row>
        <row r="265">
          <cell r="A265" t="str">
            <v>LU0557864377</v>
          </cell>
          <cell r="B265" t="str">
            <v>AMUNDI FUNDS GLOBAL INFLATION SHORT DURATION BOND</v>
          </cell>
          <cell r="C265" t="str">
            <v>Class F2 EUR (C)</v>
          </cell>
          <cell r="D265" t="str">
            <v>EUR</v>
          </cell>
          <cell r="E265">
            <v>45747</v>
          </cell>
          <cell r="F265">
            <v>299310</v>
          </cell>
          <cell r="G265">
            <v>3402.904</v>
          </cell>
          <cell r="H265">
            <v>87.96</v>
          </cell>
          <cell r="I265">
            <v>0</v>
          </cell>
          <cell r="J265">
            <v>87.96</v>
          </cell>
          <cell r="K265">
            <v>7.0000000000000007E-2</v>
          </cell>
        </row>
        <row r="266">
          <cell r="A266" t="str">
            <v>LU1998920299</v>
          </cell>
          <cell r="B266" t="str">
            <v>AMUNDI FUNDS GLOBAL INFLATION SHORT DURATION BOND</v>
          </cell>
          <cell r="C266" t="str">
            <v>Class H EUR (C)</v>
          </cell>
          <cell r="D266" t="str">
            <v>EUR</v>
          </cell>
          <cell r="E266">
            <v>45747</v>
          </cell>
          <cell r="F266">
            <v>4443.95</v>
          </cell>
          <cell r="G266">
            <v>5</v>
          </cell>
          <cell r="H266">
            <v>888.79</v>
          </cell>
          <cell r="I266">
            <v>0</v>
          </cell>
          <cell r="J266">
            <v>888.79</v>
          </cell>
          <cell r="K266">
            <v>0.78</v>
          </cell>
        </row>
        <row r="267">
          <cell r="A267" t="str">
            <v>LU0442406616</v>
          </cell>
          <cell r="B267" t="str">
            <v>AMUNDI FUNDS GLOBAL INFLATION SHORT DURATION BOND</v>
          </cell>
          <cell r="C267" t="str">
            <v>Class I EUR (C)</v>
          </cell>
          <cell r="D267" t="str">
            <v>EUR</v>
          </cell>
          <cell r="E267">
            <v>45747</v>
          </cell>
          <cell r="F267">
            <v>206847.67</v>
          </cell>
          <cell r="G267">
            <v>179.74100000000001</v>
          </cell>
          <cell r="H267">
            <v>1150.81</v>
          </cell>
          <cell r="I267">
            <v>0</v>
          </cell>
          <cell r="J267">
            <v>1150.81</v>
          </cell>
          <cell r="K267">
            <v>0.99</v>
          </cell>
        </row>
        <row r="268">
          <cell r="A268" t="str">
            <v>LU1272326445</v>
          </cell>
          <cell r="B268" t="str">
            <v>AMUNDI FUNDS GLOBAL INFLATION SHORT DURATION BOND</v>
          </cell>
          <cell r="C268" t="str">
            <v>Class Q-I13 USD Hgd (C)</v>
          </cell>
          <cell r="D268" t="str">
            <v>USD</v>
          </cell>
          <cell r="E268">
            <v>45747</v>
          </cell>
          <cell r="F268">
            <v>235165.48</v>
          </cell>
          <cell r="G268">
            <v>207.131</v>
          </cell>
          <cell r="H268">
            <v>1135.3499999999999</v>
          </cell>
          <cell r="I268">
            <v>0</v>
          </cell>
          <cell r="J268">
            <v>1135.3499999999999</v>
          </cell>
          <cell r="K268">
            <v>1.06</v>
          </cell>
        </row>
        <row r="269">
          <cell r="A269" t="str">
            <v>LU1272328227</v>
          </cell>
          <cell r="B269" t="str">
            <v>AMUNDI FUNDS GLOBAL INFLATION SHORT DURATION BOND</v>
          </cell>
          <cell r="C269" t="str">
            <v>Class Q-I13 EUR (C)</v>
          </cell>
          <cell r="D269" t="str">
            <v>EUR</v>
          </cell>
          <cell r="E269">
            <v>45747</v>
          </cell>
          <cell r="F269">
            <v>948131.87</v>
          </cell>
          <cell r="G269">
            <v>993.27200000000005</v>
          </cell>
          <cell r="H269">
            <v>954.55</v>
          </cell>
          <cell r="I269">
            <v>0</v>
          </cell>
          <cell r="J269">
            <v>954.55</v>
          </cell>
          <cell r="K269">
            <v>0.84</v>
          </cell>
        </row>
        <row r="270">
          <cell r="A270" t="str">
            <v>LU0442406533</v>
          </cell>
          <cell r="B270" t="str">
            <v>AMUNDI FUNDS GLOBAL INFLATION SHORT DURATION BOND</v>
          </cell>
          <cell r="C270" t="str">
            <v>Class M EUR (C)</v>
          </cell>
          <cell r="D270" t="str">
            <v>EUR</v>
          </cell>
          <cell r="E270">
            <v>45747</v>
          </cell>
          <cell r="F270">
            <v>5273729.37</v>
          </cell>
          <cell r="G270">
            <v>49101.572</v>
          </cell>
          <cell r="H270">
            <v>107.4</v>
          </cell>
          <cell r="I270">
            <v>0</v>
          </cell>
          <cell r="J270">
            <v>107.4</v>
          </cell>
          <cell r="K270">
            <v>0.09</v>
          </cell>
        </row>
        <row r="271">
          <cell r="A271" t="str">
            <v>LU1883325281</v>
          </cell>
          <cell r="B271" t="str">
            <v>AMUNDI FUNDS GLOBAL INFLATION SHORT DURATION BOND</v>
          </cell>
          <cell r="C271" t="str">
            <v>Class R2 EUR (C)</v>
          </cell>
          <cell r="D271" t="str">
            <v>EUR</v>
          </cell>
          <cell r="E271">
            <v>45747</v>
          </cell>
          <cell r="F271">
            <v>4274.01</v>
          </cell>
          <cell r="G271">
            <v>94.988</v>
          </cell>
          <cell r="H271">
            <v>45</v>
          </cell>
          <cell r="I271">
            <v>0</v>
          </cell>
          <cell r="J271">
            <v>45</v>
          </cell>
          <cell r="K271">
            <v>0.04</v>
          </cell>
        </row>
        <row r="272">
          <cell r="A272" t="str">
            <v>LU0557864534</v>
          </cell>
          <cell r="B272" t="str">
            <v>AMUNDI FUNDS GLOBAL INFLATION SHORT DURATION BOND</v>
          </cell>
          <cell r="C272" t="str">
            <v>Class O EUR (C)</v>
          </cell>
          <cell r="D272" t="str">
            <v>EUR</v>
          </cell>
          <cell r="E272">
            <v>45747</v>
          </cell>
          <cell r="F272">
            <v>5558270.2599999998</v>
          </cell>
          <cell r="G272">
            <v>5401</v>
          </cell>
          <cell r="H272">
            <v>1029.1199999999999</v>
          </cell>
          <cell r="I272">
            <v>0</v>
          </cell>
          <cell r="J272">
            <v>1029.1199999999999</v>
          </cell>
          <cell r="K272">
            <v>0.92</v>
          </cell>
        </row>
        <row r="273">
          <cell r="A273" t="str">
            <v>LU0839539771</v>
          </cell>
          <cell r="B273" t="str">
            <v>AMUNDI FUNDS GLOBAL INFLATION SHORT DURATION BOND</v>
          </cell>
          <cell r="C273" t="str">
            <v>Class R EUR (C)</v>
          </cell>
          <cell r="D273" t="str">
            <v>EUR</v>
          </cell>
          <cell r="E273">
            <v>45747</v>
          </cell>
          <cell r="F273">
            <v>282105.48</v>
          </cell>
          <cell r="G273">
            <v>2950</v>
          </cell>
          <cell r="H273">
            <v>95.63</v>
          </cell>
          <cell r="I273">
            <v>0</v>
          </cell>
          <cell r="J273">
            <v>95.63</v>
          </cell>
          <cell r="K273">
            <v>0.08</v>
          </cell>
        </row>
        <row r="274">
          <cell r="A274" t="str">
            <v>LU0839539938</v>
          </cell>
          <cell r="B274" t="str">
            <v>AMUNDI FUNDS GLOBAL INFLATION SHORT DURATION BOND</v>
          </cell>
          <cell r="C274" t="str">
            <v>Class R EUR AD (D)</v>
          </cell>
          <cell r="D274" t="str">
            <v>EUR</v>
          </cell>
          <cell r="E274">
            <v>45747</v>
          </cell>
          <cell r="F274">
            <v>12658.1</v>
          </cell>
          <cell r="G274">
            <v>136</v>
          </cell>
          <cell r="H274">
            <v>93.07</v>
          </cell>
          <cell r="I274">
            <v>0</v>
          </cell>
          <cell r="J274">
            <v>93.07</v>
          </cell>
          <cell r="K274">
            <v>7.0000000000000007E-2</v>
          </cell>
        </row>
        <row r="275">
          <cell r="A275" t="str">
            <v>LU0442406459</v>
          </cell>
          <cell r="B275" t="str">
            <v>AMUNDI FUNDS GLOBAL INFLATION SHORT DURATION BOND</v>
          </cell>
          <cell r="C275" t="str">
            <v>Class G EUR (C)</v>
          </cell>
          <cell r="D275" t="str">
            <v>EUR</v>
          </cell>
          <cell r="E275">
            <v>45747</v>
          </cell>
          <cell r="F275">
            <v>6934163.5899999999</v>
          </cell>
          <cell r="G275">
            <v>67097.332999999999</v>
          </cell>
          <cell r="H275">
            <v>103.34</v>
          </cell>
          <cell r="I275">
            <v>0</v>
          </cell>
          <cell r="J275">
            <v>106.44</v>
          </cell>
          <cell r="K275">
            <v>0.08</v>
          </cell>
        </row>
        <row r="276">
          <cell r="A276" t="str">
            <v>LU0752743277</v>
          </cell>
          <cell r="B276" t="str">
            <v>AMUNDI FUNDS GLOBAL INFLATION SHORT DURATION BOND</v>
          </cell>
          <cell r="C276" t="str">
            <v>Class G USD Hgd (C)</v>
          </cell>
          <cell r="D276" t="str">
            <v>USD</v>
          </cell>
          <cell r="E276">
            <v>45747</v>
          </cell>
          <cell r="F276">
            <v>32135.86</v>
          </cell>
          <cell r="G276">
            <v>300</v>
          </cell>
          <cell r="H276">
            <v>107.12</v>
          </cell>
          <cell r="I276">
            <v>0</v>
          </cell>
          <cell r="J276">
            <v>110.33</v>
          </cell>
          <cell r="K276">
            <v>0.09</v>
          </cell>
        </row>
        <row r="277">
          <cell r="A277" t="str">
            <v>LU0568615057</v>
          </cell>
          <cell r="B277" t="str">
            <v>AMUNDI FUNDS EUROPEAN CONVERTIBLE BOND</v>
          </cell>
          <cell r="C277" t="str">
            <v>Class A EUR (C)</v>
          </cell>
          <cell r="D277" t="str">
            <v>EUR</v>
          </cell>
          <cell r="E277">
            <v>45747</v>
          </cell>
          <cell r="F277">
            <v>7347263.6699999999</v>
          </cell>
          <cell r="G277">
            <v>68368.319000000003</v>
          </cell>
          <cell r="H277">
            <v>107.47</v>
          </cell>
          <cell r="I277">
            <v>0</v>
          </cell>
          <cell r="J277">
            <v>111.77</v>
          </cell>
          <cell r="K277">
            <v>-0.84</v>
          </cell>
        </row>
        <row r="278">
          <cell r="A278" t="str">
            <v>LU0568615214</v>
          </cell>
          <cell r="B278" t="str">
            <v>AMUNDI FUNDS EUROPEAN CONVERTIBLE BOND</v>
          </cell>
          <cell r="C278" t="str">
            <v>Class A EUR AD (D)</v>
          </cell>
          <cell r="D278" t="str">
            <v>EUR</v>
          </cell>
          <cell r="E278">
            <v>45747</v>
          </cell>
          <cell r="F278">
            <v>1331129.48</v>
          </cell>
          <cell r="G278">
            <v>13066.065000000001</v>
          </cell>
          <cell r="H278">
            <v>101.88</v>
          </cell>
          <cell r="I278">
            <v>0</v>
          </cell>
          <cell r="J278">
            <v>0</v>
          </cell>
          <cell r="K278">
            <v>-0.8</v>
          </cell>
        </row>
        <row r="279">
          <cell r="A279" t="str">
            <v>LU2018721899</v>
          </cell>
          <cell r="B279" t="str">
            <v>AMUNDI FUNDS EUROPEAN CONVERTIBLE BOND</v>
          </cell>
          <cell r="C279" t="str">
            <v>Class F EUR (C)</v>
          </cell>
          <cell r="D279" t="str">
            <v>EUR</v>
          </cell>
          <cell r="E279">
            <v>45747</v>
          </cell>
          <cell r="F279">
            <v>15253.49</v>
          </cell>
          <cell r="G279">
            <v>3313.9589999999998</v>
          </cell>
          <cell r="H279">
            <v>4.6029999999999998</v>
          </cell>
          <cell r="I279">
            <v>0</v>
          </cell>
          <cell r="J279">
            <v>4.6029999999999998</v>
          </cell>
          <cell r="K279">
            <v>-3.5999999999999997E-2</v>
          </cell>
        </row>
        <row r="280">
          <cell r="A280" t="str">
            <v>LU0568615487</v>
          </cell>
          <cell r="B280" t="str">
            <v>AMUNDI FUNDS EUROPEAN CONVERTIBLE BOND</v>
          </cell>
          <cell r="C280" t="str">
            <v>Class F2 EUR (C)</v>
          </cell>
          <cell r="D280" t="str">
            <v>EUR</v>
          </cell>
          <cell r="E280">
            <v>45747</v>
          </cell>
          <cell r="F280">
            <v>446163.23</v>
          </cell>
          <cell r="G280">
            <v>4504.3289999999997</v>
          </cell>
          <cell r="H280">
            <v>99.05</v>
          </cell>
          <cell r="I280">
            <v>0</v>
          </cell>
          <cell r="J280">
            <v>0</v>
          </cell>
          <cell r="K280">
            <v>-0.79</v>
          </cell>
        </row>
        <row r="281">
          <cell r="A281" t="str">
            <v>LU0568614670</v>
          </cell>
          <cell r="B281" t="str">
            <v>AMUNDI FUNDS EUROPEAN CONVERTIBLE BOND</v>
          </cell>
          <cell r="C281" t="str">
            <v>Class I EUR (C)</v>
          </cell>
          <cell r="D281" t="str">
            <v>EUR</v>
          </cell>
          <cell r="E281">
            <v>45747</v>
          </cell>
          <cell r="F281">
            <v>19297029.260000002</v>
          </cell>
          <cell r="G281">
            <v>16125.731</v>
          </cell>
          <cell r="H281">
            <v>1196.6600000000001</v>
          </cell>
          <cell r="I281">
            <v>0</v>
          </cell>
          <cell r="J281">
            <v>1196.6600000000001</v>
          </cell>
          <cell r="K281">
            <v>-9.3699999999999992</v>
          </cell>
        </row>
        <row r="282">
          <cell r="A282" t="str">
            <v>LU0568614837</v>
          </cell>
          <cell r="B282" t="str">
            <v>AMUNDI FUNDS EUROPEAN CONVERTIBLE BOND</v>
          </cell>
          <cell r="C282" t="str">
            <v>Class M EUR (C)</v>
          </cell>
          <cell r="D282" t="str">
            <v>EUR</v>
          </cell>
          <cell r="E282">
            <v>45747</v>
          </cell>
          <cell r="F282">
            <v>3135571.72</v>
          </cell>
          <cell r="G282">
            <v>26241.823</v>
          </cell>
          <cell r="H282">
            <v>119.49</v>
          </cell>
          <cell r="I282">
            <v>0</v>
          </cell>
          <cell r="J282">
            <v>0</v>
          </cell>
          <cell r="K282">
            <v>-0.93</v>
          </cell>
        </row>
        <row r="283">
          <cell r="A283" t="str">
            <v>LU0987194742</v>
          </cell>
          <cell r="B283" t="str">
            <v>AMUNDI FUNDS EUROPEAN CONVERTIBLE BOND</v>
          </cell>
          <cell r="C283" t="str">
            <v>Class R EUR (C)</v>
          </cell>
          <cell r="D283" t="str">
            <v>EUR</v>
          </cell>
          <cell r="E283">
            <v>45747</v>
          </cell>
          <cell r="F283">
            <v>15755.96</v>
          </cell>
          <cell r="G283">
            <v>165</v>
          </cell>
          <cell r="H283">
            <v>95.49</v>
          </cell>
          <cell r="I283">
            <v>0</v>
          </cell>
          <cell r="J283">
            <v>0</v>
          </cell>
          <cell r="K283">
            <v>-0.75</v>
          </cell>
        </row>
        <row r="284">
          <cell r="A284" t="str">
            <v>LU0987194825</v>
          </cell>
          <cell r="B284" t="str">
            <v>AMUNDI FUNDS EUROPEAN CONVERTIBLE BOND</v>
          </cell>
          <cell r="C284" t="str">
            <v>Class R EUR AD (D)</v>
          </cell>
          <cell r="D284" t="str">
            <v>EUR</v>
          </cell>
          <cell r="E284">
            <v>45747</v>
          </cell>
          <cell r="F284">
            <v>184853.86</v>
          </cell>
          <cell r="G284">
            <v>1942.3109999999999</v>
          </cell>
          <cell r="H284">
            <v>95.17</v>
          </cell>
          <cell r="I284">
            <v>0</v>
          </cell>
          <cell r="J284">
            <v>0</v>
          </cell>
          <cell r="K284">
            <v>-0.75</v>
          </cell>
        </row>
        <row r="285">
          <cell r="A285" t="str">
            <v>LU0568615305</v>
          </cell>
          <cell r="B285" t="str">
            <v>AMUNDI FUNDS EUROPEAN CONVERTIBLE BOND</v>
          </cell>
          <cell r="C285" t="str">
            <v>Class G EUR (C)</v>
          </cell>
          <cell r="D285" t="str">
            <v>EUR</v>
          </cell>
          <cell r="E285">
            <v>45747</v>
          </cell>
          <cell r="F285">
            <v>3777904.02</v>
          </cell>
          <cell r="G285">
            <v>36570.135999999999</v>
          </cell>
          <cell r="H285">
            <v>103.31</v>
          </cell>
          <cell r="I285">
            <v>0</v>
          </cell>
          <cell r="J285">
            <v>0</v>
          </cell>
          <cell r="K285">
            <v>-0.81</v>
          </cell>
        </row>
        <row r="286">
          <cell r="A286" t="str">
            <v>LU2132231197</v>
          </cell>
          <cell r="B286" t="str">
            <v>AMUNDI FUNDS EUROPEAN CONVERTIBLE BOND</v>
          </cell>
          <cell r="C286" t="str">
            <v>Class Z EUR (C)</v>
          </cell>
          <cell r="D286" t="str">
            <v>EUR</v>
          </cell>
          <cell r="E286">
            <v>45747</v>
          </cell>
          <cell r="F286">
            <v>2767700.53</v>
          </cell>
          <cell r="G286">
            <v>3066</v>
          </cell>
          <cell r="H286">
            <v>902.71</v>
          </cell>
          <cell r="I286">
            <v>0</v>
          </cell>
          <cell r="J286">
            <v>902.71</v>
          </cell>
          <cell r="K286">
            <v>-7.06</v>
          </cell>
        </row>
        <row r="287">
          <cell r="A287" t="str">
            <v>LU0557854147</v>
          </cell>
          <cell r="B287" t="str">
            <v>AMUNDI FUNDS ASIA EQUITY FOCUS</v>
          </cell>
          <cell r="C287" t="str">
            <v>Class A EUR (C)</v>
          </cell>
          <cell r="D287" t="str">
            <v>EUR</v>
          </cell>
          <cell r="E287">
            <v>45747</v>
          </cell>
          <cell r="F287">
            <v>29738722.350000001</v>
          </cell>
          <cell r="G287">
            <v>174642.128</v>
          </cell>
          <cell r="H287">
            <v>170.28</v>
          </cell>
          <cell r="I287">
            <v>0</v>
          </cell>
          <cell r="J287">
            <v>177.94</v>
          </cell>
          <cell r="K287">
            <v>-2.98</v>
          </cell>
        </row>
        <row r="288">
          <cell r="A288" t="str">
            <v>LU0119085271</v>
          </cell>
          <cell r="B288" t="str">
            <v>AMUNDI FUNDS ASIA EQUITY FOCUS</v>
          </cell>
          <cell r="C288" t="str">
            <v>Class A USD (C)</v>
          </cell>
          <cell r="D288" t="str">
            <v>USD</v>
          </cell>
          <cell r="E288">
            <v>45747</v>
          </cell>
          <cell r="F288">
            <v>28555034.300000001</v>
          </cell>
          <cell r="G288">
            <v>790963.68099999998</v>
          </cell>
          <cell r="H288">
            <v>36.1</v>
          </cell>
          <cell r="I288">
            <v>0</v>
          </cell>
          <cell r="J288">
            <v>37.72</v>
          </cell>
          <cell r="K288">
            <v>-0.7</v>
          </cell>
        </row>
        <row r="289">
          <cell r="A289" t="str">
            <v>LU0119085867</v>
          </cell>
          <cell r="B289" t="str">
            <v>AMUNDI FUNDS ASIA EQUITY FOCUS</v>
          </cell>
          <cell r="C289" t="str">
            <v>Class A USD AD (D)</v>
          </cell>
          <cell r="D289" t="str">
            <v>USD</v>
          </cell>
          <cell r="E289">
            <v>45747</v>
          </cell>
          <cell r="F289">
            <v>3092420.13</v>
          </cell>
          <cell r="G289">
            <v>87698.808000000005</v>
          </cell>
          <cell r="H289">
            <v>35.26</v>
          </cell>
          <cell r="I289">
            <v>0</v>
          </cell>
          <cell r="J289">
            <v>36.85</v>
          </cell>
          <cell r="K289">
            <v>-0.69</v>
          </cell>
        </row>
        <row r="290">
          <cell r="A290" t="str">
            <v>LU1882444919</v>
          </cell>
          <cell r="B290" t="str">
            <v>AMUNDI FUNDS ASIA EQUITY FOCUS</v>
          </cell>
          <cell r="C290" t="str">
            <v>Class M2 EUR (C)</v>
          </cell>
          <cell r="D290" t="str">
            <v>EUR</v>
          </cell>
          <cell r="E290">
            <v>45747</v>
          </cell>
          <cell r="F290">
            <v>4081726.33</v>
          </cell>
          <cell r="G290">
            <v>2983.4430000000002</v>
          </cell>
          <cell r="H290">
            <v>1368.13</v>
          </cell>
          <cell r="I290">
            <v>0</v>
          </cell>
          <cell r="J290">
            <v>1368.13</v>
          </cell>
          <cell r="K290">
            <v>-23.83</v>
          </cell>
        </row>
        <row r="291">
          <cell r="A291" t="str">
            <v>LU1882445056</v>
          </cell>
          <cell r="B291" t="str">
            <v>AMUNDI FUNDS ASIA EQUITY FOCUS</v>
          </cell>
          <cell r="C291" t="str">
            <v>Class M2 EUR AD (D)</v>
          </cell>
          <cell r="D291" t="str">
            <v>EUR</v>
          </cell>
          <cell r="E291">
            <v>45747</v>
          </cell>
          <cell r="F291">
            <v>7584.55</v>
          </cell>
          <cell r="G291">
            <v>5.6859999999999999</v>
          </cell>
          <cell r="H291">
            <v>1333.9</v>
          </cell>
          <cell r="I291">
            <v>0</v>
          </cell>
          <cell r="J291">
            <v>1333.9</v>
          </cell>
          <cell r="K291">
            <v>-23.23</v>
          </cell>
        </row>
        <row r="292">
          <cell r="A292" t="str">
            <v>LU1882444166</v>
          </cell>
          <cell r="B292" t="str">
            <v>AMUNDI FUNDS ASIA EQUITY FOCUS</v>
          </cell>
          <cell r="C292" t="str">
            <v>Class C EUR (C)</v>
          </cell>
          <cell r="D292" t="str">
            <v>EUR</v>
          </cell>
          <cell r="E292">
            <v>45747</v>
          </cell>
          <cell r="F292">
            <v>295646.14</v>
          </cell>
          <cell r="G292">
            <v>4908.53</v>
          </cell>
          <cell r="H292">
            <v>60.23</v>
          </cell>
          <cell r="I292">
            <v>0</v>
          </cell>
          <cell r="J292">
            <v>60.23</v>
          </cell>
          <cell r="K292">
            <v>-1.06</v>
          </cell>
        </row>
        <row r="293">
          <cell r="A293" t="str">
            <v>LU1882444240</v>
          </cell>
          <cell r="B293" t="str">
            <v>AMUNDI FUNDS ASIA EQUITY FOCUS</v>
          </cell>
          <cell r="C293" t="str">
            <v>Class C USD (C)</v>
          </cell>
          <cell r="D293" t="str">
            <v>USD</v>
          </cell>
          <cell r="E293">
            <v>45747</v>
          </cell>
          <cell r="F293">
            <v>260748.25</v>
          </cell>
          <cell r="G293">
            <v>4466.0590000000002</v>
          </cell>
          <cell r="H293">
            <v>58.38</v>
          </cell>
          <cell r="I293">
            <v>0</v>
          </cell>
          <cell r="J293">
            <v>58.38</v>
          </cell>
          <cell r="K293">
            <v>-1.1499999999999999</v>
          </cell>
        </row>
        <row r="294">
          <cell r="A294" t="str">
            <v>LU1882444323</v>
          </cell>
          <cell r="B294" t="str">
            <v>AMUNDI FUNDS ASIA EQUITY FOCUS</v>
          </cell>
          <cell r="C294" t="str">
            <v>Class E2 EUR (C)</v>
          </cell>
          <cell r="D294" t="str">
            <v>EUR</v>
          </cell>
          <cell r="E294">
            <v>45747</v>
          </cell>
          <cell r="F294">
            <v>16524844.25</v>
          </cell>
          <cell r="G294">
            <v>2535770.6039999998</v>
          </cell>
          <cell r="H294">
            <v>6.5170000000000003</v>
          </cell>
          <cell r="I294">
            <v>0</v>
          </cell>
          <cell r="J294">
            <v>6.5170000000000003</v>
          </cell>
          <cell r="K294">
            <v>-0.114</v>
          </cell>
        </row>
        <row r="295">
          <cell r="A295" t="str">
            <v>LU0823038988</v>
          </cell>
          <cell r="B295" t="str">
            <v>AMUNDI FUNDS ASIA EQUITY FOCUS</v>
          </cell>
          <cell r="C295" t="str">
            <v>Class A2 USD (C)</v>
          </cell>
          <cell r="D295" t="str">
            <v>USD</v>
          </cell>
          <cell r="E295">
            <v>45747</v>
          </cell>
          <cell r="F295">
            <v>14323684.57</v>
          </cell>
          <cell r="G295">
            <v>403479.02100000001</v>
          </cell>
          <cell r="H295">
            <v>35.5</v>
          </cell>
          <cell r="I295">
            <v>0</v>
          </cell>
          <cell r="J295">
            <v>35.5</v>
          </cell>
          <cell r="K295">
            <v>-0.69</v>
          </cell>
        </row>
        <row r="296">
          <cell r="A296" t="str">
            <v>LU0823039010</v>
          </cell>
          <cell r="B296" t="str">
            <v>AMUNDI FUNDS ASIA EQUITY FOCUS</v>
          </cell>
          <cell r="C296" t="str">
            <v>Class A2 USD AD (D)</v>
          </cell>
          <cell r="D296" t="str">
            <v>USD</v>
          </cell>
          <cell r="E296">
            <v>45747</v>
          </cell>
          <cell r="F296">
            <v>833839.93</v>
          </cell>
          <cell r="G296">
            <v>23941.016</v>
          </cell>
          <cell r="H296">
            <v>34.83</v>
          </cell>
          <cell r="I296">
            <v>0</v>
          </cell>
          <cell r="J296">
            <v>34.83</v>
          </cell>
          <cell r="K296">
            <v>-0.68</v>
          </cell>
        </row>
        <row r="297">
          <cell r="A297" t="str">
            <v>LU1882444596</v>
          </cell>
          <cell r="B297" t="str">
            <v>AMUNDI FUNDS ASIA EQUITY FOCUS</v>
          </cell>
          <cell r="C297" t="str">
            <v>Class F EUR (C)</v>
          </cell>
          <cell r="D297" t="str">
            <v>EUR</v>
          </cell>
          <cell r="E297">
            <v>45747</v>
          </cell>
          <cell r="F297">
            <v>10544270.390000001</v>
          </cell>
          <cell r="G297">
            <v>1718794.7690000001</v>
          </cell>
          <cell r="H297">
            <v>6.1349999999999998</v>
          </cell>
          <cell r="I297">
            <v>0</v>
          </cell>
          <cell r="J297">
            <v>6.1349999999999998</v>
          </cell>
          <cell r="K297">
            <v>-0.107</v>
          </cell>
        </row>
        <row r="298">
          <cell r="A298" t="str">
            <v>LU0557854493</v>
          </cell>
          <cell r="B298" t="str">
            <v>AMUNDI FUNDS ASIA EQUITY FOCUS</v>
          </cell>
          <cell r="C298" t="str">
            <v>Class F2 USD (C)</v>
          </cell>
          <cell r="D298" t="str">
            <v>USD</v>
          </cell>
          <cell r="E298">
            <v>45747</v>
          </cell>
          <cell r="F298">
            <v>382214.96</v>
          </cell>
          <cell r="G298">
            <v>3423.6729999999998</v>
          </cell>
          <cell r="H298">
            <v>111.64</v>
          </cell>
          <cell r="I298">
            <v>0</v>
          </cell>
          <cell r="J298">
            <v>111.64</v>
          </cell>
          <cell r="K298">
            <v>-2.1800000000000002</v>
          </cell>
        </row>
        <row r="299">
          <cell r="A299" t="str">
            <v>LU1882444836</v>
          </cell>
          <cell r="B299" t="str">
            <v>AMUNDI FUNDS ASIA EQUITY FOCUS</v>
          </cell>
          <cell r="C299" t="str">
            <v>Class I2 USD (C)</v>
          </cell>
          <cell r="D299" t="str">
            <v>USD</v>
          </cell>
          <cell r="E299">
            <v>45747</v>
          </cell>
          <cell r="F299">
            <v>29518431.530000001</v>
          </cell>
          <cell r="G299">
            <v>22322.833999999999</v>
          </cell>
          <cell r="H299">
            <v>1322.34</v>
          </cell>
          <cell r="I299">
            <v>0</v>
          </cell>
          <cell r="J299">
            <v>1322.34</v>
          </cell>
          <cell r="K299">
            <v>-25.66</v>
          </cell>
        </row>
        <row r="300">
          <cell r="A300" t="str">
            <v>LU1880382806</v>
          </cell>
          <cell r="B300" t="str">
            <v>AMUNDI FUNDS ASIA EQUITY FOCUS</v>
          </cell>
          <cell r="C300" t="str">
            <v>Class I2 USD AD (D)</v>
          </cell>
          <cell r="D300" t="str">
            <v>USD</v>
          </cell>
          <cell r="E300">
            <v>45747</v>
          </cell>
          <cell r="F300">
            <v>6221.77</v>
          </cell>
          <cell r="G300">
            <v>5</v>
          </cell>
          <cell r="H300">
            <v>1244.3499999999999</v>
          </cell>
          <cell r="I300">
            <v>0</v>
          </cell>
          <cell r="J300">
            <v>1244.3499999999999</v>
          </cell>
          <cell r="K300">
            <v>-24.14</v>
          </cell>
        </row>
        <row r="301">
          <cell r="A301" t="str">
            <v>LU1882444679</v>
          </cell>
          <cell r="B301" t="str">
            <v>AMUNDI FUNDS ASIA EQUITY FOCUS</v>
          </cell>
          <cell r="C301" t="str">
            <v>Class G EUR (C)</v>
          </cell>
          <cell r="D301" t="str">
            <v>EUR</v>
          </cell>
          <cell r="E301">
            <v>45747</v>
          </cell>
          <cell r="F301">
            <v>451381.62</v>
          </cell>
          <cell r="G301">
            <v>71844.115999999995</v>
          </cell>
          <cell r="H301">
            <v>6.2830000000000004</v>
          </cell>
          <cell r="I301">
            <v>0</v>
          </cell>
          <cell r="J301">
            <v>6.2830000000000004</v>
          </cell>
          <cell r="K301">
            <v>-0.11</v>
          </cell>
        </row>
        <row r="302">
          <cell r="A302" t="str">
            <v>LU0329440605</v>
          </cell>
          <cell r="B302" t="str">
            <v>AMUNDI FUNDS ASIA EQUITY FOCUS</v>
          </cell>
          <cell r="C302" t="str">
            <v>Class M USD (C)</v>
          </cell>
          <cell r="D302" t="str">
            <v>USD</v>
          </cell>
          <cell r="E302">
            <v>45747</v>
          </cell>
          <cell r="F302">
            <v>2992.31</v>
          </cell>
          <cell r="G302">
            <v>22.707999999999998</v>
          </cell>
          <cell r="H302">
            <v>131.77000000000001</v>
          </cell>
          <cell r="I302">
            <v>0</v>
          </cell>
          <cell r="J302">
            <v>131.77000000000001</v>
          </cell>
          <cell r="K302">
            <v>-2.56</v>
          </cell>
        </row>
        <row r="303">
          <cell r="A303" t="str">
            <v>LU1882445130</v>
          </cell>
          <cell r="B303" t="str">
            <v>AMUNDI FUNDS ASIA EQUITY FOCUS</v>
          </cell>
          <cell r="C303" t="str">
            <v>Class R2 EUR (C)</v>
          </cell>
          <cell r="D303" t="str">
            <v>EUR</v>
          </cell>
          <cell r="E303">
            <v>45747</v>
          </cell>
          <cell r="F303">
            <v>22942.97</v>
          </cell>
          <cell r="G303">
            <v>341.05399999999997</v>
          </cell>
          <cell r="H303">
            <v>67.27</v>
          </cell>
          <cell r="I303">
            <v>0</v>
          </cell>
          <cell r="J303">
            <v>67.27</v>
          </cell>
          <cell r="K303">
            <v>-1.17</v>
          </cell>
        </row>
        <row r="304">
          <cell r="A304" t="str">
            <v>LU1882445213</v>
          </cell>
          <cell r="B304" t="str">
            <v>AMUNDI FUNDS ASIA EQUITY FOCUS</v>
          </cell>
          <cell r="C304" t="str">
            <v>Class R2 USD (C)</v>
          </cell>
          <cell r="D304" t="str">
            <v>USD</v>
          </cell>
          <cell r="E304">
            <v>45747</v>
          </cell>
          <cell r="F304">
            <v>6365.46</v>
          </cell>
          <cell r="G304">
            <v>100</v>
          </cell>
          <cell r="H304">
            <v>63.65</v>
          </cell>
          <cell r="I304">
            <v>0</v>
          </cell>
          <cell r="J304">
            <v>63.65</v>
          </cell>
          <cell r="K304">
            <v>-1.24</v>
          </cell>
        </row>
        <row r="305">
          <cell r="A305" t="str">
            <v>LU0119086162</v>
          </cell>
          <cell r="B305" t="str">
            <v>AMUNDI FUNDS ASIA EQUITY FOCUS</v>
          </cell>
          <cell r="C305" t="str">
            <v>Class G USD (C)</v>
          </cell>
          <cell r="D305" t="str">
            <v>USD</v>
          </cell>
          <cell r="E305">
            <v>45747</v>
          </cell>
          <cell r="F305">
            <v>4940961.37</v>
          </cell>
          <cell r="G305">
            <v>150889.18700000001</v>
          </cell>
          <cell r="H305">
            <v>32.75</v>
          </cell>
          <cell r="I305">
            <v>0</v>
          </cell>
          <cell r="J305">
            <v>33.729999999999997</v>
          </cell>
          <cell r="K305">
            <v>-0.63</v>
          </cell>
        </row>
        <row r="306">
          <cell r="A306" t="str">
            <v>LU1103154735</v>
          </cell>
          <cell r="B306" t="str">
            <v>AMUNDI FUNDS ASIA EQUITY FOCUS</v>
          </cell>
          <cell r="C306" t="str">
            <v>Class G EUR Hgd (C)</v>
          </cell>
          <cell r="D306" t="str">
            <v>EUR</v>
          </cell>
          <cell r="E306">
            <v>45747</v>
          </cell>
          <cell r="F306">
            <v>1364114.67</v>
          </cell>
          <cell r="G306">
            <v>13292.118</v>
          </cell>
          <cell r="H306">
            <v>102.63</v>
          </cell>
          <cell r="I306">
            <v>0</v>
          </cell>
          <cell r="J306">
            <v>105.71</v>
          </cell>
          <cell r="K306">
            <v>-2.0099999999999998</v>
          </cell>
        </row>
        <row r="307">
          <cell r="A307" t="str">
            <v>LU2040439908</v>
          </cell>
          <cell r="B307" t="str">
            <v>AMUNDI FUNDS ASIA EQUITY FOCUS</v>
          </cell>
          <cell r="C307" t="str">
            <v>Class Z EUR (C)</v>
          </cell>
          <cell r="D307" t="str">
            <v>EUR</v>
          </cell>
          <cell r="E307">
            <v>45747</v>
          </cell>
          <cell r="F307">
            <v>6643.36</v>
          </cell>
          <cell r="G307">
            <v>5</v>
          </cell>
          <cell r="H307">
            <v>1328.67</v>
          </cell>
          <cell r="I307">
            <v>0</v>
          </cell>
          <cell r="J307">
            <v>1328.67</v>
          </cell>
          <cell r="K307">
            <v>-23.12</v>
          </cell>
        </row>
        <row r="308">
          <cell r="A308" t="str">
            <v>LU1706528780</v>
          </cell>
          <cell r="B308" t="str">
            <v>AMUNDI FUNDS EMERGING MARKETS EQUITY FOCUS</v>
          </cell>
          <cell r="C308" t="str">
            <v>Class Q-A5 CZK (C)</v>
          </cell>
          <cell r="D308" t="str">
            <v>CZK</v>
          </cell>
          <cell r="E308">
            <v>45747</v>
          </cell>
          <cell r="F308">
            <v>278528.82</v>
          </cell>
          <cell r="G308">
            <v>91.786000000000001</v>
          </cell>
          <cell r="H308">
            <v>3034.55</v>
          </cell>
          <cell r="I308">
            <v>0</v>
          </cell>
          <cell r="J308">
            <v>3034.55</v>
          </cell>
          <cell r="K308">
            <v>-35.96</v>
          </cell>
        </row>
        <row r="309">
          <cell r="A309" t="str">
            <v>LU0552028184</v>
          </cell>
          <cell r="B309" t="str">
            <v>AMUNDI FUNDS EMERGING MARKETS EQUITY FOCUS</v>
          </cell>
          <cell r="C309" t="str">
            <v>Class A EUR (C)</v>
          </cell>
          <cell r="D309" t="str">
            <v>EUR</v>
          </cell>
          <cell r="E309">
            <v>45747</v>
          </cell>
          <cell r="F309">
            <v>272141948.42000002</v>
          </cell>
          <cell r="G309">
            <v>1678634.53</v>
          </cell>
          <cell r="H309">
            <v>162.12</v>
          </cell>
          <cell r="I309">
            <v>0</v>
          </cell>
          <cell r="J309">
            <v>169.42</v>
          </cell>
          <cell r="K309">
            <v>-2.2000000000000002</v>
          </cell>
        </row>
        <row r="310">
          <cell r="A310" t="str">
            <v>LU0319685854</v>
          </cell>
          <cell r="B310" t="str">
            <v>AMUNDI FUNDS EMERGING MARKETS EQUITY FOCUS</v>
          </cell>
          <cell r="C310" t="str">
            <v>Class A USD (C)</v>
          </cell>
          <cell r="D310" t="str">
            <v>USD</v>
          </cell>
          <cell r="E310">
            <v>45747</v>
          </cell>
          <cell r="F310">
            <v>32510051.129999999</v>
          </cell>
          <cell r="G310">
            <v>253686.098</v>
          </cell>
          <cell r="H310">
            <v>128.15</v>
          </cell>
          <cell r="I310">
            <v>0</v>
          </cell>
          <cell r="J310">
            <v>133.91999999999999</v>
          </cell>
          <cell r="K310">
            <v>-1.99</v>
          </cell>
        </row>
        <row r="311">
          <cell r="A311" t="str">
            <v>LU2032055209</v>
          </cell>
          <cell r="B311" t="str">
            <v>AMUNDI FUNDS EMERGING MARKETS EQUITY FOCUS</v>
          </cell>
          <cell r="C311" t="str">
            <v>Class A5 EUR (C)</v>
          </cell>
          <cell r="D311" t="str">
            <v>EUR</v>
          </cell>
          <cell r="E311">
            <v>45747</v>
          </cell>
          <cell r="F311">
            <v>3836465.78</v>
          </cell>
          <cell r="G311">
            <v>61623.642999999996</v>
          </cell>
          <cell r="H311">
            <v>62.26</v>
          </cell>
          <cell r="I311">
            <v>0</v>
          </cell>
          <cell r="J311">
            <v>62.26</v>
          </cell>
          <cell r="K311">
            <v>-0.84</v>
          </cell>
        </row>
        <row r="312">
          <cell r="A312" t="str">
            <v>LU2032055464</v>
          </cell>
          <cell r="B312" t="str">
            <v>AMUNDI FUNDS EMERGING MARKETS EQUITY FOCUS</v>
          </cell>
          <cell r="C312" t="str">
            <v>Class A6 EUR (C)</v>
          </cell>
          <cell r="D312" t="str">
            <v>EUR</v>
          </cell>
          <cell r="E312">
            <v>45747</v>
          </cell>
          <cell r="F312">
            <v>5859590.04</v>
          </cell>
          <cell r="G312">
            <v>96577.471999999994</v>
          </cell>
          <cell r="H312">
            <v>60.67</v>
          </cell>
          <cell r="I312">
            <v>0</v>
          </cell>
          <cell r="J312">
            <v>60.67</v>
          </cell>
          <cell r="K312">
            <v>-0.83</v>
          </cell>
        </row>
        <row r="313">
          <cell r="A313" t="str">
            <v>LU1808314444</v>
          </cell>
          <cell r="B313" t="str">
            <v>AMUNDI FUNDS EMERGING MARKETS EQUITY FOCUS</v>
          </cell>
          <cell r="C313" t="str">
            <v>Class A CHF Hgd (C)</v>
          </cell>
          <cell r="D313" t="str">
            <v>CHF</v>
          </cell>
          <cell r="E313">
            <v>45747</v>
          </cell>
          <cell r="F313">
            <v>2171059.52</v>
          </cell>
          <cell r="G313">
            <v>25913.261999999999</v>
          </cell>
          <cell r="H313">
            <v>83.78</v>
          </cell>
          <cell r="I313">
            <v>0</v>
          </cell>
          <cell r="J313">
            <v>83.78</v>
          </cell>
          <cell r="K313">
            <v>-1.32</v>
          </cell>
        </row>
        <row r="314">
          <cell r="A314" t="str">
            <v>LU0613075240</v>
          </cell>
          <cell r="B314" t="str">
            <v>AMUNDI FUNDS EMERGING MARKETS EQUITY FOCUS</v>
          </cell>
          <cell r="C314" t="str">
            <v>Class A EUR Hgd (C)</v>
          </cell>
          <cell r="D314" t="str">
            <v>EUR</v>
          </cell>
          <cell r="E314">
            <v>45747</v>
          </cell>
          <cell r="F314">
            <v>39897309.07</v>
          </cell>
          <cell r="G314">
            <v>389116.63099999999</v>
          </cell>
          <cell r="H314">
            <v>102.53</v>
          </cell>
          <cell r="I314">
            <v>0</v>
          </cell>
          <cell r="J314">
            <v>107.14</v>
          </cell>
          <cell r="K314">
            <v>-1.6</v>
          </cell>
        </row>
        <row r="315">
          <cell r="A315" t="str">
            <v>LU0552028341</v>
          </cell>
          <cell r="B315" t="str">
            <v>AMUNDI FUNDS EMERGING MARKETS EQUITY FOCUS</v>
          </cell>
          <cell r="C315" t="str">
            <v>Class A EUR AD (D)</v>
          </cell>
          <cell r="D315" t="str">
            <v>EUR</v>
          </cell>
          <cell r="E315">
            <v>45747</v>
          </cell>
          <cell r="F315">
            <v>17107465.449999999</v>
          </cell>
          <cell r="G315">
            <v>112876.27</v>
          </cell>
          <cell r="H315">
            <v>151.56</v>
          </cell>
          <cell r="I315">
            <v>0</v>
          </cell>
          <cell r="J315">
            <v>158.38</v>
          </cell>
          <cell r="K315">
            <v>-2.0499999999999998</v>
          </cell>
        </row>
        <row r="316">
          <cell r="A316" t="str">
            <v>LU0319686076</v>
          </cell>
          <cell r="B316" t="str">
            <v>AMUNDI FUNDS EMERGING MARKETS EQUITY FOCUS</v>
          </cell>
          <cell r="C316" t="str">
            <v>Class A USD AD (D)</v>
          </cell>
          <cell r="D316" t="str">
            <v>USD</v>
          </cell>
          <cell r="E316">
            <v>45747</v>
          </cell>
          <cell r="F316">
            <v>7848456.1100000003</v>
          </cell>
          <cell r="G316">
            <v>45298.177000000003</v>
          </cell>
          <cell r="H316">
            <v>173.26</v>
          </cell>
          <cell r="I316">
            <v>0</v>
          </cell>
          <cell r="J316">
            <v>181.06</v>
          </cell>
          <cell r="K316">
            <v>-2.69</v>
          </cell>
        </row>
        <row r="317">
          <cell r="A317" t="str">
            <v>LU0729060128</v>
          </cell>
          <cell r="B317" t="str">
            <v>AMUNDI FUNDS EMERGING MARKETS EQUITY FOCUS</v>
          </cell>
          <cell r="C317" t="str">
            <v>Class Q-I4 USD (C)</v>
          </cell>
          <cell r="D317" t="str">
            <v>USD</v>
          </cell>
          <cell r="E317">
            <v>45747</v>
          </cell>
          <cell r="F317">
            <v>17495.97</v>
          </cell>
          <cell r="G317">
            <v>9.0239999999999991</v>
          </cell>
          <cell r="H317">
            <v>1938.83</v>
          </cell>
          <cell r="I317">
            <v>0</v>
          </cell>
          <cell r="J317">
            <v>1938.83</v>
          </cell>
          <cell r="K317">
            <v>-29.87</v>
          </cell>
        </row>
        <row r="318">
          <cell r="A318" t="str">
            <v>LU2070309880</v>
          </cell>
          <cell r="B318" t="str">
            <v>AMUNDI FUNDS EMERGING MARKETS EQUITY FOCUS</v>
          </cell>
          <cell r="C318" t="str">
            <v>Class A2 EUR (C)</v>
          </cell>
          <cell r="D318" t="str">
            <v>EUR</v>
          </cell>
          <cell r="E318">
            <v>45747</v>
          </cell>
          <cell r="F318">
            <v>318369191.24000001</v>
          </cell>
          <cell r="G318">
            <v>5526611.716</v>
          </cell>
          <cell r="H318">
            <v>57.61</v>
          </cell>
          <cell r="I318">
            <v>0</v>
          </cell>
          <cell r="J318">
            <v>60.2</v>
          </cell>
          <cell r="K318">
            <v>-0.78</v>
          </cell>
        </row>
        <row r="319">
          <cell r="A319" t="str">
            <v>LU2036674005</v>
          </cell>
          <cell r="B319" t="str">
            <v>AMUNDI FUNDS EMERGING MARKETS EQUITY FOCUS</v>
          </cell>
          <cell r="C319" t="str">
            <v>Class E2 EUR (C)</v>
          </cell>
          <cell r="D319" t="str">
            <v>EUR</v>
          </cell>
          <cell r="E319">
            <v>45747</v>
          </cell>
          <cell r="F319">
            <v>40523650.439999998</v>
          </cell>
          <cell r="G319">
            <v>6670262.1370000001</v>
          </cell>
          <cell r="H319">
            <v>6.0750000000000002</v>
          </cell>
          <cell r="I319">
            <v>0</v>
          </cell>
          <cell r="J319">
            <v>6.0750000000000002</v>
          </cell>
          <cell r="K319">
            <v>-8.3000000000000004E-2</v>
          </cell>
        </row>
        <row r="320">
          <cell r="A320" t="str">
            <v>LU0823040885</v>
          </cell>
          <cell r="B320" t="str">
            <v>AMUNDI FUNDS EMERGING MARKETS EQUITY FOCUS</v>
          </cell>
          <cell r="C320" t="str">
            <v>Class A2 USD (C)</v>
          </cell>
          <cell r="D320" t="str">
            <v>USD</v>
          </cell>
          <cell r="E320">
            <v>45747</v>
          </cell>
          <cell r="F320">
            <v>4128371.77</v>
          </cell>
          <cell r="G320">
            <v>31954.039000000001</v>
          </cell>
          <cell r="H320">
            <v>129.19999999999999</v>
          </cell>
          <cell r="I320">
            <v>0</v>
          </cell>
          <cell r="J320">
            <v>129.19999999999999</v>
          </cell>
          <cell r="K320">
            <v>-2</v>
          </cell>
        </row>
        <row r="321">
          <cell r="A321" t="str">
            <v>LU0557857595</v>
          </cell>
          <cell r="B321" t="str">
            <v>AMUNDI FUNDS EMERGING MARKETS EQUITY FOCUS</v>
          </cell>
          <cell r="C321" t="str">
            <v>Class F2 USD (C)</v>
          </cell>
          <cell r="D321" t="str">
            <v>USD</v>
          </cell>
          <cell r="E321">
            <v>45747</v>
          </cell>
          <cell r="F321">
            <v>831366.28</v>
          </cell>
          <cell r="G321">
            <v>7569.1</v>
          </cell>
          <cell r="H321">
            <v>109.84</v>
          </cell>
          <cell r="I321">
            <v>0</v>
          </cell>
          <cell r="J321">
            <v>109.84</v>
          </cell>
          <cell r="K321">
            <v>-1.71</v>
          </cell>
        </row>
        <row r="322">
          <cell r="A322" t="str">
            <v>LU2018721543</v>
          </cell>
          <cell r="B322" t="str">
            <v>AMUNDI FUNDS EMERGING MARKETS EQUITY FOCUS</v>
          </cell>
          <cell r="C322" t="str">
            <v>Class F USD (C)</v>
          </cell>
          <cell r="D322" t="str">
            <v>USD</v>
          </cell>
          <cell r="E322">
            <v>45747</v>
          </cell>
          <cell r="F322">
            <v>253204.13</v>
          </cell>
          <cell r="G322">
            <v>45045.212</v>
          </cell>
          <cell r="H322">
            <v>5.6210000000000004</v>
          </cell>
          <cell r="I322">
            <v>0</v>
          </cell>
          <cell r="J322">
            <v>5.6210000000000004</v>
          </cell>
          <cell r="K322">
            <v>-8.7999999999999995E-2</v>
          </cell>
        </row>
        <row r="323">
          <cell r="A323" t="str">
            <v>LU2002720568</v>
          </cell>
          <cell r="B323" t="str">
            <v>AMUNDI FUNDS EMERGING MARKETS EQUITY FOCUS</v>
          </cell>
          <cell r="C323" t="str">
            <v>Class M2 USD ( C )</v>
          </cell>
          <cell r="D323" t="str">
            <v>USD</v>
          </cell>
          <cell r="E323">
            <v>45747</v>
          </cell>
          <cell r="F323">
            <v>69632789.920000002</v>
          </cell>
          <cell r="G323">
            <v>53137.684999999998</v>
          </cell>
          <cell r="H323">
            <v>1310.42</v>
          </cell>
          <cell r="I323">
            <v>0</v>
          </cell>
          <cell r="J323">
            <v>1310.42</v>
          </cell>
          <cell r="K323">
            <v>-20.25</v>
          </cell>
        </row>
        <row r="324">
          <cell r="A324" t="str">
            <v>LU2098275659</v>
          </cell>
          <cell r="B324" t="str">
            <v>AMUNDI FUNDS EMERGING MARKETS EQUITY FOCUS</v>
          </cell>
          <cell r="C324" t="str">
            <v>Class I2 EUR (C)</v>
          </cell>
          <cell r="D324" t="str">
            <v>EUR</v>
          </cell>
          <cell r="E324">
            <v>45747</v>
          </cell>
          <cell r="F324">
            <v>135116246.50999999</v>
          </cell>
          <cell r="G324">
            <v>120805.60400000001</v>
          </cell>
          <cell r="H324">
            <v>1118.46</v>
          </cell>
          <cell r="I324">
            <v>0</v>
          </cell>
          <cell r="J324">
            <v>1118.46</v>
          </cell>
          <cell r="K324">
            <v>-15.08</v>
          </cell>
        </row>
        <row r="325">
          <cell r="A325" t="str">
            <v>LU0319685342</v>
          </cell>
          <cell r="B325" t="str">
            <v>AMUNDI FUNDS EMERGING MARKETS EQUITY FOCUS</v>
          </cell>
          <cell r="C325" t="str">
            <v>Class I USD (C)</v>
          </cell>
          <cell r="D325" t="str">
            <v>USD</v>
          </cell>
          <cell r="E325">
            <v>45747</v>
          </cell>
          <cell r="F325">
            <v>67098764.850000001</v>
          </cell>
          <cell r="G325">
            <v>46070.896000000001</v>
          </cell>
          <cell r="H325">
            <v>1456.42</v>
          </cell>
          <cell r="I325">
            <v>0</v>
          </cell>
          <cell r="J325">
            <v>1456.42</v>
          </cell>
          <cell r="K325">
            <v>-22.5</v>
          </cell>
        </row>
        <row r="326">
          <cell r="A326" t="str">
            <v>LU2696142939</v>
          </cell>
          <cell r="B326" t="str">
            <v>AMUNDI FUNDS EMERGING MARKETS EQUITY FOCUS</v>
          </cell>
          <cell r="C326" t="str">
            <v>Class I18 USD (C)</v>
          </cell>
          <cell r="D326" t="str">
            <v>USD</v>
          </cell>
          <cell r="E326">
            <v>45747</v>
          </cell>
          <cell r="F326">
            <v>114933418.48999999</v>
          </cell>
          <cell r="G326">
            <v>100000</v>
          </cell>
          <cell r="H326">
            <v>1149.33</v>
          </cell>
          <cell r="I326">
            <v>0</v>
          </cell>
          <cell r="J326">
            <v>1149.33</v>
          </cell>
          <cell r="K326">
            <v>-17.71</v>
          </cell>
        </row>
        <row r="327">
          <cell r="A327" t="str">
            <v>LU2696143150</v>
          </cell>
          <cell r="B327" t="str">
            <v>AMUNDI FUNDS EMERGING MARKETS EQUITY FOCUS</v>
          </cell>
          <cell r="C327" t="str">
            <v>Class I20 USD (C)</v>
          </cell>
          <cell r="D327" t="str">
            <v>USD</v>
          </cell>
          <cell r="E327">
            <v>45747</v>
          </cell>
          <cell r="F327">
            <v>351743961.57999998</v>
          </cell>
          <cell r="G327">
            <v>314488.91700000002</v>
          </cell>
          <cell r="H327">
            <v>1118.46</v>
          </cell>
          <cell r="I327">
            <v>0</v>
          </cell>
          <cell r="J327">
            <v>1118.46</v>
          </cell>
          <cell r="K327">
            <v>-17.23</v>
          </cell>
        </row>
        <row r="328">
          <cell r="A328" t="str">
            <v>LU1897303738</v>
          </cell>
          <cell r="B328" t="str">
            <v>AMUNDI FUNDS EMERGING MARKETS EQUITY FOCUS</v>
          </cell>
          <cell r="C328" t="str">
            <v>Class I2 GBP (C)</v>
          </cell>
          <cell r="D328" t="str">
            <v>GBP</v>
          </cell>
          <cell r="E328">
            <v>45747</v>
          </cell>
          <cell r="F328">
            <v>99056059.180000007</v>
          </cell>
          <cell r="G328">
            <v>82724.22</v>
          </cell>
          <cell r="H328">
            <v>1197.43</v>
          </cell>
          <cell r="I328">
            <v>0</v>
          </cell>
          <cell r="J328">
            <v>1197.43</v>
          </cell>
          <cell r="K328">
            <v>-15.35</v>
          </cell>
        </row>
        <row r="329">
          <cell r="A329" t="str">
            <v>LU2801257689</v>
          </cell>
          <cell r="B329" t="str">
            <v>AMUNDI FUNDS EMERGING MARKETS EQUITY FOCUS</v>
          </cell>
          <cell r="C329" t="str">
            <v>Class I21 EUR (C)</v>
          </cell>
          <cell r="D329" t="str">
            <v>EUR</v>
          </cell>
          <cell r="E329">
            <v>45747</v>
          </cell>
          <cell r="F329">
            <v>68577351.519999996</v>
          </cell>
          <cell r="G329">
            <v>68137.778999999995</v>
          </cell>
          <cell r="H329">
            <v>1006.45</v>
          </cell>
          <cell r="I329">
            <v>0</v>
          </cell>
          <cell r="J329">
            <v>1006.45</v>
          </cell>
          <cell r="K329">
            <v>-13.52</v>
          </cell>
        </row>
        <row r="330">
          <cell r="A330" t="str">
            <v>LU2609514240</v>
          </cell>
          <cell r="B330" t="str">
            <v>AMUNDI FUNDS EMERGING MARKETS EQUITY FOCUS</v>
          </cell>
          <cell r="C330" t="str">
            <v>Class I2 USD (C)</v>
          </cell>
          <cell r="D330" t="str">
            <v>USD</v>
          </cell>
          <cell r="E330">
            <v>45747</v>
          </cell>
          <cell r="F330">
            <v>8206407.8600000003</v>
          </cell>
          <cell r="G330">
            <v>7602.5119999999997</v>
          </cell>
          <cell r="H330">
            <v>1079.43</v>
          </cell>
          <cell r="I330">
            <v>0</v>
          </cell>
          <cell r="J330">
            <v>1079.43</v>
          </cell>
          <cell r="K330">
            <v>-16.690000000000001</v>
          </cell>
        </row>
        <row r="331">
          <cell r="A331" t="str">
            <v>LU2085675788</v>
          </cell>
          <cell r="B331" t="str">
            <v>AMUNDI FUNDS EMERGING MARKETS EQUITY FOCUS</v>
          </cell>
          <cell r="C331" t="str">
            <v>Class J2 USD (C)</v>
          </cell>
          <cell r="D331" t="str">
            <v>USD</v>
          </cell>
          <cell r="E331">
            <v>45747</v>
          </cell>
          <cell r="F331">
            <v>114622281.23999999</v>
          </cell>
          <cell r="G331">
            <v>99980.774000000005</v>
          </cell>
          <cell r="H331">
            <v>1146.44</v>
          </cell>
          <cell r="I331">
            <v>0</v>
          </cell>
          <cell r="J331">
            <v>1146.44</v>
          </cell>
          <cell r="K331">
            <v>-17.7</v>
          </cell>
        </row>
        <row r="332">
          <cell r="A332" t="str">
            <v>LU2664275570</v>
          </cell>
          <cell r="B332" t="str">
            <v>AMUNDI FUNDS EMERGING MARKETS EQUITY FOCUS</v>
          </cell>
          <cell r="C332" t="str">
            <v>Class J13 USD (C)</v>
          </cell>
          <cell r="D332" t="str">
            <v>USD</v>
          </cell>
          <cell r="E332">
            <v>45747</v>
          </cell>
          <cell r="F332">
            <v>150978707.75999999</v>
          </cell>
          <cell r="G332">
            <v>127060</v>
          </cell>
          <cell r="H332">
            <v>1188.25</v>
          </cell>
          <cell r="I332">
            <v>0</v>
          </cell>
          <cell r="J332">
            <v>1188.25</v>
          </cell>
          <cell r="K332">
            <v>-18.3</v>
          </cell>
        </row>
        <row r="333">
          <cell r="A333" t="str">
            <v>LU2643913184</v>
          </cell>
          <cell r="B333" t="str">
            <v>AMUNDI FUNDS EMERGING MARKETS EQUITY FOCUS</v>
          </cell>
          <cell r="C333" t="str">
            <v>Class J5 EUR (C)</v>
          </cell>
          <cell r="D333" t="str">
            <v>EUR</v>
          </cell>
          <cell r="E333">
            <v>45747</v>
          </cell>
          <cell r="F333">
            <v>3313809.67</v>
          </cell>
          <cell r="G333">
            <v>2930.239</v>
          </cell>
          <cell r="H333">
            <v>1130.9000000000001</v>
          </cell>
          <cell r="I333">
            <v>0</v>
          </cell>
          <cell r="J333">
            <v>1130.9000000000001</v>
          </cell>
          <cell r="K333">
            <v>-15.22</v>
          </cell>
        </row>
        <row r="334">
          <cell r="A334" t="str">
            <v>LU2237439190</v>
          </cell>
          <cell r="B334" t="str">
            <v>AMUNDI FUNDS EMERGING MARKETS EQUITY FOCUS</v>
          </cell>
          <cell r="C334" t="str">
            <v>Class M2 EUR (C)</v>
          </cell>
          <cell r="D334" t="str">
            <v>EUR</v>
          </cell>
          <cell r="E334">
            <v>45747</v>
          </cell>
          <cell r="F334">
            <v>4687862.43</v>
          </cell>
          <cell r="G334">
            <v>4101.558</v>
          </cell>
          <cell r="H334">
            <v>1142.95</v>
          </cell>
          <cell r="I334">
            <v>0</v>
          </cell>
          <cell r="J334">
            <v>1142.95</v>
          </cell>
          <cell r="K334">
            <v>-15.41</v>
          </cell>
        </row>
        <row r="335">
          <cell r="A335" t="str">
            <v>LU0329442304</v>
          </cell>
          <cell r="B335" t="str">
            <v>AMUNDI FUNDS EMERGING MARKETS EQUITY FOCUS</v>
          </cell>
          <cell r="C335" t="str">
            <v>Class M USD (C)</v>
          </cell>
          <cell r="D335" t="str">
            <v>USD</v>
          </cell>
          <cell r="E335">
            <v>45747</v>
          </cell>
          <cell r="F335">
            <v>31109065.899999999</v>
          </cell>
          <cell r="G335">
            <v>201980.96900000001</v>
          </cell>
          <cell r="H335">
            <v>154.02000000000001</v>
          </cell>
          <cell r="I335">
            <v>0</v>
          </cell>
          <cell r="J335">
            <v>154.02000000000001</v>
          </cell>
          <cell r="K335">
            <v>-2.38</v>
          </cell>
        </row>
        <row r="336">
          <cell r="A336" t="str">
            <v>LU2446087871</v>
          </cell>
          <cell r="B336" t="str">
            <v>AMUNDI FUNDS EMERGING MARKETS EQUITY FOCUS</v>
          </cell>
          <cell r="C336" t="str">
            <v>Class R2 EUR (C)</v>
          </cell>
          <cell r="D336" t="str">
            <v>EUR</v>
          </cell>
          <cell r="E336">
            <v>45747</v>
          </cell>
          <cell r="F336">
            <v>15728607.49</v>
          </cell>
          <cell r="G336">
            <v>280690.24200000003</v>
          </cell>
          <cell r="H336">
            <v>56.04</v>
          </cell>
          <cell r="I336">
            <v>0</v>
          </cell>
          <cell r="J336">
            <v>56.04</v>
          </cell>
          <cell r="K336">
            <v>-0.75</v>
          </cell>
        </row>
        <row r="337">
          <cell r="A337" t="str">
            <v>LU1600318916</v>
          </cell>
          <cell r="B337" t="str">
            <v>AMUNDI FUNDS EMERGING MARKETS EQUITY FOCUS</v>
          </cell>
          <cell r="C337" t="str">
            <v>Class Q-OF EUR (C)</v>
          </cell>
          <cell r="D337" t="str">
            <v>EUR</v>
          </cell>
          <cell r="E337">
            <v>45747</v>
          </cell>
          <cell r="F337">
            <v>3923884.19</v>
          </cell>
          <cell r="G337">
            <v>2916</v>
          </cell>
          <cell r="H337">
            <v>1345.64</v>
          </cell>
          <cell r="I337">
            <v>0</v>
          </cell>
          <cell r="J337">
            <v>1345.64</v>
          </cell>
          <cell r="K337">
            <v>-18.04</v>
          </cell>
        </row>
        <row r="338">
          <cell r="A338" t="str">
            <v>LU2052289340</v>
          </cell>
          <cell r="B338" t="str">
            <v>AMUNDI FUNDS EMERGING MARKETS EQUITY FOCUS</v>
          </cell>
          <cell r="C338" t="str">
            <v>Class P2 USD (C)</v>
          </cell>
          <cell r="D338" t="str">
            <v>USD</v>
          </cell>
          <cell r="E338">
            <v>45747</v>
          </cell>
          <cell r="F338">
            <v>80321.240000000005</v>
          </cell>
          <cell r="G338">
            <v>1327.721</v>
          </cell>
          <cell r="H338">
            <v>60.5</v>
          </cell>
          <cell r="I338">
            <v>0</v>
          </cell>
          <cell r="J338">
            <v>60.5</v>
          </cell>
          <cell r="K338">
            <v>-0.93</v>
          </cell>
        </row>
        <row r="339">
          <cell r="A339" t="str">
            <v>LU1661675402</v>
          </cell>
          <cell r="B339" t="str">
            <v>AMUNDI FUNDS EMERGING MARKETS EQUITY FOCUS</v>
          </cell>
          <cell r="C339" t="str">
            <v>Class R USD (C)</v>
          </cell>
          <cell r="D339" t="str">
            <v>USD</v>
          </cell>
          <cell r="E339">
            <v>45747</v>
          </cell>
          <cell r="F339">
            <v>1308167.27</v>
          </cell>
          <cell r="G339">
            <v>10869.995000000001</v>
          </cell>
          <cell r="H339">
            <v>120.35</v>
          </cell>
          <cell r="I339">
            <v>0</v>
          </cell>
          <cell r="J339">
            <v>120.35</v>
          </cell>
          <cell r="K339">
            <v>-1.86</v>
          </cell>
        </row>
        <row r="340">
          <cell r="A340" t="str">
            <v>LU0823040455</v>
          </cell>
          <cell r="B340" t="str">
            <v>AMUNDI FUNDS EMERGING MARKETS EQUITY FOCUS</v>
          </cell>
          <cell r="C340" t="str">
            <v>Class R EUR Hgd (C)</v>
          </cell>
          <cell r="D340" t="str">
            <v>EUR</v>
          </cell>
          <cell r="E340">
            <v>45747</v>
          </cell>
          <cell r="F340">
            <v>108030.76</v>
          </cell>
          <cell r="G340">
            <v>1114.6120000000001</v>
          </cell>
          <cell r="H340">
            <v>96.92</v>
          </cell>
          <cell r="I340">
            <v>0</v>
          </cell>
          <cell r="J340">
            <v>96.92</v>
          </cell>
          <cell r="K340">
            <v>-1.51</v>
          </cell>
        </row>
        <row r="341">
          <cell r="A341" t="str">
            <v>LU0987197331</v>
          </cell>
          <cell r="B341" t="str">
            <v>AMUNDI FUNDS EMERGING MARKETS EQUITY FOCUS</v>
          </cell>
          <cell r="C341" t="str">
            <v>Class R GBP Hgd (C)</v>
          </cell>
          <cell r="D341" t="str">
            <v>GBP</v>
          </cell>
          <cell r="E341">
            <v>45747</v>
          </cell>
          <cell r="F341">
            <v>1217.3699999999999</v>
          </cell>
          <cell r="G341">
            <v>10</v>
          </cell>
          <cell r="H341">
            <v>121.74</v>
          </cell>
          <cell r="I341">
            <v>0</v>
          </cell>
          <cell r="J341">
            <v>121.74</v>
          </cell>
          <cell r="K341">
            <v>-1.89</v>
          </cell>
        </row>
        <row r="342">
          <cell r="A342" t="str">
            <v>LU0552028770</v>
          </cell>
          <cell r="B342" t="str">
            <v>AMUNDI FUNDS EMERGING MARKETS EQUITY FOCUS</v>
          </cell>
          <cell r="C342" t="str">
            <v>Class G EUR (C)</v>
          </cell>
          <cell r="D342" t="str">
            <v>EUR</v>
          </cell>
          <cell r="E342">
            <v>45747</v>
          </cell>
          <cell r="F342">
            <v>52309927.07</v>
          </cell>
          <cell r="G342">
            <v>330694.08100000001</v>
          </cell>
          <cell r="H342">
            <v>158.18</v>
          </cell>
          <cell r="I342">
            <v>0</v>
          </cell>
          <cell r="J342">
            <v>162.93</v>
          </cell>
          <cell r="K342">
            <v>-2.15</v>
          </cell>
        </row>
        <row r="343">
          <cell r="A343" t="str">
            <v>LU0319686159</v>
          </cell>
          <cell r="B343" t="str">
            <v>AMUNDI FUNDS EMERGING MARKETS EQUITY FOCUS</v>
          </cell>
          <cell r="C343" t="str">
            <v>Class G USD (C)</v>
          </cell>
          <cell r="D343" t="str">
            <v>USD</v>
          </cell>
          <cell r="E343">
            <v>45747</v>
          </cell>
          <cell r="F343">
            <v>12115625.75</v>
          </cell>
          <cell r="G343">
            <v>101826.942</v>
          </cell>
          <cell r="H343">
            <v>118.98</v>
          </cell>
          <cell r="I343">
            <v>0</v>
          </cell>
          <cell r="J343">
            <v>122.55</v>
          </cell>
          <cell r="K343">
            <v>-1.85</v>
          </cell>
        </row>
        <row r="344">
          <cell r="A344" t="str">
            <v>LU2384576026</v>
          </cell>
          <cell r="B344" t="str">
            <v>AMUNDI FUNDS EMERGING MARKETS EQUITY FOCUS</v>
          </cell>
          <cell r="C344" t="str">
            <v>Class I2 SEK (C)</v>
          </cell>
          <cell r="D344" t="str">
            <v>SEK</v>
          </cell>
          <cell r="E344">
            <v>45747</v>
          </cell>
          <cell r="F344">
            <v>10362.61</v>
          </cell>
          <cell r="G344">
            <v>1</v>
          </cell>
          <cell r="H344">
            <v>10362.61</v>
          </cell>
          <cell r="I344">
            <v>0</v>
          </cell>
          <cell r="J344">
            <v>10362.61</v>
          </cell>
          <cell r="K344">
            <v>-107.67</v>
          </cell>
        </row>
        <row r="345">
          <cell r="A345" t="str">
            <v>LU0906530919</v>
          </cell>
          <cell r="B345" t="str">
            <v>AMUNDI FUNDS EMERGING MARKETS EQUITY FOCUS</v>
          </cell>
          <cell r="C345" t="str">
            <v>Class Q-I8 USD (C)</v>
          </cell>
          <cell r="D345" t="str">
            <v>USD</v>
          </cell>
          <cell r="E345">
            <v>45747</v>
          </cell>
          <cell r="F345">
            <v>103892459.42</v>
          </cell>
          <cell r="G345">
            <v>79885.451000000001</v>
          </cell>
          <cell r="H345">
            <v>1300.52</v>
          </cell>
          <cell r="I345">
            <v>0</v>
          </cell>
          <cell r="J345">
            <v>1300.52</v>
          </cell>
          <cell r="K345">
            <v>-20.07</v>
          </cell>
        </row>
        <row r="346">
          <cell r="A346" t="str">
            <v>LU1998920885</v>
          </cell>
          <cell r="B346" t="str">
            <v>AMUNDI FUNDS EMERGING MARKETS EQUITY FOCUS</v>
          </cell>
          <cell r="C346" t="str">
            <v>Class X USD ( C )</v>
          </cell>
          <cell r="D346" t="str">
            <v>USD</v>
          </cell>
          <cell r="E346">
            <v>45747</v>
          </cell>
          <cell r="F346">
            <v>34528171.75</v>
          </cell>
          <cell r="G346">
            <v>25035.976999999999</v>
          </cell>
          <cell r="H346">
            <v>1379.14</v>
          </cell>
          <cell r="I346">
            <v>0</v>
          </cell>
          <cell r="J346">
            <v>1379.14</v>
          </cell>
          <cell r="K346">
            <v>-21.21</v>
          </cell>
        </row>
        <row r="347">
          <cell r="A347" t="str">
            <v>LU2643911725</v>
          </cell>
          <cell r="B347" t="str">
            <v>AMUNDI FUNDS EMERGING MARKETS EQUITY FOCUS</v>
          </cell>
          <cell r="C347" t="str">
            <v>Class X19 CAD (C)</v>
          </cell>
          <cell r="D347" t="str">
            <v>CAD</v>
          </cell>
          <cell r="E347">
            <v>45747</v>
          </cell>
          <cell r="F347">
            <v>214547322.94999999</v>
          </cell>
          <cell r="G347">
            <v>177623.92300000001</v>
          </cell>
          <cell r="H347">
            <v>1207.8699999999999</v>
          </cell>
          <cell r="I347">
            <v>0</v>
          </cell>
          <cell r="J347">
            <v>1207.8699999999999</v>
          </cell>
          <cell r="K347">
            <v>-9.23</v>
          </cell>
        </row>
        <row r="348">
          <cell r="A348" t="str">
            <v>LU1998918046</v>
          </cell>
          <cell r="B348" t="str">
            <v>AMUNDI FUNDS EMERGING MARKETS EQUITY FOCUS</v>
          </cell>
          <cell r="C348" t="str">
            <v>Class H USD ( C )</v>
          </cell>
          <cell r="D348" t="str">
            <v>USD</v>
          </cell>
          <cell r="E348">
            <v>45747</v>
          </cell>
          <cell r="F348">
            <v>4411210.08</v>
          </cell>
          <cell r="G348">
            <v>3271.835</v>
          </cell>
          <cell r="H348">
            <v>1348.24</v>
          </cell>
          <cell r="I348">
            <v>0</v>
          </cell>
          <cell r="J348">
            <v>1348.24</v>
          </cell>
          <cell r="K348">
            <v>-20.77</v>
          </cell>
        </row>
        <row r="349">
          <cell r="A349" t="str">
            <v>LU1891089317</v>
          </cell>
          <cell r="B349" t="str">
            <v>AMUNDI FUNDS EMERGING MARKETS EQUITY FOCUS</v>
          </cell>
          <cell r="C349" t="str">
            <v>Class Q-I GBP (C)</v>
          </cell>
          <cell r="D349" t="str">
            <v>GBP</v>
          </cell>
          <cell r="E349">
            <v>45747</v>
          </cell>
          <cell r="F349">
            <v>243035005.86000001</v>
          </cell>
          <cell r="G349">
            <v>201592.2</v>
          </cell>
          <cell r="H349">
            <v>1205.58</v>
          </cell>
          <cell r="I349">
            <v>0</v>
          </cell>
          <cell r="J349">
            <v>1205.58</v>
          </cell>
          <cell r="K349">
            <v>-15.39</v>
          </cell>
        </row>
        <row r="350">
          <cell r="A350" t="str">
            <v>LU0557858130</v>
          </cell>
          <cell r="B350" t="str">
            <v>AMUNDI FUNDS EMERGING WORLD EQUITY</v>
          </cell>
          <cell r="C350" t="str">
            <v>Class A EUR (C)</v>
          </cell>
          <cell r="D350" t="str">
            <v>EUR</v>
          </cell>
          <cell r="E350">
            <v>45747</v>
          </cell>
          <cell r="F350">
            <v>93430074.239999995</v>
          </cell>
          <cell r="G350">
            <v>597170.61199999996</v>
          </cell>
          <cell r="H350">
            <v>156.44999999999999</v>
          </cell>
          <cell r="I350">
            <v>0</v>
          </cell>
          <cell r="J350">
            <v>163.49</v>
          </cell>
          <cell r="K350">
            <v>-2.12</v>
          </cell>
        </row>
        <row r="351">
          <cell r="A351" t="str">
            <v>LU0347592197</v>
          </cell>
          <cell r="B351" t="str">
            <v>AMUNDI FUNDS EMERGING WORLD EQUITY</v>
          </cell>
          <cell r="C351" t="str">
            <v>Class A USD (C)</v>
          </cell>
          <cell r="D351" t="str">
            <v>USD</v>
          </cell>
          <cell r="E351">
            <v>45747</v>
          </cell>
          <cell r="F351">
            <v>35212620.689999998</v>
          </cell>
          <cell r="G351">
            <v>288174.14799999999</v>
          </cell>
          <cell r="H351">
            <v>122.19</v>
          </cell>
          <cell r="I351">
            <v>0</v>
          </cell>
          <cell r="J351">
            <v>127.69</v>
          </cell>
          <cell r="K351">
            <v>-1.89</v>
          </cell>
        </row>
        <row r="352">
          <cell r="A352" t="str">
            <v>LU1049754457</v>
          </cell>
          <cell r="B352" t="str">
            <v>AMUNDI FUNDS EMERGING WORLD EQUITY</v>
          </cell>
          <cell r="C352" t="str">
            <v>Class A CZK Hgd (C)</v>
          </cell>
          <cell r="D352" t="str">
            <v>CZK</v>
          </cell>
          <cell r="E352">
            <v>45747</v>
          </cell>
          <cell r="F352">
            <v>151142083.90000001</v>
          </cell>
          <cell r="G352">
            <v>54660.125999999997</v>
          </cell>
          <cell r="H352">
            <v>2765.13</v>
          </cell>
          <cell r="I352">
            <v>0</v>
          </cell>
          <cell r="J352">
            <v>2765.13</v>
          </cell>
          <cell r="K352">
            <v>-43.11</v>
          </cell>
        </row>
        <row r="353">
          <cell r="A353" t="str">
            <v>LU0557858213</v>
          </cell>
          <cell r="B353" t="str">
            <v>AMUNDI FUNDS EMERGING WORLD EQUITY</v>
          </cell>
          <cell r="C353" t="str">
            <v>Class A EUR AD (D)</v>
          </cell>
          <cell r="D353" t="str">
            <v>EUR</v>
          </cell>
          <cell r="E353">
            <v>45747</v>
          </cell>
          <cell r="F353">
            <v>2746379.24</v>
          </cell>
          <cell r="G353">
            <v>18450.907999999999</v>
          </cell>
          <cell r="H353">
            <v>148.85</v>
          </cell>
          <cell r="I353">
            <v>0</v>
          </cell>
          <cell r="J353">
            <v>155.55000000000001</v>
          </cell>
          <cell r="K353">
            <v>-2.0099999999999998</v>
          </cell>
        </row>
        <row r="354">
          <cell r="A354" t="str">
            <v>LU0347592270</v>
          </cell>
          <cell r="B354" t="str">
            <v>AMUNDI FUNDS EMERGING WORLD EQUITY</v>
          </cell>
          <cell r="C354" t="str">
            <v>Class A USD AD (D)</v>
          </cell>
          <cell r="D354" t="str">
            <v>USD</v>
          </cell>
          <cell r="E354">
            <v>45747</v>
          </cell>
          <cell r="F354">
            <v>2846785.06</v>
          </cell>
          <cell r="G354">
            <v>24448.415000000001</v>
          </cell>
          <cell r="H354">
            <v>116.44</v>
          </cell>
          <cell r="I354">
            <v>0</v>
          </cell>
          <cell r="J354">
            <v>121.68</v>
          </cell>
          <cell r="K354">
            <v>-1.8</v>
          </cell>
        </row>
        <row r="355">
          <cell r="A355" t="str">
            <v>LU1882466482</v>
          </cell>
          <cell r="B355" t="str">
            <v>AMUNDI FUNDS EMERGING WORLD EQUITY</v>
          </cell>
          <cell r="C355" t="str">
            <v>Class M2 EUR (C)</v>
          </cell>
          <cell r="D355" t="str">
            <v>EUR</v>
          </cell>
          <cell r="E355">
            <v>45747</v>
          </cell>
          <cell r="F355">
            <v>12128349.52</v>
          </cell>
          <cell r="G355">
            <v>9206.2330000000002</v>
          </cell>
          <cell r="H355">
            <v>1317.41</v>
          </cell>
          <cell r="I355">
            <v>0</v>
          </cell>
          <cell r="J355">
            <v>1317.41</v>
          </cell>
          <cell r="K355">
            <v>-17.7</v>
          </cell>
        </row>
        <row r="356">
          <cell r="A356" t="str">
            <v>LU1882465757</v>
          </cell>
          <cell r="B356" t="str">
            <v>AMUNDI FUNDS EMERGING WORLD EQUITY</v>
          </cell>
          <cell r="C356" t="str">
            <v>Class C EUR (C)</v>
          </cell>
          <cell r="D356" t="str">
            <v>EUR</v>
          </cell>
          <cell r="E356">
            <v>45747</v>
          </cell>
          <cell r="F356">
            <v>675229.4</v>
          </cell>
          <cell r="G356">
            <v>11638.931</v>
          </cell>
          <cell r="H356">
            <v>58.01</v>
          </cell>
          <cell r="I356">
            <v>0</v>
          </cell>
          <cell r="J356">
            <v>58.01</v>
          </cell>
          <cell r="K356">
            <v>-0.79</v>
          </cell>
        </row>
        <row r="357">
          <cell r="A357" t="str">
            <v>LU1882465831</v>
          </cell>
          <cell r="B357" t="str">
            <v>AMUNDI FUNDS EMERGING WORLD EQUITY</v>
          </cell>
          <cell r="C357" t="str">
            <v>Class C USD (C)</v>
          </cell>
          <cell r="D357" t="str">
            <v>USD</v>
          </cell>
          <cell r="E357">
            <v>45747</v>
          </cell>
          <cell r="F357">
            <v>661126.02</v>
          </cell>
          <cell r="G357">
            <v>11757.245000000001</v>
          </cell>
          <cell r="H357">
            <v>56.23</v>
          </cell>
          <cell r="I357">
            <v>0</v>
          </cell>
          <cell r="J357">
            <v>56.23</v>
          </cell>
          <cell r="K357">
            <v>-0.88</v>
          </cell>
        </row>
        <row r="358">
          <cell r="A358" t="str">
            <v>LU1882465914</v>
          </cell>
          <cell r="B358" t="str">
            <v>AMUNDI FUNDS EMERGING WORLD EQUITY</v>
          </cell>
          <cell r="C358" t="str">
            <v>Class E2 EUR (C)</v>
          </cell>
          <cell r="D358" t="str">
            <v>EUR</v>
          </cell>
          <cell r="E358">
            <v>45747</v>
          </cell>
          <cell r="F358">
            <v>16654178.539999999</v>
          </cell>
          <cell r="G358">
            <v>2653964.0649999999</v>
          </cell>
          <cell r="H358">
            <v>6.2750000000000004</v>
          </cell>
          <cell r="I358">
            <v>0</v>
          </cell>
          <cell r="J358">
            <v>6.2750000000000004</v>
          </cell>
          <cell r="K358">
            <v>-8.5000000000000006E-2</v>
          </cell>
        </row>
        <row r="359">
          <cell r="A359" t="str">
            <v>LU1882466052</v>
          </cell>
          <cell r="B359" t="str">
            <v>AMUNDI FUNDS EMERGING WORLD EQUITY</v>
          </cell>
          <cell r="C359" t="str">
            <v>Class F EUR (C)</v>
          </cell>
          <cell r="D359" t="str">
            <v>EUR</v>
          </cell>
          <cell r="E359">
            <v>45747</v>
          </cell>
          <cell r="F359">
            <v>12002050.59</v>
          </cell>
          <cell r="G359">
            <v>2025656.416</v>
          </cell>
          <cell r="H359">
            <v>5.9249999999999998</v>
          </cell>
          <cell r="I359">
            <v>0</v>
          </cell>
          <cell r="J359">
            <v>5.9249999999999998</v>
          </cell>
          <cell r="K359">
            <v>-0.08</v>
          </cell>
        </row>
        <row r="360">
          <cell r="A360" t="str">
            <v>LU0557858304</v>
          </cell>
          <cell r="B360" t="str">
            <v>AMUNDI FUNDS EMERGING WORLD EQUITY</v>
          </cell>
          <cell r="C360" t="str">
            <v>Class F2 USD (C)</v>
          </cell>
          <cell r="D360" t="str">
            <v>USD</v>
          </cell>
          <cell r="E360">
            <v>45747</v>
          </cell>
          <cell r="F360">
            <v>486326.22</v>
          </cell>
          <cell r="G360">
            <v>4880.2370000000001</v>
          </cell>
          <cell r="H360">
            <v>99.65</v>
          </cell>
          <cell r="I360">
            <v>0</v>
          </cell>
          <cell r="J360">
            <v>99.65</v>
          </cell>
          <cell r="K360">
            <v>-1.55</v>
          </cell>
        </row>
        <row r="361">
          <cell r="A361" t="str">
            <v>LU1998918392</v>
          </cell>
          <cell r="B361" t="str">
            <v>AMUNDI FUNDS EMERGING WORLD EQUITY</v>
          </cell>
          <cell r="C361" t="str">
            <v>Class H EUR (C)</v>
          </cell>
          <cell r="D361" t="str">
            <v>EUR</v>
          </cell>
          <cell r="E361">
            <v>45747</v>
          </cell>
          <cell r="F361">
            <v>6880.56</v>
          </cell>
          <cell r="G361">
            <v>5</v>
          </cell>
          <cell r="H361">
            <v>1376.11</v>
          </cell>
          <cell r="I361">
            <v>0</v>
          </cell>
          <cell r="J361">
            <v>1376.11</v>
          </cell>
          <cell r="K361">
            <v>-18.43</v>
          </cell>
        </row>
        <row r="362">
          <cell r="A362" t="str">
            <v>LU1882466300</v>
          </cell>
          <cell r="B362" t="str">
            <v>AMUNDI FUNDS EMERGING WORLD EQUITY</v>
          </cell>
          <cell r="C362" t="str">
            <v>Class I2 USD (C)</v>
          </cell>
          <cell r="D362" t="str">
            <v>USD</v>
          </cell>
          <cell r="E362">
            <v>45747</v>
          </cell>
          <cell r="F362">
            <v>21673.07</v>
          </cell>
          <cell r="G362">
            <v>16.989000000000001</v>
          </cell>
          <cell r="H362">
            <v>1275.71</v>
          </cell>
          <cell r="I362">
            <v>0</v>
          </cell>
          <cell r="J362">
            <v>1275.71</v>
          </cell>
          <cell r="K362">
            <v>-19.66</v>
          </cell>
        </row>
        <row r="363">
          <cell r="A363" t="str">
            <v>LU0906531487</v>
          </cell>
          <cell r="B363" t="str">
            <v>AMUNDI FUNDS EMERGING WORLD EQUITY</v>
          </cell>
          <cell r="C363" t="str">
            <v>Class I EUR (C)</v>
          </cell>
          <cell r="D363" t="str">
            <v>EUR</v>
          </cell>
          <cell r="E363">
            <v>45747</v>
          </cell>
          <cell r="F363">
            <v>47111137.030000001</v>
          </cell>
          <cell r="G363">
            <v>27879.508000000002</v>
          </cell>
          <cell r="H363">
            <v>1689.81</v>
          </cell>
          <cell r="I363">
            <v>0</v>
          </cell>
          <cell r="J363">
            <v>1689.81</v>
          </cell>
          <cell r="K363">
            <v>-22.7</v>
          </cell>
        </row>
        <row r="364">
          <cell r="A364" t="str">
            <v>LU0347592437</v>
          </cell>
          <cell r="B364" t="str">
            <v>AMUNDI FUNDS EMERGING WORLD EQUITY</v>
          </cell>
          <cell r="C364" t="str">
            <v>Class I USD (C)</v>
          </cell>
          <cell r="D364" t="str">
            <v>USD</v>
          </cell>
          <cell r="E364">
            <v>45747</v>
          </cell>
          <cell r="F364">
            <v>19481714.690000001</v>
          </cell>
          <cell r="G364">
            <v>13809.623</v>
          </cell>
          <cell r="H364">
            <v>1410.73</v>
          </cell>
          <cell r="I364">
            <v>0</v>
          </cell>
          <cell r="J364">
            <v>1410.73</v>
          </cell>
          <cell r="K364">
            <v>-21.73</v>
          </cell>
        </row>
        <row r="365">
          <cell r="A365" t="str">
            <v>LU2052289266</v>
          </cell>
          <cell r="B365" t="str">
            <v>AMUNDI FUNDS EMERGING WORLD EQUITY</v>
          </cell>
          <cell r="C365" t="str">
            <v>Class I2 GBP (C)</v>
          </cell>
          <cell r="D365" t="str">
            <v>GBP</v>
          </cell>
          <cell r="E365">
            <v>45747</v>
          </cell>
          <cell r="F365">
            <v>6015.35</v>
          </cell>
          <cell r="G365">
            <v>5</v>
          </cell>
          <cell r="H365">
            <v>1203.07</v>
          </cell>
          <cell r="I365">
            <v>0</v>
          </cell>
          <cell r="J365">
            <v>1203.07</v>
          </cell>
          <cell r="K365">
            <v>-15.37</v>
          </cell>
        </row>
        <row r="366">
          <cell r="A366" t="str">
            <v>LU1882466219</v>
          </cell>
          <cell r="B366" t="str">
            <v>AMUNDI FUNDS EMERGING WORLD EQUITY</v>
          </cell>
          <cell r="C366" t="str">
            <v>Class I2 EUR (C)</v>
          </cell>
          <cell r="D366" t="str">
            <v>EUR</v>
          </cell>
          <cell r="E366">
            <v>45747</v>
          </cell>
          <cell r="F366">
            <v>7796592.7999999998</v>
          </cell>
          <cell r="G366">
            <v>5934.9030000000002</v>
          </cell>
          <cell r="H366">
            <v>1313.68</v>
          </cell>
          <cell r="I366">
            <v>0</v>
          </cell>
          <cell r="J366">
            <v>1313.68</v>
          </cell>
          <cell r="K366">
            <v>-17.66</v>
          </cell>
        </row>
        <row r="367">
          <cell r="A367" t="str">
            <v>LU1882466136</v>
          </cell>
          <cell r="B367" t="str">
            <v>AMUNDI FUNDS EMERGING WORLD EQUITY</v>
          </cell>
          <cell r="C367" t="str">
            <v>Class G EUR (C)</v>
          </cell>
          <cell r="D367" t="str">
            <v>EUR</v>
          </cell>
          <cell r="E367">
            <v>45747</v>
          </cell>
          <cell r="F367">
            <v>348112.74</v>
          </cell>
          <cell r="G367">
            <v>57314.097000000002</v>
          </cell>
          <cell r="H367">
            <v>6.0739999999999998</v>
          </cell>
          <cell r="I367">
            <v>0</v>
          </cell>
          <cell r="J367">
            <v>6.0739999999999998</v>
          </cell>
          <cell r="K367">
            <v>-8.2000000000000003E-2</v>
          </cell>
        </row>
        <row r="368">
          <cell r="A368" t="str">
            <v>LU0347591975</v>
          </cell>
          <cell r="B368" t="str">
            <v>AMUNDI FUNDS EMERGING WORLD EQUITY</v>
          </cell>
          <cell r="C368" t="str">
            <v>Class M USD (C)</v>
          </cell>
          <cell r="D368" t="str">
            <v>USD</v>
          </cell>
          <cell r="E368">
            <v>45747</v>
          </cell>
          <cell r="F368">
            <v>12900068.65</v>
          </cell>
          <cell r="G368">
            <v>83292.962</v>
          </cell>
          <cell r="H368">
            <v>154.88</v>
          </cell>
          <cell r="I368">
            <v>0</v>
          </cell>
          <cell r="J368">
            <v>154.88</v>
          </cell>
          <cell r="K368">
            <v>-2.38</v>
          </cell>
        </row>
        <row r="369">
          <cell r="A369" t="str">
            <v>LU1882466649</v>
          </cell>
          <cell r="B369" t="str">
            <v>AMUNDI FUNDS EMERGING WORLD EQUITY</v>
          </cell>
          <cell r="C369" t="str">
            <v>Class R2 EUR (C)</v>
          </cell>
          <cell r="D369" t="str">
            <v>EUR</v>
          </cell>
          <cell r="E369">
            <v>45747</v>
          </cell>
          <cell r="F369">
            <v>5167.16</v>
          </cell>
          <cell r="G369">
            <v>79.742000000000004</v>
          </cell>
          <cell r="H369">
            <v>64.8</v>
          </cell>
          <cell r="I369">
            <v>0</v>
          </cell>
          <cell r="J369">
            <v>64.8</v>
          </cell>
          <cell r="K369">
            <v>-0.87</v>
          </cell>
        </row>
        <row r="370">
          <cell r="A370" t="str">
            <v>LU1327395288</v>
          </cell>
          <cell r="B370" t="str">
            <v>AMUNDI FUNDS EMERGING WORLD EQUITY</v>
          </cell>
          <cell r="C370" t="str">
            <v>Class O EUR (C)</v>
          </cell>
          <cell r="D370" t="str">
            <v>EUR</v>
          </cell>
          <cell r="E370">
            <v>45747</v>
          </cell>
          <cell r="F370">
            <v>328574395.72000003</v>
          </cell>
          <cell r="G370">
            <v>179249.54300000001</v>
          </cell>
          <cell r="H370">
            <v>1833.06</v>
          </cell>
          <cell r="I370">
            <v>0</v>
          </cell>
          <cell r="J370">
            <v>1833.06</v>
          </cell>
          <cell r="K370">
            <v>-24.49</v>
          </cell>
        </row>
        <row r="371">
          <cell r="A371" t="str">
            <v>LU0552028853</v>
          </cell>
          <cell r="B371" t="str">
            <v>AMUNDI FUNDS EMERGING WORLD EQUITY</v>
          </cell>
          <cell r="C371" t="str">
            <v>Class Q-O1 USD (C)</v>
          </cell>
          <cell r="D371" t="str">
            <v>USD</v>
          </cell>
          <cell r="E371">
            <v>45747</v>
          </cell>
          <cell r="F371">
            <v>350101093.22000003</v>
          </cell>
          <cell r="G371">
            <v>201385.375</v>
          </cell>
          <cell r="H371">
            <v>1738.46</v>
          </cell>
          <cell r="I371">
            <v>0</v>
          </cell>
          <cell r="J371">
            <v>1738.46</v>
          </cell>
          <cell r="K371">
            <v>-26.66</v>
          </cell>
        </row>
        <row r="372">
          <cell r="A372" t="str">
            <v>LU1882466565</v>
          </cell>
          <cell r="B372" t="str">
            <v>AMUNDI FUNDS EMERGING WORLD EQUITY</v>
          </cell>
          <cell r="C372" t="str">
            <v>Class P2 USD (C)</v>
          </cell>
          <cell r="D372" t="str">
            <v>USD</v>
          </cell>
          <cell r="E372">
            <v>45747</v>
          </cell>
          <cell r="F372">
            <v>6493.56</v>
          </cell>
          <cell r="G372">
            <v>103.935</v>
          </cell>
          <cell r="H372">
            <v>62.48</v>
          </cell>
          <cell r="I372">
            <v>0</v>
          </cell>
          <cell r="J372">
            <v>62.48</v>
          </cell>
          <cell r="K372">
            <v>-0.96</v>
          </cell>
        </row>
        <row r="373">
          <cell r="A373" t="str">
            <v>LU0823041859</v>
          </cell>
          <cell r="B373" t="str">
            <v>AMUNDI FUNDS EMERGING WORLD EQUITY</v>
          </cell>
          <cell r="C373" t="str">
            <v>Class R USD (C)</v>
          </cell>
          <cell r="D373" t="str">
            <v>USD</v>
          </cell>
          <cell r="E373">
            <v>45747</v>
          </cell>
          <cell r="F373">
            <v>563813.89</v>
          </cell>
          <cell r="G373">
            <v>3661.4009999999998</v>
          </cell>
          <cell r="H373">
            <v>153.99</v>
          </cell>
          <cell r="I373">
            <v>0</v>
          </cell>
          <cell r="J373">
            <v>153.99</v>
          </cell>
          <cell r="K373">
            <v>-2.37</v>
          </cell>
        </row>
        <row r="374">
          <cell r="A374" t="str">
            <v>LU1737510872</v>
          </cell>
          <cell r="B374" t="str">
            <v>AMUNDI FUNDS EMERGING WORLD EQUITY</v>
          </cell>
          <cell r="C374" t="str">
            <v>Class R EUR (C)</v>
          </cell>
          <cell r="D374" t="str">
            <v>EUR</v>
          </cell>
          <cell r="E374">
            <v>45747</v>
          </cell>
          <cell r="F374">
            <v>29270.080000000002</v>
          </cell>
          <cell r="G374">
            <v>230</v>
          </cell>
          <cell r="H374">
            <v>127.26</v>
          </cell>
          <cell r="I374">
            <v>0</v>
          </cell>
          <cell r="J374">
            <v>127.26</v>
          </cell>
          <cell r="K374">
            <v>-1.71</v>
          </cell>
        </row>
        <row r="375">
          <cell r="A375" t="str">
            <v>LU1882466722</v>
          </cell>
          <cell r="B375" t="str">
            <v>AMUNDI FUNDS EMERGING WORLD EQUITY</v>
          </cell>
          <cell r="C375" t="str">
            <v>Class R2 USD (C)</v>
          </cell>
          <cell r="D375" t="str">
            <v>USD</v>
          </cell>
          <cell r="E375">
            <v>45747</v>
          </cell>
          <cell r="F375">
            <v>6125.46</v>
          </cell>
          <cell r="G375">
            <v>100</v>
          </cell>
          <cell r="H375">
            <v>61.25</v>
          </cell>
          <cell r="I375">
            <v>0</v>
          </cell>
          <cell r="J375">
            <v>61.25</v>
          </cell>
          <cell r="K375">
            <v>-0.95</v>
          </cell>
        </row>
        <row r="376">
          <cell r="A376" t="str">
            <v>LU0347592353</v>
          </cell>
          <cell r="B376" t="str">
            <v>AMUNDI FUNDS EMERGING WORLD EQUITY</v>
          </cell>
          <cell r="C376" t="str">
            <v>Class G USD (C)</v>
          </cell>
          <cell r="D376" t="str">
            <v>USD</v>
          </cell>
          <cell r="E376">
            <v>45747</v>
          </cell>
          <cell r="F376">
            <v>2961638.75</v>
          </cell>
          <cell r="G376">
            <v>25863.914000000001</v>
          </cell>
          <cell r="H376">
            <v>114.51</v>
          </cell>
          <cell r="I376">
            <v>0</v>
          </cell>
          <cell r="J376">
            <v>117.95</v>
          </cell>
          <cell r="K376">
            <v>-1.77</v>
          </cell>
        </row>
        <row r="377">
          <cell r="A377" t="str">
            <v>LU1882467456</v>
          </cell>
          <cell r="B377" t="str">
            <v>AMUNDI FUNDS EMERGING WORLD EQUITY</v>
          </cell>
          <cell r="C377" t="str">
            <v>Class X EUR (C)</v>
          </cell>
          <cell r="D377" t="str">
            <v>EUR</v>
          </cell>
          <cell r="E377">
            <v>45747</v>
          </cell>
          <cell r="F377">
            <v>157762054.77000001</v>
          </cell>
          <cell r="G377">
            <v>113596.058</v>
          </cell>
          <cell r="H377">
            <v>1388.8</v>
          </cell>
          <cell r="I377">
            <v>0</v>
          </cell>
          <cell r="J377">
            <v>1388.8</v>
          </cell>
          <cell r="K377">
            <v>-18.55</v>
          </cell>
        </row>
        <row r="378">
          <cell r="A378" t="str">
            <v>LU2031984854</v>
          </cell>
          <cell r="B378" t="str">
            <v>AMUNDI FUNDS EMERGING WORLD EQUITY</v>
          </cell>
          <cell r="C378" t="str">
            <v>Class Z USD (C)</v>
          </cell>
          <cell r="D378" t="str">
            <v>USD</v>
          </cell>
          <cell r="E378">
            <v>45747</v>
          </cell>
          <cell r="F378">
            <v>1201655.72</v>
          </cell>
          <cell r="G378">
            <v>995.53599999999994</v>
          </cell>
          <cell r="H378">
            <v>1207.04</v>
          </cell>
          <cell r="I378">
            <v>0</v>
          </cell>
          <cell r="J378">
            <v>1207.04</v>
          </cell>
          <cell r="K378">
            <v>-18.579999999999998</v>
          </cell>
        </row>
        <row r="379">
          <cell r="A379" t="str">
            <v>LU0568607203</v>
          </cell>
          <cell r="B379" t="str">
            <v>AMUNDI FUNDS EUROLAND EQUITY SMALL CAP</v>
          </cell>
          <cell r="C379" t="str">
            <v>Class A EUR (C)</v>
          </cell>
          <cell r="D379" t="str">
            <v>EUR</v>
          </cell>
          <cell r="E379">
            <v>45747</v>
          </cell>
          <cell r="F379">
            <v>85105282.170000002</v>
          </cell>
          <cell r="G379">
            <v>386012.03499999997</v>
          </cell>
          <cell r="H379">
            <v>220.47</v>
          </cell>
          <cell r="I379">
            <v>0</v>
          </cell>
          <cell r="J379">
            <v>230.39</v>
          </cell>
          <cell r="K379">
            <v>-4.08</v>
          </cell>
        </row>
        <row r="380">
          <cell r="A380" t="str">
            <v>LU0568607385</v>
          </cell>
          <cell r="B380" t="str">
            <v>AMUNDI FUNDS EUROLAND EQUITY SMALL CAP</v>
          </cell>
          <cell r="C380" t="str">
            <v>Class A EUR AD (D)</v>
          </cell>
          <cell r="D380" t="str">
            <v>EUR</v>
          </cell>
          <cell r="E380">
            <v>45747</v>
          </cell>
          <cell r="F380">
            <v>7801832.7699999996</v>
          </cell>
          <cell r="G380">
            <v>36178.345000000001</v>
          </cell>
          <cell r="H380">
            <v>215.65</v>
          </cell>
          <cell r="I380">
            <v>0</v>
          </cell>
          <cell r="J380">
            <v>225.35</v>
          </cell>
          <cell r="K380">
            <v>-3.98</v>
          </cell>
        </row>
        <row r="381">
          <cell r="A381" t="str">
            <v>LU1049754531</v>
          </cell>
          <cell r="B381" t="str">
            <v>AMUNDI FUNDS EUROLAND EQUITY SMALL CAP</v>
          </cell>
          <cell r="C381" t="str">
            <v>Class A2 USD (C)</v>
          </cell>
          <cell r="D381" t="str">
            <v>USD</v>
          </cell>
          <cell r="E381">
            <v>45747</v>
          </cell>
          <cell r="F381">
            <v>14561.85</v>
          </cell>
          <cell r="G381">
            <v>103.947</v>
          </cell>
          <cell r="H381">
            <v>140.09</v>
          </cell>
          <cell r="I381">
            <v>0</v>
          </cell>
          <cell r="J381">
            <v>140.09</v>
          </cell>
          <cell r="K381">
            <v>-2.87</v>
          </cell>
        </row>
        <row r="382">
          <cell r="A382" t="str">
            <v>LU2018720578</v>
          </cell>
          <cell r="B382" t="str">
            <v>AMUNDI FUNDS EUROLAND EQUITY SMALL CAP</v>
          </cell>
          <cell r="C382" t="str">
            <v>Class F EUR (C)</v>
          </cell>
          <cell r="D382" t="str">
            <v>EUR</v>
          </cell>
          <cell r="E382">
            <v>45747</v>
          </cell>
          <cell r="F382">
            <v>120292.31</v>
          </cell>
          <cell r="G382">
            <v>22256.37</v>
          </cell>
          <cell r="H382">
            <v>5.4050000000000002</v>
          </cell>
          <cell r="I382">
            <v>0</v>
          </cell>
          <cell r="J382">
            <v>5.4050000000000002</v>
          </cell>
          <cell r="K382">
            <v>-0.1</v>
          </cell>
        </row>
        <row r="383">
          <cell r="A383" t="str">
            <v>LU0568607542</v>
          </cell>
          <cell r="B383" t="str">
            <v>AMUNDI FUNDS EUROLAND EQUITY SMALL CAP</v>
          </cell>
          <cell r="C383" t="str">
            <v>Class F2 EUR (C)</v>
          </cell>
          <cell r="D383" t="str">
            <v>EUR</v>
          </cell>
          <cell r="E383">
            <v>45747</v>
          </cell>
          <cell r="F383">
            <v>1842371.38</v>
          </cell>
          <cell r="G383">
            <v>9787.6509999999998</v>
          </cell>
          <cell r="H383">
            <v>188.23</v>
          </cell>
          <cell r="I383">
            <v>0</v>
          </cell>
          <cell r="J383">
            <v>188.23</v>
          </cell>
          <cell r="K383">
            <v>-3.5</v>
          </cell>
        </row>
        <row r="384">
          <cell r="A384" t="str">
            <v>LU2031984771</v>
          </cell>
          <cell r="B384" t="str">
            <v>AMUNDI FUNDS EUROLAND EQUITY SMALL CAP</v>
          </cell>
          <cell r="C384" t="str">
            <v>Class I2 EUR (C)</v>
          </cell>
          <cell r="D384" t="str">
            <v>EUR</v>
          </cell>
          <cell r="E384">
            <v>45747</v>
          </cell>
          <cell r="F384">
            <v>18075388.02</v>
          </cell>
          <cell r="G384">
            <v>14876.282999999999</v>
          </cell>
          <cell r="H384">
            <v>1215.05</v>
          </cell>
          <cell r="I384">
            <v>0</v>
          </cell>
          <cell r="J384">
            <v>1215.05</v>
          </cell>
          <cell r="K384">
            <v>-22.35</v>
          </cell>
        </row>
        <row r="385">
          <cell r="A385" t="str">
            <v>LU0568606817</v>
          </cell>
          <cell r="B385" t="str">
            <v>AMUNDI FUNDS EUROLAND EQUITY SMALL CAP</v>
          </cell>
          <cell r="C385" t="str">
            <v>Class I EUR (C)</v>
          </cell>
          <cell r="D385" t="str">
            <v>EUR</v>
          </cell>
          <cell r="E385">
            <v>45747</v>
          </cell>
          <cell r="F385">
            <v>28212233.489999998</v>
          </cell>
          <cell r="G385">
            <v>11142.324000000001</v>
          </cell>
          <cell r="H385">
            <v>2531.9899999999998</v>
          </cell>
          <cell r="I385">
            <v>0</v>
          </cell>
          <cell r="J385">
            <v>2531.9899999999998</v>
          </cell>
          <cell r="K385">
            <v>-46.56</v>
          </cell>
        </row>
        <row r="386">
          <cell r="A386" t="str">
            <v>LU2330497194</v>
          </cell>
          <cell r="B386" t="str">
            <v>AMUNDI FUNDS EUROLAND EQUITY SMALL CAP</v>
          </cell>
          <cell r="C386" t="str">
            <v>Class I2 USD (C)</v>
          </cell>
          <cell r="D386" t="str">
            <v>USD</v>
          </cell>
          <cell r="E386">
            <v>45747</v>
          </cell>
          <cell r="F386">
            <v>4515.12</v>
          </cell>
          <cell r="G386">
            <v>5</v>
          </cell>
          <cell r="H386">
            <v>903.02</v>
          </cell>
          <cell r="I386">
            <v>0</v>
          </cell>
          <cell r="J386">
            <v>903.02</v>
          </cell>
          <cell r="K386">
            <v>-18.399999999999999</v>
          </cell>
        </row>
        <row r="387">
          <cell r="A387" t="str">
            <v>LU0568606908</v>
          </cell>
          <cell r="B387" t="str">
            <v>AMUNDI FUNDS EUROLAND EQUITY SMALL CAP</v>
          </cell>
          <cell r="C387" t="str">
            <v>Class I EUR AD (D)</v>
          </cell>
          <cell r="D387" t="str">
            <v>EUR</v>
          </cell>
          <cell r="E387">
            <v>45747</v>
          </cell>
          <cell r="F387">
            <v>4413681.2699999996</v>
          </cell>
          <cell r="G387">
            <v>3213.5309999999999</v>
          </cell>
          <cell r="H387">
            <v>1373.47</v>
          </cell>
          <cell r="I387">
            <v>0</v>
          </cell>
          <cell r="J387">
            <v>1373.47</v>
          </cell>
          <cell r="K387">
            <v>-25.26</v>
          </cell>
        </row>
        <row r="388">
          <cell r="A388" t="str">
            <v>LU0568607039</v>
          </cell>
          <cell r="B388" t="str">
            <v>AMUNDI FUNDS EUROLAND EQUITY SMALL CAP</v>
          </cell>
          <cell r="C388" t="str">
            <v>Class M EUR (C)</v>
          </cell>
          <cell r="D388" t="str">
            <v>EUR</v>
          </cell>
          <cell r="E388">
            <v>45747</v>
          </cell>
          <cell r="F388">
            <v>11282531.810000001</v>
          </cell>
          <cell r="G388">
            <v>44308.093999999997</v>
          </cell>
          <cell r="H388">
            <v>254.64</v>
          </cell>
          <cell r="I388">
            <v>0</v>
          </cell>
          <cell r="J388">
            <v>254.64</v>
          </cell>
          <cell r="K388">
            <v>-4.68</v>
          </cell>
        </row>
        <row r="389">
          <cell r="A389" t="str">
            <v>LU0906532022</v>
          </cell>
          <cell r="B389" t="str">
            <v>AMUNDI FUNDS EUROLAND EQUITY SMALL CAP</v>
          </cell>
          <cell r="C389" t="str">
            <v>Class OR EUR (C)</v>
          </cell>
          <cell r="D389" t="str">
            <v>EUR</v>
          </cell>
          <cell r="E389">
            <v>45747</v>
          </cell>
          <cell r="F389">
            <v>111448371.33</v>
          </cell>
          <cell r="G389">
            <v>92662.534</v>
          </cell>
          <cell r="H389">
            <v>1202.73</v>
          </cell>
          <cell r="I389">
            <v>0</v>
          </cell>
          <cell r="J389">
            <v>1202.73</v>
          </cell>
          <cell r="K389">
            <v>-22.05</v>
          </cell>
        </row>
        <row r="390">
          <cell r="A390" t="str">
            <v>LU0945156379</v>
          </cell>
          <cell r="B390" t="str">
            <v>AMUNDI FUNDS EUROLAND EQUITY SMALL CAP</v>
          </cell>
          <cell r="C390" t="str">
            <v>Class R EUR (C)</v>
          </cell>
          <cell r="D390" t="str">
            <v>EUR</v>
          </cell>
          <cell r="E390">
            <v>45747</v>
          </cell>
          <cell r="F390">
            <v>123226.29</v>
          </cell>
          <cell r="G390">
            <v>2457.4369999999999</v>
          </cell>
          <cell r="H390">
            <v>50.14</v>
          </cell>
          <cell r="I390">
            <v>0</v>
          </cell>
          <cell r="J390">
            <v>50.14</v>
          </cell>
          <cell r="K390">
            <v>-0.93</v>
          </cell>
        </row>
        <row r="391">
          <cell r="A391" t="str">
            <v>LU0568607468</v>
          </cell>
          <cell r="B391" t="str">
            <v>AMUNDI FUNDS EUROLAND EQUITY SMALL CAP</v>
          </cell>
          <cell r="C391" t="str">
            <v>Class G EUR (C)</v>
          </cell>
          <cell r="D391" t="str">
            <v>EUR</v>
          </cell>
          <cell r="E391">
            <v>45747</v>
          </cell>
          <cell r="F391">
            <v>7883819.1399999997</v>
          </cell>
          <cell r="G391">
            <v>37265.07</v>
          </cell>
          <cell r="H391">
            <v>211.56</v>
          </cell>
          <cell r="I391">
            <v>0</v>
          </cell>
          <cell r="J391">
            <v>217.91</v>
          </cell>
          <cell r="K391">
            <v>-3.91</v>
          </cell>
        </row>
        <row r="392">
          <cell r="A392" t="str">
            <v>LU1103155112</v>
          </cell>
          <cell r="B392" t="str">
            <v>AMUNDI FUNDS EUROLAND EQUITY SMALL CAP</v>
          </cell>
          <cell r="C392" t="str">
            <v>Class G USD (C)</v>
          </cell>
          <cell r="D392" t="str">
            <v>USD</v>
          </cell>
          <cell r="E392">
            <v>45747</v>
          </cell>
          <cell r="F392">
            <v>42392.99</v>
          </cell>
          <cell r="G392">
            <v>385.40300000000002</v>
          </cell>
          <cell r="H392">
            <v>110</v>
          </cell>
          <cell r="I392">
            <v>0</v>
          </cell>
          <cell r="J392">
            <v>110</v>
          </cell>
          <cell r="K392">
            <v>-2.25</v>
          </cell>
        </row>
        <row r="393">
          <cell r="A393" t="str">
            <v>LU1600319138</v>
          </cell>
          <cell r="B393" t="str">
            <v>AMUNDI FUNDS EUROLAND EQUITY SMALL CAP</v>
          </cell>
          <cell r="C393" t="str">
            <v>Class Z EUR (C)</v>
          </cell>
          <cell r="D393" t="str">
            <v>EUR</v>
          </cell>
          <cell r="E393">
            <v>45747</v>
          </cell>
          <cell r="F393">
            <v>84540841.239999995</v>
          </cell>
          <cell r="G393">
            <v>66942.638000000006</v>
          </cell>
          <cell r="H393">
            <v>1262.8800000000001</v>
          </cell>
          <cell r="I393">
            <v>0</v>
          </cell>
          <cell r="J393">
            <v>1262.8800000000001</v>
          </cell>
          <cell r="K393">
            <v>-23.21</v>
          </cell>
        </row>
        <row r="394">
          <cell r="A394" t="str">
            <v>LU1638831393</v>
          </cell>
          <cell r="B394" t="str">
            <v>AMUNDI FUNDS EUROLAND EQUITY SMALL CAP</v>
          </cell>
          <cell r="C394" t="str">
            <v>Class Z EUR AD (D)</v>
          </cell>
          <cell r="D394" t="str">
            <v>EUR</v>
          </cell>
          <cell r="E394">
            <v>45747</v>
          </cell>
          <cell r="F394">
            <v>22181315.77</v>
          </cell>
          <cell r="G394">
            <v>20817.498</v>
          </cell>
          <cell r="H394">
            <v>1065.51</v>
          </cell>
          <cell r="I394">
            <v>0</v>
          </cell>
          <cell r="J394">
            <v>1065.51</v>
          </cell>
          <cell r="K394">
            <v>-19.59</v>
          </cell>
        </row>
        <row r="395">
          <cell r="A395" t="str">
            <v>LU0568583420</v>
          </cell>
          <cell r="B395" t="str">
            <v>AMUNDI FUNDS EQUITY JAPAN TARGET</v>
          </cell>
          <cell r="C395" t="str">
            <v>Class A EUR (C)</v>
          </cell>
          <cell r="D395" t="str">
            <v>EUR</v>
          </cell>
          <cell r="E395">
            <v>45747</v>
          </cell>
          <cell r="F395">
            <v>41227423.259999998</v>
          </cell>
          <cell r="G395">
            <v>162667.96900000001</v>
          </cell>
          <cell r="H395">
            <v>253.44</v>
          </cell>
          <cell r="I395">
            <v>0</v>
          </cell>
          <cell r="J395">
            <v>264.83999999999997</v>
          </cell>
          <cell r="K395">
            <v>-4.5999999999999996</v>
          </cell>
        </row>
        <row r="396">
          <cell r="A396" t="str">
            <v>LU0568583008</v>
          </cell>
          <cell r="B396" t="str">
            <v>AMUNDI FUNDS EQUITY JAPAN TARGET</v>
          </cell>
          <cell r="C396" t="str">
            <v>Class A JPY (C)</v>
          </cell>
          <cell r="D396" t="str">
            <v>JPY</v>
          </cell>
          <cell r="E396">
            <v>45747</v>
          </cell>
          <cell r="F396">
            <v>748302270</v>
          </cell>
          <cell r="G396">
            <v>21320.589</v>
          </cell>
          <cell r="H396">
            <v>35097.64</v>
          </cell>
          <cell r="I396">
            <v>0</v>
          </cell>
          <cell r="J396">
            <v>36677.03</v>
          </cell>
          <cell r="K396">
            <v>-882.88</v>
          </cell>
        </row>
        <row r="397">
          <cell r="A397" t="str">
            <v>LU0568583933</v>
          </cell>
          <cell r="B397" t="str">
            <v>AMUNDI FUNDS EQUITY JAPAN TARGET</v>
          </cell>
          <cell r="C397" t="str">
            <v>Class A EUR Hgd (C)</v>
          </cell>
          <cell r="D397" t="str">
            <v>EUR</v>
          </cell>
          <cell r="E397">
            <v>45747</v>
          </cell>
          <cell r="F397">
            <v>40226496.229999997</v>
          </cell>
          <cell r="G397">
            <v>117471.728</v>
          </cell>
          <cell r="H397">
            <v>342.43</v>
          </cell>
          <cell r="I397">
            <v>0</v>
          </cell>
          <cell r="J397">
            <v>357.84</v>
          </cell>
          <cell r="K397">
            <v>-8.5299999999999994</v>
          </cell>
        </row>
        <row r="398">
          <cell r="A398" t="str">
            <v>LU0987202867</v>
          </cell>
          <cell r="B398" t="str">
            <v>AMUNDI FUNDS EQUITY JAPAN TARGET</v>
          </cell>
          <cell r="C398" t="str">
            <v>Class A USD Hgd (C)</v>
          </cell>
          <cell r="D398" t="str">
            <v>USD</v>
          </cell>
          <cell r="E398">
            <v>45747</v>
          </cell>
          <cell r="F398">
            <v>1672090.83</v>
          </cell>
          <cell r="G398">
            <v>6939.3140000000003</v>
          </cell>
          <cell r="H398">
            <v>240.95</v>
          </cell>
          <cell r="I398">
            <v>0</v>
          </cell>
          <cell r="J398">
            <v>251.79</v>
          </cell>
          <cell r="K398">
            <v>-5.99</v>
          </cell>
        </row>
        <row r="399">
          <cell r="A399" t="str">
            <v>LU0568583776</v>
          </cell>
          <cell r="B399" t="str">
            <v>AMUNDI FUNDS EQUITY JAPAN TARGET</v>
          </cell>
          <cell r="C399" t="str">
            <v>Class A EUR AD (D)</v>
          </cell>
          <cell r="D399" t="str">
            <v>EUR</v>
          </cell>
          <cell r="E399">
            <v>45747</v>
          </cell>
          <cell r="F399">
            <v>2540740.84</v>
          </cell>
          <cell r="G399">
            <v>11884.874</v>
          </cell>
          <cell r="H399">
            <v>213.77</v>
          </cell>
          <cell r="I399">
            <v>0</v>
          </cell>
          <cell r="J399">
            <v>223.39</v>
          </cell>
          <cell r="K399">
            <v>-3.88</v>
          </cell>
        </row>
        <row r="400">
          <cell r="A400" t="str">
            <v>LU0568583263</v>
          </cell>
          <cell r="B400" t="str">
            <v>AMUNDI FUNDS EQUITY JAPAN TARGET</v>
          </cell>
          <cell r="C400" t="str">
            <v>Class A JPY AD (D)</v>
          </cell>
          <cell r="D400" t="str">
            <v>JPY</v>
          </cell>
          <cell r="E400">
            <v>45747</v>
          </cell>
          <cell r="F400">
            <v>195113339</v>
          </cell>
          <cell r="G400">
            <v>6568.43</v>
          </cell>
          <cell r="H400">
            <v>29704.71</v>
          </cell>
          <cell r="I400">
            <v>0</v>
          </cell>
          <cell r="J400">
            <v>31041.42</v>
          </cell>
          <cell r="K400">
            <v>-748.12</v>
          </cell>
        </row>
        <row r="401">
          <cell r="A401" t="str">
            <v>LU2018721626</v>
          </cell>
          <cell r="B401" t="str">
            <v>AMUNDI FUNDS EQUITY JAPAN TARGET</v>
          </cell>
          <cell r="C401" t="str">
            <v>Class F EUR Hgd (C)</v>
          </cell>
          <cell r="D401" t="str">
            <v>EUR</v>
          </cell>
          <cell r="E401">
            <v>45747</v>
          </cell>
          <cell r="F401">
            <v>533620.80000000005</v>
          </cell>
          <cell r="G401">
            <v>61365.874000000003</v>
          </cell>
          <cell r="H401">
            <v>8.6950000000000003</v>
          </cell>
          <cell r="I401">
            <v>0</v>
          </cell>
          <cell r="J401">
            <v>8.6950000000000003</v>
          </cell>
          <cell r="K401">
            <v>-0.217</v>
          </cell>
        </row>
        <row r="402">
          <cell r="A402" t="str">
            <v>LU0568584311</v>
          </cell>
          <cell r="B402" t="str">
            <v>AMUNDI FUNDS EQUITY JAPAN TARGET</v>
          </cell>
          <cell r="C402" t="str">
            <v>Class F2 JPY (C)</v>
          </cell>
          <cell r="D402" t="str">
            <v>JPY</v>
          </cell>
          <cell r="E402">
            <v>45747</v>
          </cell>
          <cell r="F402">
            <v>16560588</v>
          </cell>
          <cell r="G402">
            <v>550.22</v>
          </cell>
          <cell r="H402">
            <v>30098.12</v>
          </cell>
          <cell r="I402">
            <v>0</v>
          </cell>
          <cell r="J402">
            <v>30098.12</v>
          </cell>
          <cell r="K402">
            <v>-750.14</v>
          </cell>
        </row>
        <row r="403">
          <cell r="A403" t="str">
            <v>LU0568584584</v>
          </cell>
          <cell r="B403" t="str">
            <v>AMUNDI FUNDS EQUITY JAPAN TARGET</v>
          </cell>
          <cell r="C403" t="str">
            <v>Class F2 EUR Hgd (C)</v>
          </cell>
          <cell r="D403" t="str">
            <v>EUR</v>
          </cell>
          <cell r="E403">
            <v>45747</v>
          </cell>
          <cell r="F403">
            <v>1221617.93</v>
          </cell>
          <cell r="G403">
            <v>4016.6149999999998</v>
          </cell>
          <cell r="H403">
            <v>304.14</v>
          </cell>
          <cell r="I403">
            <v>0</v>
          </cell>
          <cell r="J403">
            <v>304.14</v>
          </cell>
          <cell r="K403">
            <v>-7.64</v>
          </cell>
        </row>
        <row r="404">
          <cell r="A404" t="str">
            <v>LU2031983617</v>
          </cell>
          <cell r="B404" t="str">
            <v>AMUNDI FUNDS EQUITY JAPAN TARGET</v>
          </cell>
          <cell r="C404" t="str">
            <v>Class I2 GBP QD (D)</v>
          </cell>
          <cell r="D404" t="str">
            <v>GBP</v>
          </cell>
          <cell r="E404">
            <v>45747</v>
          </cell>
          <cell r="F404">
            <v>5836.59</v>
          </cell>
          <cell r="G404">
            <v>5</v>
          </cell>
          <cell r="H404">
            <v>1167.31</v>
          </cell>
          <cell r="I404">
            <v>11.853999999999999</v>
          </cell>
          <cell r="J404">
            <v>1167.31</v>
          </cell>
          <cell r="K404">
            <v>-32.03</v>
          </cell>
        </row>
        <row r="405">
          <cell r="A405" t="str">
            <v>LU0568582299</v>
          </cell>
          <cell r="B405" t="str">
            <v>AMUNDI FUNDS EQUITY JAPAN TARGET</v>
          </cell>
          <cell r="C405" t="str">
            <v>Class I JPY (C)</v>
          </cell>
          <cell r="D405" t="str">
            <v>JPY</v>
          </cell>
          <cell r="E405">
            <v>45747</v>
          </cell>
          <cell r="F405">
            <v>1124091562</v>
          </cell>
          <cell r="G405">
            <v>2756.4760000000001</v>
          </cell>
          <cell r="H405">
            <v>407800.24</v>
          </cell>
          <cell r="I405">
            <v>0</v>
          </cell>
          <cell r="J405">
            <v>407800.24</v>
          </cell>
          <cell r="K405">
            <v>-10214.280000000001</v>
          </cell>
        </row>
        <row r="406">
          <cell r="A406" t="str">
            <v>LU1897303902</v>
          </cell>
          <cell r="B406" t="str">
            <v>AMUNDI FUNDS EQUITY JAPAN TARGET</v>
          </cell>
          <cell r="C406" t="str">
            <v>Class I2 GBP (C)</v>
          </cell>
          <cell r="D406" t="str">
            <v>GBP</v>
          </cell>
          <cell r="E406">
            <v>45747</v>
          </cell>
          <cell r="F406">
            <v>6418.19</v>
          </cell>
          <cell r="G406">
            <v>5</v>
          </cell>
          <cell r="H406">
            <v>1283.6300000000001</v>
          </cell>
          <cell r="I406">
            <v>0</v>
          </cell>
          <cell r="J406">
            <v>1283.6300000000001</v>
          </cell>
          <cell r="K406">
            <v>-21.96</v>
          </cell>
        </row>
        <row r="407">
          <cell r="A407" t="str">
            <v>LU0797053906</v>
          </cell>
          <cell r="B407" t="str">
            <v>AMUNDI FUNDS EQUITY JAPAN TARGET</v>
          </cell>
          <cell r="C407" t="str">
            <v>Class I EUR Hgd (C)</v>
          </cell>
          <cell r="D407" t="str">
            <v>EUR</v>
          </cell>
          <cell r="E407">
            <v>45747</v>
          </cell>
          <cell r="F407">
            <v>353223.94</v>
          </cell>
          <cell r="G407">
            <v>106.03100000000001</v>
          </cell>
          <cell r="H407">
            <v>3331.32</v>
          </cell>
          <cell r="I407">
            <v>0</v>
          </cell>
          <cell r="J407">
            <v>3331.32</v>
          </cell>
          <cell r="K407">
            <v>-79.849999999999994</v>
          </cell>
        </row>
        <row r="408">
          <cell r="A408" t="str">
            <v>LU0568582612</v>
          </cell>
          <cell r="B408" t="str">
            <v>AMUNDI FUNDS EQUITY JAPAN TARGET</v>
          </cell>
          <cell r="C408" t="str">
            <v>Class M JPY (C)</v>
          </cell>
          <cell r="D408" t="str">
            <v>JPY</v>
          </cell>
          <cell r="E408">
            <v>45747</v>
          </cell>
          <cell r="F408">
            <v>553206764</v>
          </cell>
          <cell r="G408">
            <v>13366.968000000001</v>
          </cell>
          <cell r="H408">
            <v>41386.11</v>
          </cell>
          <cell r="I408">
            <v>0</v>
          </cell>
          <cell r="J408">
            <v>41386.11</v>
          </cell>
          <cell r="K408">
            <v>-1036.26</v>
          </cell>
        </row>
        <row r="409">
          <cell r="A409" t="str">
            <v>LU0797053815</v>
          </cell>
          <cell r="B409" t="str">
            <v>AMUNDI FUNDS EQUITY JAPAN TARGET</v>
          </cell>
          <cell r="C409" t="str">
            <v>Class M EUR Hgd (C)</v>
          </cell>
          <cell r="D409" t="str">
            <v>EUR</v>
          </cell>
          <cell r="E409">
            <v>45747</v>
          </cell>
          <cell r="F409">
            <v>1820253.03</v>
          </cell>
          <cell r="G409">
            <v>5443.0209999999997</v>
          </cell>
          <cell r="H409">
            <v>334.41</v>
          </cell>
          <cell r="I409">
            <v>0</v>
          </cell>
          <cell r="J409">
            <v>334.41</v>
          </cell>
          <cell r="K409">
            <v>-8.2899999999999991</v>
          </cell>
        </row>
        <row r="410">
          <cell r="A410" t="str">
            <v>LU1049755694</v>
          </cell>
          <cell r="B410" t="str">
            <v>AMUNDI FUNDS EQUITY JAPAN TARGET</v>
          </cell>
          <cell r="C410" t="str">
            <v>Class O EUR Hgd (C)</v>
          </cell>
          <cell r="D410" t="str">
            <v>EUR</v>
          </cell>
          <cell r="E410">
            <v>45747</v>
          </cell>
          <cell r="F410">
            <v>9443491.1300000008</v>
          </cell>
          <cell r="G410">
            <v>4959.09</v>
          </cell>
          <cell r="H410">
            <v>1904.27</v>
          </cell>
          <cell r="I410">
            <v>0</v>
          </cell>
          <cell r="J410">
            <v>1904.27</v>
          </cell>
          <cell r="K410">
            <v>-47.32</v>
          </cell>
        </row>
        <row r="411">
          <cell r="A411" t="str">
            <v>LU2931223692</v>
          </cell>
          <cell r="B411" t="str">
            <v>AMUNDI FUNDS EQUITY JAPAN TARGET</v>
          </cell>
          <cell r="C411" t="str">
            <v>Class R EUR (C)</v>
          </cell>
          <cell r="D411" t="str">
            <v>EUR</v>
          </cell>
          <cell r="E411">
            <v>45747</v>
          </cell>
          <cell r="F411">
            <v>5199.66</v>
          </cell>
          <cell r="G411">
            <v>100</v>
          </cell>
          <cell r="H411">
            <v>51.99</v>
          </cell>
          <cell r="I411">
            <v>0</v>
          </cell>
          <cell r="J411">
            <v>51.99</v>
          </cell>
          <cell r="K411">
            <v>-0.94</v>
          </cell>
        </row>
        <row r="412">
          <cell r="A412" t="str">
            <v>LU0823046148</v>
          </cell>
          <cell r="B412" t="str">
            <v>AMUNDI FUNDS EQUITY JAPAN TARGET</v>
          </cell>
          <cell r="C412" t="str">
            <v>Class R JPY (C)</v>
          </cell>
          <cell r="D412" t="str">
            <v>JPY</v>
          </cell>
          <cell r="E412">
            <v>45747</v>
          </cell>
          <cell r="F412">
            <v>3016661</v>
          </cell>
          <cell r="G412">
            <v>102.16500000000001</v>
          </cell>
          <cell r="H412">
            <v>29527.34</v>
          </cell>
          <cell r="I412">
            <v>0</v>
          </cell>
          <cell r="J412">
            <v>29527.34</v>
          </cell>
          <cell r="K412">
            <v>-739.49</v>
          </cell>
        </row>
        <row r="413">
          <cell r="A413" t="str">
            <v>LU0568584154</v>
          </cell>
          <cell r="B413" t="str">
            <v>AMUNDI FUNDS EQUITY JAPAN TARGET</v>
          </cell>
          <cell r="C413" t="str">
            <v>Class G JPY (C)</v>
          </cell>
          <cell r="D413" t="str">
            <v>JPY</v>
          </cell>
          <cell r="E413">
            <v>45747</v>
          </cell>
          <cell r="F413">
            <v>247207068</v>
          </cell>
          <cell r="G413">
            <v>7522.4830000000002</v>
          </cell>
          <cell r="H413">
            <v>32862.43</v>
          </cell>
          <cell r="I413">
            <v>0</v>
          </cell>
          <cell r="J413">
            <v>33848.300000000003</v>
          </cell>
          <cell r="K413">
            <v>-827.01</v>
          </cell>
        </row>
        <row r="414">
          <cell r="A414" t="str">
            <v>LU0797053732</v>
          </cell>
          <cell r="B414" t="str">
            <v>AMUNDI FUNDS EQUITY JAPAN TARGET</v>
          </cell>
          <cell r="C414" t="str">
            <v>Class G EUR Hgd (C)</v>
          </cell>
          <cell r="D414" t="str">
            <v>EUR</v>
          </cell>
          <cell r="E414">
            <v>45747</v>
          </cell>
          <cell r="F414">
            <v>4810183.8</v>
          </cell>
          <cell r="G414">
            <v>17505.019</v>
          </cell>
          <cell r="H414">
            <v>274.77999999999997</v>
          </cell>
          <cell r="I414">
            <v>0</v>
          </cell>
          <cell r="J414">
            <v>283.02</v>
          </cell>
          <cell r="K414">
            <v>-6.84</v>
          </cell>
        </row>
        <row r="415">
          <cell r="A415" t="str">
            <v>LU2034728464</v>
          </cell>
          <cell r="B415" t="str">
            <v>AMUNDI FUNDS EQUITY JAPAN TARGET</v>
          </cell>
          <cell r="C415" t="str">
            <v>Class X USD (C)</v>
          </cell>
          <cell r="D415" t="str">
            <v>USD</v>
          </cell>
          <cell r="E415">
            <v>45747</v>
          </cell>
          <cell r="F415">
            <v>7471.36</v>
          </cell>
          <cell r="G415">
            <v>5</v>
          </cell>
          <cell r="H415">
            <v>1494.27</v>
          </cell>
          <cell r="I415">
            <v>0</v>
          </cell>
          <cell r="J415">
            <v>1494.27</v>
          </cell>
          <cell r="K415">
            <v>-29.41</v>
          </cell>
        </row>
        <row r="416">
          <cell r="A416" t="str">
            <v>LU2778930615</v>
          </cell>
          <cell r="B416" t="str">
            <v>AMUNDI FUNDS EQUITY JAPAN TARGET</v>
          </cell>
          <cell r="C416" t="str">
            <v>Class X3 USD (C)</v>
          </cell>
          <cell r="D416" t="str">
            <v>USD</v>
          </cell>
          <cell r="E416">
            <v>45747</v>
          </cell>
          <cell r="F416">
            <v>82610180.150000006</v>
          </cell>
          <cell r="G416">
            <v>75425.811000000002</v>
          </cell>
          <cell r="H416">
            <v>1095.25</v>
          </cell>
          <cell r="I416">
            <v>0</v>
          </cell>
          <cell r="J416">
            <v>1095.25</v>
          </cell>
          <cell r="K416">
            <v>-21.56</v>
          </cell>
        </row>
        <row r="417">
          <cell r="A417" t="str">
            <v>LU0557866588</v>
          </cell>
          <cell r="B417" t="str">
            <v>AMUNDI FUNDS JAPAN EQUITY VALUE</v>
          </cell>
          <cell r="C417" t="str">
            <v>Class A2 EUR (C)</v>
          </cell>
          <cell r="D417" t="str">
            <v>EUR</v>
          </cell>
          <cell r="E417">
            <v>45747</v>
          </cell>
          <cell r="F417">
            <v>2655513.61</v>
          </cell>
          <cell r="G417">
            <v>11648.132</v>
          </cell>
          <cell r="H417">
            <v>227.97</v>
          </cell>
          <cell r="I417">
            <v>0</v>
          </cell>
          <cell r="J417">
            <v>238.23</v>
          </cell>
          <cell r="K417">
            <v>-6.29</v>
          </cell>
        </row>
        <row r="418">
          <cell r="A418" t="str">
            <v>LU0248702192</v>
          </cell>
          <cell r="B418" t="str">
            <v>AMUNDI FUNDS JAPAN EQUITY VALUE</v>
          </cell>
          <cell r="C418" t="str">
            <v>Class A2 JPY (C)</v>
          </cell>
          <cell r="D418" t="str">
            <v>JPY</v>
          </cell>
          <cell r="E418">
            <v>45747</v>
          </cell>
          <cell r="F418">
            <v>4513145583</v>
          </cell>
          <cell r="G418">
            <v>233239.723</v>
          </cell>
          <cell r="H418">
            <v>19349</v>
          </cell>
          <cell r="I418">
            <v>0</v>
          </cell>
          <cell r="J418">
            <v>20219</v>
          </cell>
          <cell r="K418">
            <v>-670</v>
          </cell>
        </row>
        <row r="419">
          <cell r="A419" t="str">
            <v>LU0945155991</v>
          </cell>
          <cell r="B419" t="str">
            <v>AMUNDI FUNDS JAPAN EQUITY VALUE</v>
          </cell>
          <cell r="C419" t="str">
            <v>Class A2 EUR Hgd (C)</v>
          </cell>
          <cell r="D419" t="str">
            <v>EUR</v>
          </cell>
          <cell r="E419">
            <v>45747</v>
          </cell>
          <cell r="F419">
            <v>1007564.65</v>
          </cell>
          <cell r="G419">
            <v>4747.6170000000002</v>
          </cell>
          <cell r="H419">
            <v>212.22</v>
          </cell>
          <cell r="I419">
            <v>0</v>
          </cell>
          <cell r="J419">
            <v>221.77</v>
          </cell>
          <cell r="K419">
            <v>-7.41</v>
          </cell>
        </row>
        <row r="420">
          <cell r="A420" t="str">
            <v>LU1049755934</v>
          </cell>
          <cell r="B420" t="str">
            <v>AMUNDI FUNDS JAPAN EQUITY VALUE</v>
          </cell>
          <cell r="C420" t="str">
            <v>Class A2 CZK Hgd (C)</v>
          </cell>
          <cell r="D420" t="str">
            <v>CZK</v>
          </cell>
          <cell r="E420">
            <v>45747</v>
          </cell>
          <cell r="F420">
            <v>458976264.86000001</v>
          </cell>
          <cell r="G420">
            <v>74726.702000000005</v>
          </cell>
          <cell r="H420">
            <v>6142.07</v>
          </cell>
          <cell r="I420">
            <v>0</v>
          </cell>
          <cell r="J420">
            <v>6142.07</v>
          </cell>
          <cell r="K420">
            <v>-214.43</v>
          </cell>
        </row>
        <row r="421">
          <cell r="A421" t="str">
            <v>LU0557867800</v>
          </cell>
          <cell r="B421" t="str">
            <v>AMUNDI FUNDS JAPAN EQUITY VALUE</v>
          </cell>
          <cell r="C421" t="str">
            <v>Class A2 EUR AD (D)</v>
          </cell>
          <cell r="D421" t="str">
            <v>EUR</v>
          </cell>
          <cell r="E421">
            <v>45747</v>
          </cell>
          <cell r="F421">
            <v>171042.25</v>
          </cell>
          <cell r="G421">
            <v>1127.4110000000001</v>
          </cell>
          <cell r="H421">
            <v>151.71</v>
          </cell>
          <cell r="I421">
            <v>0</v>
          </cell>
          <cell r="J421">
            <v>158.54</v>
          </cell>
          <cell r="K421">
            <v>-4.1900000000000004</v>
          </cell>
        </row>
        <row r="422">
          <cell r="A422" t="str">
            <v>LU0248702275</v>
          </cell>
          <cell r="B422" t="str">
            <v>AMUNDI FUNDS JAPAN EQUITY VALUE</v>
          </cell>
          <cell r="C422" t="str">
            <v>Class A2 JPY AD (D)</v>
          </cell>
          <cell r="D422" t="str">
            <v>JPY</v>
          </cell>
          <cell r="E422">
            <v>45747</v>
          </cell>
          <cell r="F422">
            <v>501958016</v>
          </cell>
          <cell r="G422">
            <v>15709.686</v>
          </cell>
          <cell r="H422">
            <v>31952</v>
          </cell>
          <cell r="I422">
            <v>0</v>
          </cell>
          <cell r="J422">
            <v>33389</v>
          </cell>
          <cell r="K422">
            <v>-1106</v>
          </cell>
        </row>
        <row r="423">
          <cell r="A423" t="str">
            <v>LU0557868360</v>
          </cell>
          <cell r="B423" t="str">
            <v>AMUNDI FUNDS JAPAN EQUITY VALUE</v>
          </cell>
          <cell r="C423" t="str">
            <v>Class F2 JPY (C)</v>
          </cell>
          <cell r="D423" t="str">
            <v>JPY</v>
          </cell>
          <cell r="E423">
            <v>45747</v>
          </cell>
          <cell r="F423">
            <v>101578623</v>
          </cell>
          <cell r="G423">
            <v>3760.1689999999999</v>
          </cell>
          <cell r="H423">
            <v>27014</v>
          </cell>
          <cell r="I423">
            <v>0</v>
          </cell>
          <cell r="J423">
            <v>27014</v>
          </cell>
          <cell r="K423">
            <v>-937</v>
          </cell>
        </row>
        <row r="424">
          <cell r="A424" t="str">
            <v>LU0945156296</v>
          </cell>
          <cell r="B424" t="str">
            <v>AMUNDI FUNDS JAPAN EQUITY VALUE</v>
          </cell>
          <cell r="C424" t="str">
            <v>Class F2 EUR Hgd (C)</v>
          </cell>
          <cell r="D424" t="str">
            <v>EUR</v>
          </cell>
          <cell r="E424">
            <v>45747</v>
          </cell>
          <cell r="F424">
            <v>546028.65</v>
          </cell>
          <cell r="G424">
            <v>2762.143</v>
          </cell>
          <cell r="H424">
            <v>197.68</v>
          </cell>
          <cell r="I424">
            <v>0</v>
          </cell>
          <cell r="J424">
            <v>197.68</v>
          </cell>
          <cell r="K424">
            <v>-6.91</v>
          </cell>
        </row>
        <row r="425">
          <cell r="A425" t="str">
            <v>LU0248702432</v>
          </cell>
          <cell r="B425" t="str">
            <v>AMUNDI FUNDS JAPAN EQUITY VALUE</v>
          </cell>
          <cell r="C425" t="str">
            <v>Class I2 JPY (C)</v>
          </cell>
          <cell r="D425" t="str">
            <v>JPY</v>
          </cell>
          <cell r="E425">
            <v>45747</v>
          </cell>
          <cell r="F425">
            <v>1919414225</v>
          </cell>
          <cell r="G425">
            <v>8533.1290000000008</v>
          </cell>
          <cell r="H425">
            <v>224936</v>
          </cell>
          <cell r="I425">
            <v>0</v>
          </cell>
          <cell r="J425">
            <v>224936</v>
          </cell>
          <cell r="K425">
            <v>-7775</v>
          </cell>
        </row>
        <row r="426">
          <cell r="A426" t="str">
            <v>LU0945155728</v>
          </cell>
          <cell r="B426" t="str">
            <v>AMUNDI FUNDS JAPAN EQUITY VALUE</v>
          </cell>
          <cell r="C426" t="str">
            <v>Class I2 EUR Hgd (C)</v>
          </cell>
          <cell r="D426" t="str">
            <v>EUR</v>
          </cell>
          <cell r="E426">
            <v>45747</v>
          </cell>
          <cell r="F426">
            <v>56689.56</v>
          </cell>
          <cell r="G426">
            <v>24.077999999999999</v>
          </cell>
          <cell r="H426">
            <v>2354.41</v>
          </cell>
          <cell r="I426">
            <v>0</v>
          </cell>
          <cell r="J426">
            <v>2354.41</v>
          </cell>
          <cell r="K426">
            <v>-82</v>
          </cell>
        </row>
        <row r="427">
          <cell r="A427" t="str">
            <v>LU1971433393</v>
          </cell>
          <cell r="B427" t="str">
            <v>AMUNDI FUNDS JAPAN EQUITY VALUE</v>
          </cell>
          <cell r="C427" t="str">
            <v>Class M2 EUR Hgd (C)</v>
          </cell>
          <cell r="D427" t="str">
            <v>EUR</v>
          </cell>
          <cell r="E427">
            <v>45747</v>
          </cell>
          <cell r="F427">
            <v>214326.83</v>
          </cell>
          <cell r="G427">
            <v>1099.3589999999999</v>
          </cell>
          <cell r="H427">
            <v>194.96</v>
          </cell>
          <cell r="I427">
            <v>0</v>
          </cell>
          <cell r="J427">
            <v>0</v>
          </cell>
          <cell r="K427">
            <v>-6.78</v>
          </cell>
        </row>
        <row r="428">
          <cell r="A428" t="str">
            <v>LU0248702358</v>
          </cell>
          <cell r="B428" t="str">
            <v>AMUNDI FUNDS JAPAN EQUITY VALUE</v>
          </cell>
          <cell r="C428" t="str">
            <v>Class G2 JPY (C)</v>
          </cell>
          <cell r="D428" t="str">
            <v>JPY</v>
          </cell>
          <cell r="E428">
            <v>45747</v>
          </cell>
          <cell r="F428">
            <v>624032025</v>
          </cell>
          <cell r="G428">
            <v>34298.337</v>
          </cell>
          <cell r="H428">
            <v>18194</v>
          </cell>
          <cell r="I428">
            <v>0</v>
          </cell>
          <cell r="J428">
            <v>18739</v>
          </cell>
          <cell r="K428">
            <v>-630</v>
          </cell>
        </row>
        <row r="429">
          <cell r="A429" t="str">
            <v>LU0945156023</v>
          </cell>
          <cell r="B429" t="str">
            <v>AMUNDI FUNDS JAPAN EQUITY VALUE</v>
          </cell>
          <cell r="C429" t="str">
            <v>Class G2 EUR Hgd (C)</v>
          </cell>
          <cell r="D429" t="str">
            <v>EUR</v>
          </cell>
          <cell r="E429">
            <v>45747</v>
          </cell>
          <cell r="F429">
            <v>6715433.1699999999</v>
          </cell>
          <cell r="G429">
            <v>31470.373</v>
          </cell>
          <cell r="H429">
            <v>213.38</v>
          </cell>
          <cell r="I429">
            <v>0</v>
          </cell>
          <cell r="J429">
            <v>219.78</v>
          </cell>
          <cell r="K429">
            <v>-7.45</v>
          </cell>
        </row>
        <row r="430">
          <cell r="A430" t="str">
            <v>LU0552029406</v>
          </cell>
          <cell r="B430" t="str">
            <v>AMUNDI FUNDS LATIN AMERICA EQUITY</v>
          </cell>
          <cell r="C430" t="str">
            <v>Class A EUR (C)</v>
          </cell>
          <cell r="D430" t="str">
            <v>EUR</v>
          </cell>
          <cell r="E430">
            <v>45747</v>
          </cell>
          <cell r="F430">
            <v>6441863.1399999997</v>
          </cell>
          <cell r="G430">
            <v>76042.562000000005</v>
          </cell>
          <cell r="H430">
            <v>84.71</v>
          </cell>
          <cell r="I430">
            <v>0</v>
          </cell>
          <cell r="J430">
            <v>88.52</v>
          </cell>
          <cell r="K430">
            <v>-0.7</v>
          </cell>
        </row>
        <row r="431">
          <cell r="A431" t="str">
            <v>LU0201575346</v>
          </cell>
          <cell r="B431" t="str">
            <v>AMUNDI FUNDS LATIN AMERICA EQUITY</v>
          </cell>
          <cell r="C431" t="str">
            <v>Class A USD (C)</v>
          </cell>
          <cell r="D431" t="str">
            <v>USD</v>
          </cell>
          <cell r="E431">
            <v>45747</v>
          </cell>
          <cell r="F431">
            <v>33221195.59</v>
          </cell>
          <cell r="G431">
            <v>66039.87</v>
          </cell>
          <cell r="H431">
            <v>503.05</v>
          </cell>
          <cell r="I431">
            <v>0</v>
          </cell>
          <cell r="J431">
            <v>525.69000000000005</v>
          </cell>
          <cell r="K431">
            <v>-5.12</v>
          </cell>
        </row>
        <row r="432">
          <cell r="A432" t="str">
            <v>LU0201602173</v>
          </cell>
          <cell r="B432" t="str">
            <v>AMUNDI FUNDS LATIN AMERICA EQUITY</v>
          </cell>
          <cell r="C432" t="str">
            <v>Class A USD AD (D)</v>
          </cell>
          <cell r="D432" t="str">
            <v>USD</v>
          </cell>
          <cell r="E432">
            <v>45747</v>
          </cell>
          <cell r="F432">
            <v>1507861.87</v>
          </cell>
          <cell r="G432">
            <v>4112.82</v>
          </cell>
          <cell r="H432">
            <v>366.62</v>
          </cell>
          <cell r="I432">
            <v>0</v>
          </cell>
          <cell r="J432">
            <v>383.12</v>
          </cell>
          <cell r="K432">
            <v>-3.74</v>
          </cell>
        </row>
        <row r="433">
          <cell r="A433" t="str">
            <v>LU0823046494</v>
          </cell>
          <cell r="B433" t="str">
            <v>AMUNDI FUNDS LATIN AMERICA EQUITY</v>
          </cell>
          <cell r="C433" t="str">
            <v>Class A2 USD (C)</v>
          </cell>
          <cell r="D433" t="str">
            <v>USD</v>
          </cell>
          <cell r="E433">
            <v>45747</v>
          </cell>
          <cell r="F433">
            <v>9885416.8800000008</v>
          </cell>
          <cell r="G433">
            <v>19677.319</v>
          </cell>
          <cell r="H433">
            <v>502.38</v>
          </cell>
          <cell r="I433">
            <v>0</v>
          </cell>
          <cell r="J433">
            <v>502.38</v>
          </cell>
          <cell r="K433">
            <v>-4.75</v>
          </cell>
        </row>
        <row r="434">
          <cell r="A434" t="str">
            <v>LU0823046577</v>
          </cell>
          <cell r="B434" t="str">
            <v>AMUNDI FUNDS LATIN AMERICA EQUITY</v>
          </cell>
          <cell r="C434" t="str">
            <v>Class A2 USD AD (D)</v>
          </cell>
          <cell r="D434" t="str">
            <v>USD</v>
          </cell>
          <cell r="E434">
            <v>45747</v>
          </cell>
          <cell r="F434">
            <v>14574.32</v>
          </cell>
          <cell r="G434">
            <v>39.200000000000003</v>
          </cell>
          <cell r="H434">
            <v>371.79</v>
          </cell>
          <cell r="I434">
            <v>0</v>
          </cell>
          <cell r="J434">
            <v>371.79</v>
          </cell>
          <cell r="K434">
            <v>-3.52</v>
          </cell>
        </row>
        <row r="435">
          <cell r="A435" t="str">
            <v>LU0557869764</v>
          </cell>
          <cell r="B435" t="str">
            <v>AMUNDI FUNDS LATIN AMERICA EQUITY</v>
          </cell>
          <cell r="C435" t="str">
            <v>Class F2 USD (C)</v>
          </cell>
          <cell r="D435" t="str">
            <v>USD</v>
          </cell>
          <cell r="E435">
            <v>45747</v>
          </cell>
          <cell r="F435">
            <v>256425.71</v>
          </cell>
          <cell r="G435">
            <v>4234.4080000000004</v>
          </cell>
          <cell r="H435">
            <v>60.56</v>
          </cell>
          <cell r="I435">
            <v>0</v>
          </cell>
          <cell r="J435">
            <v>60.56</v>
          </cell>
          <cell r="K435">
            <v>-0.56999999999999995</v>
          </cell>
        </row>
        <row r="436">
          <cell r="A436" t="str">
            <v>LU2052288961</v>
          </cell>
          <cell r="B436" t="str">
            <v>AMUNDI FUNDS LATIN AMERICA EQUITY</v>
          </cell>
          <cell r="C436" t="str">
            <v>Class I2 GBP (C)</v>
          </cell>
          <cell r="D436" t="str">
            <v>GBP</v>
          </cell>
          <cell r="E436">
            <v>45747</v>
          </cell>
          <cell r="F436">
            <v>32995.18</v>
          </cell>
          <cell r="G436">
            <v>30.582000000000001</v>
          </cell>
          <cell r="H436">
            <v>1078.9100000000001</v>
          </cell>
          <cell r="I436">
            <v>0</v>
          </cell>
          <cell r="J436">
            <v>1078.9100000000001</v>
          </cell>
          <cell r="K436">
            <v>-7.28</v>
          </cell>
        </row>
        <row r="437">
          <cell r="A437" t="str">
            <v>LU0201576070</v>
          </cell>
          <cell r="B437" t="str">
            <v>AMUNDI FUNDS LATIN AMERICA EQUITY</v>
          </cell>
          <cell r="C437" t="str">
            <v>Class I USD (C)</v>
          </cell>
          <cell r="D437" t="str">
            <v>USD</v>
          </cell>
          <cell r="E437">
            <v>45747</v>
          </cell>
          <cell r="F437">
            <v>5875768.6299999999</v>
          </cell>
          <cell r="G437">
            <v>1046.587</v>
          </cell>
          <cell r="H437">
            <v>5614.22</v>
          </cell>
          <cell r="I437">
            <v>0</v>
          </cell>
          <cell r="J437">
            <v>5614.22</v>
          </cell>
          <cell r="K437">
            <v>-56.7</v>
          </cell>
        </row>
        <row r="438">
          <cell r="A438" t="str">
            <v>LU0201602413</v>
          </cell>
          <cell r="B438" t="str">
            <v>AMUNDI FUNDS LATIN AMERICA EQUITY</v>
          </cell>
          <cell r="C438" t="str">
            <v>Class I USD AD (D)</v>
          </cell>
          <cell r="D438" t="str">
            <v>USD</v>
          </cell>
          <cell r="E438">
            <v>45747</v>
          </cell>
          <cell r="F438">
            <v>10946690.85</v>
          </cell>
          <cell r="G438">
            <v>8662.0159999999996</v>
          </cell>
          <cell r="H438">
            <v>1263.76</v>
          </cell>
          <cell r="I438">
            <v>0</v>
          </cell>
          <cell r="J438">
            <v>1263.76</v>
          </cell>
          <cell r="K438">
            <v>-12.75</v>
          </cell>
        </row>
        <row r="439">
          <cell r="A439" t="str">
            <v>LU0329447527</v>
          </cell>
          <cell r="B439" t="str">
            <v>AMUNDI FUNDS LATIN AMERICA EQUITY</v>
          </cell>
          <cell r="C439" t="str">
            <v>Class M USD (C)</v>
          </cell>
          <cell r="D439" t="str">
            <v>USD</v>
          </cell>
          <cell r="E439">
            <v>45747</v>
          </cell>
          <cell r="F439">
            <v>714611.95</v>
          </cell>
          <cell r="G439">
            <v>7929.8050000000003</v>
          </cell>
          <cell r="H439">
            <v>90.12</v>
          </cell>
          <cell r="I439">
            <v>0</v>
          </cell>
          <cell r="J439">
            <v>90.12</v>
          </cell>
          <cell r="K439">
            <v>-0.91</v>
          </cell>
        </row>
        <row r="440">
          <cell r="A440" t="str">
            <v>LU0823047039</v>
          </cell>
          <cell r="B440" t="str">
            <v>AMUNDI FUNDS LATIN AMERICA EQUITY</v>
          </cell>
          <cell r="C440" t="str">
            <v>Class R USD (C)</v>
          </cell>
          <cell r="D440" t="str">
            <v>USD</v>
          </cell>
          <cell r="E440">
            <v>45747</v>
          </cell>
          <cell r="F440">
            <v>180969.32</v>
          </cell>
          <cell r="G440">
            <v>1713.9480000000001</v>
          </cell>
          <cell r="H440">
            <v>105.59</v>
          </cell>
          <cell r="I440">
            <v>0</v>
          </cell>
          <cell r="J440">
            <v>105.59</v>
          </cell>
          <cell r="K440">
            <v>-1.06</v>
          </cell>
        </row>
        <row r="441">
          <cell r="A441" t="str">
            <v>LU0823047112</v>
          </cell>
          <cell r="B441" t="str">
            <v>AMUNDI FUNDS LATIN AMERICA EQUITY</v>
          </cell>
          <cell r="C441" t="str">
            <v>Class R USD AD (D)</v>
          </cell>
          <cell r="D441" t="str">
            <v>USD</v>
          </cell>
          <cell r="E441">
            <v>45747</v>
          </cell>
          <cell r="F441">
            <v>60154.18</v>
          </cell>
          <cell r="G441">
            <v>770.51400000000001</v>
          </cell>
          <cell r="H441">
            <v>78.069999999999993</v>
          </cell>
          <cell r="I441">
            <v>0</v>
          </cell>
          <cell r="J441">
            <v>78.069999999999993</v>
          </cell>
          <cell r="K441">
            <v>-0.79</v>
          </cell>
        </row>
        <row r="442">
          <cell r="A442" t="str">
            <v>LU0552029661</v>
          </cell>
          <cell r="B442" t="str">
            <v>AMUNDI FUNDS LATIN AMERICA EQUITY</v>
          </cell>
          <cell r="C442" t="str">
            <v>Class G EUR (C)</v>
          </cell>
          <cell r="D442" t="str">
            <v>EUR</v>
          </cell>
          <cell r="E442">
            <v>45747</v>
          </cell>
          <cell r="F442">
            <v>1862455.41</v>
          </cell>
          <cell r="G442">
            <v>22308.804</v>
          </cell>
          <cell r="H442">
            <v>83.49</v>
          </cell>
          <cell r="I442">
            <v>0</v>
          </cell>
          <cell r="J442">
            <v>85.99</v>
          </cell>
          <cell r="K442">
            <v>-0.68</v>
          </cell>
        </row>
        <row r="443">
          <cell r="A443" t="str">
            <v>LU0201575858</v>
          </cell>
          <cell r="B443" t="str">
            <v>AMUNDI FUNDS LATIN AMERICA EQUITY</v>
          </cell>
          <cell r="C443" t="str">
            <v>Class G USD (C)</v>
          </cell>
          <cell r="D443" t="str">
            <v>USD</v>
          </cell>
          <cell r="E443">
            <v>45747</v>
          </cell>
          <cell r="F443">
            <v>3973420.08</v>
          </cell>
          <cell r="G443">
            <v>8504.6740000000009</v>
          </cell>
          <cell r="H443">
            <v>467.2</v>
          </cell>
          <cell r="I443">
            <v>0</v>
          </cell>
          <cell r="J443">
            <v>481.22</v>
          </cell>
          <cell r="K443">
            <v>-4.7699999999999996</v>
          </cell>
        </row>
        <row r="444">
          <cell r="A444" t="str">
            <v>LU0276938817</v>
          </cell>
          <cell r="B444" t="str">
            <v>AMUNDI FUNDS LATIN AMERICA EQUITY</v>
          </cell>
          <cell r="C444" t="str">
            <v>Class Q-X USD (C)</v>
          </cell>
          <cell r="D444" t="str">
            <v>USD</v>
          </cell>
          <cell r="E444">
            <v>45747</v>
          </cell>
          <cell r="F444">
            <v>1640.87</v>
          </cell>
          <cell r="G444">
            <v>0.98599999999999999</v>
          </cell>
          <cell r="H444">
            <v>1664.17</v>
          </cell>
          <cell r="I444">
            <v>0</v>
          </cell>
          <cell r="J444">
            <v>1664.17</v>
          </cell>
          <cell r="K444">
            <v>-16.77</v>
          </cell>
        </row>
        <row r="445">
          <cell r="A445" t="str">
            <v>LU0518421895</v>
          </cell>
          <cell r="B445" t="str">
            <v>AMUNDI FUNDS EURO GOVERNMENT RESPONSIBLE BOND</v>
          </cell>
          <cell r="C445" t="str">
            <v>Class A EUR (C)</v>
          </cell>
          <cell r="D445" t="str">
            <v>EUR</v>
          </cell>
          <cell r="E445">
            <v>45747</v>
          </cell>
          <cell r="F445">
            <v>40185876.950000003</v>
          </cell>
          <cell r="G445">
            <v>331119.42499999999</v>
          </cell>
          <cell r="H445">
            <v>121.36</v>
          </cell>
          <cell r="I445">
            <v>0</v>
          </cell>
          <cell r="J445">
            <v>125</v>
          </cell>
          <cell r="K445">
            <v>-0.1</v>
          </cell>
        </row>
        <row r="446">
          <cell r="A446" t="str">
            <v>LU0518421978</v>
          </cell>
          <cell r="B446" t="str">
            <v>AMUNDI FUNDS EURO GOVERNMENT RESPONSIBLE BOND</v>
          </cell>
          <cell r="C446" t="str">
            <v>Class A EUR AD (D)</v>
          </cell>
          <cell r="D446" t="str">
            <v>EUR</v>
          </cell>
          <cell r="E446">
            <v>45747</v>
          </cell>
          <cell r="F446">
            <v>2607329.0099999998</v>
          </cell>
          <cell r="G446">
            <v>25934.441999999999</v>
          </cell>
          <cell r="H446">
            <v>100.54</v>
          </cell>
          <cell r="I446">
            <v>0</v>
          </cell>
          <cell r="J446">
            <v>103.56</v>
          </cell>
          <cell r="K446">
            <v>-7.0000000000000007E-2</v>
          </cell>
        </row>
        <row r="447">
          <cell r="A447" t="str">
            <v>LU1882474668</v>
          </cell>
          <cell r="B447" t="str">
            <v>AMUNDI FUNDS EURO GOVERNMENT RESPONSIBLE BOND</v>
          </cell>
          <cell r="C447" t="str">
            <v>Class M2 EUR (C)</v>
          </cell>
          <cell r="D447" t="str">
            <v>EUR</v>
          </cell>
          <cell r="E447">
            <v>45747</v>
          </cell>
          <cell r="F447">
            <v>67931079.640000001</v>
          </cell>
          <cell r="G447">
            <v>74024.331999999995</v>
          </cell>
          <cell r="H447">
            <v>917.69</v>
          </cell>
          <cell r="I447">
            <v>0</v>
          </cell>
          <cell r="J447">
            <v>917.69</v>
          </cell>
          <cell r="K447">
            <v>-0.66</v>
          </cell>
        </row>
        <row r="448">
          <cell r="A448" t="str">
            <v>LU1882473850</v>
          </cell>
          <cell r="B448" t="str">
            <v>AMUNDI FUNDS EURO GOVERNMENT RESPONSIBLE BOND</v>
          </cell>
          <cell r="C448" t="str">
            <v>Class C EUR (C)</v>
          </cell>
          <cell r="D448" t="str">
            <v>EUR</v>
          </cell>
          <cell r="E448">
            <v>45747</v>
          </cell>
          <cell r="F448">
            <v>777039.01</v>
          </cell>
          <cell r="G448">
            <v>18622.55</v>
          </cell>
          <cell r="H448">
            <v>41.73</v>
          </cell>
          <cell r="I448">
            <v>0</v>
          </cell>
          <cell r="J448">
            <v>41.73</v>
          </cell>
          <cell r="K448">
            <v>-0.03</v>
          </cell>
        </row>
        <row r="449">
          <cell r="A449" t="str">
            <v>LU1882473934</v>
          </cell>
          <cell r="B449" t="str">
            <v>AMUNDI FUNDS EURO GOVERNMENT RESPONSIBLE BOND</v>
          </cell>
          <cell r="C449" t="str">
            <v>Class C EUR MTD (D)</v>
          </cell>
          <cell r="D449" t="str">
            <v>EUR</v>
          </cell>
          <cell r="E449">
            <v>45747</v>
          </cell>
          <cell r="F449">
            <v>540.69000000000005</v>
          </cell>
          <cell r="G449">
            <v>13.827</v>
          </cell>
          <cell r="H449">
            <v>39.1</v>
          </cell>
          <cell r="I449">
            <v>0</v>
          </cell>
          <cell r="J449">
            <v>39.1</v>
          </cell>
          <cell r="K449">
            <v>-0.04</v>
          </cell>
        </row>
        <row r="450">
          <cell r="A450" t="str">
            <v>LU1882474072</v>
          </cell>
          <cell r="B450" t="str">
            <v>AMUNDI FUNDS EURO GOVERNMENT RESPONSIBLE BOND</v>
          </cell>
          <cell r="C450" t="str">
            <v>Class C USD (C)</v>
          </cell>
          <cell r="D450" t="str">
            <v>USD</v>
          </cell>
          <cell r="E450">
            <v>45747</v>
          </cell>
          <cell r="F450">
            <v>10756.46</v>
          </cell>
          <cell r="G450">
            <v>270.52800000000002</v>
          </cell>
          <cell r="H450">
            <v>39.76</v>
          </cell>
          <cell r="I450">
            <v>0</v>
          </cell>
          <cell r="J450">
            <v>39.76</v>
          </cell>
          <cell r="K450">
            <v>-0.11</v>
          </cell>
        </row>
        <row r="451">
          <cell r="A451" t="str">
            <v>LU1882474155</v>
          </cell>
          <cell r="B451" t="str">
            <v>AMUNDI FUNDS EURO GOVERNMENT RESPONSIBLE BOND</v>
          </cell>
          <cell r="C451" t="str">
            <v>Class C USD MTD (D)</v>
          </cell>
          <cell r="D451" t="str">
            <v>USD</v>
          </cell>
          <cell r="E451">
            <v>45747</v>
          </cell>
          <cell r="F451">
            <v>36772.9</v>
          </cell>
          <cell r="G451">
            <v>983.16300000000001</v>
          </cell>
          <cell r="H451">
            <v>37.4</v>
          </cell>
          <cell r="I451">
            <v>0</v>
          </cell>
          <cell r="J451">
            <v>37.4</v>
          </cell>
          <cell r="K451">
            <v>-0.11</v>
          </cell>
        </row>
        <row r="452">
          <cell r="A452" t="str">
            <v>LU1882474742</v>
          </cell>
          <cell r="B452" t="str">
            <v>AMUNDI FUNDS EURO GOVERNMENT RESPONSIBLE BOND</v>
          </cell>
          <cell r="C452" t="str">
            <v>Class M2 EUR QTD (D)</v>
          </cell>
          <cell r="D452" t="str">
            <v>EUR</v>
          </cell>
          <cell r="E452">
            <v>45747</v>
          </cell>
          <cell r="F452">
            <v>11486821</v>
          </cell>
          <cell r="G452">
            <v>13369.903</v>
          </cell>
          <cell r="H452">
            <v>859.16</v>
          </cell>
          <cell r="I452">
            <v>0</v>
          </cell>
          <cell r="J452">
            <v>859.16</v>
          </cell>
          <cell r="K452">
            <v>-0.62</v>
          </cell>
        </row>
        <row r="453">
          <cell r="A453" t="str">
            <v>LU1882473777</v>
          </cell>
          <cell r="B453" t="str">
            <v>AMUNDI FUNDS EURO GOVERNMENT RESPONSIBLE BOND</v>
          </cell>
          <cell r="C453" t="str">
            <v>Class A2 USD MTD (D)</v>
          </cell>
          <cell r="D453" t="str">
            <v>USD</v>
          </cell>
          <cell r="E453">
            <v>45747</v>
          </cell>
          <cell r="F453">
            <v>186.22</v>
          </cell>
          <cell r="G453">
            <v>4.6779999999999999</v>
          </cell>
          <cell r="H453">
            <v>39.81</v>
          </cell>
          <cell r="I453">
            <v>0</v>
          </cell>
          <cell r="J453">
            <v>41</v>
          </cell>
          <cell r="K453">
            <v>-0.1</v>
          </cell>
        </row>
        <row r="454">
          <cell r="A454" t="str">
            <v>LU1882473264</v>
          </cell>
          <cell r="B454" t="str">
            <v>AMUNDI FUNDS EURO GOVERNMENT RESPONSIBLE BOND</v>
          </cell>
          <cell r="C454" t="str">
            <v>Class A2 EUR (C)</v>
          </cell>
          <cell r="D454" t="str">
            <v>EUR</v>
          </cell>
          <cell r="E454">
            <v>45747</v>
          </cell>
          <cell r="F454">
            <v>53750724.909999996</v>
          </cell>
          <cell r="G454">
            <v>1208384.487</v>
          </cell>
          <cell r="H454">
            <v>44.48</v>
          </cell>
          <cell r="I454">
            <v>0</v>
          </cell>
          <cell r="J454">
            <v>45.81</v>
          </cell>
          <cell r="K454">
            <v>-0.04</v>
          </cell>
        </row>
        <row r="455">
          <cell r="A455" t="str">
            <v>LU1882473348</v>
          </cell>
          <cell r="B455" t="str">
            <v>AMUNDI FUNDS EURO GOVERNMENT RESPONSIBLE BOND</v>
          </cell>
          <cell r="C455" t="str">
            <v>Class A2 EUR AD (D)</v>
          </cell>
          <cell r="D455" t="str">
            <v>EUR</v>
          </cell>
          <cell r="E455">
            <v>45747</v>
          </cell>
          <cell r="F455">
            <v>1021667.85</v>
          </cell>
          <cell r="G455">
            <v>23305.82</v>
          </cell>
          <cell r="H455">
            <v>43.84</v>
          </cell>
          <cell r="I455">
            <v>0</v>
          </cell>
          <cell r="J455">
            <v>45.16</v>
          </cell>
          <cell r="K455">
            <v>-0.03</v>
          </cell>
        </row>
        <row r="456">
          <cell r="A456" t="str">
            <v>LU1882473421</v>
          </cell>
          <cell r="B456" t="str">
            <v>AMUNDI FUNDS EURO GOVERNMENT RESPONSIBLE BOND</v>
          </cell>
          <cell r="C456" t="str">
            <v>Class A2 EUR MTD (D)</v>
          </cell>
          <cell r="D456" t="str">
            <v>EUR</v>
          </cell>
          <cell r="E456">
            <v>45747</v>
          </cell>
          <cell r="F456">
            <v>85270.05</v>
          </cell>
          <cell r="G456">
            <v>2056.7069999999999</v>
          </cell>
          <cell r="H456">
            <v>41.46</v>
          </cell>
          <cell r="I456">
            <v>0</v>
          </cell>
          <cell r="J456">
            <v>42.7</v>
          </cell>
          <cell r="K456">
            <v>-0.03</v>
          </cell>
        </row>
        <row r="457">
          <cell r="A457" t="str">
            <v>LU1882474239</v>
          </cell>
          <cell r="B457" t="str">
            <v>AMUNDI FUNDS EURO GOVERNMENT RESPONSIBLE BOND</v>
          </cell>
          <cell r="C457" t="str">
            <v>Class E2 EUR (C)</v>
          </cell>
          <cell r="D457" t="str">
            <v>EUR</v>
          </cell>
          <cell r="E457">
            <v>45747</v>
          </cell>
          <cell r="F457">
            <v>39417038.939999998</v>
          </cell>
          <cell r="G457">
            <v>8757637.4360000007</v>
          </cell>
          <cell r="H457">
            <v>4.5010000000000003</v>
          </cell>
          <cell r="I457">
            <v>0</v>
          </cell>
          <cell r="J457">
            <v>4.5010000000000003</v>
          </cell>
          <cell r="K457">
            <v>-3.0000000000000001E-3</v>
          </cell>
        </row>
        <row r="458">
          <cell r="A458" t="str">
            <v>LU1882474403</v>
          </cell>
          <cell r="B458" t="str">
            <v>AMUNDI FUNDS EURO GOVERNMENT RESPONSIBLE BOND</v>
          </cell>
          <cell r="C458" t="str">
            <v>Class F EUR (C)</v>
          </cell>
          <cell r="D458" t="str">
            <v>EUR</v>
          </cell>
          <cell r="E458">
            <v>45747</v>
          </cell>
          <cell r="F458">
            <v>10843093.050000001</v>
          </cell>
          <cell r="G458">
            <v>2481140.8679999998</v>
          </cell>
          <cell r="H458">
            <v>4.37</v>
          </cell>
          <cell r="I458">
            <v>0</v>
          </cell>
          <cell r="J458">
            <v>4.37</v>
          </cell>
          <cell r="K458">
            <v>-4.0000000000000001E-3</v>
          </cell>
        </row>
        <row r="459">
          <cell r="A459" t="str">
            <v>LU0557859450</v>
          </cell>
          <cell r="B459" t="str">
            <v>AMUNDI FUNDS EURO GOVERNMENT RESPONSIBLE BOND</v>
          </cell>
          <cell r="C459" t="str">
            <v>Class F2 EUR (C)</v>
          </cell>
          <cell r="D459" t="str">
            <v>EUR</v>
          </cell>
          <cell r="E459">
            <v>45747</v>
          </cell>
          <cell r="F459">
            <v>428741.86</v>
          </cell>
          <cell r="G459">
            <v>3670.2260000000001</v>
          </cell>
          <cell r="H459">
            <v>116.82</v>
          </cell>
          <cell r="I459">
            <v>0</v>
          </cell>
          <cell r="J459">
            <v>116.82</v>
          </cell>
          <cell r="K459">
            <v>-0.09</v>
          </cell>
        </row>
        <row r="460">
          <cell r="A460" t="str">
            <v>LU1882474312</v>
          </cell>
          <cell r="B460" t="str">
            <v>AMUNDI FUNDS EURO GOVERNMENT RESPONSIBLE BOND</v>
          </cell>
          <cell r="C460" t="str">
            <v>Class E2 EUR QTD (D)</v>
          </cell>
          <cell r="D460" t="str">
            <v>EUR</v>
          </cell>
          <cell r="E460">
            <v>45747</v>
          </cell>
          <cell r="F460">
            <v>4558080.91</v>
          </cell>
          <cell r="G460">
            <v>1077614.05</v>
          </cell>
          <cell r="H460">
            <v>4.2300000000000004</v>
          </cell>
          <cell r="I460">
            <v>0</v>
          </cell>
          <cell r="J460">
            <v>4.2300000000000004</v>
          </cell>
          <cell r="K460">
            <v>-3.0000000000000001E-3</v>
          </cell>
        </row>
        <row r="461">
          <cell r="A461" t="str">
            <v>LU1882474585</v>
          </cell>
          <cell r="B461" t="str">
            <v>AMUNDI FUNDS EURO GOVERNMENT RESPONSIBLE BOND</v>
          </cell>
          <cell r="C461" t="str">
            <v>Class I2 EUR (C)</v>
          </cell>
          <cell r="D461" t="str">
            <v>EUR</v>
          </cell>
          <cell r="E461">
            <v>45747</v>
          </cell>
          <cell r="F461">
            <v>71702169.109999999</v>
          </cell>
          <cell r="G461">
            <v>78132.13</v>
          </cell>
          <cell r="H461">
            <v>917.7</v>
          </cell>
          <cell r="I461">
            <v>0</v>
          </cell>
          <cell r="J461">
            <v>917.7</v>
          </cell>
          <cell r="K461">
            <v>-0.67</v>
          </cell>
        </row>
        <row r="462">
          <cell r="A462" t="str">
            <v>LU0557859534</v>
          </cell>
          <cell r="B462" t="str">
            <v>AMUNDI FUNDS EURO GOVERNMENT RESPONSIBLE BOND</v>
          </cell>
          <cell r="C462" t="str">
            <v>Class M EUR (C)</v>
          </cell>
          <cell r="D462" t="str">
            <v>EUR</v>
          </cell>
          <cell r="E462">
            <v>45747</v>
          </cell>
          <cell r="F462">
            <v>4074665.56</v>
          </cell>
          <cell r="G462">
            <v>30761.226999999999</v>
          </cell>
          <cell r="H462">
            <v>132.46</v>
          </cell>
          <cell r="I462">
            <v>0</v>
          </cell>
          <cell r="J462">
            <v>132.46</v>
          </cell>
          <cell r="K462">
            <v>-0.1</v>
          </cell>
        </row>
        <row r="463">
          <cell r="A463" t="str">
            <v>LU1882474825</v>
          </cell>
          <cell r="B463" t="str">
            <v>AMUNDI FUNDS EURO GOVERNMENT RESPONSIBLE BOND</v>
          </cell>
          <cell r="C463" t="str">
            <v>Class R2 EUR (C)</v>
          </cell>
          <cell r="D463" t="str">
            <v>EUR</v>
          </cell>
          <cell r="E463">
            <v>45747</v>
          </cell>
          <cell r="F463">
            <v>8312827.3200000003</v>
          </cell>
          <cell r="G463">
            <v>182694.58499999999</v>
          </cell>
          <cell r="H463">
            <v>45.5</v>
          </cell>
          <cell r="I463">
            <v>0</v>
          </cell>
          <cell r="J463">
            <v>45.5</v>
          </cell>
          <cell r="K463">
            <v>-0.03</v>
          </cell>
        </row>
        <row r="464">
          <cell r="A464" t="str">
            <v>LU0557859617</v>
          </cell>
          <cell r="B464" t="str">
            <v>AMUNDI FUNDS EURO GOVERNMENT RESPONSIBLE BOND</v>
          </cell>
          <cell r="C464" t="str">
            <v>Class O EUR (C)</v>
          </cell>
          <cell r="D464" t="str">
            <v>EUR</v>
          </cell>
          <cell r="E464">
            <v>45747</v>
          </cell>
          <cell r="F464">
            <v>17660058.48</v>
          </cell>
          <cell r="G464">
            <v>12404.519</v>
          </cell>
          <cell r="H464">
            <v>1423.68</v>
          </cell>
          <cell r="I464">
            <v>0</v>
          </cell>
          <cell r="J464">
            <v>1423.68</v>
          </cell>
          <cell r="K464">
            <v>-0.97</v>
          </cell>
        </row>
        <row r="465">
          <cell r="A465" t="str">
            <v>LU1882473694</v>
          </cell>
          <cell r="B465" t="str">
            <v>AMUNDI FUNDS EURO GOVERNMENT RESPONSIBLE BOND</v>
          </cell>
          <cell r="C465" t="str">
            <v>Class A2 USD (C)</v>
          </cell>
          <cell r="D465" t="str">
            <v>USD</v>
          </cell>
          <cell r="E465">
            <v>45747</v>
          </cell>
          <cell r="F465">
            <v>745658.67</v>
          </cell>
          <cell r="G465">
            <v>17594.065999999999</v>
          </cell>
          <cell r="H465">
            <v>42.38</v>
          </cell>
          <cell r="I465">
            <v>0</v>
          </cell>
          <cell r="J465">
            <v>43.65</v>
          </cell>
          <cell r="K465">
            <v>-0.12</v>
          </cell>
        </row>
        <row r="466">
          <cell r="A466" t="str">
            <v>LU0557859708</v>
          </cell>
          <cell r="B466" t="str">
            <v>AMUNDI FUNDS EURO GOVERNMENT RESPONSIBLE BOND</v>
          </cell>
          <cell r="C466" t="str">
            <v>Class G EUR (C)</v>
          </cell>
          <cell r="D466" t="str">
            <v>EUR</v>
          </cell>
          <cell r="E466">
            <v>45747</v>
          </cell>
          <cell r="F466">
            <v>13455804.09</v>
          </cell>
          <cell r="G466">
            <v>114411.264</v>
          </cell>
          <cell r="H466">
            <v>117.61</v>
          </cell>
          <cell r="I466">
            <v>0</v>
          </cell>
          <cell r="J466">
            <v>121.14</v>
          </cell>
          <cell r="K466">
            <v>-0.09</v>
          </cell>
        </row>
        <row r="467">
          <cell r="A467" t="str">
            <v>LU1998921263</v>
          </cell>
          <cell r="B467" t="str">
            <v>AMUNDI FUNDS EURO GOVERNMENT RESPONSIBLE BOND</v>
          </cell>
          <cell r="C467" t="str">
            <v>Class X EUR ( C )</v>
          </cell>
          <cell r="D467" t="str">
            <v>EUR</v>
          </cell>
          <cell r="E467">
            <v>45747</v>
          </cell>
          <cell r="F467">
            <v>900474.11</v>
          </cell>
          <cell r="G467">
            <v>994.70600000000002</v>
          </cell>
          <cell r="H467">
            <v>905.27</v>
          </cell>
          <cell r="I467">
            <v>0</v>
          </cell>
          <cell r="J467">
            <v>905.27</v>
          </cell>
          <cell r="K467">
            <v>-0.62</v>
          </cell>
        </row>
        <row r="468">
          <cell r="A468" t="str">
            <v>LU0518422273</v>
          </cell>
          <cell r="B468" t="str">
            <v>AMUNDI FUNDS EURO GOVERNMENT RESPONSIBLE BOND</v>
          </cell>
          <cell r="C468" t="str">
            <v>Class I EUR (C)</v>
          </cell>
          <cell r="D468" t="str">
            <v>EUR</v>
          </cell>
          <cell r="E468">
            <v>45747</v>
          </cell>
          <cell r="F468">
            <v>80432711.739999995</v>
          </cell>
          <cell r="G468">
            <v>60440.894</v>
          </cell>
          <cell r="H468">
            <v>1330.77</v>
          </cell>
          <cell r="I468">
            <v>0</v>
          </cell>
          <cell r="J468">
            <v>1330.77</v>
          </cell>
          <cell r="K468">
            <v>-0.96</v>
          </cell>
        </row>
        <row r="469">
          <cell r="A469" t="str">
            <v>LU2085674971</v>
          </cell>
          <cell r="B469" t="str">
            <v>AMUNDI FUNDS EURO GOVERNMENT RESPONSIBLE BOND</v>
          </cell>
          <cell r="C469" t="str">
            <v>Class Z EUR (C)</v>
          </cell>
          <cell r="D469" t="str">
            <v>EUR</v>
          </cell>
          <cell r="E469">
            <v>45747</v>
          </cell>
          <cell r="F469">
            <v>137201263.63999999</v>
          </cell>
          <cell r="G469">
            <v>151588.804</v>
          </cell>
          <cell r="H469">
            <v>905.09</v>
          </cell>
          <cell r="I469">
            <v>0</v>
          </cell>
          <cell r="J469">
            <v>905.09</v>
          </cell>
          <cell r="K469">
            <v>-0.65</v>
          </cell>
        </row>
        <row r="470">
          <cell r="A470" t="str">
            <v>LU0568621618</v>
          </cell>
          <cell r="B470" t="str">
            <v>AMUNDI FUNDS CASH USD</v>
          </cell>
          <cell r="C470" t="str">
            <v>Class A2 USD (C)</v>
          </cell>
          <cell r="D470" t="str">
            <v>USD</v>
          </cell>
          <cell r="E470">
            <v>45747</v>
          </cell>
          <cell r="F470">
            <v>2156403667.3299999</v>
          </cell>
          <cell r="G470">
            <v>17347461.300000001</v>
          </cell>
          <cell r="H470">
            <v>124.31</v>
          </cell>
          <cell r="I470">
            <v>0</v>
          </cell>
          <cell r="J470">
            <v>124.31</v>
          </cell>
          <cell r="K470">
            <v>0.04</v>
          </cell>
        </row>
        <row r="471">
          <cell r="A471" t="str">
            <v>LU2819203592</v>
          </cell>
          <cell r="B471" t="str">
            <v>AMUNDI FUNDS CASH USD</v>
          </cell>
          <cell r="C471" t="str">
            <v>Class A11 USD (C)</v>
          </cell>
          <cell r="D471" t="str">
            <v>USD</v>
          </cell>
          <cell r="E471">
            <v>45747</v>
          </cell>
          <cell r="F471">
            <v>5185.3</v>
          </cell>
          <cell r="G471">
            <v>100</v>
          </cell>
          <cell r="H471">
            <v>51.85</v>
          </cell>
          <cell r="I471">
            <v>0</v>
          </cell>
          <cell r="J471">
            <v>51.85</v>
          </cell>
          <cell r="K471">
            <v>0.01</v>
          </cell>
        </row>
        <row r="472">
          <cell r="A472" t="str">
            <v>LU0568621709</v>
          </cell>
          <cell r="B472" t="str">
            <v>AMUNDI FUNDS CASH USD</v>
          </cell>
          <cell r="C472" t="str">
            <v>Class A2 USD AD (D)</v>
          </cell>
          <cell r="D472" t="str">
            <v>USD</v>
          </cell>
          <cell r="E472">
            <v>45747</v>
          </cell>
          <cell r="F472">
            <v>10897356.720000001</v>
          </cell>
          <cell r="G472">
            <v>102107.06200000001</v>
          </cell>
          <cell r="H472">
            <v>106.72</v>
          </cell>
          <cell r="I472">
            <v>0</v>
          </cell>
          <cell r="J472">
            <v>106.72</v>
          </cell>
          <cell r="K472">
            <v>0.03</v>
          </cell>
        </row>
        <row r="473">
          <cell r="A473" t="str">
            <v>LU0568622186</v>
          </cell>
          <cell r="B473" t="str">
            <v>AMUNDI FUNDS CASH USD</v>
          </cell>
          <cell r="C473" t="str">
            <v>Class F2 USD (C)</v>
          </cell>
          <cell r="D473" t="str">
            <v>USD</v>
          </cell>
          <cell r="E473">
            <v>45747</v>
          </cell>
          <cell r="F473">
            <v>78743504.370000005</v>
          </cell>
          <cell r="G473">
            <v>635398.60600000003</v>
          </cell>
          <cell r="H473">
            <v>123.93</v>
          </cell>
          <cell r="I473">
            <v>0</v>
          </cell>
          <cell r="J473">
            <v>123.93</v>
          </cell>
          <cell r="K473">
            <v>0.04</v>
          </cell>
        </row>
        <row r="474">
          <cell r="A474" t="str">
            <v>LU0568621022</v>
          </cell>
          <cell r="B474" t="str">
            <v>AMUNDI FUNDS CASH USD</v>
          </cell>
          <cell r="C474" t="str">
            <v>Class I2 USD (C)</v>
          </cell>
          <cell r="D474" t="str">
            <v>USD</v>
          </cell>
          <cell r="E474">
            <v>45747</v>
          </cell>
          <cell r="F474">
            <v>655626961.73000002</v>
          </cell>
          <cell r="G474">
            <v>524542.68700000003</v>
          </cell>
          <cell r="H474">
            <v>1249.9000000000001</v>
          </cell>
          <cell r="I474">
            <v>0</v>
          </cell>
          <cell r="J474">
            <v>1249.9000000000001</v>
          </cell>
          <cell r="K474">
            <v>0.39</v>
          </cell>
        </row>
        <row r="475">
          <cell r="A475" t="str">
            <v>LU0568621295</v>
          </cell>
          <cell r="B475" t="str">
            <v>AMUNDI FUNDS CASH USD</v>
          </cell>
          <cell r="C475" t="str">
            <v>Class I2 USD AD (D)</v>
          </cell>
          <cell r="D475" t="str">
            <v>USD</v>
          </cell>
          <cell r="E475">
            <v>45747</v>
          </cell>
          <cell r="F475">
            <v>63763760.560000002</v>
          </cell>
          <cell r="G475">
            <v>61443.635000000002</v>
          </cell>
          <cell r="H475">
            <v>1037.76</v>
          </cell>
          <cell r="I475">
            <v>0</v>
          </cell>
          <cell r="J475">
            <v>1037.76</v>
          </cell>
          <cell r="K475">
            <v>0.33</v>
          </cell>
        </row>
        <row r="476">
          <cell r="A476" t="str">
            <v>LU2009162558</v>
          </cell>
          <cell r="B476" t="str">
            <v>AMUNDI FUNDS CASH USD</v>
          </cell>
          <cell r="C476" t="str">
            <v>Class J2 USD (C)</v>
          </cell>
          <cell r="D476" t="str">
            <v>USD</v>
          </cell>
          <cell r="E476">
            <v>45747</v>
          </cell>
          <cell r="F476">
            <v>309415047.44999999</v>
          </cell>
          <cell r="G476">
            <v>264323.27600000001</v>
          </cell>
          <cell r="H476">
            <v>1170.5899999999999</v>
          </cell>
          <cell r="I476">
            <v>0</v>
          </cell>
          <cell r="J476">
            <v>1170.5899999999999</v>
          </cell>
          <cell r="K476">
            <v>0.42</v>
          </cell>
        </row>
        <row r="477">
          <cell r="A477" t="str">
            <v>LU0568621378</v>
          </cell>
          <cell r="B477" t="str">
            <v>AMUNDI FUNDS CASH USD</v>
          </cell>
          <cell r="C477" t="str">
            <v>Class M2 USD (C)</v>
          </cell>
          <cell r="D477" t="str">
            <v>USD</v>
          </cell>
          <cell r="E477">
            <v>45747</v>
          </cell>
          <cell r="F477">
            <v>37710928.32</v>
          </cell>
          <cell r="G477">
            <v>301900.72499999998</v>
          </cell>
          <cell r="H477">
            <v>124.91</v>
          </cell>
          <cell r="I477">
            <v>0</v>
          </cell>
          <cell r="J477">
            <v>124.91</v>
          </cell>
          <cell r="K477">
            <v>0.04</v>
          </cell>
        </row>
        <row r="478">
          <cell r="A478" t="str">
            <v>LU2110859910</v>
          </cell>
          <cell r="B478" t="str">
            <v>AMUNDI FUNDS CASH USD</v>
          </cell>
          <cell r="C478" t="str">
            <v>Class P2 USD (C)</v>
          </cell>
          <cell r="D478" t="str">
            <v>USD</v>
          </cell>
          <cell r="E478">
            <v>45747</v>
          </cell>
          <cell r="F478">
            <v>174949.16</v>
          </cell>
          <cell r="G478">
            <v>3061.5810000000001</v>
          </cell>
          <cell r="H478">
            <v>57.14</v>
          </cell>
          <cell r="I478">
            <v>0</v>
          </cell>
          <cell r="J478">
            <v>57.14</v>
          </cell>
          <cell r="K478">
            <v>0.01</v>
          </cell>
        </row>
        <row r="479">
          <cell r="A479" t="str">
            <v>LU0987193777</v>
          </cell>
          <cell r="B479" t="str">
            <v>AMUNDI FUNDS CASH USD</v>
          </cell>
          <cell r="C479" t="str">
            <v>Class R2 USD (C)</v>
          </cell>
          <cell r="D479" t="str">
            <v>USD</v>
          </cell>
          <cell r="E479">
            <v>45747</v>
          </cell>
          <cell r="F479">
            <v>54566153.32</v>
          </cell>
          <cell r="G479">
            <v>453906.38799999998</v>
          </cell>
          <cell r="H479">
            <v>120.21</v>
          </cell>
          <cell r="I479">
            <v>0</v>
          </cell>
          <cell r="J479">
            <v>120.21</v>
          </cell>
          <cell r="K479">
            <v>0.03</v>
          </cell>
        </row>
        <row r="480">
          <cell r="A480" t="str">
            <v>LU0568622004</v>
          </cell>
          <cell r="B480" t="str">
            <v>AMUNDI FUNDS CASH USD</v>
          </cell>
          <cell r="C480" t="str">
            <v>Class G2 USD (C)</v>
          </cell>
          <cell r="D480" t="str">
            <v>USD</v>
          </cell>
          <cell r="E480">
            <v>45747</v>
          </cell>
          <cell r="F480">
            <v>14337889.359999999</v>
          </cell>
          <cell r="G480">
            <v>115564.408</v>
          </cell>
          <cell r="H480">
            <v>124.07</v>
          </cell>
          <cell r="I480">
            <v>0</v>
          </cell>
          <cell r="J480">
            <v>124.07</v>
          </cell>
          <cell r="K480">
            <v>0.04</v>
          </cell>
        </row>
        <row r="481">
          <cell r="A481" t="str">
            <v>LU1327400542</v>
          </cell>
          <cell r="B481" t="str">
            <v>AMUNDI FUNDS CASH USD</v>
          </cell>
          <cell r="C481" t="str">
            <v>Class Q-X USD AD (D)</v>
          </cell>
          <cell r="D481" t="str">
            <v>USD</v>
          </cell>
          <cell r="E481">
            <v>45747</v>
          </cell>
          <cell r="F481">
            <v>106117.88</v>
          </cell>
          <cell r="G481">
            <v>102.81100000000001</v>
          </cell>
          <cell r="H481">
            <v>1032.1600000000001</v>
          </cell>
          <cell r="I481">
            <v>0</v>
          </cell>
          <cell r="J481">
            <v>1032.1600000000001</v>
          </cell>
          <cell r="K481">
            <v>0.33</v>
          </cell>
        </row>
        <row r="482">
          <cell r="A482" t="str">
            <v>LU1327400468</v>
          </cell>
          <cell r="B482" t="str">
            <v>AMUNDI FUNDS CASH USD</v>
          </cell>
          <cell r="C482" t="str">
            <v>Class Q-X USD (C)</v>
          </cell>
          <cell r="D482" t="str">
            <v>USD</v>
          </cell>
          <cell r="E482">
            <v>45747</v>
          </cell>
          <cell r="F482">
            <v>557414444.84000003</v>
          </cell>
          <cell r="G482">
            <v>450594.37199999997</v>
          </cell>
          <cell r="H482">
            <v>1237.06</v>
          </cell>
          <cell r="I482">
            <v>0</v>
          </cell>
          <cell r="J482">
            <v>1237.06</v>
          </cell>
          <cell r="K482">
            <v>0.4</v>
          </cell>
        </row>
        <row r="483">
          <cell r="A483" t="str">
            <v>LU2359308389</v>
          </cell>
          <cell r="B483" t="str">
            <v>AMUNDI FUNDS CASH USD</v>
          </cell>
          <cell r="C483" t="str">
            <v>Class Z USD (C)</v>
          </cell>
          <cell r="D483" t="str">
            <v>USD</v>
          </cell>
          <cell r="E483">
            <v>45747</v>
          </cell>
          <cell r="F483">
            <v>187095537.88999999</v>
          </cell>
          <cell r="G483">
            <v>163193.47899999999</v>
          </cell>
          <cell r="H483">
            <v>1146.46</v>
          </cell>
          <cell r="I483">
            <v>0</v>
          </cell>
          <cell r="J483">
            <v>1146.46</v>
          </cell>
          <cell r="K483">
            <v>0.37</v>
          </cell>
        </row>
        <row r="484">
          <cell r="A484" t="str">
            <v>LU0755949848</v>
          </cell>
          <cell r="B484" t="str">
            <v>AMUNDI FUNDS EUROPEAN EQUITY CONSERVATIVE</v>
          </cell>
          <cell r="C484" t="str">
            <v>Class A EUR (C)</v>
          </cell>
          <cell r="D484" t="str">
            <v>EUR</v>
          </cell>
          <cell r="E484">
            <v>45747</v>
          </cell>
          <cell r="F484">
            <v>339300543.87</v>
          </cell>
          <cell r="G484">
            <v>1537575.6769999999</v>
          </cell>
          <cell r="H484">
            <v>220.67</v>
          </cell>
          <cell r="I484">
            <v>0</v>
          </cell>
          <cell r="J484">
            <v>230.6</v>
          </cell>
          <cell r="K484">
            <v>-1.96</v>
          </cell>
        </row>
        <row r="485">
          <cell r="A485" t="str">
            <v>LU2032055977</v>
          </cell>
          <cell r="B485" t="str">
            <v>AMUNDI FUNDS EUROPEAN EQUITY CONSERVATIVE</v>
          </cell>
          <cell r="C485" t="str">
            <v>Class A5 EUR (C)</v>
          </cell>
          <cell r="D485" t="str">
            <v>EUR</v>
          </cell>
          <cell r="E485">
            <v>45747</v>
          </cell>
          <cell r="F485">
            <v>150528.70000000001</v>
          </cell>
          <cell r="G485">
            <v>2236.0569999999998</v>
          </cell>
          <cell r="H485">
            <v>67.319999999999993</v>
          </cell>
          <cell r="I485">
            <v>0</v>
          </cell>
          <cell r="J485">
            <v>67.319999999999993</v>
          </cell>
          <cell r="K485">
            <v>-0.59</v>
          </cell>
        </row>
        <row r="486">
          <cell r="A486" t="str">
            <v>LU1808314287</v>
          </cell>
          <cell r="B486" t="str">
            <v>AMUNDI FUNDS EUROPEAN EQUITY CONSERVATIVE</v>
          </cell>
          <cell r="C486" t="str">
            <v>Class A CHF Hgd (C)</v>
          </cell>
          <cell r="D486" t="str">
            <v>CHF</v>
          </cell>
          <cell r="E486">
            <v>45747</v>
          </cell>
          <cell r="F486">
            <v>6807884.0300000003</v>
          </cell>
          <cell r="G486">
            <v>51896.082999999999</v>
          </cell>
          <cell r="H486">
            <v>131.18</v>
          </cell>
          <cell r="I486">
            <v>0</v>
          </cell>
          <cell r="J486">
            <v>131.18</v>
          </cell>
          <cell r="K486">
            <v>-1.18</v>
          </cell>
        </row>
        <row r="487">
          <cell r="A487" t="str">
            <v>LU0755949921</v>
          </cell>
          <cell r="B487" t="str">
            <v>AMUNDI FUNDS EUROPEAN EQUITY CONSERVATIVE</v>
          </cell>
          <cell r="C487" t="str">
            <v>Class A EUR AD (D)</v>
          </cell>
          <cell r="D487" t="str">
            <v>EUR</v>
          </cell>
          <cell r="E487">
            <v>45747</v>
          </cell>
          <cell r="F487">
            <v>72244982.180000007</v>
          </cell>
          <cell r="G487">
            <v>389200.152</v>
          </cell>
          <cell r="H487">
            <v>185.62</v>
          </cell>
          <cell r="I487">
            <v>0</v>
          </cell>
          <cell r="J487">
            <v>193.97</v>
          </cell>
          <cell r="K487">
            <v>-1.65</v>
          </cell>
        </row>
        <row r="488">
          <cell r="A488" t="str">
            <v>LU1103154495</v>
          </cell>
          <cell r="B488" t="str">
            <v>AMUNDI FUNDS EUROPEAN EQUITY CONSERVATIVE</v>
          </cell>
          <cell r="C488" t="str">
            <v>Class A2 EUR (C)</v>
          </cell>
          <cell r="D488" t="str">
            <v>EUR</v>
          </cell>
          <cell r="E488">
            <v>45747</v>
          </cell>
          <cell r="F488">
            <v>12785233.189999999</v>
          </cell>
          <cell r="G488">
            <v>92617.794999999998</v>
          </cell>
          <cell r="H488">
            <v>138.04</v>
          </cell>
          <cell r="I488">
            <v>0</v>
          </cell>
          <cell r="J488">
            <v>138.04</v>
          </cell>
          <cell r="K488">
            <v>-1.23</v>
          </cell>
        </row>
        <row r="489">
          <cell r="A489" t="str">
            <v>LU2018720651</v>
          </cell>
          <cell r="B489" t="str">
            <v>AMUNDI FUNDS EUROPEAN EQUITY CONSERVATIVE</v>
          </cell>
          <cell r="C489" t="str">
            <v>Class F EUR (C)</v>
          </cell>
          <cell r="D489" t="str">
            <v>EUR</v>
          </cell>
          <cell r="E489">
            <v>45747</v>
          </cell>
          <cell r="F489">
            <v>48994.51</v>
          </cell>
          <cell r="G489">
            <v>7651.4560000000001</v>
          </cell>
          <cell r="H489">
            <v>6.4029999999999996</v>
          </cell>
          <cell r="I489">
            <v>0</v>
          </cell>
          <cell r="J489">
            <v>6.4029999999999996</v>
          </cell>
          <cell r="K489">
            <v>-5.7000000000000002E-2</v>
          </cell>
        </row>
        <row r="490">
          <cell r="A490" t="str">
            <v>LU0755950184</v>
          </cell>
          <cell r="B490" t="str">
            <v>AMUNDI FUNDS EUROPEAN EQUITY CONSERVATIVE</v>
          </cell>
          <cell r="C490" t="str">
            <v>Class F2 EUR (C)</v>
          </cell>
          <cell r="D490" t="str">
            <v>EUR</v>
          </cell>
          <cell r="E490">
            <v>45747</v>
          </cell>
          <cell r="F490">
            <v>2011334.24</v>
          </cell>
          <cell r="G490">
            <v>10357.56</v>
          </cell>
          <cell r="H490">
            <v>194.19</v>
          </cell>
          <cell r="I490">
            <v>0</v>
          </cell>
          <cell r="J490">
            <v>194.19</v>
          </cell>
          <cell r="K490">
            <v>-1.74</v>
          </cell>
        </row>
        <row r="491">
          <cell r="A491" t="str">
            <v>LU1998919283</v>
          </cell>
          <cell r="B491" t="str">
            <v>AMUNDI FUNDS EUROPEAN EQUITY CONSERVATIVE</v>
          </cell>
          <cell r="C491" t="str">
            <v>Class H EUR  ( C )</v>
          </cell>
          <cell r="D491" t="str">
            <v>EUR</v>
          </cell>
          <cell r="E491">
            <v>45747</v>
          </cell>
          <cell r="F491">
            <v>7260.58</v>
          </cell>
          <cell r="G491">
            <v>5</v>
          </cell>
          <cell r="H491">
            <v>1452.12</v>
          </cell>
          <cell r="I491">
            <v>0</v>
          </cell>
          <cell r="J491">
            <v>1452.12</v>
          </cell>
          <cell r="K491">
            <v>-12.72</v>
          </cell>
        </row>
        <row r="492">
          <cell r="A492" t="str">
            <v>LU2031984698</v>
          </cell>
          <cell r="B492" t="str">
            <v>AMUNDI FUNDS EUROPEAN EQUITY CONSERVATIVE</v>
          </cell>
          <cell r="C492" t="str">
            <v>Class I2 EUR (C)</v>
          </cell>
          <cell r="D492" t="str">
            <v>EUR</v>
          </cell>
          <cell r="E492">
            <v>45747</v>
          </cell>
          <cell r="F492">
            <v>900065.4</v>
          </cell>
          <cell r="G492">
            <v>639.98400000000004</v>
          </cell>
          <cell r="H492">
            <v>1406.39</v>
          </cell>
          <cell r="I492">
            <v>0</v>
          </cell>
          <cell r="J492">
            <v>1406.39</v>
          </cell>
          <cell r="K492">
            <v>-12.36</v>
          </cell>
        </row>
        <row r="493">
          <cell r="A493" t="str">
            <v>LU0755949418</v>
          </cell>
          <cell r="B493" t="str">
            <v>AMUNDI FUNDS EUROPEAN EQUITY CONSERVATIVE</v>
          </cell>
          <cell r="C493" t="str">
            <v>Class I EUR (C)</v>
          </cell>
          <cell r="D493" t="str">
            <v>EUR</v>
          </cell>
          <cell r="E493">
            <v>45747</v>
          </cell>
          <cell r="F493">
            <v>66615984.899999999</v>
          </cell>
          <cell r="G493">
            <v>16952.383000000002</v>
          </cell>
          <cell r="H493">
            <v>3929.59</v>
          </cell>
          <cell r="I493">
            <v>0</v>
          </cell>
          <cell r="J493">
            <v>3929.59</v>
          </cell>
          <cell r="K493">
            <v>-34.51</v>
          </cell>
        </row>
        <row r="494">
          <cell r="A494" t="str">
            <v>LU1737510526</v>
          </cell>
          <cell r="B494" t="str">
            <v>AMUNDI FUNDS EUROPEAN EQUITY CONSERVATIVE</v>
          </cell>
          <cell r="C494" t="str">
            <v>Class Q-I17 EUR (C)</v>
          </cell>
          <cell r="D494" t="str">
            <v>EUR</v>
          </cell>
          <cell r="E494">
            <v>45747</v>
          </cell>
          <cell r="F494">
            <v>149954856.09</v>
          </cell>
          <cell r="G494">
            <v>991306.277</v>
          </cell>
          <cell r="H494">
            <v>151.27000000000001</v>
          </cell>
          <cell r="I494">
            <v>0</v>
          </cell>
          <cell r="J494">
            <v>151.27000000000001</v>
          </cell>
          <cell r="K494">
            <v>-1.33</v>
          </cell>
        </row>
        <row r="495">
          <cell r="A495" t="str">
            <v>LU0755949681</v>
          </cell>
          <cell r="B495" t="str">
            <v>AMUNDI FUNDS EUROPEAN EQUITY CONSERVATIVE</v>
          </cell>
          <cell r="C495" t="str">
            <v>Class M EUR (C)</v>
          </cell>
          <cell r="D495" t="str">
            <v>EUR</v>
          </cell>
          <cell r="E495">
            <v>45747</v>
          </cell>
          <cell r="F495">
            <v>1200838.27</v>
          </cell>
          <cell r="G495">
            <v>3971.998</v>
          </cell>
          <cell r="H495">
            <v>302.33</v>
          </cell>
          <cell r="I495">
            <v>0</v>
          </cell>
          <cell r="J495">
            <v>302.33</v>
          </cell>
          <cell r="K495">
            <v>-2.65</v>
          </cell>
        </row>
        <row r="496">
          <cell r="A496" t="str">
            <v>LU1567497968</v>
          </cell>
          <cell r="B496" t="str">
            <v>AMUNDI FUNDS EUROPEAN EQUITY CONSERVATIVE</v>
          </cell>
          <cell r="C496" t="str">
            <v>Class Q-OF EUR (C)</v>
          </cell>
          <cell r="D496" t="str">
            <v>EUR</v>
          </cell>
          <cell r="E496">
            <v>45747</v>
          </cell>
          <cell r="F496">
            <v>2322133.75</v>
          </cell>
          <cell r="G496">
            <v>1386</v>
          </cell>
          <cell r="H496">
            <v>1675.42</v>
          </cell>
          <cell r="I496">
            <v>0</v>
          </cell>
          <cell r="J496">
            <v>1675.42</v>
          </cell>
          <cell r="K496">
            <v>-14.66</v>
          </cell>
        </row>
        <row r="497">
          <cell r="A497" t="str">
            <v>LU0945156700</v>
          </cell>
          <cell r="B497" t="str">
            <v>AMUNDI FUNDS EUROPEAN EQUITY CONSERVATIVE</v>
          </cell>
          <cell r="C497" t="str">
            <v>Class R EUR (C)</v>
          </cell>
          <cell r="D497" t="str">
            <v>EUR</v>
          </cell>
          <cell r="E497">
            <v>45747</v>
          </cell>
          <cell r="F497">
            <v>31109688.440000001</v>
          </cell>
          <cell r="G497">
            <v>202142.927</v>
          </cell>
          <cell r="H497">
            <v>153.9</v>
          </cell>
          <cell r="I497">
            <v>0</v>
          </cell>
          <cell r="J497">
            <v>153.9</v>
          </cell>
          <cell r="K497">
            <v>-1.35</v>
          </cell>
        </row>
        <row r="498">
          <cell r="A498" t="str">
            <v>LU0755950002</v>
          </cell>
          <cell r="B498" t="str">
            <v>AMUNDI FUNDS EUROPEAN EQUITY CONSERVATIVE</v>
          </cell>
          <cell r="C498" t="str">
            <v>Class G EUR (C)</v>
          </cell>
          <cell r="D498" t="str">
            <v>EUR</v>
          </cell>
          <cell r="E498">
            <v>45747</v>
          </cell>
          <cell r="F498">
            <v>14640305.16</v>
          </cell>
          <cell r="G498">
            <v>66792.713000000003</v>
          </cell>
          <cell r="H498">
            <v>219.19</v>
          </cell>
          <cell r="I498">
            <v>0</v>
          </cell>
          <cell r="J498">
            <v>225.77</v>
          </cell>
          <cell r="K498">
            <v>-1.95</v>
          </cell>
        </row>
        <row r="499">
          <cell r="A499" t="str">
            <v>LU1638831559</v>
          </cell>
          <cell r="B499" t="str">
            <v>AMUNDI FUNDS EUROPEAN EQUITY CONSERVATIVE</v>
          </cell>
          <cell r="C499" t="str">
            <v>Class Z EUR AD (D)</v>
          </cell>
          <cell r="D499" t="str">
            <v>EUR</v>
          </cell>
          <cell r="E499">
            <v>45747</v>
          </cell>
          <cell r="F499">
            <v>19883654.699999999</v>
          </cell>
          <cell r="G499">
            <v>15318.32</v>
          </cell>
          <cell r="H499">
            <v>1298.03</v>
          </cell>
          <cell r="I499">
            <v>0</v>
          </cell>
          <cell r="J499">
            <v>1298.03</v>
          </cell>
          <cell r="K499">
            <v>-11.39</v>
          </cell>
        </row>
        <row r="500">
          <cell r="A500" t="str">
            <v>LU0755948790</v>
          </cell>
          <cell r="B500" t="str">
            <v>AMUNDI FUNDS EMERGING MARKETS CORPORATE BOND</v>
          </cell>
          <cell r="C500" t="str">
            <v>Class A EUR (C)</v>
          </cell>
          <cell r="D500" t="str">
            <v>EUR</v>
          </cell>
          <cell r="E500">
            <v>45747</v>
          </cell>
          <cell r="F500">
            <v>1073784.45</v>
          </cell>
          <cell r="G500">
            <v>6696.491</v>
          </cell>
          <cell r="H500">
            <v>160.35</v>
          </cell>
          <cell r="I500">
            <v>0</v>
          </cell>
          <cell r="J500">
            <v>166.76</v>
          </cell>
          <cell r="K500">
            <v>-7.0000000000000007E-2</v>
          </cell>
        </row>
        <row r="501">
          <cell r="A501" t="str">
            <v>LU0755948444</v>
          </cell>
          <cell r="B501" t="str">
            <v>AMUNDI FUNDS EMERGING MARKETS CORPORATE BOND</v>
          </cell>
          <cell r="C501" t="str">
            <v>Class A USD (C)</v>
          </cell>
          <cell r="D501" t="str">
            <v>USD</v>
          </cell>
          <cell r="E501">
            <v>45747</v>
          </cell>
          <cell r="F501">
            <v>907863.24</v>
          </cell>
          <cell r="G501">
            <v>6966.0079999999998</v>
          </cell>
          <cell r="H501">
            <v>130.33000000000001</v>
          </cell>
          <cell r="I501">
            <v>0</v>
          </cell>
          <cell r="J501">
            <v>135.54</v>
          </cell>
          <cell r="K501">
            <v>-0.31</v>
          </cell>
        </row>
        <row r="502">
          <cell r="A502" t="str">
            <v>LU0755948956</v>
          </cell>
          <cell r="B502" t="str">
            <v>AMUNDI FUNDS EMERGING MARKETS CORPORATE BOND</v>
          </cell>
          <cell r="C502" t="str">
            <v>Class A EUR Hgd (C)</v>
          </cell>
          <cell r="D502" t="str">
            <v>EUR</v>
          </cell>
          <cell r="E502">
            <v>45747</v>
          </cell>
          <cell r="F502">
            <v>566695.14</v>
          </cell>
          <cell r="G502">
            <v>5238.915</v>
          </cell>
          <cell r="H502">
            <v>108.17</v>
          </cell>
          <cell r="I502">
            <v>0</v>
          </cell>
          <cell r="J502">
            <v>112.5</v>
          </cell>
          <cell r="K502">
            <v>-0.26</v>
          </cell>
        </row>
        <row r="503">
          <cell r="A503" t="str">
            <v>LU0755948873</v>
          </cell>
          <cell r="B503" t="str">
            <v>AMUNDI FUNDS EMERGING MARKETS CORPORATE BOND</v>
          </cell>
          <cell r="C503" t="str">
            <v>Class A EUR AD (D)</v>
          </cell>
          <cell r="D503" t="str">
            <v>EUR</v>
          </cell>
          <cell r="E503">
            <v>45747</v>
          </cell>
          <cell r="F503">
            <v>465515.6</v>
          </cell>
          <cell r="G503">
            <v>4547.5249999999996</v>
          </cell>
          <cell r="H503">
            <v>102.37</v>
          </cell>
          <cell r="I503">
            <v>0</v>
          </cell>
          <cell r="J503">
            <v>106.46</v>
          </cell>
          <cell r="K503">
            <v>-0.04</v>
          </cell>
        </row>
        <row r="504">
          <cell r="A504" t="str">
            <v>LU0755948527</v>
          </cell>
          <cell r="B504" t="str">
            <v>AMUNDI FUNDS EMERGING MARKETS CORPORATE BOND</v>
          </cell>
          <cell r="C504" t="str">
            <v>Class A USD AD (D)</v>
          </cell>
          <cell r="D504" t="str">
            <v>USD</v>
          </cell>
          <cell r="E504">
            <v>45747</v>
          </cell>
          <cell r="F504">
            <v>3464583.03</v>
          </cell>
          <cell r="G504">
            <v>40280.027999999998</v>
          </cell>
          <cell r="H504">
            <v>86.01</v>
          </cell>
          <cell r="I504">
            <v>0</v>
          </cell>
          <cell r="J504">
            <v>89.45</v>
          </cell>
          <cell r="K504">
            <v>-0.21</v>
          </cell>
        </row>
        <row r="505">
          <cell r="A505" t="str">
            <v>LU0755949251</v>
          </cell>
          <cell r="B505" t="str">
            <v>AMUNDI FUNDS EMERGING MARKETS CORPORATE BOND</v>
          </cell>
          <cell r="C505" t="str">
            <v>Class F2 USD (C)</v>
          </cell>
          <cell r="D505" t="str">
            <v>USD</v>
          </cell>
          <cell r="E505">
            <v>45747</v>
          </cell>
          <cell r="F505">
            <v>320393.34000000003</v>
          </cell>
          <cell r="G505">
            <v>2698.7150000000001</v>
          </cell>
          <cell r="H505">
            <v>118.72</v>
          </cell>
          <cell r="I505">
            <v>0</v>
          </cell>
          <cell r="J505">
            <v>118.72</v>
          </cell>
          <cell r="K505">
            <v>-0.28999999999999998</v>
          </cell>
        </row>
        <row r="506">
          <cell r="A506" t="str">
            <v>LU2018722608</v>
          </cell>
          <cell r="B506" t="str">
            <v>AMUNDI FUNDS EMERGING MARKETS CORPORATE BOND</v>
          </cell>
          <cell r="C506" t="str">
            <v>Class F EUR Hgd MTD (D)</v>
          </cell>
          <cell r="D506" t="str">
            <v>EUR</v>
          </cell>
          <cell r="E506">
            <v>45747</v>
          </cell>
          <cell r="F506">
            <v>424280.2</v>
          </cell>
          <cell r="G506">
            <v>122341.113</v>
          </cell>
          <cell r="H506">
            <v>3.468</v>
          </cell>
          <cell r="I506">
            <v>0</v>
          </cell>
          <cell r="J506">
            <v>3.468</v>
          </cell>
          <cell r="K506">
            <v>-8.9999999999999993E-3</v>
          </cell>
        </row>
        <row r="507">
          <cell r="A507" t="str">
            <v>LU0755949335</v>
          </cell>
          <cell r="B507" t="str">
            <v>AMUNDI FUNDS EMERGING MARKETS CORPORATE BOND</v>
          </cell>
          <cell r="C507" t="str">
            <v>Class F2 EUR Hgd (C)</v>
          </cell>
          <cell r="D507" t="str">
            <v>EUR</v>
          </cell>
          <cell r="E507">
            <v>45747</v>
          </cell>
          <cell r="F507">
            <v>230115.14</v>
          </cell>
          <cell r="G507">
            <v>2309.7649999999999</v>
          </cell>
          <cell r="H507">
            <v>99.63</v>
          </cell>
          <cell r="I507">
            <v>0</v>
          </cell>
          <cell r="J507">
            <v>99.63</v>
          </cell>
          <cell r="K507">
            <v>-0.24</v>
          </cell>
        </row>
        <row r="508">
          <cell r="A508" t="str">
            <v>LU0945158151</v>
          </cell>
          <cell r="B508" t="str">
            <v>AMUNDI FUNDS EMERGING MARKETS CORPORATE BOND</v>
          </cell>
          <cell r="C508" t="str">
            <v>Class F2 EUR Hgd MD (D)</v>
          </cell>
          <cell r="D508" t="str">
            <v>EUR</v>
          </cell>
          <cell r="E508">
            <v>45747</v>
          </cell>
          <cell r="F508">
            <v>675083.5</v>
          </cell>
          <cell r="G508">
            <v>11233.304</v>
          </cell>
          <cell r="H508">
            <v>60.1</v>
          </cell>
          <cell r="I508">
            <v>0</v>
          </cell>
          <cell r="J508">
            <v>60.1</v>
          </cell>
          <cell r="K508">
            <v>-0.14000000000000001</v>
          </cell>
        </row>
        <row r="509">
          <cell r="A509" t="str">
            <v>LU0945158078</v>
          </cell>
          <cell r="B509" t="str">
            <v>AMUNDI FUNDS EMERGING MARKETS CORPORATE BOND</v>
          </cell>
          <cell r="C509" t="str">
            <v>Class G EUR Hgd MD (D)</v>
          </cell>
          <cell r="D509" t="str">
            <v>EUR</v>
          </cell>
          <cell r="E509">
            <v>45747</v>
          </cell>
          <cell r="F509">
            <v>3665202.14</v>
          </cell>
          <cell r="G509">
            <v>57446.22</v>
          </cell>
          <cell r="H509">
            <v>63.8</v>
          </cell>
          <cell r="I509">
            <v>0</v>
          </cell>
          <cell r="J509">
            <v>63.8</v>
          </cell>
          <cell r="K509">
            <v>-0.16</v>
          </cell>
        </row>
        <row r="510">
          <cell r="A510" t="str">
            <v>LU0755947982</v>
          </cell>
          <cell r="B510" t="str">
            <v>AMUNDI FUNDS EMERGING MARKETS CORPORATE BOND</v>
          </cell>
          <cell r="C510" t="str">
            <v>Class I EUR (C)</v>
          </cell>
          <cell r="D510" t="str">
            <v>USD</v>
          </cell>
          <cell r="E510">
            <v>45747</v>
          </cell>
          <cell r="F510">
            <v>3083026.74</v>
          </cell>
          <cell r="G510">
            <v>2078.654</v>
          </cell>
          <cell r="H510">
            <v>1483.18</v>
          </cell>
          <cell r="I510">
            <v>0</v>
          </cell>
          <cell r="J510">
            <v>1483.18</v>
          </cell>
          <cell r="K510">
            <v>-3.38</v>
          </cell>
        </row>
        <row r="511">
          <cell r="A511" t="str">
            <v>LU0755947636</v>
          </cell>
          <cell r="B511" t="str">
            <v>AMUNDI FUNDS EMERGING MARKETS CORPORATE BOND</v>
          </cell>
          <cell r="C511" t="str">
            <v>Class I USD (C)</v>
          </cell>
          <cell r="D511" t="str">
            <v>USD</v>
          </cell>
          <cell r="E511">
            <v>45747</v>
          </cell>
          <cell r="F511">
            <v>22354292.359999999</v>
          </cell>
          <cell r="G511">
            <v>12414.618</v>
          </cell>
          <cell r="H511">
            <v>1800.64</v>
          </cell>
          <cell r="I511">
            <v>0</v>
          </cell>
          <cell r="J511">
            <v>1800.64</v>
          </cell>
          <cell r="K511">
            <v>-4.0999999999999996</v>
          </cell>
        </row>
        <row r="512">
          <cell r="A512" t="str">
            <v>LU0755947800</v>
          </cell>
          <cell r="B512" t="str">
            <v>AMUNDI FUNDS EMERGING MARKETS CORPORATE BOND</v>
          </cell>
          <cell r="C512" t="str">
            <v>Class I EUR Hgd (C)</v>
          </cell>
          <cell r="D512" t="str">
            <v>EUR</v>
          </cell>
          <cell r="E512">
            <v>45747</v>
          </cell>
          <cell r="F512">
            <v>78569402.629999995</v>
          </cell>
          <cell r="G512">
            <v>83869.485000000001</v>
          </cell>
          <cell r="H512">
            <v>936.81</v>
          </cell>
          <cell r="I512">
            <v>0</v>
          </cell>
          <cell r="J512">
            <v>936.81</v>
          </cell>
          <cell r="K512">
            <v>-2.1800000000000002</v>
          </cell>
        </row>
        <row r="513">
          <cell r="A513" t="str">
            <v>LU2339089083</v>
          </cell>
          <cell r="B513" t="str">
            <v>AMUNDI FUNDS EMERGING MARKETS CORPORATE BOND</v>
          </cell>
          <cell r="C513" t="str">
            <v>Class I EUR Hgd AD (D)</v>
          </cell>
          <cell r="D513" t="str">
            <v>EUR</v>
          </cell>
          <cell r="E513">
            <v>45747</v>
          </cell>
          <cell r="F513">
            <v>32242114.75</v>
          </cell>
          <cell r="G513">
            <v>40980.728999999999</v>
          </cell>
          <cell r="H513">
            <v>786.76</v>
          </cell>
          <cell r="I513">
            <v>0</v>
          </cell>
          <cell r="J513">
            <v>786.76</v>
          </cell>
          <cell r="K513">
            <v>-1.84</v>
          </cell>
        </row>
        <row r="514">
          <cell r="A514" t="str">
            <v>LU0755948014</v>
          </cell>
          <cell r="B514" t="str">
            <v>AMUNDI FUNDS EMERGING MARKETS CORPORATE BOND</v>
          </cell>
          <cell r="C514" t="str">
            <v>Class I EUR AD (D)</v>
          </cell>
          <cell r="D514" t="str">
            <v>EUR</v>
          </cell>
          <cell r="E514">
            <v>45747</v>
          </cell>
          <cell r="F514">
            <v>25988757.199999999</v>
          </cell>
          <cell r="G514">
            <v>28973.931</v>
          </cell>
          <cell r="H514">
            <v>896.97</v>
          </cell>
          <cell r="I514">
            <v>0</v>
          </cell>
          <cell r="J514">
            <v>896.97</v>
          </cell>
          <cell r="K514">
            <v>-0.3</v>
          </cell>
        </row>
        <row r="515">
          <cell r="A515" t="str">
            <v>LU2176992076</v>
          </cell>
          <cell r="B515" t="str">
            <v>AMUNDI FUNDS EMERGING MARKETS CORPORATE BOND</v>
          </cell>
          <cell r="C515" t="str">
            <v>Class J2 EUR AD (D)</v>
          </cell>
          <cell r="D515" t="str">
            <v>EUR</v>
          </cell>
          <cell r="E515">
            <v>45747</v>
          </cell>
          <cell r="F515">
            <v>54420524.850000001</v>
          </cell>
          <cell r="G515">
            <v>58657</v>
          </cell>
          <cell r="H515">
            <v>927.78</v>
          </cell>
          <cell r="I515">
            <v>0</v>
          </cell>
          <cell r="J515">
            <v>927.78</v>
          </cell>
          <cell r="K515">
            <v>-0.28999999999999998</v>
          </cell>
        </row>
        <row r="516">
          <cell r="A516" t="str">
            <v>LU0755948105</v>
          </cell>
          <cell r="B516" t="str">
            <v>AMUNDI FUNDS EMERGING MARKETS CORPORATE BOND</v>
          </cell>
          <cell r="C516" t="str">
            <v>Class M USD (C)</v>
          </cell>
          <cell r="D516" t="str">
            <v>USD</v>
          </cell>
          <cell r="E516">
            <v>45747</v>
          </cell>
          <cell r="F516">
            <v>609873.12</v>
          </cell>
          <cell r="G516">
            <v>4332.0649999999996</v>
          </cell>
          <cell r="H516">
            <v>140.78</v>
          </cell>
          <cell r="I516">
            <v>0</v>
          </cell>
          <cell r="J516">
            <v>140.78</v>
          </cell>
          <cell r="K516">
            <v>-0.32</v>
          </cell>
        </row>
        <row r="517">
          <cell r="A517" t="str">
            <v>LU0755948287</v>
          </cell>
          <cell r="B517" t="str">
            <v>AMUNDI FUNDS EMERGING MARKETS CORPORATE BOND</v>
          </cell>
          <cell r="C517" t="str">
            <v>Class M EUR Hgd (C)</v>
          </cell>
          <cell r="D517" t="str">
            <v>EUR</v>
          </cell>
          <cell r="E517">
            <v>45747</v>
          </cell>
          <cell r="F517">
            <v>55384.02</v>
          </cell>
          <cell r="G517">
            <v>570.19399999999996</v>
          </cell>
          <cell r="H517">
            <v>97.13</v>
          </cell>
          <cell r="I517">
            <v>0</v>
          </cell>
          <cell r="J517">
            <v>97.13</v>
          </cell>
          <cell r="K517">
            <v>-0.23</v>
          </cell>
        </row>
        <row r="518">
          <cell r="A518" t="str">
            <v>LU0755948360</v>
          </cell>
          <cell r="B518" t="str">
            <v>AMUNDI FUNDS EMERGING MARKETS CORPORATE BOND</v>
          </cell>
          <cell r="C518" t="str">
            <v>Class O USD (C)</v>
          </cell>
          <cell r="D518" t="str">
            <v>USD</v>
          </cell>
          <cell r="E518">
            <v>45747</v>
          </cell>
          <cell r="F518">
            <v>59507203.420000002</v>
          </cell>
          <cell r="G518">
            <v>38251.224999999999</v>
          </cell>
          <cell r="H518">
            <v>1555.69</v>
          </cell>
          <cell r="I518">
            <v>0</v>
          </cell>
          <cell r="J518">
            <v>1555.69</v>
          </cell>
          <cell r="K518">
            <v>-3.47</v>
          </cell>
        </row>
        <row r="519">
          <cell r="A519" t="str">
            <v>LU1103155898</v>
          </cell>
          <cell r="B519" t="str">
            <v>AMUNDI FUNDS EMERGING MARKETS CORPORATE BOND</v>
          </cell>
          <cell r="C519" t="str">
            <v>Class O EUR Hgd (C)</v>
          </cell>
          <cell r="D519" t="str">
            <v>EUR</v>
          </cell>
          <cell r="E519">
            <v>45747</v>
          </cell>
          <cell r="F519">
            <v>6776236.8399999999</v>
          </cell>
          <cell r="G519">
            <v>6014.4459999999999</v>
          </cell>
          <cell r="H519">
            <v>1126.6600000000001</v>
          </cell>
          <cell r="I519">
            <v>0</v>
          </cell>
          <cell r="J519">
            <v>1126.6600000000001</v>
          </cell>
          <cell r="K519">
            <v>-2.59</v>
          </cell>
        </row>
        <row r="520">
          <cell r="A520" t="str">
            <v>LU0755949095</v>
          </cell>
          <cell r="B520" t="str">
            <v>AMUNDI FUNDS EMERGING MARKETS CORPORATE BOND</v>
          </cell>
          <cell r="C520" t="str">
            <v>Class G USD (C)</v>
          </cell>
          <cell r="D520" t="str">
            <v>USD</v>
          </cell>
          <cell r="E520">
            <v>45747</v>
          </cell>
          <cell r="F520">
            <v>1013282.23</v>
          </cell>
          <cell r="G520">
            <v>8114.848</v>
          </cell>
          <cell r="H520">
            <v>124.87</v>
          </cell>
          <cell r="I520">
            <v>0</v>
          </cell>
          <cell r="J520">
            <v>128.62</v>
          </cell>
          <cell r="K520">
            <v>-0.28999999999999998</v>
          </cell>
        </row>
        <row r="521">
          <cell r="A521" t="str">
            <v>LU0755949178</v>
          </cell>
          <cell r="B521" t="str">
            <v>AMUNDI FUNDS EMERGING MARKETS CORPORATE BOND</v>
          </cell>
          <cell r="C521" t="str">
            <v>Class G EUR Hgd (C)</v>
          </cell>
          <cell r="D521" t="str">
            <v>EUR</v>
          </cell>
          <cell r="E521">
            <v>45747</v>
          </cell>
          <cell r="F521">
            <v>2760352.39</v>
          </cell>
          <cell r="G521">
            <v>26155.88</v>
          </cell>
          <cell r="H521">
            <v>105.53</v>
          </cell>
          <cell r="I521">
            <v>0</v>
          </cell>
          <cell r="J521">
            <v>108.7</v>
          </cell>
          <cell r="K521">
            <v>-0.26</v>
          </cell>
        </row>
        <row r="522">
          <cell r="A522" t="str">
            <v>LU1998917824</v>
          </cell>
          <cell r="B522" t="str">
            <v>AMUNDI FUNDS EMERGING MARKETS CORPORATE BOND</v>
          </cell>
          <cell r="C522" t="str">
            <v>Class H USD (C)</v>
          </cell>
          <cell r="D522" t="str">
            <v>USD</v>
          </cell>
          <cell r="E522">
            <v>45747</v>
          </cell>
          <cell r="F522">
            <v>10419357.16</v>
          </cell>
          <cell r="G522">
            <v>9258.857</v>
          </cell>
          <cell r="H522">
            <v>1125.3399999999999</v>
          </cell>
          <cell r="I522">
            <v>0</v>
          </cell>
          <cell r="J522">
            <v>1125.3399999999999</v>
          </cell>
          <cell r="K522">
            <v>-2.5499999999999998</v>
          </cell>
        </row>
        <row r="523">
          <cell r="A523" t="str">
            <v>LU2052289936</v>
          </cell>
          <cell r="B523" t="str">
            <v>AMUNDI FUNDS EMERGING MARKETS CORPORATE BOND</v>
          </cell>
          <cell r="C523" t="str">
            <v>Class Z USD QD (D)</v>
          </cell>
          <cell r="D523" t="str">
            <v>USD</v>
          </cell>
          <cell r="E523">
            <v>45747</v>
          </cell>
          <cell r="F523">
            <v>3357760.15</v>
          </cell>
          <cell r="G523">
            <v>4108.7269999999999</v>
          </cell>
          <cell r="H523">
            <v>817.23</v>
          </cell>
          <cell r="I523">
            <v>12.626563000000001</v>
          </cell>
          <cell r="J523">
            <v>817.23</v>
          </cell>
          <cell r="K523">
            <v>-14.5</v>
          </cell>
        </row>
        <row r="524">
          <cell r="A524" t="str">
            <v>LU2036672488</v>
          </cell>
          <cell r="B524" t="str">
            <v>AMUNDI FUNDS EMERGING MARKETS CORPORATE BOND</v>
          </cell>
          <cell r="C524" t="str">
            <v>Class Z USD (C)</v>
          </cell>
          <cell r="D524" t="str">
            <v>USD</v>
          </cell>
          <cell r="E524">
            <v>45747</v>
          </cell>
          <cell r="F524">
            <v>132591177.98</v>
          </cell>
          <cell r="G524">
            <v>118887.537</v>
          </cell>
          <cell r="H524">
            <v>1115.27</v>
          </cell>
          <cell r="I524">
            <v>0</v>
          </cell>
          <cell r="J524">
            <v>1115.27</v>
          </cell>
          <cell r="K524">
            <v>-2.52</v>
          </cell>
        </row>
        <row r="525">
          <cell r="A525" t="str">
            <v>LU2052290199</v>
          </cell>
          <cell r="B525" t="str">
            <v>AMUNDI FUNDS EMERGING MARKETS CORPORATE BOND</v>
          </cell>
          <cell r="C525" t="str">
            <v>Class Z EUR QD (D)</v>
          </cell>
          <cell r="D525" t="str">
            <v>EUR</v>
          </cell>
          <cell r="E525">
            <v>45747</v>
          </cell>
          <cell r="F525">
            <v>6996711.7800000003</v>
          </cell>
          <cell r="G525">
            <v>8331.6689999999999</v>
          </cell>
          <cell r="H525">
            <v>839.77</v>
          </cell>
          <cell r="I525">
            <v>12.972167000000001</v>
          </cell>
          <cell r="J525">
            <v>839.77</v>
          </cell>
          <cell r="K525">
            <v>-13.25</v>
          </cell>
        </row>
        <row r="526">
          <cell r="A526" t="str">
            <v>LU0985951127</v>
          </cell>
          <cell r="B526" t="str">
            <v>AMUNDI FUNDS GLOBAL EQUITY CONSERVATIVE</v>
          </cell>
          <cell r="C526" t="str">
            <v>Class A EUR (C)</v>
          </cell>
          <cell r="D526" t="str">
            <v>EUR</v>
          </cell>
          <cell r="E526">
            <v>45747</v>
          </cell>
          <cell r="F526">
            <v>139183428.56999999</v>
          </cell>
          <cell r="G526">
            <v>561779.43299999996</v>
          </cell>
          <cell r="H526">
            <v>247.75</v>
          </cell>
          <cell r="I526">
            <v>0</v>
          </cell>
          <cell r="J526">
            <v>258.89999999999998</v>
          </cell>
          <cell r="K526">
            <v>1.1200000000000001</v>
          </cell>
        </row>
        <row r="527">
          <cell r="A527" t="str">
            <v>LU0801842559</v>
          </cell>
          <cell r="B527" t="str">
            <v>AMUNDI FUNDS GLOBAL EQUITY CONSERVATIVE</v>
          </cell>
          <cell r="C527" t="str">
            <v>Class A USD (C)</v>
          </cell>
          <cell r="D527" t="str">
            <v>USD</v>
          </cell>
          <cell r="E527">
            <v>45747</v>
          </cell>
          <cell r="F527">
            <v>26123853.449999999</v>
          </cell>
          <cell r="G527">
            <v>106173.344</v>
          </cell>
          <cell r="H527">
            <v>246.05</v>
          </cell>
          <cell r="I527">
            <v>0</v>
          </cell>
          <cell r="J527">
            <v>257.12</v>
          </cell>
          <cell r="K527">
            <v>0.64</v>
          </cell>
        </row>
        <row r="528">
          <cell r="A528" t="str">
            <v>LU0987200739</v>
          </cell>
          <cell r="B528" t="str">
            <v>AMUNDI FUNDS GLOBAL EQUITY CONSERVATIVE</v>
          </cell>
          <cell r="C528" t="str">
            <v>Class A EUR Hgd (C)</v>
          </cell>
          <cell r="D528" t="str">
            <v>EUR</v>
          </cell>
          <cell r="E528">
            <v>45747</v>
          </cell>
          <cell r="F528">
            <v>3563204.04</v>
          </cell>
          <cell r="G528">
            <v>25174.635999999999</v>
          </cell>
          <cell r="H528">
            <v>141.54</v>
          </cell>
          <cell r="I528">
            <v>0</v>
          </cell>
          <cell r="J528">
            <v>147.91</v>
          </cell>
          <cell r="K528">
            <v>0.36</v>
          </cell>
        </row>
        <row r="529">
          <cell r="A529" t="str">
            <v>LU0985951473</v>
          </cell>
          <cell r="B529" t="str">
            <v>AMUNDI FUNDS GLOBAL EQUITY CONSERVATIVE</v>
          </cell>
          <cell r="C529" t="str">
            <v>Class A EUR AD (D)</v>
          </cell>
          <cell r="D529" t="str">
            <v>EUR</v>
          </cell>
          <cell r="E529">
            <v>45747</v>
          </cell>
          <cell r="F529">
            <v>33614468.07</v>
          </cell>
          <cell r="G529">
            <v>181838.56700000001</v>
          </cell>
          <cell r="H529">
            <v>184.86</v>
          </cell>
          <cell r="I529">
            <v>0</v>
          </cell>
          <cell r="J529">
            <v>193.18</v>
          </cell>
          <cell r="K529">
            <v>0.84</v>
          </cell>
        </row>
        <row r="530">
          <cell r="A530" t="str">
            <v>LU0801842716</v>
          </cell>
          <cell r="B530" t="str">
            <v>AMUNDI FUNDS GLOBAL EQUITY CONSERVATIVE</v>
          </cell>
          <cell r="C530" t="str">
            <v>Class A USD AD (D)</v>
          </cell>
          <cell r="D530" t="str">
            <v>USD</v>
          </cell>
          <cell r="E530">
            <v>45747</v>
          </cell>
          <cell r="F530">
            <v>1479124.24</v>
          </cell>
          <cell r="G530">
            <v>7092.7420000000002</v>
          </cell>
          <cell r="H530">
            <v>208.54</v>
          </cell>
          <cell r="I530">
            <v>0</v>
          </cell>
          <cell r="J530">
            <v>217.92</v>
          </cell>
          <cell r="K530">
            <v>0.54</v>
          </cell>
        </row>
        <row r="531">
          <cell r="A531" t="str">
            <v>LU2002722267</v>
          </cell>
          <cell r="B531" t="str">
            <v>AMUNDI FUNDS GLOBAL EQUITY CONSERVATIVE</v>
          </cell>
          <cell r="C531" t="str">
            <v>Class M2 EUR ( C )</v>
          </cell>
          <cell r="D531" t="str">
            <v>EUR</v>
          </cell>
          <cell r="E531">
            <v>45747</v>
          </cell>
          <cell r="F531">
            <v>7739.59</v>
          </cell>
          <cell r="G531">
            <v>5</v>
          </cell>
          <cell r="H531">
            <v>1547.92</v>
          </cell>
          <cell r="I531">
            <v>0</v>
          </cell>
          <cell r="J531">
            <v>1547.92</v>
          </cell>
          <cell r="K531">
            <v>7.1</v>
          </cell>
        </row>
        <row r="532">
          <cell r="A532" t="str">
            <v>LU1534099194</v>
          </cell>
          <cell r="B532" t="str">
            <v>AMUNDI FUNDS GLOBAL EQUITY CONSERVATIVE</v>
          </cell>
          <cell r="C532" t="str">
            <v>Class A2 USD (C)</v>
          </cell>
          <cell r="D532" t="str">
            <v>USD</v>
          </cell>
          <cell r="E532">
            <v>45747</v>
          </cell>
          <cell r="F532">
            <v>39378554.149999999</v>
          </cell>
          <cell r="G532">
            <v>267680.59600000002</v>
          </cell>
          <cell r="H532">
            <v>147.11000000000001</v>
          </cell>
          <cell r="I532">
            <v>0</v>
          </cell>
          <cell r="J532">
            <v>147.11000000000001</v>
          </cell>
          <cell r="K532">
            <v>0.38</v>
          </cell>
        </row>
        <row r="533">
          <cell r="A533" t="str">
            <v>LU0801842989</v>
          </cell>
          <cell r="B533" t="str">
            <v>AMUNDI FUNDS GLOBAL EQUITY CONSERVATIVE</v>
          </cell>
          <cell r="C533" t="str">
            <v>Class F2 USD (C)</v>
          </cell>
          <cell r="D533" t="str">
            <v>USD</v>
          </cell>
          <cell r="E533">
            <v>45747</v>
          </cell>
          <cell r="F533">
            <v>308018.03999999998</v>
          </cell>
          <cell r="G533">
            <v>1676.106</v>
          </cell>
          <cell r="H533">
            <v>183.77</v>
          </cell>
          <cell r="I533">
            <v>0</v>
          </cell>
          <cell r="J533">
            <v>183.77</v>
          </cell>
          <cell r="K533">
            <v>0.46</v>
          </cell>
        </row>
        <row r="534">
          <cell r="A534" t="str">
            <v>LU0801841585</v>
          </cell>
          <cell r="B534" t="str">
            <v>AMUNDI FUNDS GLOBAL EQUITY CONSERVATIVE</v>
          </cell>
          <cell r="C534" t="str">
            <v>Class I EUR (C)</v>
          </cell>
          <cell r="D534" t="str">
            <v>EUR</v>
          </cell>
          <cell r="E534">
            <v>45747</v>
          </cell>
          <cell r="F534">
            <v>341150.71</v>
          </cell>
          <cell r="G534">
            <v>110.863</v>
          </cell>
          <cell r="H534">
            <v>3077.23</v>
          </cell>
          <cell r="I534">
            <v>0</v>
          </cell>
          <cell r="J534">
            <v>3077.23</v>
          </cell>
          <cell r="K534">
            <v>5.95</v>
          </cell>
        </row>
        <row r="535">
          <cell r="A535" t="str">
            <v>LU0801841312</v>
          </cell>
          <cell r="B535" t="str">
            <v>AMUNDI FUNDS GLOBAL EQUITY CONSERVATIVE</v>
          </cell>
          <cell r="C535" t="str">
            <v>Class I USD (C)</v>
          </cell>
          <cell r="D535" t="str">
            <v>USD</v>
          </cell>
          <cell r="E535">
            <v>45747</v>
          </cell>
          <cell r="F535">
            <v>2199.7600000000002</v>
          </cell>
          <cell r="G535">
            <v>1</v>
          </cell>
          <cell r="H535">
            <v>2199.7600000000002</v>
          </cell>
          <cell r="I535">
            <v>0</v>
          </cell>
          <cell r="J535">
            <v>2199.7600000000002</v>
          </cell>
          <cell r="K535">
            <v>5.86</v>
          </cell>
        </row>
        <row r="536">
          <cell r="A536" t="str">
            <v>LU1650130260</v>
          </cell>
          <cell r="B536" t="str">
            <v>AMUNDI FUNDS GLOBAL EQUITY CONSERVATIVE</v>
          </cell>
          <cell r="C536" t="str">
            <v>Class Q-I13 USD (C)</v>
          </cell>
          <cell r="D536" t="str">
            <v>USD</v>
          </cell>
          <cell r="E536">
            <v>45747</v>
          </cell>
          <cell r="F536">
            <v>3470057.57</v>
          </cell>
          <cell r="G536">
            <v>1998.3789999999999</v>
          </cell>
          <cell r="H536">
            <v>1736.44</v>
          </cell>
          <cell r="I536">
            <v>0</v>
          </cell>
          <cell r="J536">
            <v>1736.44</v>
          </cell>
          <cell r="K536">
            <v>4.67</v>
          </cell>
        </row>
        <row r="537">
          <cell r="A537" t="str">
            <v>LU2931223775</v>
          </cell>
          <cell r="B537" t="str">
            <v>AMUNDI FUNDS GLOBAL EQUITY CONSERVATIVE</v>
          </cell>
          <cell r="C537" t="str">
            <v>Class R EUR (C)</v>
          </cell>
          <cell r="D537" t="str">
            <v>EUR</v>
          </cell>
          <cell r="E537">
            <v>45747</v>
          </cell>
          <cell r="F537">
            <v>5027.88</v>
          </cell>
          <cell r="G537">
            <v>100</v>
          </cell>
          <cell r="H537">
            <v>50.28</v>
          </cell>
          <cell r="I537">
            <v>0</v>
          </cell>
          <cell r="J537">
            <v>50.28</v>
          </cell>
          <cell r="K537">
            <v>0.09</v>
          </cell>
        </row>
        <row r="538">
          <cell r="A538" t="str">
            <v>LU1534099434</v>
          </cell>
          <cell r="B538" t="str">
            <v>AMUNDI FUNDS GLOBAL EQUITY CONSERVATIVE</v>
          </cell>
          <cell r="C538" t="str">
            <v>Class G EUR (C)</v>
          </cell>
          <cell r="D538" t="str">
            <v>EUR</v>
          </cell>
          <cell r="E538">
            <v>45747</v>
          </cell>
          <cell r="F538">
            <v>3418721.76</v>
          </cell>
          <cell r="G538">
            <v>20551.560000000001</v>
          </cell>
          <cell r="H538">
            <v>166.35</v>
          </cell>
          <cell r="I538">
            <v>0</v>
          </cell>
          <cell r="J538">
            <v>166.35</v>
          </cell>
          <cell r="K538">
            <v>0.75</v>
          </cell>
        </row>
        <row r="539">
          <cell r="A539" t="str">
            <v>LU0801842807</v>
          </cell>
          <cell r="B539" t="str">
            <v>AMUNDI FUNDS GLOBAL EQUITY CONSERVATIVE</v>
          </cell>
          <cell r="C539" t="str">
            <v>Class G USD (C)</v>
          </cell>
          <cell r="D539" t="str">
            <v>USD</v>
          </cell>
          <cell r="E539">
            <v>45747</v>
          </cell>
          <cell r="F539">
            <v>3714901.85</v>
          </cell>
          <cell r="G539">
            <v>15902.509</v>
          </cell>
          <cell r="H539">
            <v>233.6</v>
          </cell>
          <cell r="I539">
            <v>0</v>
          </cell>
          <cell r="J539">
            <v>240.61</v>
          </cell>
          <cell r="K539">
            <v>0.59</v>
          </cell>
        </row>
        <row r="540">
          <cell r="A540" t="str">
            <v>LU1534098543</v>
          </cell>
          <cell r="B540" t="str">
            <v>AMUNDI FUNDS GLOBAL EQUITY CONSERVATIVE</v>
          </cell>
          <cell r="C540" t="str">
            <v>Class G EUR Hgd (C)</v>
          </cell>
          <cell r="D540" t="str">
            <v>EUR</v>
          </cell>
          <cell r="E540">
            <v>45747</v>
          </cell>
          <cell r="F540">
            <v>1601106.92</v>
          </cell>
          <cell r="G540">
            <v>12250.74</v>
          </cell>
          <cell r="H540">
            <v>130.69</v>
          </cell>
          <cell r="I540">
            <v>0</v>
          </cell>
          <cell r="J540">
            <v>130.69</v>
          </cell>
          <cell r="K540">
            <v>0.32</v>
          </cell>
        </row>
        <row r="541">
          <cell r="A541" t="str">
            <v>LU1743287739</v>
          </cell>
          <cell r="B541" t="str">
            <v>AMUNDI FUNDS GLOBAL EQUITY CONSERVATIVE</v>
          </cell>
          <cell r="C541" t="str">
            <v>Class Z EUR (C)</v>
          </cell>
          <cell r="D541" t="str">
            <v>EUR</v>
          </cell>
          <cell r="E541">
            <v>45747</v>
          </cell>
          <cell r="F541">
            <v>50963282.969999999</v>
          </cell>
          <cell r="G541">
            <v>27828.715</v>
          </cell>
          <cell r="H541">
            <v>1831.32</v>
          </cell>
          <cell r="I541">
            <v>0</v>
          </cell>
          <cell r="J541">
            <v>1831.32</v>
          </cell>
          <cell r="K541">
            <v>8.44</v>
          </cell>
        </row>
        <row r="542">
          <cell r="A542" t="str">
            <v>LU1998919952</v>
          </cell>
          <cell r="B542" t="str">
            <v>AMUNDI FUNDS GLOBAL EQUITY CONSERVATIVE</v>
          </cell>
          <cell r="C542" t="str">
            <v>Class H USD  ( C )</v>
          </cell>
          <cell r="D542" t="str">
            <v>USD</v>
          </cell>
          <cell r="E542">
            <v>45747</v>
          </cell>
          <cell r="F542">
            <v>7702</v>
          </cell>
          <cell r="G542">
            <v>5</v>
          </cell>
          <cell r="H542">
            <v>1540.4</v>
          </cell>
          <cell r="I542">
            <v>0</v>
          </cell>
          <cell r="J542">
            <v>1540.4</v>
          </cell>
          <cell r="K542">
            <v>4.13</v>
          </cell>
        </row>
        <row r="543">
          <cell r="A543" t="str">
            <v>LU0907331507</v>
          </cell>
          <cell r="B543" t="str">
            <v>AMUNDI FUNDS EURO HIGH YIELD SHORT TERM BOND</v>
          </cell>
          <cell r="C543" t="str">
            <v>Class A EUR (C)</v>
          </cell>
          <cell r="D543" t="str">
            <v>EUR</v>
          </cell>
          <cell r="E543">
            <v>45747</v>
          </cell>
          <cell r="F543">
            <v>4014292.32</v>
          </cell>
          <cell r="G543">
            <v>34045.582999999999</v>
          </cell>
          <cell r="H543">
            <v>117.91</v>
          </cell>
          <cell r="I543">
            <v>0</v>
          </cell>
          <cell r="J543">
            <v>121.45</v>
          </cell>
          <cell r="K543">
            <v>-0.2</v>
          </cell>
        </row>
        <row r="544">
          <cell r="A544" t="str">
            <v>LU1049751941</v>
          </cell>
          <cell r="B544" t="str">
            <v>AMUNDI FUNDS EURO HIGH YIELD SHORT TERM BOND</v>
          </cell>
          <cell r="C544" t="str">
            <v>Class A CZK Hgd (C)</v>
          </cell>
          <cell r="D544" t="str">
            <v>CZK</v>
          </cell>
          <cell r="E544">
            <v>45747</v>
          </cell>
          <cell r="F544">
            <v>55040464.789999999</v>
          </cell>
          <cell r="G544">
            <v>17640.591</v>
          </cell>
          <cell r="H544">
            <v>3120.1</v>
          </cell>
          <cell r="I544">
            <v>0</v>
          </cell>
          <cell r="J544">
            <v>3120.1</v>
          </cell>
          <cell r="K544">
            <v>-5.1100000000000003</v>
          </cell>
        </row>
        <row r="545">
          <cell r="A545" t="str">
            <v>LU2002721293</v>
          </cell>
          <cell r="B545" t="str">
            <v>AMUNDI FUNDS EURO HIGH YIELD SHORT TERM BOND</v>
          </cell>
          <cell r="C545" t="str">
            <v>Class M2 EUR ( C )</v>
          </cell>
          <cell r="D545" t="str">
            <v>EUR</v>
          </cell>
          <cell r="E545">
            <v>45747</v>
          </cell>
          <cell r="F545">
            <v>1770340.5</v>
          </cell>
          <cell r="G545">
            <v>1548.884</v>
          </cell>
          <cell r="H545">
            <v>1142.98</v>
          </cell>
          <cell r="I545">
            <v>0</v>
          </cell>
          <cell r="J545">
            <v>1142.98</v>
          </cell>
          <cell r="K545">
            <v>-1.84</v>
          </cell>
        </row>
        <row r="546">
          <cell r="A546" t="str">
            <v>LU0907331689</v>
          </cell>
          <cell r="B546" t="str">
            <v>AMUNDI FUNDS EURO HIGH YIELD SHORT TERM BOND</v>
          </cell>
          <cell r="C546" t="str">
            <v>Class A EUR AD (D)</v>
          </cell>
          <cell r="D546" t="str">
            <v>EUR</v>
          </cell>
          <cell r="E546">
            <v>45747</v>
          </cell>
          <cell r="F546">
            <v>214265.34</v>
          </cell>
          <cell r="G546">
            <v>2493.1990000000001</v>
          </cell>
          <cell r="H546">
            <v>85.94</v>
          </cell>
          <cell r="I546">
            <v>0</v>
          </cell>
          <cell r="J546">
            <v>88.52</v>
          </cell>
          <cell r="K546">
            <v>-0.14000000000000001</v>
          </cell>
        </row>
        <row r="547">
          <cell r="A547" t="str">
            <v>LU0945157427</v>
          </cell>
          <cell r="B547" t="str">
            <v>AMUNDI FUNDS EURO HIGH YIELD SHORT TERM BOND</v>
          </cell>
          <cell r="C547" t="str">
            <v>Class F2 EUR MD (D)</v>
          </cell>
          <cell r="D547" t="str">
            <v>EUR</v>
          </cell>
          <cell r="E547">
            <v>45747</v>
          </cell>
          <cell r="F547">
            <v>817066.08</v>
          </cell>
          <cell r="G547">
            <v>9856.9009999999998</v>
          </cell>
          <cell r="H547">
            <v>82.89</v>
          </cell>
          <cell r="I547">
            <v>0</v>
          </cell>
          <cell r="J547">
            <v>82.89</v>
          </cell>
          <cell r="K547">
            <v>-0.15</v>
          </cell>
        </row>
        <row r="548">
          <cell r="A548" t="str">
            <v>LU0907331929</v>
          </cell>
          <cell r="B548" t="str">
            <v>AMUNDI FUNDS EURO HIGH YIELD SHORT TERM BOND</v>
          </cell>
          <cell r="C548" t="str">
            <v>Class F2 EUR (C)</v>
          </cell>
          <cell r="D548" t="str">
            <v>EUR</v>
          </cell>
          <cell r="E548">
            <v>45747</v>
          </cell>
          <cell r="F548">
            <v>3050291.99</v>
          </cell>
          <cell r="G548">
            <v>27715.045999999998</v>
          </cell>
          <cell r="H548">
            <v>110.06</v>
          </cell>
          <cell r="I548">
            <v>0</v>
          </cell>
          <cell r="J548">
            <v>110.06</v>
          </cell>
          <cell r="K548">
            <v>-0.19</v>
          </cell>
        </row>
        <row r="549">
          <cell r="A549" t="str">
            <v>LU2018720065</v>
          </cell>
          <cell r="B549" t="str">
            <v>AMUNDI FUNDS EURO HIGH YIELD SHORT TERM BOND</v>
          </cell>
          <cell r="C549" t="str">
            <v>Class F EUR (C)</v>
          </cell>
          <cell r="D549" t="str">
            <v>EUR</v>
          </cell>
          <cell r="E549">
            <v>45747</v>
          </cell>
          <cell r="F549">
            <v>236854.99</v>
          </cell>
          <cell r="G549">
            <v>44630.71</v>
          </cell>
          <cell r="H549">
            <v>5.3070000000000004</v>
          </cell>
          <cell r="I549">
            <v>0</v>
          </cell>
          <cell r="J549">
            <v>5.3070000000000004</v>
          </cell>
          <cell r="K549">
            <v>-8.9999999999999993E-3</v>
          </cell>
        </row>
        <row r="550">
          <cell r="A550" t="str">
            <v>LU2018720222</v>
          </cell>
          <cell r="B550" t="str">
            <v>AMUNDI FUNDS EURO HIGH YIELD SHORT TERM BOND</v>
          </cell>
          <cell r="C550" t="str">
            <v>Class F EUR MTD (D)</v>
          </cell>
          <cell r="D550" t="str">
            <v>EUR</v>
          </cell>
          <cell r="E550">
            <v>45747</v>
          </cell>
          <cell r="F550">
            <v>10666.4</v>
          </cell>
          <cell r="G550">
            <v>2343.2919999999999</v>
          </cell>
          <cell r="H550">
            <v>4.5519999999999996</v>
          </cell>
          <cell r="I550">
            <v>0</v>
          </cell>
          <cell r="J550">
            <v>4.5519999999999996</v>
          </cell>
          <cell r="K550">
            <v>-8.0000000000000002E-3</v>
          </cell>
        </row>
        <row r="551">
          <cell r="A551" t="str">
            <v>LU0907330798</v>
          </cell>
          <cell r="B551" t="str">
            <v>AMUNDI FUNDS EURO HIGH YIELD SHORT TERM BOND</v>
          </cell>
          <cell r="C551" t="str">
            <v>Class I EUR (C)</v>
          </cell>
          <cell r="D551" t="str">
            <v>EUR</v>
          </cell>
          <cell r="E551">
            <v>45747</v>
          </cell>
          <cell r="F551">
            <v>31009263</v>
          </cell>
          <cell r="G551">
            <v>23509.312000000002</v>
          </cell>
          <cell r="H551">
            <v>1319.02</v>
          </cell>
          <cell r="I551">
            <v>0</v>
          </cell>
          <cell r="J551">
            <v>1319.02</v>
          </cell>
          <cell r="K551">
            <v>-2.12</v>
          </cell>
        </row>
        <row r="552">
          <cell r="A552" t="str">
            <v>LU0907330871</v>
          </cell>
          <cell r="B552" t="str">
            <v>AMUNDI FUNDS EURO HIGH YIELD SHORT TERM BOND</v>
          </cell>
          <cell r="C552" t="str">
            <v>Class I EUR AD (D)</v>
          </cell>
          <cell r="D552" t="str">
            <v>EUR</v>
          </cell>
          <cell r="E552">
            <v>45747</v>
          </cell>
          <cell r="F552">
            <v>14625083.1</v>
          </cell>
          <cell r="G552">
            <v>17044</v>
          </cell>
          <cell r="H552">
            <v>858.08</v>
          </cell>
          <cell r="I552">
            <v>0</v>
          </cell>
          <cell r="J552">
            <v>858.08</v>
          </cell>
          <cell r="K552">
            <v>-1.37</v>
          </cell>
        </row>
        <row r="553">
          <cell r="A553" t="str">
            <v>LU2414849989</v>
          </cell>
          <cell r="B553" t="str">
            <v>AMUNDI FUNDS EURO HIGH YIELD SHORT TERM BOND</v>
          </cell>
          <cell r="C553" t="str">
            <v>Class J2 EUR (C)</v>
          </cell>
          <cell r="D553" t="str">
            <v>EUR</v>
          </cell>
          <cell r="E553">
            <v>45747</v>
          </cell>
          <cell r="F553">
            <v>10827716.630000001</v>
          </cell>
          <cell r="G553">
            <v>8956</v>
          </cell>
          <cell r="H553">
            <v>1208.99</v>
          </cell>
          <cell r="I553">
            <v>0</v>
          </cell>
          <cell r="J553">
            <v>1208.99</v>
          </cell>
          <cell r="K553">
            <v>-1.94</v>
          </cell>
        </row>
        <row r="554">
          <cell r="A554" t="str">
            <v>LU0907331176</v>
          </cell>
          <cell r="B554" t="str">
            <v>AMUNDI FUNDS EURO HIGH YIELD SHORT TERM BOND</v>
          </cell>
          <cell r="C554" t="str">
            <v>Class M EUR (C)</v>
          </cell>
          <cell r="D554" t="str">
            <v>EUR</v>
          </cell>
          <cell r="E554">
            <v>45747</v>
          </cell>
          <cell r="F554">
            <v>8577970.2100000009</v>
          </cell>
          <cell r="G554">
            <v>66127.918999999994</v>
          </cell>
          <cell r="H554">
            <v>129.72</v>
          </cell>
          <cell r="I554">
            <v>0</v>
          </cell>
          <cell r="J554">
            <v>129.72</v>
          </cell>
          <cell r="K554">
            <v>-0.21</v>
          </cell>
        </row>
        <row r="555">
          <cell r="A555" t="str">
            <v>LU0907331259</v>
          </cell>
          <cell r="B555" t="str">
            <v>AMUNDI FUNDS EURO HIGH YIELD SHORT TERM BOND</v>
          </cell>
          <cell r="C555" t="str">
            <v>Class O EUR (C)</v>
          </cell>
          <cell r="D555" t="str">
            <v>EUR</v>
          </cell>
          <cell r="E555">
            <v>45747</v>
          </cell>
          <cell r="F555">
            <v>41673045.469999999</v>
          </cell>
          <cell r="G555">
            <v>30598.611000000001</v>
          </cell>
          <cell r="H555">
            <v>1361.93</v>
          </cell>
          <cell r="I555">
            <v>0</v>
          </cell>
          <cell r="J555">
            <v>1361.93</v>
          </cell>
          <cell r="K555">
            <v>-2.13</v>
          </cell>
        </row>
        <row r="556">
          <cell r="A556" t="str">
            <v>LU0987189072</v>
          </cell>
          <cell r="B556" t="str">
            <v>AMUNDI FUNDS EURO HIGH YIELD SHORT TERM BOND</v>
          </cell>
          <cell r="C556" t="str">
            <v>Class R EUR (C)</v>
          </cell>
          <cell r="D556" t="str">
            <v>EUR</v>
          </cell>
          <cell r="E556">
            <v>45747</v>
          </cell>
          <cell r="F556">
            <v>25028.720000000001</v>
          </cell>
          <cell r="G556">
            <v>450</v>
          </cell>
          <cell r="H556">
            <v>55.62</v>
          </cell>
          <cell r="I556">
            <v>0</v>
          </cell>
          <cell r="J556">
            <v>55.62</v>
          </cell>
          <cell r="K556">
            <v>-0.09</v>
          </cell>
        </row>
        <row r="557">
          <cell r="A557" t="str">
            <v>LU0907331846</v>
          </cell>
          <cell r="B557" t="str">
            <v>AMUNDI FUNDS EURO HIGH YIELD SHORT TERM BOND</v>
          </cell>
          <cell r="C557" t="str">
            <v>Class G EUR (C)</v>
          </cell>
          <cell r="D557" t="str">
            <v>EUR</v>
          </cell>
          <cell r="E557">
            <v>45747</v>
          </cell>
          <cell r="F557">
            <v>34224150.710000001</v>
          </cell>
          <cell r="G557">
            <v>293183.53899999999</v>
          </cell>
          <cell r="H557">
            <v>116.73</v>
          </cell>
          <cell r="I557">
            <v>0</v>
          </cell>
          <cell r="J557">
            <v>120.23</v>
          </cell>
          <cell r="K557">
            <v>-0.2</v>
          </cell>
        </row>
        <row r="558">
          <cell r="A558" t="str">
            <v>LU0945157344</v>
          </cell>
          <cell r="B558" t="str">
            <v>AMUNDI FUNDS EURO HIGH YIELD SHORT TERM BOND</v>
          </cell>
          <cell r="C558" t="str">
            <v>Class G EUR MD (D)</v>
          </cell>
          <cell r="D558" t="str">
            <v>EUR</v>
          </cell>
          <cell r="E558">
            <v>45747</v>
          </cell>
          <cell r="F558">
            <v>6665876.2199999997</v>
          </cell>
          <cell r="G558">
            <v>77431.721000000005</v>
          </cell>
          <cell r="H558">
            <v>86.09</v>
          </cell>
          <cell r="I558">
            <v>0</v>
          </cell>
          <cell r="J558">
            <v>86.09</v>
          </cell>
          <cell r="K558">
            <v>-0.14000000000000001</v>
          </cell>
        </row>
        <row r="559">
          <cell r="A559" t="str">
            <v>LU2036674187</v>
          </cell>
          <cell r="B559" t="str">
            <v>AMUNDI FUNDS EURO HIGH YIELD SHORT TERM BOND</v>
          </cell>
          <cell r="C559" t="str">
            <v>Class X EUR (C)</v>
          </cell>
          <cell r="D559" t="str">
            <v>EUR</v>
          </cell>
          <cell r="E559">
            <v>45747</v>
          </cell>
          <cell r="F559">
            <v>53929353.369999997</v>
          </cell>
          <cell r="G559">
            <v>45959.394</v>
          </cell>
          <cell r="H559">
            <v>1173.4100000000001</v>
          </cell>
          <cell r="I559">
            <v>0</v>
          </cell>
          <cell r="J559">
            <v>1173.4100000000001</v>
          </cell>
          <cell r="K559">
            <v>-1.84</v>
          </cell>
        </row>
        <row r="560">
          <cell r="A560" t="str">
            <v>LU0907913460</v>
          </cell>
          <cell r="B560" t="str">
            <v>AMUNDI FUNDS EMERGING MARKETS HARD CURRENCY BOND</v>
          </cell>
          <cell r="C560" t="str">
            <v>Class A EUR (C)</v>
          </cell>
          <cell r="D560" t="str">
            <v>EUR</v>
          </cell>
          <cell r="E560">
            <v>45747</v>
          </cell>
          <cell r="F560">
            <v>23136320.039999999</v>
          </cell>
          <cell r="G560">
            <v>33782.642999999996</v>
          </cell>
          <cell r="H560">
            <v>684.86</v>
          </cell>
          <cell r="I560">
            <v>0</v>
          </cell>
          <cell r="J560">
            <v>712.25</v>
          </cell>
          <cell r="K560">
            <v>-0.68</v>
          </cell>
        </row>
        <row r="561">
          <cell r="A561" t="str">
            <v>LU1534104291</v>
          </cell>
          <cell r="B561" t="str">
            <v>AMUNDI FUNDS EMERGING MARKETS HARD CURRENCY BOND</v>
          </cell>
          <cell r="C561" t="str">
            <v>Class A2 SGD Hgd MD (D)</v>
          </cell>
          <cell r="D561" t="str">
            <v>SGD</v>
          </cell>
          <cell r="E561">
            <v>45747</v>
          </cell>
          <cell r="F561">
            <v>413259.36</v>
          </cell>
          <cell r="G561">
            <v>5691.7979999999998</v>
          </cell>
          <cell r="H561">
            <v>72.61</v>
          </cell>
          <cell r="I561">
            <v>0</v>
          </cell>
          <cell r="J561">
            <v>72.61</v>
          </cell>
          <cell r="K561">
            <v>-0.09</v>
          </cell>
        </row>
        <row r="562">
          <cell r="A562" t="str">
            <v>LU1534103723</v>
          </cell>
          <cell r="B562" t="str">
            <v>AMUNDI FUNDS EMERGING MARKETS HARD CURRENCY BOND</v>
          </cell>
          <cell r="C562" t="str">
            <v>Class A2 SGD Hgd (C)</v>
          </cell>
          <cell r="D562" t="str">
            <v>SGD</v>
          </cell>
          <cell r="E562">
            <v>45747</v>
          </cell>
          <cell r="F562">
            <v>17777.060000000001</v>
          </cell>
          <cell r="G562">
            <v>163.97200000000001</v>
          </cell>
          <cell r="H562">
            <v>108.42</v>
          </cell>
          <cell r="I562">
            <v>0</v>
          </cell>
          <cell r="J562">
            <v>108.42</v>
          </cell>
          <cell r="K562">
            <v>-0.13</v>
          </cell>
        </row>
        <row r="563">
          <cell r="A563" t="str">
            <v>LU1534102592</v>
          </cell>
          <cell r="B563" t="str">
            <v>AMUNDI FUNDS EMERGING MARKETS HARD CURRENCY BOND</v>
          </cell>
          <cell r="C563" t="str">
            <v>Class A2 USD Hgd MD (D)</v>
          </cell>
          <cell r="D563" t="str">
            <v>USD</v>
          </cell>
          <cell r="E563">
            <v>45747</v>
          </cell>
          <cell r="F563">
            <v>10611.04</v>
          </cell>
          <cell r="G563">
            <v>137.37200000000001</v>
          </cell>
          <cell r="H563">
            <v>77.239999999999995</v>
          </cell>
          <cell r="I563">
            <v>0</v>
          </cell>
          <cell r="J563">
            <v>77.239999999999995</v>
          </cell>
          <cell r="K563">
            <v>-0.09</v>
          </cell>
        </row>
        <row r="564">
          <cell r="A564" t="str">
            <v>LU0907913544</v>
          </cell>
          <cell r="B564" t="str">
            <v>AMUNDI FUNDS EMERGING MARKETS HARD CURRENCY BOND</v>
          </cell>
          <cell r="C564" t="str">
            <v>Class A EUR AD (D)</v>
          </cell>
          <cell r="D564" t="str">
            <v>EUR</v>
          </cell>
          <cell r="E564">
            <v>45747</v>
          </cell>
          <cell r="F564">
            <v>273669.18</v>
          </cell>
          <cell r="G564">
            <v>1375.1130000000001</v>
          </cell>
          <cell r="H564">
            <v>199.02</v>
          </cell>
          <cell r="I564">
            <v>0</v>
          </cell>
          <cell r="J564">
            <v>206.98</v>
          </cell>
          <cell r="K564">
            <v>-0.24</v>
          </cell>
        </row>
        <row r="565">
          <cell r="A565" t="str">
            <v>LU2002720642</v>
          </cell>
          <cell r="B565" t="str">
            <v>AMUNDI FUNDS EMERGING MARKETS HARD CURRENCY BOND</v>
          </cell>
          <cell r="C565" t="str">
            <v>Class M2 EUR ( C )</v>
          </cell>
          <cell r="D565" t="str">
            <v>EUR</v>
          </cell>
          <cell r="E565">
            <v>45747</v>
          </cell>
          <cell r="F565">
            <v>3685091.19</v>
          </cell>
          <cell r="G565">
            <v>3716.3240000000001</v>
          </cell>
          <cell r="H565">
            <v>991.6</v>
          </cell>
          <cell r="I565">
            <v>0</v>
          </cell>
          <cell r="J565">
            <v>991.6</v>
          </cell>
          <cell r="K565">
            <v>-1.17</v>
          </cell>
        </row>
        <row r="566">
          <cell r="A566" t="str">
            <v>LU1534103137</v>
          </cell>
          <cell r="B566" t="str">
            <v>AMUNDI FUNDS EMERGING MARKETS HARD CURRENCY BOND</v>
          </cell>
          <cell r="C566" t="str">
            <v>Class A2 EUR MD (D)</v>
          </cell>
          <cell r="D566" t="str">
            <v>EUR</v>
          </cell>
          <cell r="E566">
            <v>45747</v>
          </cell>
          <cell r="F566">
            <v>74725.759999999995</v>
          </cell>
          <cell r="G566">
            <v>995</v>
          </cell>
          <cell r="H566">
            <v>75.099999999999994</v>
          </cell>
          <cell r="I566">
            <v>0</v>
          </cell>
          <cell r="J566">
            <v>75.099999999999994</v>
          </cell>
          <cell r="K566">
            <v>-0.1</v>
          </cell>
        </row>
        <row r="567">
          <cell r="A567" t="str">
            <v>LU1534102832</v>
          </cell>
          <cell r="B567" t="str">
            <v>AMUNDI FUNDS EMERGING MARKETS HARD CURRENCY BOND</v>
          </cell>
          <cell r="C567" t="str">
            <v>Class A2 EUR (C)</v>
          </cell>
          <cell r="D567" t="str">
            <v>EUR</v>
          </cell>
          <cell r="E567">
            <v>45747</v>
          </cell>
          <cell r="F567">
            <v>12713.04</v>
          </cell>
          <cell r="G567">
            <v>135.78299999999999</v>
          </cell>
          <cell r="H567">
            <v>93.63</v>
          </cell>
          <cell r="I567">
            <v>0</v>
          </cell>
          <cell r="J567">
            <v>93.63</v>
          </cell>
          <cell r="K567">
            <v>-0.12</v>
          </cell>
        </row>
        <row r="568">
          <cell r="A568" t="str">
            <v>LU0907913890</v>
          </cell>
          <cell r="B568" t="str">
            <v>AMUNDI FUNDS EMERGING MARKETS HARD CURRENCY BOND</v>
          </cell>
          <cell r="C568" t="str">
            <v>Class F2 EUR (C)</v>
          </cell>
          <cell r="D568" t="str">
            <v>EUR</v>
          </cell>
          <cell r="E568">
            <v>45747</v>
          </cell>
          <cell r="F568">
            <v>70425.490000000005</v>
          </cell>
          <cell r="G568">
            <v>709.59100000000001</v>
          </cell>
          <cell r="H568">
            <v>99.25</v>
          </cell>
          <cell r="I568">
            <v>0</v>
          </cell>
          <cell r="J568">
            <v>99.25</v>
          </cell>
          <cell r="K568">
            <v>-0.13</v>
          </cell>
        </row>
        <row r="569">
          <cell r="A569" t="str">
            <v>LU1191004966</v>
          </cell>
          <cell r="B569" t="str">
            <v>AMUNDI FUNDS EMERGING MARKETS HARD CURRENCY BOND</v>
          </cell>
          <cell r="C569" t="str">
            <v>Class Q-I0 USD Hgd (C)</v>
          </cell>
          <cell r="D569" t="str">
            <v>USD</v>
          </cell>
          <cell r="E569">
            <v>45747</v>
          </cell>
          <cell r="F569">
            <v>340620366.38</v>
          </cell>
          <cell r="G569">
            <v>233595</v>
          </cell>
          <cell r="H569">
            <v>1458.17</v>
          </cell>
          <cell r="I569">
            <v>0</v>
          </cell>
          <cell r="J569">
            <v>1458.17</v>
          </cell>
          <cell r="K569">
            <v>-1.61</v>
          </cell>
        </row>
        <row r="570">
          <cell r="A570" t="str">
            <v>LU0907912579</v>
          </cell>
          <cell r="B570" t="str">
            <v>AMUNDI FUNDS EMERGING MARKETS HARD CURRENCY BOND</v>
          </cell>
          <cell r="C570" t="str">
            <v>Class I EUR (C)</v>
          </cell>
          <cell r="D570" t="str">
            <v>EUR</v>
          </cell>
          <cell r="E570">
            <v>45747</v>
          </cell>
          <cell r="F570">
            <v>35722757.799999997</v>
          </cell>
          <cell r="G570">
            <v>798.98900000000003</v>
          </cell>
          <cell r="H570">
            <v>44709.95</v>
          </cell>
          <cell r="I570">
            <v>0</v>
          </cell>
          <cell r="J570">
            <v>44709.95</v>
          </cell>
          <cell r="K570">
            <v>-41.28</v>
          </cell>
        </row>
        <row r="571">
          <cell r="A571" t="str">
            <v>LU2052288706</v>
          </cell>
          <cell r="B571" t="str">
            <v>AMUNDI FUNDS EMERGING MARKETS HARD CURRENCY BOND</v>
          </cell>
          <cell r="C571" t="str">
            <v>Class I2 GBP (C)</v>
          </cell>
          <cell r="D571" t="str">
            <v>GBP</v>
          </cell>
          <cell r="E571">
            <v>45747</v>
          </cell>
          <cell r="F571">
            <v>4845.3100000000004</v>
          </cell>
          <cell r="G571">
            <v>5</v>
          </cell>
          <cell r="H571">
            <v>969.06</v>
          </cell>
          <cell r="I571">
            <v>0</v>
          </cell>
          <cell r="J571">
            <v>969.06</v>
          </cell>
          <cell r="K571">
            <v>-0.51</v>
          </cell>
        </row>
        <row r="572">
          <cell r="A572" t="str">
            <v>LU2801257416</v>
          </cell>
          <cell r="B572" t="str">
            <v>AMUNDI FUNDS EMERGING MARKETS HARD CURRENCY BOND</v>
          </cell>
          <cell r="C572" t="str">
            <v>Class I EUR MD (D)</v>
          </cell>
          <cell r="D572" t="str">
            <v>EUR</v>
          </cell>
          <cell r="E572">
            <v>45747</v>
          </cell>
          <cell r="F572">
            <v>40821214.25</v>
          </cell>
          <cell r="G572">
            <v>39851.561999999998</v>
          </cell>
          <cell r="H572">
            <v>1024.33</v>
          </cell>
          <cell r="I572">
            <v>4.4354779999999998</v>
          </cell>
          <cell r="J572">
            <v>1024.33</v>
          </cell>
          <cell r="K572">
            <v>-5.39</v>
          </cell>
        </row>
        <row r="573">
          <cell r="A573" t="str">
            <v>LU2070304659</v>
          </cell>
          <cell r="B573" t="str">
            <v>AMUNDI FUNDS EMERGING MARKETS HARD CURRENCY BOND</v>
          </cell>
          <cell r="C573" t="str">
            <v>Class I2 CHF Hgd (C)</v>
          </cell>
          <cell r="D573" t="str">
            <v>CHF</v>
          </cell>
          <cell r="E573">
            <v>45747</v>
          </cell>
          <cell r="F573">
            <v>1920991.93</v>
          </cell>
          <cell r="G573">
            <v>2037.825</v>
          </cell>
          <cell r="H573">
            <v>942.67</v>
          </cell>
          <cell r="I573">
            <v>0</v>
          </cell>
          <cell r="J573">
            <v>942.67</v>
          </cell>
          <cell r="K573">
            <v>-1.17</v>
          </cell>
        </row>
        <row r="574">
          <cell r="A574" t="str">
            <v>LU0907912736</v>
          </cell>
          <cell r="B574" t="str">
            <v>AMUNDI FUNDS EMERGING MARKETS HARD CURRENCY BOND</v>
          </cell>
          <cell r="C574" t="str">
            <v>Class I USD Hgd (C)</v>
          </cell>
          <cell r="D574" t="str">
            <v>USD</v>
          </cell>
          <cell r="E574">
            <v>45747</v>
          </cell>
          <cell r="F574">
            <v>984486.96</v>
          </cell>
          <cell r="G574">
            <v>809.64800000000002</v>
          </cell>
          <cell r="H574">
            <v>1215.94</v>
          </cell>
          <cell r="I574">
            <v>0</v>
          </cell>
          <cell r="J574">
            <v>1215.94</v>
          </cell>
          <cell r="K574">
            <v>-1.06</v>
          </cell>
        </row>
        <row r="575">
          <cell r="A575" t="str">
            <v>LU0907912652</v>
          </cell>
          <cell r="B575" t="str">
            <v>AMUNDI FUNDS EMERGING MARKETS HARD CURRENCY BOND</v>
          </cell>
          <cell r="C575" t="str">
            <v>Class I EUR AD (D)</v>
          </cell>
          <cell r="D575" t="str">
            <v>EUR</v>
          </cell>
          <cell r="E575">
            <v>45747</v>
          </cell>
          <cell r="F575">
            <v>70359766.319999993</v>
          </cell>
          <cell r="G575">
            <v>92794.881999999998</v>
          </cell>
          <cell r="H575">
            <v>758.23</v>
          </cell>
          <cell r="I575">
            <v>0</v>
          </cell>
          <cell r="J575">
            <v>758.23</v>
          </cell>
          <cell r="K575">
            <v>-0.7</v>
          </cell>
        </row>
        <row r="576">
          <cell r="A576" t="str">
            <v>LU2176989445</v>
          </cell>
          <cell r="B576" t="str">
            <v>AMUNDI FUNDS EMERGING MARKETS HARD CURRENCY BOND</v>
          </cell>
          <cell r="C576" t="str">
            <v>Class J2 EUR (C)</v>
          </cell>
          <cell r="D576" t="str">
            <v>EUR</v>
          </cell>
          <cell r="E576">
            <v>45747</v>
          </cell>
          <cell r="F576">
            <v>30569080.25</v>
          </cell>
          <cell r="G576">
            <v>25884.186000000002</v>
          </cell>
          <cell r="H576">
            <v>1180.99</v>
          </cell>
          <cell r="I576">
            <v>0</v>
          </cell>
          <cell r="J576">
            <v>1180.99</v>
          </cell>
          <cell r="K576">
            <v>-1.39</v>
          </cell>
        </row>
        <row r="577">
          <cell r="A577" t="str">
            <v>LU0907913031</v>
          </cell>
          <cell r="B577" t="str">
            <v>AMUNDI FUNDS EMERGING MARKETS HARD CURRENCY BOND</v>
          </cell>
          <cell r="C577" t="str">
            <v>Class M EUR (C)</v>
          </cell>
          <cell r="D577" t="str">
            <v>EUR</v>
          </cell>
          <cell r="E577">
            <v>45747</v>
          </cell>
          <cell r="F577">
            <v>4454074.09</v>
          </cell>
          <cell r="G577">
            <v>38835.197999999997</v>
          </cell>
          <cell r="H577">
            <v>114.69</v>
          </cell>
          <cell r="I577">
            <v>0</v>
          </cell>
          <cell r="J577">
            <v>114.69</v>
          </cell>
          <cell r="K577">
            <v>-0.11</v>
          </cell>
        </row>
        <row r="578">
          <cell r="A578" t="str">
            <v>LU0907913114</v>
          </cell>
          <cell r="B578" t="str">
            <v>AMUNDI FUNDS EMERGING MARKETS HARD CURRENCY BOND</v>
          </cell>
          <cell r="C578" t="str">
            <v>Class O EUR (C)</v>
          </cell>
          <cell r="D578" t="str">
            <v>EUR</v>
          </cell>
          <cell r="E578">
            <v>45747</v>
          </cell>
          <cell r="F578">
            <v>26083671.449999999</v>
          </cell>
          <cell r="G578">
            <v>20370.690999999999</v>
          </cell>
          <cell r="H578">
            <v>1280.45</v>
          </cell>
          <cell r="I578">
            <v>0</v>
          </cell>
          <cell r="J578">
            <v>1280.45</v>
          </cell>
          <cell r="K578">
            <v>-1.45</v>
          </cell>
        </row>
        <row r="579">
          <cell r="A579" t="str">
            <v>LU1756691595</v>
          </cell>
          <cell r="B579" t="str">
            <v>AMUNDI FUNDS EMERGING MARKETS HARD CURRENCY BOND</v>
          </cell>
          <cell r="C579" t="str">
            <v>Class R EUR (C)</v>
          </cell>
          <cell r="D579" t="str">
            <v>EUR</v>
          </cell>
          <cell r="E579">
            <v>45747</v>
          </cell>
          <cell r="F579">
            <v>934777.93</v>
          </cell>
          <cell r="G579">
            <v>9328.8909999999996</v>
          </cell>
          <cell r="H579">
            <v>100.2</v>
          </cell>
          <cell r="I579">
            <v>0</v>
          </cell>
          <cell r="J579">
            <v>100.2</v>
          </cell>
          <cell r="K579">
            <v>-0.1</v>
          </cell>
        </row>
        <row r="580">
          <cell r="A580" t="str">
            <v>LU0907913627</v>
          </cell>
          <cell r="B580" t="str">
            <v>AMUNDI FUNDS EMERGING MARKETS HARD CURRENCY BOND</v>
          </cell>
          <cell r="C580" t="str">
            <v>Class G EUR (C)</v>
          </cell>
          <cell r="D580" t="str">
            <v>EUR</v>
          </cell>
          <cell r="E580">
            <v>45747</v>
          </cell>
          <cell r="F580">
            <v>3060513.22</v>
          </cell>
          <cell r="G580">
            <v>28592.819</v>
          </cell>
          <cell r="H580">
            <v>107.04</v>
          </cell>
          <cell r="I580">
            <v>0</v>
          </cell>
          <cell r="J580">
            <v>110.25</v>
          </cell>
          <cell r="K580">
            <v>-0.13</v>
          </cell>
        </row>
        <row r="581">
          <cell r="A581" t="str">
            <v>LU1602583905</v>
          </cell>
          <cell r="B581" t="str">
            <v>AMUNDI FUNDS EMERGING MARKETS HARD CURRENCY BOND</v>
          </cell>
          <cell r="C581" t="str">
            <v>Class Q-I14 USD Hgd (C)</v>
          </cell>
          <cell r="D581" t="str">
            <v>USD</v>
          </cell>
          <cell r="E581">
            <v>45747</v>
          </cell>
          <cell r="F581">
            <v>805404.59</v>
          </cell>
          <cell r="G581">
            <v>673.64400000000001</v>
          </cell>
          <cell r="H581">
            <v>1195.5899999999999</v>
          </cell>
          <cell r="I581">
            <v>0</v>
          </cell>
          <cell r="J581">
            <v>1195.5899999999999</v>
          </cell>
          <cell r="K581">
            <v>-1.34</v>
          </cell>
        </row>
        <row r="582">
          <cell r="A582" t="str">
            <v>LU1998920968</v>
          </cell>
          <cell r="B582" t="str">
            <v>AMUNDI FUNDS EMERGING MARKETS HARD CURRENCY BOND</v>
          </cell>
          <cell r="C582" t="str">
            <v>Class X EUR  ( C )</v>
          </cell>
          <cell r="D582" t="str">
            <v>EUR</v>
          </cell>
          <cell r="E582">
            <v>45747</v>
          </cell>
          <cell r="F582">
            <v>88352708.25</v>
          </cell>
          <cell r="G582">
            <v>86142.79</v>
          </cell>
          <cell r="H582">
            <v>1025.6500000000001</v>
          </cell>
          <cell r="I582">
            <v>0</v>
          </cell>
          <cell r="J582">
            <v>1025.6500000000001</v>
          </cell>
          <cell r="K582">
            <v>-1.17</v>
          </cell>
        </row>
        <row r="583">
          <cell r="A583" t="str">
            <v>LU2279408244</v>
          </cell>
          <cell r="B583" t="str">
            <v>AMUNDI FUNDS EMERGING MARKETS HARD CURRENCY BOND</v>
          </cell>
          <cell r="C583" t="str">
            <v>Class Z EUR (C)</v>
          </cell>
          <cell r="D583" t="str">
            <v>EUR</v>
          </cell>
          <cell r="E583">
            <v>45747</v>
          </cell>
          <cell r="F583">
            <v>92692240.079999998</v>
          </cell>
          <cell r="G583">
            <v>77329.335000000006</v>
          </cell>
          <cell r="H583">
            <v>1198.67</v>
          </cell>
          <cell r="I583">
            <v>0</v>
          </cell>
          <cell r="J583">
            <v>1198.67</v>
          </cell>
          <cell r="K583">
            <v>-1.4</v>
          </cell>
        </row>
        <row r="584">
          <cell r="A584" t="str">
            <v>LU0907915168</v>
          </cell>
          <cell r="B584" t="str">
            <v>AMUNDI FUNDS NET ZERO AMBITION MULTI-ASSET</v>
          </cell>
          <cell r="C584" t="str">
            <v>Class A EUR (C)</v>
          </cell>
          <cell r="D584" t="str">
            <v>EUR</v>
          </cell>
          <cell r="E584">
            <v>45747</v>
          </cell>
          <cell r="F584">
            <v>60368991.920000002</v>
          </cell>
          <cell r="G584">
            <v>509103.54300000001</v>
          </cell>
          <cell r="H584">
            <v>118.58</v>
          </cell>
          <cell r="I584">
            <v>0</v>
          </cell>
          <cell r="J584">
            <v>123.92</v>
          </cell>
          <cell r="K584">
            <v>-0.3</v>
          </cell>
        </row>
        <row r="585">
          <cell r="A585" t="str">
            <v>LU1327398548</v>
          </cell>
          <cell r="B585" t="str">
            <v>AMUNDI FUNDS NET ZERO AMBITION MULTI-ASSET</v>
          </cell>
          <cell r="C585" t="str">
            <v>Class A CZK Hgd (C)</v>
          </cell>
          <cell r="D585" t="str">
            <v>CZK</v>
          </cell>
          <cell r="E585">
            <v>45747</v>
          </cell>
          <cell r="F585">
            <v>438406025.35000002</v>
          </cell>
          <cell r="G585">
            <v>140785.76199999999</v>
          </cell>
          <cell r="H585">
            <v>3113.99</v>
          </cell>
          <cell r="I585">
            <v>0</v>
          </cell>
          <cell r="J585">
            <v>3113.99</v>
          </cell>
          <cell r="K585">
            <v>-7.79</v>
          </cell>
        </row>
        <row r="586">
          <cell r="A586" t="str">
            <v>LU2762361561</v>
          </cell>
          <cell r="B586" t="str">
            <v>AMUNDI FUNDS NET ZERO AMBITION MULTI-ASSET</v>
          </cell>
          <cell r="C586" t="str">
            <v>Class A2 CHF Hgd (C)</v>
          </cell>
          <cell r="D586" t="str">
            <v>CHF</v>
          </cell>
          <cell r="E586">
            <v>45747</v>
          </cell>
          <cell r="F586">
            <v>213563.68</v>
          </cell>
          <cell r="G586">
            <v>4284.4920000000002</v>
          </cell>
          <cell r="H586">
            <v>49.85</v>
          </cell>
          <cell r="I586">
            <v>0</v>
          </cell>
          <cell r="J586">
            <v>49.85</v>
          </cell>
          <cell r="K586">
            <v>-0.13</v>
          </cell>
        </row>
        <row r="587">
          <cell r="A587" t="str">
            <v>LU0907915242</v>
          </cell>
          <cell r="B587" t="str">
            <v>AMUNDI FUNDS NET ZERO AMBITION MULTI-ASSET</v>
          </cell>
          <cell r="C587" t="str">
            <v>Class A EUR AD (D)</v>
          </cell>
          <cell r="D587" t="str">
            <v>EUR</v>
          </cell>
          <cell r="E587">
            <v>45747</v>
          </cell>
          <cell r="F587">
            <v>14925202.279999999</v>
          </cell>
          <cell r="G587">
            <v>136402.00099999999</v>
          </cell>
          <cell r="H587">
            <v>109.42</v>
          </cell>
          <cell r="I587">
            <v>0</v>
          </cell>
          <cell r="J587">
            <v>114.34</v>
          </cell>
          <cell r="K587">
            <v>-0.28000000000000003</v>
          </cell>
        </row>
        <row r="588">
          <cell r="A588" t="str">
            <v>LU2002722770</v>
          </cell>
          <cell r="B588" t="str">
            <v>AMUNDI FUNDS NET ZERO AMBITION MULTI-ASSET</v>
          </cell>
          <cell r="C588" t="str">
            <v>Class M2 EUR ( C )</v>
          </cell>
          <cell r="D588" t="str">
            <v>EUR</v>
          </cell>
          <cell r="E588">
            <v>45747</v>
          </cell>
          <cell r="F588">
            <v>1538427.54</v>
          </cell>
          <cell r="G588">
            <v>1304.0630000000001</v>
          </cell>
          <cell r="H588">
            <v>1179.72</v>
          </cell>
          <cell r="I588">
            <v>0</v>
          </cell>
          <cell r="J588">
            <v>1179.72</v>
          </cell>
          <cell r="K588">
            <v>-2.9</v>
          </cell>
        </row>
        <row r="589">
          <cell r="A589" t="str">
            <v>LU2199618716</v>
          </cell>
          <cell r="B589" t="str">
            <v>AMUNDI FUNDS NET ZERO AMBITION MULTI-ASSET</v>
          </cell>
          <cell r="C589" t="str">
            <v>Class I2 CZK Hgd (C)</v>
          </cell>
          <cell r="D589" t="str">
            <v>CZK</v>
          </cell>
          <cell r="E589">
            <v>45747</v>
          </cell>
          <cell r="F589">
            <v>25453939.100000001</v>
          </cell>
          <cell r="G589">
            <v>2186.5619999999999</v>
          </cell>
          <cell r="H589">
            <v>11641.08</v>
          </cell>
          <cell r="I589">
            <v>0</v>
          </cell>
          <cell r="J589">
            <v>11641.08</v>
          </cell>
          <cell r="K589">
            <v>-28.34</v>
          </cell>
        </row>
        <row r="590">
          <cell r="A590" t="str">
            <v>LU2018720735</v>
          </cell>
          <cell r="B590" t="str">
            <v>AMUNDI FUNDS NET ZERO AMBITION MULTI-ASSET</v>
          </cell>
          <cell r="C590" t="str">
            <v>Class F EUR (C)</v>
          </cell>
          <cell r="D590" t="str">
            <v>EUR</v>
          </cell>
          <cell r="E590">
            <v>45747</v>
          </cell>
          <cell r="F590">
            <v>334953.45</v>
          </cell>
          <cell r="G590">
            <v>62572.552000000003</v>
          </cell>
          <cell r="H590">
            <v>5.3529999999999998</v>
          </cell>
          <cell r="I590">
            <v>0</v>
          </cell>
          <cell r="J590">
            <v>5.3529999999999998</v>
          </cell>
          <cell r="K590">
            <v>-1.4E-2</v>
          </cell>
        </row>
        <row r="591">
          <cell r="A591" t="str">
            <v>LU0907915598</v>
          </cell>
          <cell r="B591" t="str">
            <v>AMUNDI FUNDS NET ZERO AMBITION MULTI-ASSET</v>
          </cell>
          <cell r="C591" t="str">
            <v>Class F2 EUR (C)</v>
          </cell>
          <cell r="D591" t="str">
            <v>EUR</v>
          </cell>
          <cell r="E591">
            <v>45747</v>
          </cell>
          <cell r="F591">
            <v>7693372.0300000003</v>
          </cell>
          <cell r="G591">
            <v>69012.684999999998</v>
          </cell>
          <cell r="H591">
            <v>111.48</v>
          </cell>
          <cell r="I591">
            <v>0</v>
          </cell>
          <cell r="J591">
            <v>111.48</v>
          </cell>
          <cell r="K591">
            <v>-0.28999999999999998</v>
          </cell>
        </row>
        <row r="592">
          <cell r="A592" t="str">
            <v>LU0907914518</v>
          </cell>
          <cell r="B592" t="str">
            <v>AMUNDI FUNDS NET ZERO AMBITION MULTI-ASSET</v>
          </cell>
          <cell r="C592" t="str">
            <v>Class I EUR (C)</v>
          </cell>
          <cell r="D592" t="str">
            <v>EUR</v>
          </cell>
          <cell r="E592">
            <v>45747</v>
          </cell>
          <cell r="F592">
            <v>21941198.66</v>
          </cell>
          <cell r="G592">
            <v>17048.103999999999</v>
          </cell>
          <cell r="H592">
            <v>1287.02</v>
          </cell>
          <cell r="I592">
            <v>0</v>
          </cell>
          <cell r="J592">
            <v>1287.02</v>
          </cell>
          <cell r="K592">
            <v>-3.14</v>
          </cell>
        </row>
        <row r="593">
          <cell r="A593" t="str">
            <v>LU2330498168</v>
          </cell>
          <cell r="B593" t="str">
            <v>AMUNDI FUNDS NET ZERO AMBITION MULTI-ASSET</v>
          </cell>
          <cell r="C593" t="str">
            <v>Class I USD (C)</v>
          </cell>
          <cell r="D593" t="str">
            <v>USD</v>
          </cell>
          <cell r="E593">
            <v>45747</v>
          </cell>
          <cell r="F593">
            <v>4564.3100000000004</v>
          </cell>
          <cell r="G593">
            <v>5</v>
          </cell>
          <cell r="H593">
            <v>912.86</v>
          </cell>
          <cell r="I593">
            <v>0</v>
          </cell>
          <cell r="J593">
            <v>912.86</v>
          </cell>
          <cell r="K593">
            <v>-4.01</v>
          </cell>
        </row>
        <row r="594">
          <cell r="A594" t="str">
            <v>LU0907914609</v>
          </cell>
          <cell r="B594" t="str">
            <v>AMUNDI FUNDS NET ZERO AMBITION MULTI-ASSET</v>
          </cell>
          <cell r="C594" t="str">
            <v>Class I EUR AD (D)</v>
          </cell>
          <cell r="D594" t="str">
            <v>EUR</v>
          </cell>
          <cell r="E594">
            <v>45747</v>
          </cell>
          <cell r="F594">
            <v>232252.12</v>
          </cell>
          <cell r="G594">
            <v>200</v>
          </cell>
          <cell r="H594">
            <v>1161.26</v>
          </cell>
          <cell r="I594">
            <v>0</v>
          </cell>
          <cell r="J594">
            <v>1161.26</v>
          </cell>
          <cell r="K594">
            <v>-2.84</v>
          </cell>
        </row>
        <row r="595">
          <cell r="A595" t="str">
            <v>LU0907914781</v>
          </cell>
          <cell r="B595" t="str">
            <v>AMUNDI FUNDS NET ZERO AMBITION MULTI-ASSET</v>
          </cell>
          <cell r="C595" t="str">
            <v>Class M EUR (C)</v>
          </cell>
          <cell r="D595" t="str">
            <v>EUR</v>
          </cell>
          <cell r="E595">
            <v>45747</v>
          </cell>
          <cell r="F595">
            <v>2717579.67</v>
          </cell>
          <cell r="G595">
            <v>21285.449000000001</v>
          </cell>
          <cell r="H595">
            <v>127.67</v>
          </cell>
          <cell r="I595">
            <v>0</v>
          </cell>
          <cell r="J595">
            <v>127.67</v>
          </cell>
          <cell r="K595">
            <v>-0.32</v>
          </cell>
        </row>
        <row r="596">
          <cell r="A596" t="str">
            <v>LU1049757476</v>
          </cell>
          <cell r="B596" t="str">
            <v>AMUNDI FUNDS NET ZERO AMBITION MULTI-ASSET</v>
          </cell>
          <cell r="C596" t="str">
            <v>Class R EUR (C)</v>
          </cell>
          <cell r="D596" t="str">
            <v>EUR</v>
          </cell>
          <cell r="E596">
            <v>45747</v>
          </cell>
          <cell r="F596">
            <v>625385.79</v>
          </cell>
          <cell r="G596">
            <v>4939.1610000000001</v>
          </cell>
          <cell r="H596">
            <v>126.62</v>
          </cell>
          <cell r="I596">
            <v>0</v>
          </cell>
          <cell r="J596">
            <v>126.62</v>
          </cell>
          <cell r="K596">
            <v>-0.31</v>
          </cell>
        </row>
        <row r="597">
          <cell r="A597" t="str">
            <v>LU0907915325</v>
          </cell>
          <cell r="B597" t="str">
            <v>AMUNDI FUNDS NET ZERO AMBITION MULTI-ASSET</v>
          </cell>
          <cell r="C597" t="str">
            <v>Class G EUR (C)</v>
          </cell>
          <cell r="D597" t="str">
            <v>EUR</v>
          </cell>
          <cell r="E597">
            <v>45747</v>
          </cell>
          <cell r="F597">
            <v>48092612.350000001</v>
          </cell>
          <cell r="G597">
            <v>418904.21399999998</v>
          </cell>
          <cell r="H597">
            <v>114.81</v>
          </cell>
          <cell r="I597">
            <v>0</v>
          </cell>
          <cell r="J597">
            <v>118.25</v>
          </cell>
          <cell r="K597">
            <v>-0.28999999999999998</v>
          </cell>
        </row>
        <row r="598">
          <cell r="A598" t="str">
            <v>LU0945151578</v>
          </cell>
          <cell r="B598" t="str">
            <v>AMUNDI FUNDS IMP EURO CORP SH TERM GREEN BD</v>
          </cell>
          <cell r="C598" t="str">
            <v>Class A EUR (C)</v>
          </cell>
          <cell r="D598" t="str">
            <v>EUR</v>
          </cell>
          <cell r="E598">
            <v>45747</v>
          </cell>
          <cell r="F598">
            <v>86347603.689999998</v>
          </cell>
          <cell r="G598">
            <v>838502.82400000002</v>
          </cell>
          <cell r="H598">
            <v>102.98</v>
          </cell>
          <cell r="I598">
            <v>0</v>
          </cell>
          <cell r="J598">
            <v>106.07</v>
          </cell>
          <cell r="K598">
            <v>-7.0000000000000007E-2</v>
          </cell>
        </row>
        <row r="599">
          <cell r="A599" t="str">
            <v>LU2002721020</v>
          </cell>
          <cell r="B599" t="str">
            <v>AMUNDI FUNDS IMP EURO CORP SH TERM GREEN BD</v>
          </cell>
          <cell r="C599" t="str">
            <v>Class M2 EUR ( C )</v>
          </cell>
          <cell r="D599" t="str">
            <v>EUR</v>
          </cell>
          <cell r="E599">
            <v>45747</v>
          </cell>
          <cell r="F599">
            <v>12516840.49</v>
          </cell>
          <cell r="G599">
            <v>11946.383</v>
          </cell>
          <cell r="H599">
            <v>1047.75</v>
          </cell>
          <cell r="I599">
            <v>0</v>
          </cell>
          <cell r="J599">
            <v>1047.75</v>
          </cell>
          <cell r="K599">
            <v>-0.78</v>
          </cell>
        </row>
        <row r="600">
          <cell r="A600" t="str">
            <v>LU0945151818</v>
          </cell>
          <cell r="B600" t="str">
            <v>AMUNDI FUNDS IMP EURO CORP SH TERM GREEN BD</v>
          </cell>
          <cell r="C600" t="str">
            <v>Class F2 EUR (C)</v>
          </cell>
          <cell r="D600" t="str">
            <v>EUR</v>
          </cell>
          <cell r="E600">
            <v>45747</v>
          </cell>
          <cell r="F600">
            <v>147857.59</v>
          </cell>
          <cell r="G600">
            <v>1515.367</v>
          </cell>
          <cell r="H600">
            <v>97.57</v>
          </cell>
          <cell r="I600">
            <v>0</v>
          </cell>
          <cell r="J600">
            <v>97.57</v>
          </cell>
          <cell r="K600">
            <v>-0.08</v>
          </cell>
        </row>
        <row r="601">
          <cell r="A601" t="str">
            <v>LU2036674260</v>
          </cell>
          <cell r="B601" t="str">
            <v>AMUNDI FUNDS IMP EURO CORP SH TERM GREEN BD</v>
          </cell>
          <cell r="C601" t="str">
            <v>Class H EUR (C)</v>
          </cell>
          <cell r="D601" t="str">
            <v>EUR</v>
          </cell>
          <cell r="E601">
            <v>45747</v>
          </cell>
          <cell r="F601">
            <v>5318.75</v>
          </cell>
          <cell r="G601">
            <v>5</v>
          </cell>
          <cell r="H601">
            <v>1063.75</v>
          </cell>
          <cell r="I601">
            <v>0</v>
          </cell>
          <cell r="J601">
            <v>1063.75</v>
          </cell>
          <cell r="K601">
            <v>-0.78</v>
          </cell>
        </row>
        <row r="602">
          <cell r="A602" t="str">
            <v>LU0945150927</v>
          </cell>
          <cell r="B602" t="str">
            <v>AMUNDI FUNDS IMP EURO CORP SH TERM GREEN BD</v>
          </cell>
          <cell r="C602" t="str">
            <v>Class I EUR (C)</v>
          </cell>
          <cell r="D602" t="str">
            <v>EUR</v>
          </cell>
          <cell r="E602">
            <v>45747</v>
          </cell>
          <cell r="F602">
            <v>104513167.58</v>
          </cell>
          <cell r="G602">
            <v>97110.104000000007</v>
          </cell>
          <cell r="H602">
            <v>1076.23</v>
          </cell>
          <cell r="I602">
            <v>0</v>
          </cell>
          <cell r="J602">
            <v>1076.23</v>
          </cell>
          <cell r="K602">
            <v>-0.72</v>
          </cell>
        </row>
        <row r="603">
          <cell r="A603" t="str">
            <v>LU2498476154</v>
          </cell>
          <cell r="B603" t="str">
            <v>AMUNDI FUNDS IMP EURO CORP SH TERM GREEN BD</v>
          </cell>
          <cell r="C603" t="str">
            <v>Class I2 CHF Hgd (C)</v>
          </cell>
          <cell r="D603" t="str">
            <v>CHF</v>
          </cell>
          <cell r="E603">
            <v>45747</v>
          </cell>
          <cell r="F603">
            <v>31998534.890000001</v>
          </cell>
          <cell r="G603">
            <v>30873.842000000001</v>
          </cell>
          <cell r="H603">
            <v>1036.43</v>
          </cell>
          <cell r="I603">
            <v>0</v>
          </cell>
          <cell r="J603">
            <v>1036.43</v>
          </cell>
          <cell r="K603">
            <v>-0.83</v>
          </cell>
        </row>
        <row r="604">
          <cell r="A604" t="str">
            <v>LU0945151065</v>
          </cell>
          <cell r="B604" t="str">
            <v>AMUNDI FUNDS IMP EURO CORP SH TERM GREEN BD</v>
          </cell>
          <cell r="C604" t="str">
            <v>Class I EUR AD (D)</v>
          </cell>
          <cell r="D604" t="str">
            <v>EUR</v>
          </cell>
          <cell r="E604">
            <v>45747</v>
          </cell>
          <cell r="F604">
            <v>1889833.13</v>
          </cell>
          <cell r="G604">
            <v>1980</v>
          </cell>
          <cell r="H604">
            <v>954.46</v>
          </cell>
          <cell r="I604">
            <v>0</v>
          </cell>
          <cell r="J604">
            <v>954.46</v>
          </cell>
          <cell r="K604">
            <v>-0.71</v>
          </cell>
        </row>
        <row r="605">
          <cell r="A605" t="str">
            <v>LU0945151149</v>
          </cell>
          <cell r="B605" t="str">
            <v>AMUNDI FUNDS IMP EURO CORP SH TERM GREEN BD</v>
          </cell>
          <cell r="C605" t="str">
            <v>Class M EUR (C)</v>
          </cell>
          <cell r="D605" t="str">
            <v>EUR</v>
          </cell>
          <cell r="E605">
            <v>45747</v>
          </cell>
          <cell r="F605">
            <v>473821.03</v>
          </cell>
          <cell r="G605">
            <v>4470.4759999999997</v>
          </cell>
          <cell r="H605">
            <v>105.99</v>
          </cell>
          <cell r="I605">
            <v>0</v>
          </cell>
          <cell r="J605">
            <v>105.99</v>
          </cell>
          <cell r="K605">
            <v>-0.08</v>
          </cell>
        </row>
        <row r="606">
          <cell r="A606" t="str">
            <v>LU0945151495</v>
          </cell>
          <cell r="B606" t="str">
            <v>AMUNDI FUNDS IMP EURO CORP SH TERM GREEN BD</v>
          </cell>
          <cell r="C606" t="str">
            <v>Class OR EUR (C)</v>
          </cell>
          <cell r="D606" t="str">
            <v>EUR</v>
          </cell>
          <cell r="E606">
            <v>45747</v>
          </cell>
          <cell r="F606">
            <v>89871231.790000007</v>
          </cell>
          <cell r="G606">
            <v>2667.68</v>
          </cell>
          <cell r="H606">
            <v>33688.910000000003</v>
          </cell>
          <cell r="I606">
            <v>0</v>
          </cell>
          <cell r="J606">
            <v>33688.910000000003</v>
          </cell>
          <cell r="K606">
            <v>-24.18</v>
          </cell>
        </row>
        <row r="607">
          <cell r="A607" t="str">
            <v>LU0987188264</v>
          </cell>
          <cell r="B607" t="str">
            <v>AMUNDI FUNDS IMP EURO CORP SH TERM GREEN BD</v>
          </cell>
          <cell r="C607" t="str">
            <v>Class R EUR (C)</v>
          </cell>
          <cell r="D607" t="str">
            <v>EUR</v>
          </cell>
          <cell r="E607">
            <v>45747</v>
          </cell>
          <cell r="F607">
            <v>513209.39</v>
          </cell>
          <cell r="G607">
            <v>4983.0659999999998</v>
          </cell>
          <cell r="H607">
            <v>102.99</v>
          </cell>
          <cell r="I607">
            <v>0</v>
          </cell>
          <cell r="J607">
            <v>102.99</v>
          </cell>
          <cell r="K607">
            <v>-7.0000000000000007E-2</v>
          </cell>
        </row>
        <row r="608">
          <cell r="A608" t="str">
            <v>LU0945151735</v>
          </cell>
          <cell r="B608" t="str">
            <v>AMUNDI FUNDS IMP EURO CORP SH TERM GREEN BD</v>
          </cell>
          <cell r="C608" t="str">
            <v>Class G EUR (C)</v>
          </cell>
          <cell r="D608" t="str">
            <v>EUR</v>
          </cell>
          <cell r="E608">
            <v>45747</v>
          </cell>
          <cell r="F608">
            <v>8111677.04</v>
          </cell>
          <cell r="G608">
            <v>80117.135999999999</v>
          </cell>
          <cell r="H608">
            <v>101.25</v>
          </cell>
          <cell r="I608">
            <v>0</v>
          </cell>
          <cell r="J608">
            <v>104.29</v>
          </cell>
          <cell r="K608">
            <v>-0.08</v>
          </cell>
        </row>
        <row r="609">
          <cell r="A609" t="str">
            <v>LU1162497827</v>
          </cell>
          <cell r="B609" t="str">
            <v>AMUNDI FUNDS US CORPORATE BOND</v>
          </cell>
          <cell r="C609" t="str">
            <v>Class A USD (C)</v>
          </cell>
          <cell r="D609" t="str">
            <v>USD</v>
          </cell>
          <cell r="E609">
            <v>45747</v>
          </cell>
          <cell r="F609">
            <v>11721296.91</v>
          </cell>
          <cell r="G609">
            <v>89677.308000000005</v>
          </cell>
          <cell r="H609">
            <v>130.71</v>
          </cell>
          <cell r="I609">
            <v>0</v>
          </cell>
          <cell r="J609">
            <v>135.94</v>
          </cell>
          <cell r="K609">
            <v>0.25</v>
          </cell>
        </row>
        <row r="610">
          <cell r="A610" t="str">
            <v>LU2659282425</v>
          </cell>
          <cell r="B610" t="str">
            <v>AMUNDI FUNDS US CORPORATE BOND</v>
          </cell>
          <cell r="C610" t="str">
            <v>Class A2 USD MD (D)</v>
          </cell>
          <cell r="D610" t="str">
            <v>USD</v>
          </cell>
          <cell r="E610">
            <v>45747</v>
          </cell>
          <cell r="F610">
            <v>251497.9</v>
          </cell>
          <cell r="G610">
            <v>4772.0429999999997</v>
          </cell>
          <cell r="H610">
            <v>52.7</v>
          </cell>
          <cell r="I610">
            <v>0.18674399999999999</v>
          </cell>
          <cell r="J610">
            <v>52.7</v>
          </cell>
          <cell r="K610">
            <v>-0.09</v>
          </cell>
        </row>
        <row r="611">
          <cell r="A611" t="str">
            <v>LU1162498122</v>
          </cell>
          <cell r="B611" t="str">
            <v>AMUNDI FUNDS US CORPORATE BOND</v>
          </cell>
          <cell r="C611" t="str">
            <v>Class A EUR Hgd (C)</v>
          </cell>
          <cell r="D611" t="str">
            <v>EUR</v>
          </cell>
          <cell r="E611">
            <v>45747</v>
          </cell>
          <cell r="F611">
            <v>13715608.119999999</v>
          </cell>
          <cell r="G611">
            <v>135547.08199999999</v>
          </cell>
          <cell r="H611">
            <v>101.19</v>
          </cell>
          <cell r="I611">
            <v>0</v>
          </cell>
          <cell r="J611">
            <v>105.24</v>
          </cell>
          <cell r="K611">
            <v>0.19</v>
          </cell>
        </row>
        <row r="612">
          <cell r="A612" t="str">
            <v>LU1408339320</v>
          </cell>
          <cell r="B612" t="str">
            <v>AMUNDI FUNDS US CORPORATE BOND</v>
          </cell>
          <cell r="C612" t="str">
            <v>Class Q-A3 SEK Hgd (C)</v>
          </cell>
          <cell r="D612" t="str">
            <v>SEK</v>
          </cell>
          <cell r="E612">
            <v>45747</v>
          </cell>
          <cell r="F612">
            <v>1095688.26</v>
          </cell>
          <cell r="G612">
            <v>10364.828</v>
          </cell>
          <cell r="H612">
            <v>105.71</v>
          </cell>
          <cell r="I612">
            <v>0</v>
          </cell>
          <cell r="J612">
            <v>105.71</v>
          </cell>
          <cell r="K612">
            <v>0.19</v>
          </cell>
        </row>
        <row r="613">
          <cell r="A613" t="str">
            <v>LU2907103837</v>
          </cell>
          <cell r="B613" t="str">
            <v>AMUNDI FUNDS US CORPORATE BOND</v>
          </cell>
          <cell r="C613" t="str">
            <v>Class A2 USD (C)</v>
          </cell>
          <cell r="D613" t="str">
            <v>USD</v>
          </cell>
          <cell r="E613">
            <v>45747</v>
          </cell>
          <cell r="F613">
            <v>5047.6099999999997</v>
          </cell>
          <cell r="G613">
            <v>100</v>
          </cell>
          <cell r="H613">
            <v>50.48</v>
          </cell>
          <cell r="I613">
            <v>0</v>
          </cell>
          <cell r="J613">
            <v>50.48</v>
          </cell>
          <cell r="K613">
            <v>0.1</v>
          </cell>
        </row>
        <row r="614">
          <cell r="A614" t="str">
            <v>LU1162498049</v>
          </cell>
          <cell r="B614" t="str">
            <v>AMUNDI FUNDS US CORPORATE BOND</v>
          </cell>
          <cell r="C614" t="str">
            <v>Class A USD AD (D)</v>
          </cell>
          <cell r="D614" t="str">
            <v>USD</v>
          </cell>
          <cell r="E614">
            <v>45747</v>
          </cell>
          <cell r="F614">
            <v>7154208.5700000003</v>
          </cell>
          <cell r="G614">
            <v>79706.057000000001</v>
          </cell>
          <cell r="H614">
            <v>89.76</v>
          </cell>
          <cell r="I614">
            <v>0</v>
          </cell>
          <cell r="J614">
            <v>93.35</v>
          </cell>
          <cell r="K614">
            <v>0.17</v>
          </cell>
        </row>
        <row r="615">
          <cell r="A615" t="str">
            <v>LU2002723588</v>
          </cell>
          <cell r="B615" t="str">
            <v>AMUNDI FUNDS US CORPORATE BOND</v>
          </cell>
          <cell r="C615" t="str">
            <v>Class M2 EUR Hgd (C)</v>
          </cell>
          <cell r="D615" t="str">
            <v>EUR</v>
          </cell>
          <cell r="E615">
            <v>45747</v>
          </cell>
          <cell r="F615">
            <v>135132.23000000001</v>
          </cell>
          <cell r="G615">
            <v>136.88300000000001</v>
          </cell>
          <cell r="H615">
            <v>987.21</v>
          </cell>
          <cell r="I615">
            <v>0</v>
          </cell>
          <cell r="J615">
            <v>987.21</v>
          </cell>
          <cell r="K615">
            <v>1.81</v>
          </cell>
        </row>
        <row r="616">
          <cell r="A616" t="str">
            <v>LU2732984872</v>
          </cell>
          <cell r="B616" t="str">
            <v>AMUNDI FUNDS US CORPORATE BOND</v>
          </cell>
          <cell r="C616" t="str">
            <v>Class C USD (C)</v>
          </cell>
          <cell r="D616" t="str">
            <v>USD</v>
          </cell>
          <cell r="E616">
            <v>45747</v>
          </cell>
          <cell r="F616">
            <v>5230.7700000000004</v>
          </cell>
          <cell r="G616">
            <v>100</v>
          </cell>
          <cell r="H616">
            <v>52.31</v>
          </cell>
          <cell r="I616">
            <v>0</v>
          </cell>
          <cell r="J616">
            <v>52.31</v>
          </cell>
          <cell r="K616">
            <v>0.09</v>
          </cell>
        </row>
        <row r="617">
          <cell r="A617" t="str">
            <v>LU1162498551</v>
          </cell>
          <cell r="B617" t="str">
            <v>AMUNDI FUNDS US CORPORATE BOND</v>
          </cell>
          <cell r="C617" t="str">
            <v>Class F2 USD (C)</v>
          </cell>
          <cell r="D617" t="str">
            <v>USD</v>
          </cell>
          <cell r="E617">
            <v>45747</v>
          </cell>
          <cell r="F617">
            <v>376252.28</v>
          </cell>
          <cell r="G617">
            <v>3144.3409999999999</v>
          </cell>
          <cell r="H617">
            <v>119.66</v>
          </cell>
          <cell r="I617">
            <v>0</v>
          </cell>
          <cell r="J617">
            <v>119.66</v>
          </cell>
          <cell r="K617">
            <v>0.21</v>
          </cell>
        </row>
        <row r="618">
          <cell r="A618" t="str">
            <v>LU1162498635</v>
          </cell>
          <cell r="B618" t="str">
            <v>AMUNDI FUNDS US CORPORATE BOND</v>
          </cell>
          <cell r="C618" t="str">
            <v>Class F2 EUR Hgd (C)</v>
          </cell>
          <cell r="D618" t="str">
            <v>EUR</v>
          </cell>
          <cell r="E618">
            <v>45747</v>
          </cell>
          <cell r="F618">
            <v>88057.08</v>
          </cell>
          <cell r="G618">
            <v>889.82399999999996</v>
          </cell>
          <cell r="H618">
            <v>98.96</v>
          </cell>
          <cell r="I618">
            <v>0</v>
          </cell>
          <cell r="J618">
            <v>98.96</v>
          </cell>
          <cell r="K618">
            <v>0.17</v>
          </cell>
        </row>
        <row r="619">
          <cell r="A619" t="str">
            <v>LU2224462361</v>
          </cell>
          <cell r="B619" t="str">
            <v>AMUNDI FUNDS US CORPORATE BOND</v>
          </cell>
          <cell r="C619" t="str">
            <v>Class I2 USD (C)</v>
          </cell>
          <cell r="D619" t="str">
            <v>USD</v>
          </cell>
          <cell r="E619">
            <v>45747</v>
          </cell>
          <cell r="F619">
            <v>12928256.869999999</v>
          </cell>
          <cell r="G619">
            <v>11729.493</v>
          </cell>
          <cell r="H619">
            <v>1102.2</v>
          </cell>
          <cell r="I619">
            <v>0</v>
          </cell>
          <cell r="J619">
            <v>1102.2</v>
          </cell>
          <cell r="K619">
            <v>2.09</v>
          </cell>
        </row>
        <row r="620">
          <cell r="A620" t="str">
            <v>LU1162497157</v>
          </cell>
          <cell r="B620" t="str">
            <v>AMUNDI FUNDS US CORPORATE BOND</v>
          </cell>
          <cell r="C620" t="str">
            <v>Class I USD (C)</v>
          </cell>
          <cell r="D620" t="str">
            <v>USD</v>
          </cell>
          <cell r="E620">
            <v>45747</v>
          </cell>
          <cell r="F620">
            <v>114273311.27</v>
          </cell>
          <cell r="G620">
            <v>84250.782999999996</v>
          </cell>
          <cell r="H620">
            <v>1356.35</v>
          </cell>
          <cell r="I620">
            <v>0</v>
          </cell>
          <cell r="J620">
            <v>1356.35</v>
          </cell>
          <cell r="K620">
            <v>2.72</v>
          </cell>
        </row>
        <row r="621">
          <cell r="A621" t="str">
            <v>LU2401725853</v>
          </cell>
          <cell r="B621" t="str">
            <v>AMUNDI FUNDS US CORPORATE BOND</v>
          </cell>
          <cell r="C621" t="str">
            <v>Class I2 JPY (C)</v>
          </cell>
          <cell r="D621" t="str">
            <v>JPY</v>
          </cell>
          <cell r="E621">
            <v>45747</v>
          </cell>
          <cell r="F621">
            <v>2891727933</v>
          </cell>
          <cell r="G621">
            <v>22432.496999999999</v>
          </cell>
          <cell r="H621">
            <v>128908</v>
          </cell>
          <cell r="I621">
            <v>0</v>
          </cell>
          <cell r="J621">
            <v>128908</v>
          </cell>
          <cell r="K621">
            <v>-388</v>
          </cell>
        </row>
        <row r="622">
          <cell r="A622" t="str">
            <v>LU1162497314</v>
          </cell>
          <cell r="B622" t="str">
            <v>AMUNDI FUNDS US CORPORATE BOND</v>
          </cell>
          <cell r="C622" t="str">
            <v>Class I EUR Hgd (C)</v>
          </cell>
          <cell r="D622" t="str">
            <v>EUR</v>
          </cell>
          <cell r="E622">
            <v>45747</v>
          </cell>
          <cell r="F622">
            <v>3558344.71</v>
          </cell>
          <cell r="G622">
            <v>3208.1590000000001</v>
          </cell>
          <cell r="H622">
            <v>1109.1500000000001</v>
          </cell>
          <cell r="I622">
            <v>0</v>
          </cell>
          <cell r="J622">
            <v>1109.1500000000001</v>
          </cell>
          <cell r="K622">
            <v>2.02</v>
          </cell>
        </row>
        <row r="623">
          <cell r="A623" t="str">
            <v>LU2162036078</v>
          </cell>
          <cell r="B623" t="str">
            <v>AMUNDI FUNDS US CORPORATE BOND</v>
          </cell>
          <cell r="C623" t="str">
            <v>Class I2 EUR Hgd (C)</v>
          </cell>
          <cell r="D623" t="str">
            <v>EUR</v>
          </cell>
          <cell r="E623">
            <v>45747</v>
          </cell>
          <cell r="F623">
            <v>35156030.259999998</v>
          </cell>
          <cell r="G623">
            <v>39184.321000000004</v>
          </cell>
          <cell r="H623">
            <v>897.2</v>
          </cell>
          <cell r="I623">
            <v>0</v>
          </cell>
          <cell r="J623">
            <v>897.2</v>
          </cell>
          <cell r="K623">
            <v>1.66</v>
          </cell>
        </row>
        <row r="624">
          <cell r="A624" t="str">
            <v>LU2477811967</v>
          </cell>
          <cell r="B624" t="str">
            <v>AMUNDI FUNDS US CORPORATE BOND</v>
          </cell>
          <cell r="C624" t="str">
            <v>Class I2 SEK Hgd (C)</v>
          </cell>
          <cell r="D624" t="str">
            <v>SEK</v>
          </cell>
          <cell r="E624">
            <v>45747</v>
          </cell>
          <cell r="F624">
            <v>604603324.10000002</v>
          </cell>
          <cell r="G624">
            <v>57010</v>
          </cell>
          <cell r="H624">
            <v>10605.22</v>
          </cell>
          <cell r="I624">
            <v>0</v>
          </cell>
          <cell r="J624">
            <v>10605.22</v>
          </cell>
          <cell r="K624">
            <v>19.71</v>
          </cell>
        </row>
        <row r="625">
          <cell r="A625" t="str">
            <v>LU2098277606</v>
          </cell>
          <cell r="B625" t="str">
            <v>AMUNDI FUNDS US CORPORATE BOND</v>
          </cell>
          <cell r="C625" t="str">
            <v>Class J2 USD (C)</v>
          </cell>
          <cell r="D625" t="str">
            <v>USD</v>
          </cell>
          <cell r="E625">
            <v>45747</v>
          </cell>
          <cell r="F625">
            <v>9452101.1999999993</v>
          </cell>
          <cell r="G625">
            <v>8705</v>
          </cell>
          <cell r="H625">
            <v>1085.82</v>
          </cell>
          <cell r="I625">
            <v>0</v>
          </cell>
          <cell r="J625">
            <v>1085.82</v>
          </cell>
          <cell r="K625">
            <v>2.06</v>
          </cell>
        </row>
        <row r="626">
          <cell r="A626" t="str">
            <v>LU2085676166</v>
          </cell>
          <cell r="B626" t="str">
            <v>AMUNDI FUNDS US CORPORATE BOND</v>
          </cell>
          <cell r="C626" t="str">
            <v>Class M2 EUR (C)</v>
          </cell>
          <cell r="D626" t="str">
            <v>EUR</v>
          </cell>
          <cell r="E626">
            <v>45747</v>
          </cell>
          <cell r="F626">
            <v>66382.83</v>
          </cell>
          <cell r="G626">
            <v>59.884999999999998</v>
          </cell>
          <cell r="H626">
            <v>1108.51</v>
          </cell>
          <cell r="I626">
            <v>0</v>
          </cell>
          <cell r="J626">
            <v>1108.51</v>
          </cell>
          <cell r="K626">
            <v>4.25</v>
          </cell>
        </row>
        <row r="627">
          <cell r="A627" t="str">
            <v>LU1162497587</v>
          </cell>
          <cell r="B627" t="str">
            <v>AMUNDI FUNDS US CORPORATE BOND</v>
          </cell>
          <cell r="C627" t="str">
            <v>Class M USD (C)</v>
          </cell>
          <cell r="D627" t="str">
            <v>USD</v>
          </cell>
          <cell r="E627">
            <v>45747</v>
          </cell>
          <cell r="F627">
            <v>1007504.09</v>
          </cell>
          <cell r="G627">
            <v>8752.9969999999994</v>
          </cell>
          <cell r="H627">
            <v>115.1</v>
          </cell>
          <cell r="I627">
            <v>0</v>
          </cell>
          <cell r="J627">
            <v>115.1</v>
          </cell>
          <cell r="K627">
            <v>0.23</v>
          </cell>
        </row>
        <row r="628">
          <cell r="A628" t="str">
            <v>LU2305762622</v>
          </cell>
          <cell r="B628" t="str">
            <v>AMUNDI FUNDS US CORPORATE BOND</v>
          </cell>
          <cell r="C628" t="str">
            <v>Class M2 EUR Hgd QTD (D)</v>
          </cell>
          <cell r="D628" t="str">
            <v>EUR</v>
          </cell>
          <cell r="E628">
            <v>45747</v>
          </cell>
          <cell r="F628">
            <v>7071663.8099999996</v>
          </cell>
          <cell r="G628">
            <v>8908.7649999999994</v>
          </cell>
          <cell r="H628">
            <v>793.79</v>
          </cell>
          <cell r="I628">
            <v>8.7958010000000009</v>
          </cell>
          <cell r="J628">
            <v>793.79</v>
          </cell>
          <cell r="K628">
            <v>-7.32</v>
          </cell>
        </row>
        <row r="629">
          <cell r="A629" t="str">
            <v>LU1162497660</v>
          </cell>
          <cell r="B629" t="str">
            <v>AMUNDI FUNDS US CORPORATE BOND</v>
          </cell>
          <cell r="C629" t="str">
            <v>Class M EUR Hgd (C)</v>
          </cell>
          <cell r="D629" t="str">
            <v>EUR</v>
          </cell>
          <cell r="E629">
            <v>45747</v>
          </cell>
          <cell r="F629">
            <v>78325.47</v>
          </cell>
          <cell r="G629">
            <v>691.76300000000003</v>
          </cell>
          <cell r="H629">
            <v>113.23</v>
          </cell>
          <cell r="I629">
            <v>0</v>
          </cell>
          <cell r="J629">
            <v>113.23</v>
          </cell>
          <cell r="K629">
            <v>0.22</v>
          </cell>
        </row>
        <row r="630">
          <cell r="A630" t="str">
            <v>LU1162497744</v>
          </cell>
          <cell r="B630" t="str">
            <v>AMUNDI FUNDS US CORPORATE BOND</v>
          </cell>
          <cell r="C630" t="str">
            <v>Class O USD (C)</v>
          </cell>
          <cell r="D630" t="str">
            <v>USD</v>
          </cell>
          <cell r="E630">
            <v>45747</v>
          </cell>
          <cell r="F630">
            <v>4238941.4000000004</v>
          </cell>
          <cell r="G630">
            <v>2883.567</v>
          </cell>
          <cell r="H630">
            <v>1470.03</v>
          </cell>
          <cell r="I630">
            <v>0</v>
          </cell>
          <cell r="J630">
            <v>1470.03</v>
          </cell>
          <cell r="K630">
            <v>2.83</v>
          </cell>
        </row>
        <row r="631">
          <cell r="A631" t="str">
            <v>LU2659282698</v>
          </cell>
          <cell r="B631" t="str">
            <v>AMUNDI FUNDS US CORPORATE BOND</v>
          </cell>
          <cell r="C631" t="str">
            <v>Class P2 USD (C)</v>
          </cell>
          <cell r="D631" t="str">
            <v>USD</v>
          </cell>
          <cell r="E631">
            <v>45747</v>
          </cell>
          <cell r="F631">
            <v>80895.41</v>
          </cell>
          <cell r="G631">
            <v>1434.7809999999999</v>
          </cell>
          <cell r="H631">
            <v>56.38</v>
          </cell>
          <cell r="I631">
            <v>0</v>
          </cell>
          <cell r="J631">
            <v>56.38</v>
          </cell>
          <cell r="K631">
            <v>0.1</v>
          </cell>
        </row>
        <row r="632">
          <cell r="A632" t="str">
            <v>LU2790898634</v>
          </cell>
          <cell r="B632" t="str">
            <v>AMUNDI FUNDS US CORPORATE BOND</v>
          </cell>
          <cell r="C632" t="str">
            <v>Class R2 USD (C)</v>
          </cell>
          <cell r="D632" t="str">
            <v>USD</v>
          </cell>
          <cell r="E632">
            <v>45747</v>
          </cell>
          <cell r="F632">
            <v>5305.7</v>
          </cell>
          <cell r="G632">
            <v>100</v>
          </cell>
          <cell r="H632">
            <v>53.06</v>
          </cell>
          <cell r="I632">
            <v>0</v>
          </cell>
          <cell r="J632">
            <v>53.06</v>
          </cell>
          <cell r="K632">
            <v>0.1</v>
          </cell>
        </row>
        <row r="633">
          <cell r="A633" t="str">
            <v>LU1162498395</v>
          </cell>
          <cell r="B633" t="str">
            <v>AMUNDI FUNDS US CORPORATE BOND</v>
          </cell>
          <cell r="C633" t="str">
            <v>Class G USD (C)</v>
          </cell>
          <cell r="D633" t="str">
            <v>USD</v>
          </cell>
          <cell r="E633">
            <v>45747</v>
          </cell>
          <cell r="F633">
            <v>5352865.54</v>
          </cell>
          <cell r="G633">
            <v>41371.913</v>
          </cell>
          <cell r="H633">
            <v>129.38</v>
          </cell>
          <cell r="I633">
            <v>0</v>
          </cell>
          <cell r="J633">
            <v>133.26</v>
          </cell>
          <cell r="K633">
            <v>0.23</v>
          </cell>
        </row>
        <row r="634">
          <cell r="A634" t="str">
            <v>LU1162498478</v>
          </cell>
          <cell r="B634" t="str">
            <v>AMUNDI FUNDS US CORPORATE BOND</v>
          </cell>
          <cell r="C634" t="str">
            <v>Class G EUR Hgd (C)</v>
          </cell>
          <cell r="D634" t="str">
            <v>EUR</v>
          </cell>
          <cell r="E634">
            <v>45747</v>
          </cell>
          <cell r="F634">
            <v>2417521.2599999998</v>
          </cell>
          <cell r="G634">
            <v>22731.77</v>
          </cell>
          <cell r="H634">
            <v>106.35</v>
          </cell>
          <cell r="I634">
            <v>0</v>
          </cell>
          <cell r="J634">
            <v>109.54</v>
          </cell>
          <cell r="K634">
            <v>0.19</v>
          </cell>
        </row>
        <row r="635">
          <cell r="A635" t="str">
            <v>LU2347636016</v>
          </cell>
          <cell r="B635" t="str">
            <v>AMUNDI FUNDS US CORPORATE BOND</v>
          </cell>
          <cell r="C635" t="str">
            <v>Class Z EUR Hgd (C)</v>
          </cell>
          <cell r="D635" t="str">
            <v>EUR</v>
          </cell>
          <cell r="E635">
            <v>45747</v>
          </cell>
          <cell r="F635">
            <v>40273884.780000001</v>
          </cell>
          <cell r="G635">
            <v>45034.887000000002</v>
          </cell>
          <cell r="H635">
            <v>894.28</v>
          </cell>
          <cell r="I635">
            <v>0</v>
          </cell>
          <cell r="J635">
            <v>894.28</v>
          </cell>
          <cell r="K635">
            <v>1.74</v>
          </cell>
        </row>
        <row r="636">
          <cell r="A636" t="str">
            <v>LU1162499369</v>
          </cell>
          <cell r="B636" t="str">
            <v>AMUNDI FUNDS GLOBAL HIGH YIELD BOND</v>
          </cell>
          <cell r="C636" t="str">
            <v>Class A USD (C)</v>
          </cell>
          <cell r="D636" t="str">
            <v>USD</v>
          </cell>
          <cell r="E636">
            <v>45747</v>
          </cell>
          <cell r="F636">
            <v>228105.06</v>
          </cell>
          <cell r="G636">
            <v>1564.4480000000001</v>
          </cell>
          <cell r="H636">
            <v>145.81</v>
          </cell>
          <cell r="I636">
            <v>0</v>
          </cell>
          <cell r="J636">
            <v>151.63999999999999</v>
          </cell>
          <cell r="K636">
            <v>-0.19</v>
          </cell>
        </row>
        <row r="637">
          <cell r="A637" t="str">
            <v>LU1162499526</v>
          </cell>
          <cell r="B637" t="str">
            <v>AMUNDI FUNDS GLOBAL HIGH YIELD BOND</v>
          </cell>
          <cell r="C637" t="str">
            <v>Class A EUR Hgd (C)</v>
          </cell>
          <cell r="D637" t="str">
            <v>EUR</v>
          </cell>
          <cell r="E637">
            <v>45747</v>
          </cell>
          <cell r="F637">
            <v>3066866.01</v>
          </cell>
          <cell r="G637">
            <v>28361.170999999998</v>
          </cell>
          <cell r="H637">
            <v>108.14</v>
          </cell>
          <cell r="I637">
            <v>0</v>
          </cell>
          <cell r="J637">
            <v>112.47</v>
          </cell>
          <cell r="K637">
            <v>-0.14000000000000001</v>
          </cell>
        </row>
        <row r="638">
          <cell r="A638" t="str">
            <v>LU2018722863</v>
          </cell>
          <cell r="B638" t="str">
            <v>AMUNDI FUNDS GLOBAL HIGH YIELD BOND</v>
          </cell>
          <cell r="C638" t="str">
            <v>Class F EUR Hgd MTD (D)</v>
          </cell>
          <cell r="D638" t="str">
            <v>EUR</v>
          </cell>
          <cell r="E638">
            <v>45747</v>
          </cell>
          <cell r="F638">
            <v>73943.06</v>
          </cell>
          <cell r="G638">
            <v>20000</v>
          </cell>
          <cell r="H638">
            <v>3.6970000000000001</v>
          </cell>
          <cell r="I638">
            <v>0</v>
          </cell>
          <cell r="J638">
            <v>3.6970000000000001</v>
          </cell>
          <cell r="K638">
            <v>-5.0000000000000001E-3</v>
          </cell>
        </row>
        <row r="639">
          <cell r="A639" t="str">
            <v>LU1162499955</v>
          </cell>
          <cell r="B639" t="str">
            <v>AMUNDI FUNDS GLOBAL HIGH YIELD BOND</v>
          </cell>
          <cell r="C639" t="str">
            <v>Class F2 USD (C)</v>
          </cell>
          <cell r="D639" t="str">
            <v>USD</v>
          </cell>
          <cell r="E639">
            <v>45747</v>
          </cell>
          <cell r="F639">
            <v>877176.05</v>
          </cell>
          <cell r="G639">
            <v>6558.7520000000004</v>
          </cell>
          <cell r="H639">
            <v>133.74</v>
          </cell>
          <cell r="I639">
            <v>0</v>
          </cell>
          <cell r="J639">
            <v>133.74</v>
          </cell>
          <cell r="K639">
            <v>-0.19</v>
          </cell>
        </row>
        <row r="640">
          <cell r="A640" t="str">
            <v>LU1162500042</v>
          </cell>
          <cell r="B640" t="str">
            <v>AMUNDI FUNDS GLOBAL HIGH YIELD BOND</v>
          </cell>
          <cell r="C640" t="str">
            <v>Class F2 EUR Hgd (C)</v>
          </cell>
          <cell r="D640" t="str">
            <v>EUR</v>
          </cell>
          <cell r="E640">
            <v>45747</v>
          </cell>
          <cell r="F640">
            <v>235352.68</v>
          </cell>
          <cell r="G640">
            <v>2096.0819999999999</v>
          </cell>
          <cell r="H640">
            <v>112.28</v>
          </cell>
          <cell r="I640">
            <v>0</v>
          </cell>
          <cell r="J640">
            <v>112.28</v>
          </cell>
          <cell r="K640">
            <v>-0.16</v>
          </cell>
        </row>
        <row r="641">
          <cell r="A641" t="str">
            <v>LU1250883417</v>
          </cell>
          <cell r="B641" t="str">
            <v>AMUNDI FUNDS GLOBAL HIGH YIELD BOND</v>
          </cell>
          <cell r="C641" t="str">
            <v>Class F2 EUR Hgd MD (D)</v>
          </cell>
          <cell r="D641" t="str">
            <v>EUR</v>
          </cell>
          <cell r="E641">
            <v>45747</v>
          </cell>
          <cell r="F641">
            <v>318874.26</v>
          </cell>
          <cell r="G641">
            <v>4576.6869999999999</v>
          </cell>
          <cell r="H641">
            <v>69.67</v>
          </cell>
          <cell r="I641">
            <v>0</v>
          </cell>
          <cell r="J641">
            <v>69.67</v>
          </cell>
          <cell r="K641">
            <v>-0.1</v>
          </cell>
        </row>
        <row r="642">
          <cell r="A642" t="str">
            <v>LU1250883334</v>
          </cell>
          <cell r="B642" t="str">
            <v>AMUNDI FUNDS GLOBAL HIGH YIELD BOND</v>
          </cell>
          <cell r="C642" t="str">
            <v>Class G EUR Hgd MD (D)</v>
          </cell>
          <cell r="D642" t="str">
            <v>EUR</v>
          </cell>
          <cell r="E642">
            <v>45747</v>
          </cell>
          <cell r="F642">
            <v>28376955.879999999</v>
          </cell>
          <cell r="G642">
            <v>398565.62099999998</v>
          </cell>
          <cell r="H642">
            <v>71.2</v>
          </cell>
          <cell r="I642">
            <v>0</v>
          </cell>
          <cell r="J642">
            <v>71.2</v>
          </cell>
          <cell r="K642">
            <v>-0.1</v>
          </cell>
        </row>
        <row r="643">
          <cell r="A643" t="str">
            <v>LU2031984003</v>
          </cell>
          <cell r="B643" t="str">
            <v>AMUNDI FUNDS GLOBAL HIGH YIELD BOND</v>
          </cell>
          <cell r="C643" t="str">
            <v>Class I2 GBP QD (D)</v>
          </cell>
          <cell r="D643" t="str">
            <v>GBP</v>
          </cell>
          <cell r="E643">
            <v>45747</v>
          </cell>
          <cell r="F643">
            <v>4187.63</v>
          </cell>
          <cell r="G643">
            <v>5</v>
          </cell>
          <cell r="H643">
            <v>837.53</v>
          </cell>
          <cell r="I643">
            <v>12.692</v>
          </cell>
          <cell r="J643">
            <v>837.53</v>
          </cell>
          <cell r="K643">
            <v>-11.54</v>
          </cell>
        </row>
        <row r="644">
          <cell r="A644" t="str">
            <v>LU2330497947</v>
          </cell>
          <cell r="B644" t="str">
            <v>AMUNDI FUNDS GLOBAL HIGH YIELD BOND</v>
          </cell>
          <cell r="C644" t="str">
            <v>Class I14 GBP Hgd QD (D)</v>
          </cell>
          <cell r="D644" t="str">
            <v>GBP</v>
          </cell>
          <cell r="E644">
            <v>45747</v>
          </cell>
          <cell r="F644">
            <v>72398.91</v>
          </cell>
          <cell r="G644">
            <v>827.86400000000003</v>
          </cell>
          <cell r="H644">
            <v>87.45</v>
          </cell>
          <cell r="I644">
            <v>1.44781</v>
          </cell>
          <cell r="J644">
            <v>87.45</v>
          </cell>
          <cell r="K644">
            <v>-1.56</v>
          </cell>
        </row>
        <row r="645">
          <cell r="A645" t="str">
            <v>LU1162498718</v>
          </cell>
          <cell r="B645" t="str">
            <v>AMUNDI FUNDS GLOBAL HIGH YIELD BOND</v>
          </cell>
          <cell r="C645" t="str">
            <v>Class I USD (C)</v>
          </cell>
          <cell r="D645" t="str">
            <v>USD</v>
          </cell>
          <cell r="E645">
            <v>45747</v>
          </cell>
          <cell r="F645">
            <v>542366.65</v>
          </cell>
          <cell r="G645">
            <v>347.39699999999999</v>
          </cell>
          <cell r="H645">
            <v>1561.23</v>
          </cell>
          <cell r="I645">
            <v>0</v>
          </cell>
          <cell r="J645">
            <v>1561.23</v>
          </cell>
          <cell r="K645">
            <v>-1.95</v>
          </cell>
        </row>
        <row r="646">
          <cell r="A646" t="str">
            <v>LU2330497863</v>
          </cell>
          <cell r="B646" t="str">
            <v>AMUNDI FUNDS GLOBAL HIGH YIELD BOND</v>
          </cell>
          <cell r="C646" t="str">
            <v>Class I2 USD (C)</v>
          </cell>
          <cell r="D646" t="str">
            <v>USD</v>
          </cell>
          <cell r="E646">
            <v>45747</v>
          </cell>
          <cell r="F646">
            <v>5577.6</v>
          </cell>
          <cell r="G646">
            <v>5</v>
          </cell>
          <cell r="H646">
            <v>1115.52</v>
          </cell>
          <cell r="I646">
            <v>0</v>
          </cell>
          <cell r="J646">
            <v>1115.52</v>
          </cell>
          <cell r="K646">
            <v>-1.4</v>
          </cell>
        </row>
        <row r="647">
          <cell r="A647" t="str">
            <v>LU1897300478</v>
          </cell>
          <cell r="B647" t="str">
            <v>AMUNDI FUNDS GLOBAL HIGH YIELD BOND</v>
          </cell>
          <cell r="C647" t="str">
            <v>Class I2 GBP (C)</v>
          </cell>
          <cell r="D647" t="str">
            <v>GBP</v>
          </cell>
          <cell r="E647">
            <v>45747</v>
          </cell>
          <cell r="F647">
            <v>5700.29</v>
          </cell>
          <cell r="G647">
            <v>5</v>
          </cell>
          <cell r="H647">
            <v>1140.06</v>
          </cell>
          <cell r="I647">
            <v>0</v>
          </cell>
          <cell r="J647">
            <v>1140.06</v>
          </cell>
          <cell r="K647">
            <v>1.53</v>
          </cell>
        </row>
        <row r="648">
          <cell r="A648" t="str">
            <v>LU1162498981</v>
          </cell>
          <cell r="B648" t="str">
            <v>AMUNDI FUNDS GLOBAL HIGH YIELD BOND</v>
          </cell>
          <cell r="C648" t="str">
            <v>Class I EUR Hgd (C)</v>
          </cell>
          <cell r="D648" t="str">
            <v>EUR</v>
          </cell>
          <cell r="E648">
            <v>45747</v>
          </cell>
          <cell r="F648">
            <v>1312894.03</v>
          </cell>
          <cell r="G648">
            <v>1019.433</v>
          </cell>
          <cell r="H648">
            <v>1287.8699999999999</v>
          </cell>
          <cell r="I648">
            <v>0</v>
          </cell>
          <cell r="J648">
            <v>1287.8699999999999</v>
          </cell>
          <cell r="K648">
            <v>-1.7</v>
          </cell>
        </row>
        <row r="649">
          <cell r="A649" t="str">
            <v>LU1891089077</v>
          </cell>
          <cell r="B649" t="str">
            <v>AMUNDI FUNDS GLOBAL HIGH YIELD BOND</v>
          </cell>
          <cell r="C649" t="str">
            <v>Class Q-I21 GBP Hgd (C)</v>
          </cell>
          <cell r="D649" t="str">
            <v>GBP</v>
          </cell>
          <cell r="E649">
            <v>45747</v>
          </cell>
          <cell r="F649">
            <v>20804199.02</v>
          </cell>
          <cell r="G649">
            <v>17310.866000000002</v>
          </cell>
          <cell r="H649">
            <v>1201.8</v>
          </cell>
          <cell r="I649">
            <v>0</v>
          </cell>
          <cell r="J649">
            <v>1201.8</v>
          </cell>
          <cell r="K649">
            <v>-1.48</v>
          </cell>
        </row>
        <row r="650">
          <cell r="A650" t="str">
            <v>LU2052287138</v>
          </cell>
          <cell r="B650" t="str">
            <v>AMUNDI FUNDS GLOBAL HIGH YIELD BOND</v>
          </cell>
          <cell r="C650" t="str">
            <v>Class J3 GBP (C)</v>
          </cell>
          <cell r="D650" t="str">
            <v>GBP</v>
          </cell>
          <cell r="E650">
            <v>45747</v>
          </cell>
          <cell r="F650">
            <v>5664.95</v>
          </cell>
          <cell r="G650">
            <v>5</v>
          </cell>
          <cell r="H650">
            <v>1132.99</v>
          </cell>
          <cell r="I650">
            <v>0</v>
          </cell>
          <cell r="J650">
            <v>1132.99</v>
          </cell>
          <cell r="K650">
            <v>1.52</v>
          </cell>
        </row>
        <row r="651">
          <cell r="A651" t="str">
            <v>LU2110861650</v>
          </cell>
          <cell r="B651" t="str">
            <v>AMUNDI FUNDS GLOBAL HIGH YIELD BOND</v>
          </cell>
          <cell r="C651" t="str">
            <v>Class J3 GBP Hgd (C)</v>
          </cell>
          <cell r="D651" t="str">
            <v>GBP</v>
          </cell>
          <cell r="E651">
            <v>45747</v>
          </cell>
          <cell r="F651">
            <v>117226.52</v>
          </cell>
          <cell r="G651">
            <v>106.501</v>
          </cell>
          <cell r="H651">
            <v>1100.71</v>
          </cell>
          <cell r="I651">
            <v>0</v>
          </cell>
          <cell r="J651">
            <v>1100.71</v>
          </cell>
          <cell r="K651">
            <v>-1.39</v>
          </cell>
        </row>
        <row r="652">
          <cell r="A652" t="str">
            <v>LU2052287211</v>
          </cell>
          <cell r="B652" t="str">
            <v>AMUNDI FUNDS GLOBAL HIGH YIELD BOND</v>
          </cell>
          <cell r="C652" t="str">
            <v>Class J3 GBP QD (D)</v>
          </cell>
          <cell r="D652" t="str">
            <v>GBP</v>
          </cell>
          <cell r="E652">
            <v>45747</v>
          </cell>
          <cell r="F652">
            <v>4163.08</v>
          </cell>
          <cell r="G652">
            <v>5</v>
          </cell>
          <cell r="H652">
            <v>832.62</v>
          </cell>
          <cell r="I652">
            <v>12.692</v>
          </cell>
          <cell r="J652">
            <v>832.62</v>
          </cell>
          <cell r="K652">
            <v>-11.55</v>
          </cell>
        </row>
        <row r="653">
          <cell r="A653" t="str">
            <v>LU1162499286</v>
          </cell>
          <cell r="B653" t="str">
            <v>AMUNDI FUNDS GLOBAL HIGH YIELD BOND</v>
          </cell>
          <cell r="C653" t="str">
            <v>Class O USD (C)</v>
          </cell>
          <cell r="D653" t="str">
            <v>USD</v>
          </cell>
          <cell r="E653">
            <v>45747</v>
          </cell>
          <cell r="F653">
            <v>9489748.2400000002</v>
          </cell>
          <cell r="G653">
            <v>5807.2079999999996</v>
          </cell>
          <cell r="H653">
            <v>1634.13</v>
          </cell>
          <cell r="I653">
            <v>0</v>
          </cell>
          <cell r="J653">
            <v>1634.13</v>
          </cell>
          <cell r="K653">
            <v>-1.98</v>
          </cell>
        </row>
        <row r="654">
          <cell r="A654" t="str">
            <v>LU2052289696</v>
          </cell>
          <cell r="B654" t="str">
            <v>AMUNDI FUNDS GLOBAL HIGH YIELD BOND</v>
          </cell>
          <cell r="C654" t="str">
            <v>Class P2 USD (C)</v>
          </cell>
          <cell r="D654" t="str">
            <v>USD</v>
          </cell>
          <cell r="E654">
            <v>45747</v>
          </cell>
          <cell r="F654">
            <v>5812.12</v>
          </cell>
          <cell r="G654">
            <v>100</v>
          </cell>
          <cell r="H654">
            <v>58.12</v>
          </cell>
          <cell r="I654">
            <v>0</v>
          </cell>
          <cell r="J654">
            <v>58.12</v>
          </cell>
          <cell r="K654">
            <v>-0.08</v>
          </cell>
        </row>
        <row r="655">
          <cell r="A655" t="str">
            <v>LU2259108988</v>
          </cell>
          <cell r="B655" t="str">
            <v>AMUNDI FUNDS GLOBAL HIGH YIELD BOND</v>
          </cell>
          <cell r="C655" t="str">
            <v>Class R3 GBP Hgd (C)</v>
          </cell>
          <cell r="D655" t="str">
            <v>GBP</v>
          </cell>
          <cell r="E655">
            <v>45747</v>
          </cell>
          <cell r="F655">
            <v>113101.19</v>
          </cell>
          <cell r="G655">
            <v>10004.700000000001</v>
          </cell>
          <cell r="H655">
            <v>11.3</v>
          </cell>
          <cell r="I655">
            <v>0</v>
          </cell>
          <cell r="J655">
            <v>11.3</v>
          </cell>
          <cell r="K655">
            <v>-0.02</v>
          </cell>
        </row>
        <row r="656">
          <cell r="A656" t="str">
            <v>LU1162499799</v>
          </cell>
          <cell r="B656" t="str">
            <v>AMUNDI FUNDS GLOBAL HIGH YIELD BOND</v>
          </cell>
          <cell r="C656" t="str">
            <v>Class G USD (C)</v>
          </cell>
          <cell r="D656" t="str">
            <v>USD</v>
          </cell>
          <cell r="E656">
            <v>45747</v>
          </cell>
          <cell r="F656">
            <v>3344463.79</v>
          </cell>
          <cell r="G656">
            <v>23989.007000000001</v>
          </cell>
          <cell r="H656">
            <v>139.41999999999999</v>
          </cell>
          <cell r="I656">
            <v>0</v>
          </cell>
          <cell r="J656">
            <v>143.6</v>
          </cell>
          <cell r="K656">
            <v>-0.18</v>
          </cell>
        </row>
        <row r="657">
          <cell r="A657" t="str">
            <v>LU1162499872</v>
          </cell>
          <cell r="B657" t="str">
            <v>AMUNDI FUNDS GLOBAL HIGH YIELD BOND</v>
          </cell>
          <cell r="C657" t="str">
            <v>Class G EUR Hgd (C)</v>
          </cell>
          <cell r="D657" t="str">
            <v>EUR</v>
          </cell>
          <cell r="E657">
            <v>45747</v>
          </cell>
          <cell r="F657">
            <v>3733593.62</v>
          </cell>
          <cell r="G657">
            <v>31956.537</v>
          </cell>
          <cell r="H657">
            <v>116.83</v>
          </cell>
          <cell r="I657">
            <v>0</v>
          </cell>
          <cell r="J657">
            <v>120.33</v>
          </cell>
          <cell r="K657">
            <v>-0.17</v>
          </cell>
        </row>
        <row r="658">
          <cell r="A658" t="str">
            <v>LU1998921776</v>
          </cell>
          <cell r="B658" t="str">
            <v>AMUNDI FUNDS GLOBAL HIGH YIELD BOND</v>
          </cell>
          <cell r="C658" t="str">
            <v>Class X USD (C)</v>
          </cell>
          <cell r="D658" t="str">
            <v>USD</v>
          </cell>
          <cell r="E658">
            <v>45747</v>
          </cell>
          <cell r="F658">
            <v>89464503.909999996</v>
          </cell>
          <cell r="G658">
            <v>71857.591</v>
          </cell>
          <cell r="H658">
            <v>1245.03</v>
          </cell>
          <cell r="I658">
            <v>0</v>
          </cell>
          <cell r="J658">
            <v>1245.03</v>
          </cell>
          <cell r="K658">
            <v>-1.5</v>
          </cell>
        </row>
        <row r="659">
          <cell r="A659" t="str">
            <v>LU2907103597</v>
          </cell>
          <cell r="B659" t="str">
            <v>AMUNDI FUNDS GLOBAL HIGH YIELD BOND</v>
          </cell>
          <cell r="C659" t="str">
            <v>Class X EUR Hgd AD (D)</v>
          </cell>
          <cell r="D659" t="str">
            <v>EUR</v>
          </cell>
          <cell r="E659">
            <v>45747</v>
          </cell>
          <cell r="F659">
            <v>10167517.83</v>
          </cell>
          <cell r="G659">
            <v>10000</v>
          </cell>
          <cell r="H659">
            <v>1016.75</v>
          </cell>
          <cell r="I659">
            <v>0</v>
          </cell>
          <cell r="J659">
            <v>1016.75</v>
          </cell>
          <cell r="K659">
            <v>-1.28</v>
          </cell>
        </row>
        <row r="660">
          <cell r="A660" t="str">
            <v>LU1998920026</v>
          </cell>
          <cell r="B660" t="str">
            <v>AMUNDI FUNDS GLOBAL HIGH YIELD BOND</v>
          </cell>
          <cell r="C660" t="str">
            <v>Class H USD (C)</v>
          </cell>
          <cell r="D660" t="str">
            <v>USD</v>
          </cell>
          <cell r="E660">
            <v>45747</v>
          </cell>
          <cell r="F660">
            <v>6111.92</v>
          </cell>
          <cell r="G660">
            <v>5</v>
          </cell>
          <cell r="H660">
            <v>1222.3800000000001</v>
          </cell>
          <cell r="I660">
            <v>0</v>
          </cell>
          <cell r="J660">
            <v>1222.3800000000001</v>
          </cell>
          <cell r="K660">
            <v>-1.52</v>
          </cell>
        </row>
        <row r="661">
          <cell r="A661" t="str">
            <v>LU1161086159</v>
          </cell>
          <cell r="B661" t="str">
            <v>AMUNDI FUNDS EMERGING MARKETS BLENDED BOND</v>
          </cell>
          <cell r="C661" t="str">
            <v>Class A EUR (C)</v>
          </cell>
          <cell r="D661" t="str">
            <v>EUR</v>
          </cell>
          <cell r="E661">
            <v>45747</v>
          </cell>
          <cell r="F661">
            <v>179674744.93000001</v>
          </cell>
          <cell r="G661">
            <v>951104.76100000006</v>
          </cell>
          <cell r="H661">
            <v>188.91</v>
          </cell>
          <cell r="I661">
            <v>0</v>
          </cell>
          <cell r="J661">
            <v>196.47</v>
          </cell>
          <cell r="K661">
            <v>0</v>
          </cell>
        </row>
        <row r="662">
          <cell r="A662" t="str">
            <v>LU1534095879</v>
          </cell>
          <cell r="B662" t="str">
            <v>AMUNDI FUNDS EMERGING MARKETS BLENDED BOND</v>
          </cell>
          <cell r="C662" t="str">
            <v>Class A2 SGD Hgd MD (D)</v>
          </cell>
          <cell r="D662" t="str">
            <v>SGD</v>
          </cell>
          <cell r="E662">
            <v>45747</v>
          </cell>
          <cell r="F662">
            <v>38793.71</v>
          </cell>
          <cell r="G662">
            <v>522.39700000000005</v>
          </cell>
          <cell r="H662">
            <v>74.260000000000005</v>
          </cell>
          <cell r="I662">
            <v>0</v>
          </cell>
          <cell r="J662">
            <v>74.260000000000005</v>
          </cell>
          <cell r="K662">
            <v>0</v>
          </cell>
        </row>
        <row r="663">
          <cell r="A663" t="str">
            <v>LU1534096091</v>
          </cell>
          <cell r="B663" t="str">
            <v>AMUNDI FUNDS EMERGING MARKETS BLENDED BOND</v>
          </cell>
          <cell r="C663" t="str">
            <v>Class A2 SGD Hgd (C)</v>
          </cell>
          <cell r="D663" t="str">
            <v>SGD</v>
          </cell>
          <cell r="E663">
            <v>45747</v>
          </cell>
          <cell r="F663">
            <v>42916.57</v>
          </cell>
          <cell r="G663">
            <v>393.26299999999998</v>
          </cell>
          <cell r="H663">
            <v>109.13</v>
          </cell>
          <cell r="I663">
            <v>0</v>
          </cell>
          <cell r="J663">
            <v>109.13</v>
          </cell>
          <cell r="K663">
            <v>0</v>
          </cell>
        </row>
        <row r="664">
          <cell r="A664" t="str">
            <v>LU1543731449</v>
          </cell>
          <cell r="B664" t="str">
            <v>AMUNDI FUNDS EMERGING MARKETS BLENDED BOND</v>
          </cell>
          <cell r="C664" t="str">
            <v>Class A USD Hgd (C)</v>
          </cell>
          <cell r="D664" t="str">
            <v>USD</v>
          </cell>
          <cell r="E664">
            <v>45747</v>
          </cell>
          <cell r="F664">
            <v>16102.79</v>
          </cell>
          <cell r="G664">
            <v>150</v>
          </cell>
          <cell r="H664">
            <v>107.35</v>
          </cell>
          <cell r="I664">
            <v>0</v>
          </cell>
          <cell r="J664">
            <v>107.35</v>
          </cell>
          <cell r="K664">
            <v>0.05</v>
          </cell>
        </row>
        <row r="665">
          <cell r="A665" t="str">
            <v>LU1161086316</v>
          </cell>
          <cell r="B665" t="str">
            <v>AMUNDI FUNDS EMERGING MARKETS BLENDED BOND</v>
          </cell>
          <cell r="C665" t="str">
            <v>Class A EUR AD (D)</v>
          </cell>
          <cell r="D665" t="str">
            <v>EUR</v>
          </cell>
          <cell r="E665">
            <v>45747</v>
          </cell>
          <cell r="F665">
            <v>21133529.699999999</v>
          </cell>
          <cell r="G665">
            <v>249587.06200000001</v>
          </cell>
          <cell r="H665">
            <v>84.67</v>
          </cell>
          <cell r="I665">
            <v>0</v>
          </cell>
          <cell r="J665">
            <v>88.06</v>
          </cell>
          <cell r="K665">
            <v>-0.01</v>
          </cell>
        </row>
        <row r="666">
          <cell r="A666" t="str">
            <v>LU2002720485</v>
          </cell>
          <cell r="B666" t="str">
            <v>AMUNDI FUNDS EMERGING MARKETS BLENDED BOND</v>
          </cell>
          <cell r="C666" t="str">
            <v>Class M2 EUR ( C )</v>
          </cell>
          <cell r="D666" t="str">
            <v>EUR</v>
          </cell>
          <cell r="E666">
            <v>45747</v>
          </cell>
          <cell r="F666">
            <v>80877.72</v>
          </cell>
          <cell r="G666">
            <v>76.221999999999994</v>
          </cell>
          <cell r="H666">
            <v>1061.08</v>
          </cell>
          <cell r="I666">
            <v>0</v>
          </cell>
          <cell r="J666">
            <v>1061.08</v>
          </cell>
          <cell r="K666">
            <v>0.04</v>
          </cell>
        </row>
        <row r="667">
          <cell r="A667" t="str">
            <v>LU2070310110</v>
          </cell>
          <cell r="B667" t="str">
            <v>AMUNDI FUNDS EMERGING MARKETS BLENDED BOND</v>
          </cell>
          <cell r="C667" t="str">
            <v>Class A2 EUR AD (D)</v>
          </cell>
          <cell r="D667" t="str">
            <v>EUR</v>
          </cell>
          <cell r="E667">
            <v>45747</v>
          </cell>
          <cell r="F667">
            <v>12301155.9</v>
          </cell>
          <cell r="G667">
            <v>276321</v>
          </cell>
          <cell r="H667">
            <v>44.52</v>
          </cell>
          <cell r="I667">
            <v>0</v>
          </cell>
          <cell r="J667">
            <v>46.3</v>
          </cell>
          <cell r="K667">
            <v>0</v>
          </cell>
        </row>
        <row r="668">
          <cell r="A668" t="str">
            <v>LU2036673965</v>
          </cell>
          <cell r="B668" t="str">
            <v>AMUNDI FUNDS EMERGING MARKETS BLENDED BOND</v>
          </cell>
          <cell r="C668" t="str">
            <v>Class E2 EUR (C)</v>
          </cell>
          <cell r="D668" t="str">
            <v>EUR</v>
          </cell>
          <cell r="E668">
            <v>45747</v>
          </cell>
          <cell r="F668">
            <v>3593500.37</v>
          </cell>
          <cell r="G668">
            <v>706308.37699999998</v>
          </cell>
          <cell r="H668">
            <v>5.0880000000000001</v>
          </cell>
          <cell r="I668">
            <v>0</v>
          </cell>
          <cell r="J668">
            <v>5.0880000000000001</v>
          </cell>
          <cell r="K668">
            <v>0</v>
          </cell>
        </row>
        <row r="669">
          <cell r="A669" t="str">
            <v>LU1534096844</v>
          </cell>
          <cell r="B669" t="str">
            <v>AMUNDI FUNDS EMERGING MARKETS BLENDED BOND</v>
          </cell>
          <cell r="C669" t="str">
            <v>Class A2 EUR (C)</v>
          </cell>
          <cell r="D669" t="str">
            <v>EUR</v>
          </cell>
          <cell r="E669">
            <v>45747</v>
          </cell>
          <cell r="F669">
            <v>12490021.75</v>
          </cell>
          <cell r="G669">
            <v>117453.849</v>
          </cell>
          <cell r="H669">
            <v>106.34</v>
          </cell>
          <cell r="I669">
            <v>0</v>
          </cell>
          <cell r="J669">
            <v>106.34</v>
          </cell>
          <cell r="K669">
            <v>0</v>
          </cell>
        </row>
        <row r="670">
          <cell r="A670" t="str">
            <v>LU2018719489</v>
          </cell>
          <cell r="B670" t="str">
            <v>AMUNDI FUNDS EMERGING MARKETS BLENDED BOND</v>
          </cell>
          <cell r="C670" t="str">
            <v>Class F EUR (C)</v>
          </cell>
          <cell r="D670" t="str">
            <v>EUR</v>
          </cell>
          <cell r="E670">
            <v>45747</v>
          </cell>
          <cell r="F670">
            <v>106363.57</v>
          </cell>
          <cell r="G670">
            <v>21490.35</v>
          </cell>
          <cell r="H670">
            <v>4.9489999999999998</v>
          </cell>
          <cell r="I670">
            <v>0</v>
          </cell>
          <cell r="J670">
            <v>4.9489999999999998</v>
          </cell>
          <cell r="K670">
            <v>-1E-3</v>
          </cell>
        </row>
        <row r="671">
          <cell r="A671" t="str">
            <v>LU1161086589</v>
          </cell>
          <cell r="B671" t="str">
            <v>AMUNDI FUNDS EMERGING MARKETS BLENDED BOND</v>
          </cell>
          <cell r="C671" t="str">
            <v>Class F2 EUR (C)</v>
          </cell>
          <cell r="D671" t="str">
            <v>EUR</v>
          </cell>
          <cell r="E671">
            <v>45747</v>
          </cell>
          <cell r="F671">
            <v>4226118.74</v>
          </cell>
          <cell r="G671">
            <v>42486.108</v>
          </cell>
          <cell r="H671">
            <v>99.47</v>
          </cell>
          <cell r="I671">
            <v>0</v>
          </cell>
          <cell r="J671">
            <v>99.47</v>
          </cell>
          <cell r="K671">
            <v>-0.01</v>
          </cell>
        </row>
        <row r="672">
          <cell r="A672" t="str">
            <v>LU2018719562</v>
          </cell>
          <cell r="B672" t="str">
            <v>AMUNDI FUNDS EMERGING MARKETS BLENDED BOND</v>
          </cell>
          <cell r="C672" t="str">
            <v>Class F EUR QTD (D)</v>
          </cell>
          <cell r="D672" t="str">
            <v>EUR</v>
          </cell>
          <cell r="E672">
            <v>45747</v>
          </cell>
          <cell r="F672">
            <v>89160.09</v>
          </cell>
          <cell r="G672">
            <v>23606.974999999999</v>
          </cell>
          <cell r="H672">
            <v>3.7770000000000001</v>
          </cell>
          <cell r="I672">
            <v>0</v>
          </cell>
          <cell r="J672">
            <v>3.7770000000000001</v>
          </cell>
          <cell r="K672">
            <v>0</v>
          </cell>
        </row>
        <row r="673">
          <cell r="A673" t="str">
            <v>LU1600318759</v>
          </cell>
          <cell r="B673" t="str">
            <v>AMUNDI FUNDS EMERGING MARKETS BLENDED BOND</v>
          </cell>
          <cell r="C673" t="str">
            <v>Class F2 EUR QD (D)</v>
          </cell>
          <cell r="D673" t="str">
            <v>EUR</v>
          </cell>
          <cell r="E673">
            <v>45747</v>
          </cell>
          <cell r="F673">
            <v>2552116.98</v>
          </cell>
          <cell r="G673">
            <v>37979.953999999998</v>
          </cell>
          <cell r="H673">
            <v>67.2</v>
          </cell>
          <cell r="I673">
            <v>0</v>
          </cell>
          <cell r="J673">
            <v>67.2</v>
          </cell>
          <cell r="K673">
            <v>0</v>
          </cell>
        </row>
        <row r="674">
          <cell r="A674" t="str">
            <v>LU1161085698</v>
          </cell>
          <cell r="B674" t="str">
            <v>AMUNDI FUNDS EMERGING MARKETS BLENDED BOND</v>
          </cell>
          <cell r="C674" t="str">
            <v>Class I EUR (C)</v>
          </cell>
          <cell r="D674" t="str">
            <v>EUR</v>
          </cell>
          <cell r="E674">
            <v>45747</v>
          </cell>
          <cell r="F674">
            <v>7813293.5499999998</v>
          </cell>
          <cell r="G674">
            <v>154.10300000000001</v>
          </cell>
          <cell r="H674">
            <v>50701.760000000002</v>
          </cell>
          <cell r="I674">
            <v>0</v>
          </cell>
          <cell r="J674">
            <v>50701.760000000002</v>
          </cell>
          <cell r="K674">
            <v>23.49</v>
          </cell>
        </row>
        <row r="675">
          <cell r="A675" t="str">
            <v>LU1161085854</v>
          </cell>
          <cell r="B675" t="str">
            <v>AMUNDI FUNDS EMERGING MARKETS BLENDED BOND</v>
          </cell>
          <cell r="C675" t="str">
            <v>Class Q-I11 EUR (C)</v>
          </cell>
          <cell r="D675" t="str">
            <v>EUR</v>
          </cell>
          <cell r="E675">
            <v>45747</v>
          </cell>
          <cell r="F675">
            <v>200686361.30000001</v>
          </cell>
          <cell r="G675">
            <v>20</v>
          </cell>
          <cell r="H675">
            <v>10034318.07</v>
          </cell>
          <cell r="I675">
            <v>0</v>
          </cell>
          <cell r="J675">
            <v>10034318.07</v>
          </cell>
          <cell r="K675">
            <v>5190.12</v>
          </cell>
        </row>
        <row r="676">
          <cell r="A676" t="str">
            <v>LU2538405445</v>
          </cell>
          <cell r="B676" t="str">
            <v>AMUNDI FUNDS EMERGING MARKETS BLENDED BOND</v>
          </cell>
          <cell r="C676" t="str">
            <v>Class I2 EUR (C)</v>
          </cell>
          <cell r="D676" t="str">
            <v>EUR</v>
          </cell>
          <cell r="E676">
            <v>45747</v>
          </cell>
          <cell r="F676">
            <v>38692743.039999999</v>
          </cell>
          <cell r="G676">
            <v>32082.665000000001</v>
          </cell>
          <cell r="H676">
            <v>1206.03</v>
          </cell>
          <cell r="I676">
            <v>0</v>
          </cell>
          <cell r="J676">
            <v>1206.03</v>
          </cell>
          <cell r="K676">
            <v>0.04</v>
          </cell>
        </row>
        <row r="677">
          <cell r="A677" t="str">
            <v>LU2034727227</v>
          </cell>
          <cell r="B677" t="str">
            <v>AMUNDI FUNDS EMERGING MARKETS BLENDED BOND</v>
          </cell>
          <cell r="C677" t="str">
            <v>Class J2 EUR (C)</v>
          </cell>
          <cell r="D677" t="str">
            <v>EUR</v>
          </cell>
          <cell r="E677">
            <v>45747</v>
          </cell>
          <cell r="F677">
            <v>96447724.25</v>
          </cell>
          <cell r="G677">
            <v>90435.108999999997</v>
          </cell>
          <cell r="H677">
            <v>1066.49</v>
          </cell>
          <cell r="I677">
            <v>0</v>
          </cell>
          <cell r="J677">
            <v>1066.49</v>
          </cell>
          <cell r="K677">
            <v>0.06</v>
          </cell>
        </row>
        <row r="678">
          <cell r="A678" t="str">
            <v>LU1161085938</v>
          </cell>
          <cell r="B678" t="str">
            <v>AMUNDI FUNDS EMERGING MARKETS BLENDED BOND</v>
          </cell>
          <cell r="C678" t="str">
            <v>Class M EUR (C)</v>
          </cell>
          <cell r="D678" t="str">
            <v>EUR</v>
          </cell>
          <cell r="E678">
            <v>45747</v>
          </cell>
          <cell r="F678">
            <v>49042978.630000003</v>
          </cell>
          <cell r="G678">
            <v>451429.04399999999</v>
          </cell>
          <cell r="H678">
            <v>108.64</v>
          </cell>
          <cell r="I678">
            <v>0</v>
          </cell>
          <cell r="J678">
            <v>108.64</v>
          </cell>
          <cell r="K678">
            <v>0.05</v>
          </cell>
        </row>
        <row r="679">
          <cell r="A679" t="str">
            <v>LU1600318676</v>
          </cell>
          <cell r="B679" t="str">
            <v>AMUNDI FUNDS EMERGING MARKETS BLENDED BOND</v>
          </cell>
          <cell r="C679" t="str">
            <v>Class Q-OF EUR AD (D)</v>
          </cell>
          <cell r="D679" t="str">
            <v>EUR</v>
          </cell>
          <cell r="E679">
            <v>45747</v>
          </cell>
          <cell r="F679">
            <v>1571859.08</v>
          </cell>
          <cell r="G679">
            <v>1386</v>
          </cell>
          <cell r="H679">
            <v>1134.0999999999999</v>
          </cell>
          <cell r="I679">
            <v>0</v>
          </cell>
          <cell r="J679">
            <v>1134.0999999999999</v>
          </cell>
          <cell r="K679">
            <v>0.11</v>
          </cell>
        </row>
        <row r="680">
          <cell r="A680" t="str">
            <v>LU1161086407</v>
          </cell>
          <cell r="B680" t="str">
            <v>AMUNDI FUNDS EMERGING MARKETS BLENDED BOND</v>
          </cell>
          <cell r="C680" t="str">
            <v>Class G EUR (C)</v>
          </cell>
          <cell r="D680" t="str">
            <v>EUR</v>
          </cell>
          <cell r="E680">
            <v>45747</v>
          </cell>
          <cell r="F680">
            <v>107878867.97</v>
          </cell>
          <cell r="G680">
            <v>969238.33100000001</v>
          </cell>
          <cell r="H680">
            <v>111.3</v>
          </cell>
          <cell r="I680">
            <v>0</v>
          </cell>
          <cell r="J680">
            <v>114.64</v>
          </cell>
          <cell r="K680">
            <v>-0.01</v>
          </cell>
        </row>
        <row r="681">
          <cell r="A681" t="str">
            <v>LU2630492929</v>
          </cell>
          <cell r="B681" t="str">
            <v>AMUNDI FUNDS EMERGING MARKETS BLENDED BOND</v>
          </cell>
          <cell r="C681" t="str">
            <v>Class X3 EUR QD (D)</v>
          </cell>
          <cell r="D681" t="str">
            <v>EUR</v>
          </cell>
          <cell r="E681">
            <v>45747</v>
          </cell>
          <cell r="F681">
            <v>37824974.270000003</v>
          </cell>
          <cell r="G681">
            <v>38730.576000000001</v>
          </cell>
          <cell r="H681">
            <v>976.62</v>
          </cell>
          <cell r="I681">
            <v>15.077144000000001</v>
          </cell>
          <cell r="J681">
            <v>976.62</v>
          </cell>
          <cell r="K681">
            <v>-14.99</v>
          </cell>
        </row>
        <row r="682">
          <cell r="A682" t="str">
            <v>LU1361117796</v>
          </cell>
          <cell r="B682" t="str">
            <v>AMUNDI FUNDS EMERGING MARKETS BLENDED BOND</v>
          </cell>
          <cell r="C682" t="str">
            <v>Class Q-I14 GBP Hgd (C)</v>
          </cell>
          <cell r="D682" t="str">
            <v>GBP</v>
          </cell>
          <cell r="E682">
            <v>45747</v>
          </cell>
          <cell r="F682">
            <v>2047613172.6300001</v>
          </cell>
          <cell r="G682">
            <v>1442908.9539999999</v>
          </cell>
          <cell r="H682">
            <v>1419.09</v>
          </cell>
          <cell r="I682">
            <v>0</v>
          </cell>
          <cell r="J682">
            <v>1419.09</v>
          </cell>
          <cell r="K682">
            <v>0.21</v>
          </cell>
        </row>
        <row r="683">
          <cell r="A683" t="str">
            <v>LU1600318833</v>
          </cell>
          <cell r="B683" t="str">
            <v>AMUNDI FUNDS EMERGING MARKETS BLENDED BOND</v>
          </cell>
          <cell r="C683" t="str">
            <v>Class G EUR QD (D)</v>
          </cell>
          <cell r="D683" t="str">
            <v>EUR</v>
          </cell>
          <cell r="E683">
            <v>45747</v>
          </cell>
          <cell r="F683">
            <v>78226690.620000005</v>
          </cell>
          <cell r="G683">
            <v>1129312.567</v>
          </cell>
          <cell r="H683">
            <v>69.27</v>
          </cell>
          <cell r="I683">
            <v>0</v>
          </cell>
          <cell r="J683">
            <v>69.27</v>
          </cell>
          <cell r="K683">
            <v>0</v>
          </cell>
        </row>
        <row r="684">
          <cell r="A684" t="str">
            <v>LU1253540170</v>
          </cell>
          <cell r="B684" t="str">
            <v>AMUNDI FUNDS MULTI-ASSET REAL RETURN</v>
          </cell>
          <cell r="C684" t="str">
            <v>Class A EUR (C)</v>
          </cell>
          <cell r="D684" t="str">
            <v>EUR</v>
          </cell>
          <cell r="E684">
            <v>45747</v>
          </cell>
          <cell r="F684">
            <v>732349.71</v>
          </cell>
          <cell r="G684">
            <v>6811.3580000000002</v>
          </cell>
          <cell r="H684">
            <v>107.52</v>
          </cell>
          <cell r="I684">
            <v>0</v>
          </cell>
          <cell r="J684">
            <v>112.36</v>
          </cell>
          <cell r="K684">
            <v>-0.1</v>
          </cell>
        </row>
        <row r="685">
          <cell r="A685" t="str">
            <v>LU1650130344</v>
          </cell>
          <cell r="B685" t="str">
            <v>AMUNDI FUNDS MULTI-ASSET REAL RETURN</v>
          </cell>
          <cell r="C685" t="str">
            <v>Class A CZK Hgd (C)</v>
          </cell>
          <cell r="D685" t="str">
            <v>CZK</v>
          </cell>
          <cell r="E685">
            <v>45747</v>
          </cell>
          <cell r="F685">
            <v>344837085.06999999</v>
          </cell>
          <cell r="G685">
            <v>119277.716</v>
          </cell>
          <cell r="H685">
            <v>2891.04</v>
          </cell>
          <cell r="I685">
            <v>0</v>
          </cell>
          <cell r="J685">
            <v>2891.04</v>
          </cell>
          <cell r="K685">
            <v>-2.66</v>
          </cell>
        </row>
        <row r="686">
          <cell r="A686" t="str">
            <v>LU1253540410</v>
          </cell>
          <cell r="B686" t="str">
            <v>AMUNDI FUNDS MULTI-ASSET REAL RETURN</v>
          </cell>
          <cell r="C686" t="str">
            <v>Class A EUR AD (D)</v>
          </cell>
          <cell r="D686" t="str">
            <v>EUR</v>
          </cell>
          <cell r="E686">
            <v>45747</v>
          </cell>
          <cell r="F686">
            <v>5162.66</v>
          </cell>
          <cell r="G686">
            <v>49.677</v>
          </cell>
          <cell r="H686">
            <v>103.92</v>
          </cell>
          <cell r="I686">
            <v>0</v>
          </cell>
          <cell r="J686">
            <v>108.6</v>
          </cell>
          <cell r="K686">
            <v>-0.1</v>
          </cell>
        </row>
        <row r="687">
          <cell r="A687" t="str">
            <v>LU2018720818</v>
          </cell>
          <cell r="B687" t="str">
            <v>AMUNDI FUNDS MULTI-ASSET REAL RETURN</v>
          </cell>
          <cell r="C687" t="str">
            <v>Class F EUR (C)</v>
          </cell>
          <cell r="D687" t="str">
            <v>EUR</v>
          </cell>
          <cell r="E687">
            <v>45747</v>
          </cell>
          <cell r="F687">
            <v>159256.4</v>
          </cell>
          <cell r="G687">
            <v>31977.51</v>
          </cell>
          <cell r="H687">
            <v>4.9800000000000004</v>
          </cell>
          <cell r="I687">
            <v>0</v>
          </cell>
          <cell r="J687">
            <v>4.9800000000000004</v>
          </cell>
          <cell r="K687">
            <v>-5.0000000000000001E-3</v>
          </cell>
        </row>
        <row r="688">
          <cell r="A688" t="str">
            <v>LU1253541814</v>
          </cell>
          <cell r="B688" t="str">
            <v>AMUNDI FUNDS MULTI-ASSET REAL RETURN</v>
          </cell>
          <cell r="C688" t="str">
            <v>Class F2 EUR (C)</v>
          </cell>
          <cell r="D688" t="str">
            <v>EUR</v>
          </cell>
          <cell r="E688">
            <v>45747</v>
          </cell>
          <cell r="F688">
            <v>1929182.04</v>
          </cell>
          <cell r="G688">
            <v>19407.858</v>
          </cell>
          <cell r="H688">
            <v>99.4</v>
          </cell>
          <cell r="I688">
            <v>0</v>
          </cell>
          <cell r="J688">
            <v>99.4</v>
          </cell>
          <cell r="K688">
            <v>-0.1</v>
          </cell>
        </row>
        <row r="689">
          <cell r="A689" t="str">
            <v>LU2018721030</v>
          </cell>
          <cell r="B689" t="str">
            <v>AMUNDI FUNDS MULTI-ASSET REAL RETURN</v>
          </cell>
          <cell r="C689" t="str">
            <v>Class F EUR QTD (D)</v>
          </cell>
          <cell r="D689" t="str">
            <v>EUR</v>
          </cell>
          <cell r="E689">
            <v>45747</v>
          </cell>
          <cell r="F689">
            <v>22476.36</v>
          </cell>
          <cell r="G689">
            <v>5013.2529999999997</v>
          </cell>
          <cell r="H689">
            <v>4.4829999999999997</v>
          </cell>
          <cell r="I689">
            <v>0</v>
          </cell>
          <cell r="J689">
            <v>4.4829999999999997</v>
          </cell>
          <cell r="K689">
            <v>-5.0000000000000001E-3</v>
          </cell>
        </row>
        <row r="690">
          <cell r="A690" t="str">
            <v>LU1327398381</v>
          </cell>
          <cell r="B690" t="str">
            <v>AMUNDI FUNDS MULTI-ASSET REAL RETURN</v>
          </cell>
          <cell r="C690" t="str">
            <v>Class F2 EUR QD (D)</v>
          </cell>
          <cell r="D690" t="str">
            <v>EUR</v>
          </cell>
          <cell r="E690">
            <v>45747</v>
          </cell>
          <cell r="F690">
            <v>383686.7</v>
          </cell>
          <cell r="G690">
            <v>4421.3779999999997</v>
          </cell>
          <cell r="H690">
            <v>86.78</v>
          </cell>
          <cell r="I690">
            <v>0</v>
          </cell>
          <cell r="J690">
            <v>86.78</v>
          </cell>
          <cell r="K690">
            <v>-0.09</v>
          </cell>
        </row>
        <row r="691">
          <cell r="A691" t="str">
            <v>LU1253540840</v>
          </cell>
          <cell r="B691" t="str">
            <v>AMUNDI FUNDS MULTI-ASSET REAL RETURN</v>
          </cell>
          <cell r="C691" t="str">
            <v>Class I EUR (C)</v>
          </cell>
          <cell r="D691" t="str">
            <v>EUR</v>
          </cell>
          <cell r="E691">
            <v>45747</v>
          </cell>
          <cell r="F691">
            <v>2254352.9900000002</v>
          </cell>
          <cell r="G691">
            <v>1986.951</v>
          </cell>
          <cell r="H691">
            <v>1134.58</v>
          </cell>
          <cell r="I691">
            <v>0</v>
          </cell>
          <cell r="J691">
            <v>1134.58</v>
          </cell>
          <cell r="K691">
            <v>-1</v>
          </cell>
        </row>
        <row r="692">
          <cell r="A692" t="str">
            <v>LU1253542119</v>
          </cell>
          <cell r="B692" t="str">
            <v>AMUNDI FUNDS MULTI-ASSET REAL RETURN</v>
          </cell>
          <cell r="C692" t="str">
            <v>Class Q-I JPY Hgd AD (D)</v>
          </cell>
          <cell r="D692" t="str">
            <v>JPY</v>
          </cell>
          <cell r="E692">
            <v>45747</v>
          </cell>
          <cell r="F692">
            <v>1926677572</v>
          </cell>
          <cell r="G692">
            <v>19611.78</v>
          </cell>
          <cell r="H692">
            <v>98241</v>
          </cell>
          <cell r="I692">
            <v>0</v>
          </cell>
          <cell r="J692">
            <v>98241</v>
          </cell>
          <cell r="K692">
            <v>-91</v>
          </cell>
        </row>
        <row r="693">
          <cell r="A693" t="str">
            <v>LU1253542036</v>
          </cell>
          <cell r="B693" t="str">
            <v>AMUNDI FUNDS MULTI-ASSET REAL RETURN</v>
          </cell>
          <cell r="C693" t="str">
            <v>Class Q-I JPY Hgd (C)</v>
          </cell>
          <cell r="D693" t="str">
            <v>JPY</v>
          </cell>
          <cell r="E693">
            <v>45747</v>
          </cell>
          <cell r="F693">
            <v>10968396907</v>
          </cell>
          <cell r="G693">
            <v>99552.7</v>
          </cell>
          <cell r="H693">
            <v>110177</v>
          </cell>
          <cell r="I693">
            <v>0</v>
          </cell>
          <cell r="J693">
            <v>110177</v>
          </cell>
          <cell r="K693">
            <v>-100</v>
          </cell>
        </row>
        <row r="694">
          <cell r="A694" t="str">
            <v>LU1327398035</v>
          </cell>
          <cell r="B694" t="str">
            <v>AMUNDI FUNDS MULTI-ASSET REAL RETURN</v>
          </cell>
          <cell r="C694" t="str">
            <v>Class M EUR (C)</v>
          </cell>
          <cell r="D694" t="str">
            <v>EUR</v>
          </cell>
          <cell r="E694">
            <v>45747</v>
          </cell>
          <cell r="F694">
            <v>10509128.15</v>
          </cell>
          <cell r="G694">
            <v>90902.942999999999</v>
          </cell>
          <cell r="H694">
            <v>115.61</v>
          </cell>
          <cell r="I694">
            <v>0</v>
          </cell>
          <cell r="J694">
            <v>115.61</v>
          </cell>
          <cell r="K694">
            <v>-0.1</v>
          </cell>
        </row>
        <row r="695">
          <cell r="A695" t="str">
            <v>LU1253541574</v>
          </cell>
          <cell r="B695" t="str">
            <v>AMUNDI FUNDS MULTI-ASSET REAL RETURN</v>
          </cell>
          <cell r="C695" t="str">
            <v>Class G EUR (C)</v>
          </cell>
          <cell r="D695" t="str">
            <v>EUR</v>
          </cell>
          <cell r="E695">
            <v>45747</v>
          </cell>
          <cell r="F695">
            <v>136257047.28999999</v>
          </cell>
          <cell r="G695">
            <v>1323703.0660000001</v>
          </cell>
          <cell r="H695">
            <v>102.94</v>
          </cell>
          <cell r="I695">
            <v>0</v>
          </cell>
          <cell r="J695">
            <v>106.03</v>
          </cell>
          <cell r="K695">
            <v>-0.1</v>
          </cell>
        </row>
        <row r="696">
          <cell r="A696" t="str">
            <v>LU1327398209</v>
          </cell>
          <cell r="B696" t="str">
            <v>AMUNDI FUNDS MULTI-ASSET REAL RETURN</v>
          </cell>
          <cell r="C696" t="str">
            <v>Class G EUR QD (D)</v>
          </cell>
          <cell r="D696" t="str">
            <v>EUR</v>
          </cell>
          <cell r="E696">
            <v>45747</v>
          </cell>
          <cell r="F696">
            <v>38679123.729999997</v>
          </cell>
          <cell r="G696">
            <v>430913.99300000002</v>
          </cell>
          <cell r="H696">
            <v>89.76</v>
          </cell>
          <cell r="I696">
            <v>0</v>
          </cell>
          <cell r="J696">
            <v>89.76</v>
          </cell>
          <cell r="K696">
            <v>-0.09</v>
          </cell>
        </row>
        <row r="697">
          <cell r="A697" t="str">
            <v>LU1328850950</v>
          </cell>
          <cell r="B697" t="str">
            <v>AMUNDI FUNDS EUROLAND EQUITY RISK PARITY</v>
          </cell>
          <cell r="C697" t="str">
            <v>Class A EUR (C)</v>
          </cell>
          <cell r="D697" t="str">
            <v>EUR</v>
          </cell>
          <cell r="E697">
            <v>45747</v>
          </cell>
          <cell r="F697">
            <v>619135.42000000004</v>
          </cell>
          <cell r="G697">
            <v>4022.63</v>
          </cell>
          <cell r="H697">
            <v>153.91</v>
          </cell>
          <cell r="I697">
            <v>0</v>
          </cell>
          <cell r="J697">
            <v>153.91</v>
          </cell>
          <cell r="K697">
            <v>-1.86</v>
          </cell>
        </row>
        <row r="698">
          <cell r="A698" t="str">
            <v>LU1328850448</v>
          </cell>
          <cell r="B698" t="str">
            <v>AMUNDI FUNDS EUROLAND EQUITY RISK PARITY</v>
          </cell>
          <cell r="C698" t="str">
            <v>Class I EUR (C)</v>
          </cell>
          <cell r="D698" t="str">
            <v>EUR</v>
          </cell>
          <cell r="E698">
            <v>45747</v>
          </cell>
          <cell r="F698">
            <v>51938109.210000001</v>
          </cell>
          <cell r="G698">
            <v>397.267</v>
          </cell>
          <cell r="H698">
            <v>130738.54</v>
          </cell>
          <cell r="I698">
            <v>0</v>
          </cell>
          <cell r="J698">
            <v>130738.54</v>
          </cell>
          <cell r="K698">
            <v>-1575.77</v>
          </cell>
        </row>
        <row r="699">
          <cell r="A699" t="str">
            <v>LU1328850521</v>
          </cell>
          <cell r="B699" t="str">
            <v>AMUNDI FUNDS EUROLAND EQUITY RISK PARITY</v>
          </cell>
          <cell r="C699" t="str">
            <v>Class I EUR AD (D)</v>
          </cell>
          <cell r="D699" t="str">
            <v>EUR</v>
          </cell>
          <cell r="E699">
            <v>45747</v>
          </cell>
          <cell r="F699">
            <v>99201250.010000005</v>
          </cell>
          <cell r="G699">
            <v>75137.672000000006</v>
          </cell>
          <cell r="H699">
            <v>1320.26</v>
          </cell>
          <cell r="I699">
            <v>0</v>
          </cell>
          <cell r="J699">
            <v>1320.26</v>
          </cell>
          <cell r="K699">
            <v>-15.91</v>
          </cell>
        </row>
        <row r="700">
          <cell r="A700" t="str">
            <v>LU1328849358</v>
          </cell>
          <cell r="B700" t="str">
            <v>AMUNDI FUNDS EUROPEAN SUBORDINATED BOND ESG</v>
          </cell>
          <cell r="C700" t="str">
            <v>Class A2 EUR (C)</v>
          </cell>
          <cell r="D700" t="str">
            <v>EUR</v>
          </cell>
          <cell r="E700">
            <v>45747</v>
          </cell>
          <cell r="F700">
            <v>74555491.180000007</v>
          </cell>
          <cell r="G700">
            <v>524592.89899999998</v>
          </cell>
          <cell r="H700">
            <v>142.12</v>
          </cell>
          <cell r="I700">
            <v>0</v>
          </cell>
          <cell r="J700">
            <v>142.12</v>
          </cell>
          <cell r="K700">
            <v>-0.23</v>
          </cell>
        </row>
        <row r="701">
          <cell r="A701" t="str">
            <v>LU2401725424</v>
          </cell>
          <cell r="B701" t="str">
            <v>AMUNDI FUNDS EUROPEAN SUBORDINATED BOND ESG</v>
          </cell>
          <cell r="C701" t="str">
            <v>Class A6 EUR (C)</v>
          </cell>
          <cell r="D701" t="str">
            <v>EUR</v>
          </cell>
          <cell r="E701">
            <v>45747</v>
          </cell>
          <cell r="F701">
            <v>112179453.20999999</v>
          </cell>
          <cell r="G701">
            <v>2038481.38</v>
          </cell>
          <cell r="H701">
            <v>55.03</v>
          </cell>
          <cell r="I701">
            <v>0</v>
          </cell>
          <cell r="J701">
            <v>55.03</v>
          </cell>
          <cell r="K701">
            <v>-0.09</v>
          </cell>
        </row>
        <row r="702">
          <cell r="A702" t="str">
            <v>LU1328849432</v>
          </cell>
          <cell r="B702" t="str">
            <v>AMUNDI FUNDS EUROPEAN SUBORDINATED BOND ESG</v>
          </cell>
          <cell r="C702" t="str">
            <v>Class A2 EUR AD (D)</v>
          </cell>
          <cell r="D702" t="str">
            <v>EUR</v>
          </cell>
          <cell r="E702">
            <v>45747</v>
          </cell>
          <cell r="F702">
            <v>485297.69</v>
          </cell>
          <cell r="G702">
            <v>4272.3519999999999</v>
          </cell>
          <cell r="H702">
            <v>113.59</v>
          </cell>
          <cell r="I702">
            <v>0</v>
          </cell>
          <cell r="J702">
            <v>113.59</v>
          </cell>
          <cell r="K702">
            <v>-0.18</v>
          </cell>
        </row>
        <row r="703">
          <cell r="A703" t="str">
            <v>LU2002724479</v>
          </cell>
          <cell r="B703" t="str">
            <v>AMUNDI FUNDS EUROPEAN SUBORDINATED BOND ESG</v>
          </cell>
          <cell r="C703" t="str">
            <v>Class M2 EUR ( C )</v>
          </cell>
          <cell r="D703" t="str">
            <v>EUR</v>
          </cell>
          <cell r="E703">
            <v>45747</v>
          </cell>
          <cell r="F703">
            <v>62831053.740000002</v>
          </cell>
          <cell r="G703">
            <v>50843.057000000001</v>
          </cell>
          <cell r="H703">
            <v>1235.78</v>
          </cell>
          <cell r="I703">
            <v>0</v>
          </cell>
          <cell r="J703">
            <v>1235.78</v>
          </cell>
          <cell r="K703">
            <v>-1.9</v>
          </cell>
        </row>
        <row r="704">
          <cell r="A704" t="str">
            <v>LU1328849606</v>
          </cell>
          <cell r="B704" t="str">
            <v>AMUNDI FUNDS EUROPEAN SUBORDINATED BOND ESG</v>
          </cell>
          <cell r="C704" t="str">
            <v>Class F2 EUR (C)</v>
          </cell>
          <cell r="D704" t="str">
            <v>EUR</v>
          </cell>
          <cell r="E704">
            <v>45747</v>
          </cell>
          <cell r="F704">
            <v>1612215.69</v>
          </cell>
          <cell r="G704">
            <v>12245.463</v>
          </cell>
          <cell r="H704">
            <v>131.66</v>
          </cell>
          <cell r="I704">
            <v>0</v>
          </cell>
          <cell r="J704">
            <v>131.66</v>
          </cell>
          <cell r="K704">
            <v>-0.22</v>
          </cell>
        </row>
        <row r="705">
          <cell r="A705" t="str">
            <v>LU1998920455</v>
          </cell>
          <cell r="B705" t="str">
            <v>AMUNDI FUNDS EUROPEAN SUBORDINATED BOND ESG</v>
          </cell>
          <cell r="C705" t="str">
            <v>Class H EUR  ( C )</v>
          </cell>
          <cell r="D705" t="str">
            <v>EUR</v>
          </cell>
          <cell r="E705">
            <v>45747</v>
          </cell>
          <cell r="F705">
            <v>18677953.699999999</v>
          </cell>
          <cell r="G705">
            <v>14700.785</v>
          </cell>
          <cell r="H705">
            <v>1270.54</v>
          </cell>
          <cell r="I705">
            <v>0</v>
          </cell>
          <cell r="J705">
            <v>1270.54</v>
          </cell>
          <cell r="K705">
            <v>-1.9</v>
          </cell>
        </row>
        <row r="706">
          <cell r="A706" t="str">
            <v>LU1328848970</v>
          </cell>
          <cell r="B706" t="str">
            <v>AMUNDI FUNDS EUROPEAN SUBORDINATED BOND ESG</v>
          </cell>
          <cell r="C706" t="str">
            <v>Class I EUR (C)</v>
          </cell>
          <cell r="D706" t="str">
            <v>EUR</v>
          </cell>
          <cell r="E706">
            <v>45747</v>
          </cell>
          <cell r="F706">
            <v>92078728.239999995</v>
          </cell>
          <cell r="G706">
            <v>603876.38600000006</v>
          </cell>
          <cell r="H706">
            <v>152.47999999999999</v>
          </cell>
          <cell r="I706">
            <v>0</v>
          </cell>
          <cell r="J706">
            <v>152.47999999999999</v>
          </cell>
          <cell r="K706">
            <v>-0.23</v>
          </cell>
        </row>
        <row r="707">
          <cell r="A707" t="str">
            <v>LU2477812007</v>
          </cell>
          <cell r="B707" t="str">
            <v>AMUNDI FUNDS EUROPEAN SUBORDINATED BOND ESG</v>
          </cell>
          <cell r="C707" t="str">
            <v>Class I2 EUR AD (D)</v>
          </cell>
          <cell r="D707" t="str">
            <v>EUR</v>
          </cell>
          <cell r="E707">
            <v>45747</v>
          </cell>
          <cell r="F707">
            <v>20834043.309999999</v>
          </cell>
          <cell r="G707">
            <v>18828</v>
          </cell>
          <cell r="H707">
            <v>1106.55</v>
          </cell>
          <cell r="I707">
            <v>0</v>
          </cell>
          <cell r="J707">
            <v>1106.55</v>
          </cell>
          <cell r="K707">
            <v>-1.69</v>
          </cell>
        </row>
        <row r="708">
          <cell r="A708" t="str">
            <v>LU2279408327</v>
          </cell>
          <cell r="B708" t="str">
            <v>AMUNDI FUNDS EUROPEAN SUBORDINATED BOND ESG</v>
          </cell>
          <cell r="C708" t="str">
            <v>Class M2 EUR QTD (D)</v>
          </cell>
          <cell r="D708" t="str">
            <v>EUR</v>
          </cell>
          <cell r="E708">
            <v>45747</v>
          </cell>
          <cell r="F708">
            <v>16102930.43</v>
          </cell>
          <cell r="G708">
            <v>16971.037</v>
          </cell>
          <cell r="H708">
            <v>948.85</v>
          </cell>
          <cell r="I708">
            <v>0</v>
          </cell>
          <cell r="J708">
            <v>948.85</v>
          </cell>
          <cell r="K708">
            <v>-1.46</v>
          </cell>
        </row>
        <row r="709">
          <cell r="A709" t="str">
            <v>LU1328849788</v>
          </cell>
          <cell r="B709" t="str">
            <v>AMUNDI FUNDS EUROPEAN SUBORDINATED BOND ESG</v>
          </cell>
          <cell r="C709" t="str">
            <v>Class R2 EUR (C)</v>
          </cell>
          <cell r="D709" t="str">
            <v>EUR</v>
          </cell>
          <cell r="E709">
            <v>45747</v>
          </cell>
          <cell r="F709">
            <v>4386308.8499999996</v>
          </cell>
          <cell r="G709">
            <v>28710.481</v>
          </cell>
          <cell r="H709">
            <v>152.78</v>
          </cell>
          <cell r="I709">
            <v>0</v>
          </cell>
          <cell r="J709">
            <v>152.78</v>
          </cell>
          <cell r="K709">
            <v>-0.23</v>
          </cell>
        </row>
        <row r="710">
          <cell r="A710" t="str">
            <v>LU1328849861</v>
          </cell>
          <cell r="B710" t="str">
            <v>AMUNDI FUNDS EUROPEAN SUBORDINATED BOND ESG</v>
          </cell>
          <cell r="C710" t="str">
            <v>Class R2 EUR AD (D)</v>
          </cell>
          <cell r="D710" t="str">
            <v>EUR</v>
          </cell>
          <cell r="E710">
            <v>45747</v>
          </cell>
          <cell r="F710">
            <v>280495.18</v>
          </cell>
          <cell r="G710">
            <v>2454.895</v>
          </cell>
          <cell r="H710">
            <v>114.26</v>
          </cell>
          <cell r="I710">
            <v>0</v>
          </cell>
          <cell r="J710">
            <v>114.26</v>
          </cell>
          <cell r="K710">
            <v>-0.18</v>
          </cell>
        </row>
        <row r="711">
          <cell r="A711" t="str">
            <v>LU1328849515</v>
          </cell>
          <cell r="B711" t="str">
            <v>AMUNDI FUNDS EUROPEAN SUBORDINATED BOND ESG</v>
          </cell>
          <cell r="C711" t="str">
            <v>Class G EUR (C)</v>
          </cell>
          <cell r="D711" t="str">
            <v>EUR</v>
          </cell>
          <cell r="E711">
            <v>45747</v>
          </cell>
          <cell r="F711">
            <v>10478035.289999999</v>
          </cell>
          <cell r="G711">
            <v>79066.570999999996</v>
          </cell>
          <cell r="H711">
            <v>132.52000000000001</v>
          </cell>
          <cell r="I711">
            <v>0</v>
          </cell>
          <cell r="J711">
            <v>132.52000000000001</v>
          </cell>
          <cell r="K711">
            <v>-0.22</v>
          </cell>
        </row>
        <row r="712">
          <cell r="A712" t="str">
            <v>LU2132230389</v>
          </cell>
          <cell r="B712" t="str">
            <v>AMUNDI FUNDS EUROPEAN SUBORDINATED BOND ESG</v>
          </cell>
          <cell r="C712" t="str">
            <v>Class Z EUR (C)</v>
          </cell>
          <cell r="D712" t="str">
            <v>EUR</v>
          </cell>
          <cell r="E712">
            <v>45747</v>
          </cell>
          <cell r="F712">
            <v>201555368.81</v>
          </cell>
          <cell r="G712">
            <v>171323.304</v>
          </cell>
          <cell r="H712">
            <v>1176.46</v>
          </cell>
          <cell r="I712">
            <v>0</v>
          </cell>
          <cell r="J712">
            <v>1176.46</v>
          </cell>
          <cell r="K712">
            <v>-1.79</v>
          </cell>
        </row>
        <row r="713">
          <cell r="A713" t="str">
            <v>LU1622150198</v>
          </cell>
          <cell r="B713" t="str">
            <v>AMUNDI FUNDS MULTI SECTOR CREDIT</v>
          </cell>
          <cell r="C713" t="str">
            <v>Class A EUR (C)</v>
          </cell>
          <cell r="D713" t="str">
            <v>EUR</v>
          </cell>
          <cell r="E713">
            <v>45747</v>
          </cell>
          <cell r="F713">
            <v>400077.99</v>
          </cell>
          <cell r="G713">
            <v>3304.8150000000001</v>
          </cell>
          <cell r="H713">
            <v>121.06</v>
          </cell>
          <cell r="I713">
            <v>0</v>
          </cell>
          <cell r="J713">
            <v>125.9</v>
          </cell>
          <cell r="K713">
            <v>-0.14000000000000001</v>
          </cell>
        </row>
        <row r="714">
          <cell r="A714" t="str">
            <v>LU1622150867</v>
          </cell>
          <cell r="B714" t="str">
            <v>AMUNDI FUNDS MULTI SECTOR CREDIT</v>
          </cell>
          <cell r="C714" t="str">
            <v>Class A USD (C)</v>
          </cell>
          <cell r="D714" t="str">
            <v>USD</v>
          </cell>
          <cell r="E714">
            <v>45747</v>
          </cell>
          <cell r="F714">
            <v>1110.6099999999999</v>
          </cell>
          <cell r="G714">
            <v>10</v>
          </cell>
          <cell r="H714">
            <v>111.06</v>
          </cell>
          <cell r="I714">
            <v>0</v>
          </cell>
          <cell r="J714">
            <v>115.5</v>
          </cell>
          <cell r="K714">
            <v>-0.35</v>
          </cell>
        </row>
        <row r="715">
          <cell r="A715" t="str">
            <v>LU1622150941</v>
          </cell>
          <cell r="B715" t="str">
            <v>AMUNDI FUNDS MULTI SECTOR CREDIT</v>
          </cell>
          <cell r="C715" t="str">
            <v>Class A USD Hgd (C)</v>
          </cell>
          <cell r="D715" t="str">
            <v>USD</v>
          </cell>
          <cell r="E715">
            <v>45747</v>
          </cell>
          <cell r="F715">
            <v>66194.11</v>
          </cell>
          <cell r="G715">
            <v>499.66500000000002</v>
          </cell>
          <cell r="H715">
            <v>132.47999999999999</v>
          </cell>
          <cell r="I715">
            <v>0</v>
          </cell>
          <cell r="J715">
            <v>137.78</v>
          </cell>
          <cell r="K715">
            <v>-0.14000000000000001</v>
          </cell>
        </row>
        <row r="716">
          <cell r="A716" t="str">
            <v>LU1622151246</v>
          </cell>
          <cell r="B716" t="str">
            <v>AMUNDI FUNDS MULTI SECTOR CREDIT</v>
          </cell>
          <cell r="C716" t="str">
            <v>Class F2 EUR (C)</v>
          </cell>
          <cell r="D716" t="str">
            <v>EUR</v>
          </cell>
          <cell r="E716">
            <v>45747</v>
          </cell>
          <cell r="F716">
            <v>688370.34</v>
          </cell>
          <cell r="G716">
            <v>6266.0709999999999</v>
          </cell>
          <cell r="H716">
            <v>109.86</v>
          </cell>
          <cell r="I716">
            <v>0</v>
          </cell>
          <cell r="J716">
            <v>109.86</v>
          </cell>
          <cell r="K716">
            <v>-0.12</v>
          </cell>
        </row>
        <row r="717">
          <cell r="A717" t="str">
            <v>LU1622150271</v>
          </cell>
          <cell r="B717" t="str">
            <v>AMUNDI FUNDS MULTI SECTOR CREDIT</v>
          </cell>
          <cell r="C717" t="str">
            <v>Class I EUR (C)</v>
          </cell>
          <cell r="D717" t="str">
            <v>EUR</v>
          </cell>
          <cell r="E717">
            <v>45747</v>
          </cell>
          <cell r="F717">
            <v>42589911.909999996</v>
          </cell>
          <cell r="G717">
            <v>33164.713000000003</v>
          </cell>
          <cell r="H717">
            <v>1284.19</v>
          </cell>
          <cell r="I717">
            <v>0</v>
          </cell>
          <cell r="J717">
            <v>1284.19</v>
          </cell>
          <cell r="K717">
            <v>-1.42</v>
          </cell>
        </row>
        <row r="718">
          <cell r="A718" t="str">
            <v>LU2052288615</v>
          </cell>
          <cell r="B718" t="str">
            <v>AMUNDI FUNDS MULTI SECTOR CREDIT</v>
          </cell>
          <cell r="C718" t="str">
            <v>Class I2 GBP (C)</v>
          </cell>
          <cell r="D718" t="str">
            <v>GBP</v>
          </cell>
          <cell r="E718">
            <v>45747</v>
          </cell>
          <cell r="F718">
            <v>5718.4</v>
          </cell>
          <cell r="G718">
            <v>5</v>
          </cell>
          <cell r="H718">
            <v>1143.68</v>
          </cell>
          <cell r="I718">
            <v>0</v>
          </cell>
          <cell r="J718">
            <v>1143.68</v>
          </cell>
          <cell r="K718">
            <v>-0.35</v>
          </cell>
        </row>
        <row r="719">
          <cell r="A719" t="str">
            <v>LU1622150438</v>
          </cell>
          <cell r="B719" t="str">
            <v>AMUNDI FUNDS MULTI SECTOR CREDIT</v>
          </cell>
          <cell r="C719" t="str">
            <v>Class I GBP Hgd (C)</v>
          </cell>
          <cell r="D719" t="str">
            <v>GBP</v>
          </cell>
          <cell r="E719">
            <v>45747</v>
          </cell>
          <cell r="F719">
            <v>13462.32</v>
          </cell>
          <cell r="G719">
            <v>10</v>
          </cell>
          <cell r="H719">
            <v>1346.23</v>
          </cell>
          <cell r="I719">
            <v>0</v>
          </cell>
          <cell r="J719">
            <v>1346.23</v>
          </cell>
          <cell r="K719">
            <v>-1.4</v>
          </cell>
        </row>
        <row r="720">
          <cell r="A720" t="str">
            <v>LU1622151592</v>
          </cell>
          <cell r="B720" t="str">
            <v>AMUNDI FUNDS MULTI SECTOR CREDIT</v>
          </cell>
          <cell r="C720" t="str">
            <v>Class M EUR (C)</v>
          </cell>
          <cell r="D720" t="str">
            <v>EUR</v>
          </cell>
          <cell r="E720">
            <v>45747</v>
          </cell>
          <cell r="F720">
            <v>1197.33</v>
          </cell>
          <cell r="G720">
            <v>10</v>
          </cell>
          <cell r="H720">
            <v>119.73</v>
          </cell>
          <cell r="I720">
            <v>0</v>
          </cell>
          <cell r="J720">
            <v>119.73</v>
          </cell>
          <cell r="K720">
            <v>-0.14000000000000001</v>
          </cell>
        </row>
        <row r="721">
          <cell r="A721" t="str">
            <v>LU1622150511</v>
          </cell>
          <cell r="B721" t="str">
            <v>AMUNDI FUNDS MULTI SECTOR CREDIT</v>
          </cell>
          <cell r="C721" t="str">
            <v>Class O EUR (C)</v>
          </cell>
          <cell r="D721" t="str">
            <v>EUR</v>
          </cell>
          <cell r="E721">
            <v>45747</v>
          </cell>
          <cell r="F721">
            <v>21105696.43</v>
          </cell>
          <cell r="G721">
            <v>16272.817999999999</v>
          </cell>
          <cell r="H721">
            <v>1296.99</v>
          </cell>
          <cell r="I721">
            <v>0</v>
          </cell>
          <cell r="J721">
            <v>1296.99</v>
          </cell>
          <cell r="K721">
            <v>-1.21</v>
          </cell>
        </row>
        <row r="722">
          <cell r="A722" t="str">
            <v>LU1622151162</v>
          </cell>
          <cell r="B722" t="str">
            <v>AMUNDI FUNDS MULTI SECTOR CREDIT</v>
          </cell>
          <cell r="C722" t="str">
            <v>Class R EUR (C)</v>
          </cell>
          <cell r="D722" t="str">
            <v>EUR</v>
          </cell>
          <cell r="E722">
            <v>45747</v>
          </cell>
          <cell r="F722">
            <v>1179.05</v>
          </cell>
          <cell r="G722">
            <v>10</v>
          </cell>
          <cell r="H722">
            <v>117.91</v>
          </cell>
          <cell r="I722">
            <v>0</v>
          </cell>
          <cell r="J722">
            <v>117.91</v>
          </cell>
          <cell r="K722">
            <v>-0.13</v>
          </cell>
        </row>
        <row r="723">
          <cell r="A723" t="str">
            <v>LU1622151329</v>
          </cell>
          <cell r="B723" t="str">
            <v>AMUNDI FUNDS MULTI SECTOR CREDIT</v>
          </cell>
          <cell r="C723" t="str">
            <v>Class G EUR (C)</v>
          </cell>
          <cell r="D723" t="str">
            <v>EUR</v>
          </cell>
          <cell r="E723">
            <v>45747</v>
          </cell>
          <cell r="F723">
            <v>2888829.63</v>
          </cell>
          <cell r="G723">
            <v>25827.023000000001</v>
          </cell>
          <cell r="H723">
            <v>111.85</v>
          </cell>
          <cell r="I723">
            <v>0</v>
          </cell>
          <cell r="J723">
            <v>115.21</v>
          </cell>
          <cell r="K723">
            <v>-0.13</v>
          </cell>
        </row>
        <row r="724">
          <cell r="A724" t="str">
            <v>LU1691800590</v>
          </cell>
          <cell r="B724" t="str">
            <v>AMUNDI FUNDS EUROLAND EQUITY DYNAMIC MULTI FACTORS</v>
          </cell>
          <cell r="C724" t="str">
            <v>Class A EUR (C)</v>
          </cell>
          <cell r="D724" t="str">
            <v>EUR</v>
          </cell>
          <cell r="E724">
            <v>45747</v>
          </cell>
          <cell r="F724">
            <v>48416454.829999998</v>
          </cell>
          <cell r="G724">
            <v>318874.82199999999</v>
          </cell>
          <cell r="H724">
            <v>151.84</v>
          </cell>
          <cell r="I724">
            <v>0</v>
          </cell>
          <cell r="J724">
            <v>158.66999999999999</v>
          </cell>
          <cell r="K724">
            <v>-2.4</v>
          </cell>
        </row>
        <row r="725">
          <cell r="A725" t="str">
            <v>LU1691800673</v>
          </cell>
          <cell r="B725" t="str">
            <v>AMUNDI FUNDS EUROLAND EQUITY DYNAMIC MULTI FACTORS</v>
          </cell>
          <cell r="C725" t="str">
            <v>Class I EUR (C)</v>
          </cell>
          <cell r="D725" t="str">
            <v>EUR</v>
          </cell>
          <cell r="E725">
            <v>45747</v>
          </cell>
          <cell r="F725">
            <v>88267966.700000003</v>
          </cell>
          <cell r="G725">
            <v>55685.19</v>
          </cell>
          <cell r="H725">
            <v>1585.12</v>
          </cell>
          <cell r="I725">
            <v>0</v>
          </cell>
          <cell r="J725">
            <v>1585.12</v>
          </cell>
          <cell r="K725">
            <v>-25.07</v>
          </cell>
        </row>
        <row r="726">
          <cell r="A726" t="str">
            <v>LU1691800756</v>
          </cell>
          <cell r="B726" t="str">
            <v>AMUNDI FUNDS EUROLAND EQUITY DYNAMIC MULTI FACTORS</v>
          </cell>
          <cell r="C726" t="str">
            <v>Class R EUR (C)</v>
          </cell>
          <cell r="D726" t="str">
            <v>EUR</v>
          </cell>
          <cell r="E726">
            <v>45747</v>
          </cell>
          <cell r="F726">
            <v>7465.34</v>
          </cell>
          <cell r="G726">
            <v>100</v>
          </cell>
          <cell r="H726">
            <v>74.650000000000006</v>
          </cell>
          <cell r="I726">
            <v>0</v>
          </cell>
          <cell r="J726">
            <v>74.650000000000006</v>
          </cell>
          <cell r="K726">
            <v>-1.19</v>
          </cell>
        </row>
        <row r="727">
          <cell r="A727" t="str">
            <v>LU1691800830</v>
          </cell>
          <cell r="B727" t="str">
            <v>AMUNDI FUNDS EUROLAND EQUITY DYNAMIC MULTI FACTORS</v>
          </cell>
          <cell r="C727" t="str">
            <v>Class Q-X EUR (C)</v>
          </cell>
          <cell r="D727" t="str">
            <v>EUR</v>
          </cell>
          <cell r="E727">
            <v>45747</v>
          </cell>
          <cell r="F727">
            <v>508885476.32999998</v>
          </cell>
          <cell r="G727">
            <v>319175.81599999999</v>
          </cell>
          <cell r="H727">
            <v>1594.37</v>
          </cell>
          <cell r="I727">
            <v>0</v>
          </cell>
          <cell r="J727">
            <v>1594.37</v>
          </cell>
          <cell r="K727">
            <v>-25.2</v>
          </cell>
        </row>
        <row r="728">
          <cell r="A728" t="str">
            <v>LU1691800913</v>
          </cell>
          <cell r="B728" t="str">
            <v>AMUNDI FUNDS EUROPEAN EQUITY DYNAMIC MULTI FACTORS</v>
          </cell>
          <cell r="C728" t="str">
            <v>Class A EUR (C)</v>
          </cell>
          <cell r="D728" t="str">
            <v>EUR</v>
          </cell>
          <cell r="E728">
            <v>45747</v>
          </cell>
          <cell r="F728">
            <v>2807305.77</v>
          </cell>
          <cell r="G728">
            <v>18290.915000000001</v>
          </cell>
          <cell r="H728">
            <v>153.47999999999999</v>
          </cell>
          <cell r="I728">
            <v>0</v>
          </cell>
          <cell r="J728">
            <v>160.38999999999999</v>
          </cell>
          <cell r="K728">
            <v>-2.33</v>
          </cell>
        </row>
        <row r="729">
          <cell r="A729" t="str">
            <v>LU1691801051</v>
          </cell>
          <cell r="B729" t="str">
            <v>AMUNDI FUNDS EUROPEAN EQUITY DYNAMIC MULTI FACTORS</v>
          </cell>
          <cell r="C729" t="str">
            <v>Class I EUR (C)</v>
          </cell>
          <cell r="D729" t="str">
            <v>EUR</v>
          </cell>
          <cell r="E729">
            <v>45747</v>
          </cell>
          <cell r="F729">
            <v>85017570.799999997</v>
          </cell>
          <cell r="G729">
            <v>52770.534</v>
          </cell>
          <cell r="H729">
            <v>1611.08</v>
          </cell>
          <cell r="I729">
            <v>0</v>
          </cell>
          <cell r="J729">
            <v>1611.08</v>
          </cell>
          <cell r="K729">
            <v>-24.38</v>
          </cell>
        </row>
        <row r="730">
          <cell r="A730" t="str">
            <v>LU2298072187</v>
          </cell>
          <cell r="B730" t="str">
            <v>AMUNDI FUNDS EUROPEAN EQUITY DYNAMIC MULTI FACTORS</v>
          </cell>
          <cell r="C730" t="str">
            <v>Class M2 EUR (C)</v>
          </cell>
          <cell r="D730" t="str">
            <v>EUR</v>
          </cell>
          <cell r="E730">
            <v>45747</v>
          </cell>
          <cell r="F730">
            <v>7166.05</v>
          </cell>
          <cell r="G730">
            <v>5</v>
          </cell>
          <cell r="H730">
            <v>1433.21</v>
          </cell>
          <cell r="I730">
            <v>0</v>
          </cell>
          <cell r="J730">
            <v>1433.21</v>
          </cell>
          <cell r="K730">
            <v>-21.7</v>
          </cell>
        </row>
        <row r="731">
          <cell r="A731" t="str">
            <v>LU1691801135</v>
          </cell>
          <cell r="B731" t="str">
            <v>AMUNDI FUNDS EUROPEAN EQUITY DYNAMIC MULTI FACTORS</v>
          </cell>
          <cell r="C731" t="str">
            <v>Class R EUR (C)</v>
          </cell>
          <cell r="D731" t="str">
            <v>EUR</v>
          </cell>
          <cell r="E731">
            <v>45747</v>
          </cell>
          <cell r="F731">
            <v>7398.32</v>
          </cell>
          <cell r="G731">
            <v>100</v>
          </cell>
          <cell r="H731">
            <v>73.98</v>
          </cell>
          <cell r="I731">
            <v>0</v>
          </cell>
          <cell r="J731">
            <v>73.98</v>
          </cell>
          <cell r="K731">
            <v>-1.1200000000000001</v>
          </cell>
        </row>
        <row r="732">
          <cell r="A732" t="str">
            <v>LU1691801218</v>
          </cell>
          <cell r="B732" t="str">
            <v>AMUNDI FUNDS EUROPEAN EQUITY DYNAMIC MULTI FACTORS</v>
          </cell>
          <cell r="C732" t="str">
            <v>Class Q-X EUR (C)</v>
          </cell>
          <cell r="D732" t="str">
            <v>EUR</v>
          </cell>
          <cell r="E732">
            <v>45747</v>
          </cell>
          <cell r="F732">
            <v>29052529.73</v>
          </cell>
          <cell r="G732">
            <v>18054.078000000001</v>
          </cell>
          <cell r="H732">
            <v>1609.19</v>
          </cell>
          <cell r="I732">
            <v>0</v>
          </cell>
          <cell r="J732">
            <v>1609.19</v>
          </cell>
          <cell r="K732">
            <v>-24.35</v>
          </cell>
        </row>
        <row r="733">
          <cell r="A733" t="str">
            <v>LU1956955550</v>
          </cell>
          <cell r="B733" t="str">
            <v>AMUNDI FUNDS POLEN CAPITAL GLOBAL GROWTH</v>
          </cell>
          <cell r="C733" t="str">
            <v>Class A2 EUR (C)</v>
          </cell>
          <cell r="D733" t="str">
            <v>EUR</v>
          </cell>
          <cell r="E733">
            <v>45747</v>
          </cell>
          <cell r="F733">
            <v>141745618.03</v>
          </cell>
          <cell r="G733">
            <v>890139.02399999998</v>
          </cell>
          <cell r="H733">
            <v>159.24</v>
          </cell>
          <cell r="I733">
            <v>0</v>
          </cell>
          <cell r="J733">
            <v>159.24</v>
          </cell>
          <cell r="K733">
            <v>-0.28999999999999998</v>
          </cell>
        </row>
        <row r="734">
          <cell r="A734" t="str">
            <v>LU1691799644</v>
          </cell>
          <cell r="B734" t="str">
            <v>AMUNDI FUNDS POLEN CAPITAL GLOBAL GROWTH</v>
          </cell>
          <cell r="C734" t="str">
            <v>Class A2 USD (C)</v>
          </cell>
          <cell r="D734" t="str">
            <v>USD</v>
          </cell>
          <cell r="E734">
            <v>45747</v>
          </cell>
          <cell r="F734">
            <v>46509507.289999999</v>
          </cell>
          <cell r="G734">
            <v>2456136.7629999998</v>
          </cell>
          <cell r="H734">
            <v>18.940000000000001</v>
          </cell>
          <cell r="I734">
            <v>0</v>
          </cell>
          <cell r="J734">
            <v>18.940000000000001</v>
          </cell>
          <cell r="K734">
            <v>-7.0000000000000007E-2</v>
          </cell>
        </row>
        <row r="735">
          <cell r="A735" t="str">
            <v>LU2237438200</v>
          </cell>
          <cell r="B735" t="str">
            <v>AMUNDI FUNDS POLEN CAPITAL GLOBAL GROWTH</v>
          </cell>
          <cell r="C735" t="str">
            <v>Class A2 EUR AD (D)</v>
          </cell>
          <cell r="D735" t="str">
            <v>EUR</v>
          </cell>
          <cell r="E735">
            <v>45747</v>
          </cell>
          <cell r="F735">
            <v>15088003.939999999</v>
          </cell>
          <cell r="G735">
            <v>244730.50399999999</v>
          </cell>
          <cell r="H735">
            <v>61.65</v>
          </cell>
          <cell r="I735">
            <v>0</v>
          </cell>
          <cell r="J735">
            <v>61.65</v>
          </cell>
          <cell r="K735">
            <v>-0.12</v>
          </cell>
        </row>
        <row r="736">
          <cell r="A736" t="str">
            <v>LU1956955477</v>
          </cell>
          <cell r="B736" t="str">
            <v>AMUNDI FUNDS POLEN CAPITAL GLOBAL GROWTH</v>
          </cell>
          <cell r="C736" t="str">
            <v>Class A2 EUR Hgd (C)</v>
          </cell>
          <cell r="D736" t="str">
            <v>EUR</v>
          </cell>
          <cell r="E736">
            <v>45747</v>
          </cell>
          <cell r="F736">
            <v>13839401.720000001</v>
          </cell>
          <cell r="G736">
            <v>103399.74099999999</v>
          </cell>
          <cell r="H736">
            <v>133.84</v>
          </cell>
          <cell r="I736">
            <v>0</v>
          </cell>
          <cell r="J736">
            <v>133.84</v>
          </cell>
          <cell r="K736">
            <v>-0.52</v>
          </cell>
        </row>
        <row r="737">
          <cell r="A737" t="str">
            <v>LU2199618476</v>
          </cell>
          <cell r="B737" t="str">
            <v>AMUNDI FUNDS POLEN CAPITAL GLOBAL GROWTH</v>
          </cell>
          <cell r="C737" t="str">
            <v>Class A2 CZK Hgd (C)</v>
          </cell>
          <cell r="D737" t="str">
            <v>CZK</v>
          </cell>
          <cell r="E737">
            <v>45747</v>
          </cell>
          <cell r="F737">
            <v>1180305383.74</v>
          </cell>
          <cell r="G737">
            <v>1067524.1640000001</v>
          </cell>
          <cell r="H737">
            <v>1105.6500000000001</v>
          </cell>
          <cell r="I737">
            <v>0</v>
          </cell>
          <cell r="J737">
            <v>1155.4000000000001</v>
          </cell>
          <cell r="K737">
            <v>-4.28</v>
          </cell>
        </row>
        <row r="738">
          <cell r="A738" t="str">
            <v>LU2002723745</v>
          </cell>
          <cell r="B738" t="str">
            <v>AMUNDI FUNDS POLEN CAPITAL GLOBAL GROWTH</v>
          </cell>
          <cell r="C738" t="str">
            <v>Class M2 EUR ( C )</v>
          </cell>
          <cell r="D738" t="str">
            <v>EUR</v>
          </cell>
          <cell r="E738">
            <v>45747</v>
          </cell>
          <cell r="F738">
            <v>3874685.16</v>
          </cell>
          <cell r="G738">
            <v>2466.92</v>
          </cell>
          <cell r="H738">
            <v>1570.66</v>
          </cell>
          <cell r="I738">
            <v>0</v>
          </cell>
          <cell r="J738">
            <v>1570.66</v>
          </cell>
          <cell r="K738">
            <v>-2.74</v>
          </cell>
        </row>
        <row r="739">
          <cell r="A739" t="str">
            <v>LU2162036235</v>
          </cell>
          <cell r="B739" t="str">
            <v>AMUNDI FUNDS POLEN CAPITAL GLOBAL GROWTH</v>
          </cell>
          <cell r="C739" t="str">
            <v>Class C USD (C)</v>
          </cell>
          <cell r="D739" t="str">
            <v>USD</v>
          </cell>
          <cell r="E739">
            <v>45747</v>
          </cell>
          <cell r="F739">
            <v>2159316.7999999998</v>
          </cell>
          <cell r="G739">
            <v>32609.47</v>
          </cell>
          <cell r="H739">
            <v>66.22</v>
          </cell>
          <cell r="I739">
            <v>0</v>
          </cell>
          <cell r="J739">
            <v>66.22</v>
          </cell>
          <cell r="K739">
            <v>-0.25</v>
          </cell>
        </row>
        <row r="740">
          <cell r="A740" t="str">
            <v>LU2199619011</v>
          </cell>
          <cell r="B740" t="str">
            <v>AMUNDI FUNDS POLEN CAPITAL GLOBAL GROWTH</v>
          </cell>
          <cell r="C740" t="str">
            <v>Class E2 EUR (C)</v>
          </cell>
          <cell r="D740" t="str">
            <v>EUR</v>
          </cell>
          <cell r="E740">
            <v>45747</v>
          </cell>
          <cell r="F740">
            <v>4012619.06</v>
          </cell>
          <cell r="G740">
            <v>615949.25300000003</v>
          </cell>
          <cell r="H740">
            <v>6.5149999999999997</v>
          </cell>
          <cell r="I740">
            <v>0</v>
          </cell>
          <cell r="J740">
            <v>6.7759999999999998</v>
          </cell>
          <cell r="K740">
            <v>-1.0999999999999999E-2</v>
          </cell>
        </row>
        <row r="741">
          <cell r="A741" t="str">
            <v>LU2199619102</v>
          </cell>
          <cell r="B741" t="str">
            <v>AMUNDI FUNDS POLEN CAPITAL GLOBAL GROWTH</v>
          </cell>
          <cell r="C741" t="str">
            <v>Class E2 EUR Hgd (C)</v>
          </cell>
          <cell r="D741" t="str">
            <v>EUR</v>
          </cell>
          <cell r="E741">
            <v>45747</v>
          </cell>
          <cell r="F741">
            <v>680766.55</v>
          </cell>
          <cell r="G741">
            <v>124092.595</v>
          </cell>
          <cell r="H741">
            <v>5.4859999999999998</v>
          </cell>
          <cell r="I741">
            <v>0</v>
          </cell>
          <cell r="J741">
            <v>5.7050000000000001</v>
          </cell>
          <cell r="K741">
            <v>-2.1000000000000001E-2</v>
          </cell>
        </row>
        <row r="742">
          <cell r="A742" t="str">
            <v>LU2199619284</v>
          </cell>
          <cell r="B742" t="str">
            <v>AMUNDI FUNDS POLEN CAPITAL GLOBAL GROWTH</v>
          </cell>
          <cell r="C742" t="str">
            <v>Class F USD (C)</v>
          </cell>
          <cell r="D742" t="str">
            <v>USD</v>
          </cell>
          <cell r="E742">
            <v>45747</v>
          </cell>
          <cell r="F742">
            <v>1420395.46</v>
          </cell>
          <cell r="G742">
            <v>243908.79699999999</v>
          </cell>
          <cell r="H742">
            <v>5.8230000000000004</v>
          </cell>
          <cell r="I742">
            <v>0</v>
          </cell>
          <cell r="J742">
            <v>5.8230000000000004</v>
          </cell>
          <cell r="K742">
            <v>-2.3E-2</v>
          </cell>
        </row>
        <row r="743">
          <cell r="A743" t="str">
            <v>LU2199619367</v>
          </cell>
          <cell r="B743" t="str">
            <v>AMUNDI FUNDS POLEN CAPITAL GLOBAL GROWTH</v>
          </cell>
          <cell r="C743" t="str">
            <v>Class F EUR Hgd (C)</v>
          </cell>
          <cell r="D743" t="str">
            <v>EUR</v>
          </cell>
          <cell r="E743">
            <v>45747</v>
          </cell>
          <cell r="F743">
            <v>3084684.91</v>
          </cell>
          <cell r="G743">
            <v>584896.60100000002</v>
          </cell>
          <cell r="H743">
            <v>5.274</v>
          </cell>
          <cell r="I743">
            <v>0</v>
          </cell>
          <cell r="J743">
            <v>5.274</v>
          </cell>
          <cell r="K743">
            <v>-2.1000000000000001E-2</v>
          </cell>
        </row>
        <row r="744">
          <cell r="A744" t="str">
            <v>LU2052289001</v>
          </cell>
          <cell r="B744" t="str">
            <v>AMUNDI FUNDS POLEN CAPITAL GLOBAL GROWTH</v>
          </cell>
          <cell r="C744" t="str">
            <v>Class I2 GBP (C)</v>
          </cell>
          <cell r="D744" t="str">
            <v>GBP</v>
          </cell>
          <cell r="E744">
            <v>45747</v>
          </cell>
          <cell r="F744">
            <v>1538.01</v>
          </cell>
          <cell r="G744">
            <v>1</v>
          </cell>
          <cell r="H744">
            <v>1538.01</v>
          </cell>
          <cell r="I744">
            <v>0</v>
          </cell>
          <cell r="J744">
            <v>1538.01</v>
          </cell>
          <cell r="K744">
            <v>-1.68</v>
          </cell>
        </row>
        <row r="745">
          <cell r="A745" t="str">
            <v>LU1956955634</v>
          </cell>
          <cell r="B745" t="str">
            <v>AMUNDI FUNDS POLEN CAPITAL GLOBAL GROWTH</v>
          </cell>
          <cell r="C745" t="str">
            <v>Class I2 EUR (C)</v>
          </cell>
          <cell r="D745" t="str">
            <v>EUR</v>
          </cell>
          <cell r="E745">
            <v>45747</v>
          </cell>
          <cell r="F745">
            <v>42027052.079999998</v>
          </cell>
          <cell r="G745">
            <v>24899.258000000002</v>
          </cell>
          <cell r="H745">
            <v>1687.88</v>
          </cell>
          <cell r="I745">
            <v>0</v>
          </cell>
          <cell r="J745">
            <v>1687.88</v>
          </cell>
          <cell r="K745">
            <v>-2.97</v>
          </cell>
        </row>
        <row r="746">
          <cell r="A746" t="str">
            <v>LU1691799990</v>
          </cell>
          <cell r="B746" t="str">
            <v>AMUNDI FUNDS POLEN CAPITAL GLOBAL GROWTH</v>
          </cell>
          <cell r="C746" t="str">
            <v>Class I2 USD (C)</v>
          </cell>
          <cell r="D746" t="str">
            <v>USD</v>
          </cell>
          <cell r="E746">
            <v>45747</v>
          </cell>
          <cell r="F746">
            <v>124368303.76000001</v>
          </cell>
          <cell r="G746">
            <v>4441803.5310000004</v>
          </cell>
          <cell r="H746">
            <v>28</v>
          </cell>
          <cell r="I746">
            <v>0</v>
          </cell>
          <cell r="J746">
            <v>28</v>
          </cell>
          <cell r="K746">
            <v>-0.1</v>
          </cell>
        </row>
        <row r="747">
          <cell r="A747" t="str">
            <v>LU1956955717</v>
          </cell>
          <cell r="B747" t="str">
            <v>AMUNDI FUNDS POLEN CAPITAL GLOBAL GROWTH</v>
          </cell>
          <cell r="C747" t="str">
            <v>Class I2 EUR Hgd (C)</v>
          </cell>
          <cell r="D747" t="str">
            <v>EUR</v>
          </cell>
          <cell r="E747">
            <v>45747</v>
          </cell>
          <cell r="F747">
            <v>520086.23</v>
          </cell>
          <cell r="G747">
            <v>364.75700000000001</v>
          </cell>
          <cell r="H747">
            <v>1425.84</v>
          </cell>
          <cell r="I747">
            <v>0</v>
          </cell>
          <cell r="J747">
            <v>1425.84</v>
          </cell>
          <cell r="K747">
            <v>-5.4</v>
          </cell>
        </row>
        <row r="748">
          <cell r="A748" t="str">
            <v>LU2224462106</v>
          </cell>
          <cell r="B748" t="str">
            <v>AMUNDI FUNDS POLEN CAPITAL GLOBAL GROWTH</v>
          </cell>
          <cell r="C748" t="str">
            <v>Class J3 GBP Hgd (C)</v>
          </cell>
          <cell r="D748" t="str">
            <v>GBP</v>
          </cell>
          <cell r="E748">
            <v>45747</v>
          </cell>
          <cell r="F748">
            <v>127178.86</v>
          </cell>
          <cell r="G748">
            <v>109.785</v>
          </cell>
          <cell r="H748">
            <v>1158.44</v>
          </cell>
          <cell r="I748">
            <v>0</v>
          </cell>
          <cell r="J748">
            <v>1158.44</v>
          </cell>
          <cell r="K748">
            <v>-4.29</v>
          </cell>
        </row>
        <row r="749">
          <cell r="A749" t="str">
            <v>LU2110862385</v>
          </cell>
          <cell r="B749" t="str">
            <v>AMUNDI FUNDS POLEN CAPITAL GLOBAL GROWTH</v>
          </cell>
          <cell r="C749" t="str">
            <v>Class J3 GBP (C)</v>
          </cell>
          <cell r="D749" t="str">
            <v>GBP</v>
          </cell>
          <cell r="E749">
            <v>45747</v>
          </cell>
          <cell r="F749">
            <v>4165202.52</v>
          </cell>
          <cell r="G749">
            <v>2985.3850000000002</v>
          </cell>
          <cell r="H749">
            <v>1395.2</v>
          </cell>
          <cell r="I749">
            <v>0</v>
          </cell>
          <cell r="J749">
            <v>1395.2</v>
          </cell>
          <cell r="K749">
            <v>-1.51</v>
          </cell>
        </row>
        <row r="750">
          <cell r="A750" t="str">
            <v>LU2110862468</v>
          </cell>
          <cell r="B750" t="str">
            <v>AMUNDI FUNDS POLEN CAPITAL GLOBAL GROWTH</v>
          </cell>
          <cell r="C750" t="str">
            <v>Class J3 GBP AD (D)</v>
          </cell>
          <cell r="D750" t="str">
            <v>GBP</v>
          </cell>
          <cell r="E750">
            <v>45747</v>
          </cell>
          <cell r="F750">
            <v>771853.05</v>
          </cell>
          <cell r="G750">
            <v>553.20399999999995</v>
          </cell>
          <cell r="H750">
            <v>1395.24</v>
          </cell>
          <cell r="I750">
            <v>0</v>
          </cell>
          <cell r="J750">
            <v>1395.24</v>
          </cell>
          <cell r="K750">
            <v>-1.52</v>
          </cell>
        </row>
        <row r="751">
          <cell r="A751" t="str">
            <v>LU2052289779</v>
          </cell>
          <cell r="B751" t="str">
            <v>AMUNDI FUNDS POLEN CAPITAL GLOBAL GROWTH</v>
          </cell>
          <cell r="C751" t="str">
            <v>Class P2 USD (C)</v>
          </cell>
          <cell r="D751" t="str">
            <v>USD</v>
          </cell>
          <cell r="E751">
            <v>45747</v>
          </cell>
          <cell r="F751">
            <v>5728558.4299999997</v>
          </cell>
          <cell r="G751">
            <v>76780.831000000006</v>
          </cell>
          <cell r="H751">
            <v>74.61</v>
          </cell>
          <cell r="I751">
            <v>0</v>
          </cell>
          <cell r="J751">
            <v>74.61</v>
          </cell>
          <cell r="K751">
            <v>-0.28000000000000003</v>
          </cell>
        </row>
        <row r="752">
          <cell r="A752" t="str">
            <v>LU2183143259</v>
          </cell>
          <cell r="B752" t="str">
            <v>AMUNDI FUNDS POLEN CAPITAL GLOBAL GROWTH</v>
          </cell>
          <cell r="C752" t="str">
            <v>Class R EUR (C)</v>
          </cell>
          <cell r="D752" t="str">
            <v>EUR</v>
          </cell>
          <cell r="E752">
            <v>45747</v>
          </cell>
          <cell r="F752">
            <v>467904.28</v>
          </cell>
          <cell r="G752">
            <v>6859.0780000000004</v>
          </cell>
          <cell r="H752">
            <v>68.22</v>
          </cell>
          <cell r="I752">
            <v>0</v>
          </cell>
          <cell r="J752">
            <v>68.22</v>
          </cell>
          <cell r="K752">
            <v>-0.12</v>
          </cell>
        </row>
        <row r="753">
          <cell r="A753" t="str">
            <v>LU2183143176</v>
          </cell>
          <cell r="B753" t="str">
            <v>AMUNDI FUNDS POLEN CAPITAL GLOBAL GROWTH</v>
          </cell>
          <cell r="C753" t="str">
            <v>Class R USD (C)</v>
          </cell>
          <cell r="D753" t="str">
            <v>USD</v>
          </cell>
          <cell r="E753">
            <v>45747</v>
          </cell>
          <cell r="F753">
            <v>364624.27</v>
          </cell>
          <cell r="G753">
            <v>5572.1109999999999</v>
          </cell>
          <cell r="H753">
            <v>65.44</v>
          </cell>
          <cell r="I753">
            <v>0</v>
          </cell>
          <cell r="J753">
            <v>65.44</v>
          </cell>
          <cell r="K753">
            <v>-0.24</v>
          </cell>
        </row>
        <row r="754">
          <cell r="A754" t="str">
            <v>LU2208987334</v>
          </cell>
          <cell r="B754" t="str">
            <v>AMUNDI FUNDS POLEN CAPITAL GLOBAL GROWTH</v>
          </cell>
          <cell r="C754" t="str">
            <v>Class R3 GBP ( C )</v>
          </cell>
          <cell r="D754" t="str">
            <v>GBP</v>
          </cell>
          <cell r="E754">
            <v>45747</v>
          </cell>
          <cell r="F754">
            <v>214636.96</v>
          </cell>
          <cell r="G754">
            <v>17060.294999999998</v>
          </cell>
          <cell r="H754">
            <v>12.58</v>
          </cell>
          <cell r="I754">
            <v>0</v>
          </cell>
          <cell r="J754">
            <v>12.58</v>
          </cell>
          <cell r="K754">
            <v>-0.01</v>
          </cell>
        </row>
        <row r="755">
          <cell r="A755" t="str">
            <v>LU2208988142</v>
          </cell>
          <cell r="B755" t="str">
            <v>AMUNDI FUNDS POLEN CAPITAL GLOBAL GROWTH</v>
          </cell>
          <cell r="C755" t="str">
            <v>Class R3 GBP AD (D)</v>
          </cell>
          <cell r="D755" t="str">
            <v>GBP</v>
          </cell>
          <cell r="E755">
            <v>45747</v>
          </cell>
          <cell r="F755">
            <v>121640.7</v>
          </cell>
          <cell r="G755">
            <v>9666.9689999999991</v>
          </cell>
          <cell r="H755">
            <v>12.58</v>
          </cell>
          <cell r="I755">
            <v>0</v>
          </cell>
          <cell r="J755">
            <v>12.58</v>
          </cell>
          <cell r="K755">
            <v>-0.02</v>
          </cell>
        </row>
        <row r="756">
          <cell r="A756" t="str">
            <v>LU2183143333</v>
          </cell>
          <cell r="B756" t="str">
            <v>AMUNDI FUNDS POLEN CAPITAL GLOBAL GROWTH</v>
          </cell>
          <cell r="C756" t="str">
            <v>Class R EUR Hgd (C)</v>
          </cell>
          <cell r="D756" t="str">
            <v>EUR</v>
          </cell>
          <cell r="E756">
            <v>45747</v>
          </cell>
          <cell r="F756">
            <v>119283.49</v>
          </cell>
          <cell r="G756">
            <v>2000</v>
          </cell>
          <cell r="H756">
            <v>59.64</v>
          </cell>
          <cell r="I756">
            <v>0</v>
          </cell>
          <cell r="J756">
            <v>59.64</v>
          </cell>
          <cell r="K756">
            <v>-0.23</v>
          </cell>
        </row>
        <row r="757">
          <cell r="A757" t="str">
            <v>LU2199618989</v>
          </cell>
          <cell r="B757" t="str">
            <v>AMUNDI FUNDS POLEN CAPITAL GLOBAL GROWTH</v>
          </cell>
          <cell r="C757" t="str">
            <v>Class G EUR Hgd (C)</v>
          </cell>
          <cell r="D757" t="str">
            <v>EUR</v>
          </cell>
          <cell r="E757">
            <v>45747</v>
          </cell>
          <cell r="F757">
            <v>8937622.3399999999</v>
          </cell>
          <cell r="G757">
            <v>1660098.1270000001</v>
          </cell>
          <cell r="H757">
            <v>5.3840000000000003</v>
          </cell>
          <cell r="I757">
            <v>0</v>
          </cell>
          <cell r="J757">
            <v>5.5460000000000003</v>
          </cell>
          <cell r="K757">
            <v>-2.1000000000000001E-2</v>
          </cell>
        </row>
        <row r="758">
          <cell r="A758" t="str">
            <v>LU2199618807</v>
          </cell>
          <cell r="B758" t="str">
            <v>AMUNDI FUNDS POLEN CAPITAL GLOBAL GROWTH</v>
          </cell>
          <cell r="C758" t="str">
            <v>Class G EUR (C)</v>
          </cell>
          <cell r="D758" t="str">
            <v>EUR</v>
          </cell>
          <cell r="E758">
            <v>45747</v>
          </cell>
          <cell r="F758">
            <v>261711.91</v>
          </cell>
          <cell r="G758">
            <v>40928.695</v>
          </cell>
          <cell r="H758">
            <v>6.3940000000000001</v>
          </cell>
          <cell r="I758">
            <v>0</v>
          </cell>
          <cell r="J758">
            <v>6.5860000000000003</v>
          </cell>
          <cell r="K758">
            <v>-1.2E-2</v>
          </cell>
        </row>
        <row r="759">
          <cell r="A759" t="str">
            <v>LU2176991938</v>
          </cell>
          <cell r="B759" t="str">
            <v>AMUNDI FUNDS POLEN CAPITAL GLOBAL GROWTH</v>
          </cell>
          <cell r="C759" t="str">
            <v>Class G USD (C)</v>
          </cell>
          <cell r="D759" t="str">
            <v>USD</v>
          </cell>
          <cell r="E759">
            <v>45747</v>
          </cell>
          <cell r="F759">
            <v>10023739.390000001</v>
          </cell>
          <cell r="G759">
            <v>1526595.39</v>
          </cell>
          <cell r="H759">
            <v>6.5659999999999998</v>
          </cell>
          <cell r="I759">
            <v>0</v>
          </cell>
          <cell r="J759">
            <v>6.5659999999999998</v>
          </cell>
          <cell r="K759">
            <v>-2.5000000000000001E-2</v>
          </cell>
        </row>
        <row r="760">
          <cell r="A760" t="str">
            <v>LU1926208726</v>
          </cell>
          <cell r="B760" t="str">
            <v>AMUNDI FUNDS JAPAN EQUITY ENGAGEMENT</v>
          </cell>
          <cell r="C760" t="str">
            <v>Class A EUR (C)</v>
          </cell>
          <cell r="D760" t="str">
            <v>EUR</v>
          </cell>
          <cell r="E760">
            <v>45747</v>
          </cell>
          <cell r="F760">
            <v>10443252.369999999</v>
          </cell>
          <cell r="G760">
            <v>87772.928</v>
          </cell>
          <cell r="H760">
            <v>118.98</v>
          </cell>
          <cell r="I760">
            <v>0</v>
          </cell>
          <cell r="J760">
            <v>124.33</v>
          </cell>
          <cell r="K760">
            <v>-3.34</v>
          </cell>
        </row>
        <row r="761">
          <cell r="A761" t="str">
            <v>LU1923161894</v>
          </cell>
          <cell r="B761" t="str">
            <v>AMUNDI FUNDS JAPAN EQUITY ENGAGEMENT</v>
          </cell>
          <cell r="C761" t="str">
            <v>Class A USD (C)</v>
          </cell>
          <cell r="D761" t="str">
            <v>USD</v>
          </cell>
          <cell r="E761">
            <v>45747</v>
          </cell>
          <cell r="F761">
            <v>2646454.86</v>
          </cell>
          <cell r="G761">
            <v>44612.968999999997</v>
          </cell>
          <cell r="H761">
            <v>59.32</v>
          </cell>
          <cell r="I761">
            <v>0</v>
          </cell>
          <cell r="J761">
            <v>61.99</v>
          </cell>
          <cell r="K761">
            <v>-1.78</v>
          </cell>
        </row>
        <row r="762">
          <cell r="A762" t="str">
            <v>LU1923162942</v>
          </cell>
          <cell r="B762" t="str">
            <v>AMUNDI FUNDS JAPAN EQUITY ENGAGEMENT</v>
          </cell>
          <cell r="C762" t="str">
            <v>Class M2 EUR (C)</v>
          </cell>
          <cell r="D762" t="str">
            <v>EUR</v>
          </cell>
          <cell r="E762">
            <v>45747</v>
          </cell>
          <cell r="F762">
            <v>102729.84</v>
          </cell>
          <cell r="G762">
            <v>77.578000000000003</v>
          </cell>
          <cell r="H762">
            <v>1324.21</v>
          </cell>
          <cell r="I762">
            <v>0</v>
          </cell>
          <cell r="J762">
            <v>1324.21</v>
          </cell>
          <cell r="K762">
            <v>-37.049999999999997</v>
          </cell>
        </row>
        <row r="763">
          <cell r="A763" t="str">
            <v>LU1923162355</v>
          </cell>
          <cell r="B763" t="str">
            <v>AMUNDI FUNDS JAPAN EQUITY ENGAGEMENT</v>
          </cell>
          <cell r="C763" t="str">
            <v>Class C EUR (C)</v>
          </cell>
          <cell r="D763" t="str">
            <v>EUR</v>
          </cell>
          <cell r="E763">
            <v>45747</v>
          </cell>
          <cell r="F763">
            <v>141212.9</v>
          </cell>
          <cell r="G763">
            <v>2408.4540000000002</v>
          </cell>
          <cell r="H763">
            <v>58.63</v>
          </cell>
          <cell r="I763">
            <v>0</v>
          </cell>
          <cell r="J763">
            <v>58.63</v>
          </cell>
          <cell r="K763">
            <v>-1.65</v>
          </cell>
        </row>
        <row r="764">
          <cell r="A764" t="str">
            <v>LU1923162272</v>
          </cell>
          <cell r="B764" t="str">
            <v>AMUNDI FUNDS JAPAN EQUITY ENGAGEMENT</v>
          </cell>
          <cell r="C764" t="str">
            <v>Class C USD (C)</v>
          </cell>
          <cell r="D764" t="str">
            <v>USD</v>
          </cell>
          <cell r="E764">
            <v>45747</v>
          </cell>
          <cell r="F764">
            <v>123759.49</v>
          </cell>
          <cell r="G764">
            <v>2177.395</v>
          </cell>
          <cell r="H764">
            <v>56.84</v>
          </cell>
          <cell r="I764">
            <v>0</v>
          </cell>
          <cell r="J764">
            <v>56.84</v>
          </cell>
          <cell r="K764">
            <v>-1.71</v>
          </cell>
        </row>
        <row r="765">
          <cell r="A765" t="str">
            <v>LU1923162512</v>
          </cell>
          <cell r="B765" t="str">
            <v>AMUNDI FUNDS JAPAN EQUITY ENGAGEMENT</v>
          </cell>
          <cell r="C765" t="str">
            <v>Class E2 EUR (C)</v>
          </cell>
          <cell r="D765" t="str">
            <v>EUR</v>
          </cell>
          <cell r="E765">
            <v>45747</v>
          </cell>
          <cell r="F765">
            <v>6888544.5099999998</v>
          </cell>
          <cell r="G765">
            <v>1089073.6429999999</v>
          </cell>
          <cell r="H765">
            <v>6.3250000000000002</v>
          </cell>
          <cell r="I765">
            <v>0</v>
          </cell>
          <cell r="J765">
            <v>6.3250000000000002</v>
          </cell>
          <cell r="K765">
            <v>-0.17699999999999999</v>
          </cell>
        </row>
        <row r="766">
          <cell r="A766" t="str">
            <v>LU1923162439</v>
          </cell>
          <cell r="B766" t="str">
            <v>AMUNDI FUNDS JAPAN EQUITY ENGAGEMENT</v>
          </cell>
          <cell r="C766" t="str">
            <v>Class E2 EUR Hgd (C)</v>
          </cell>
          <cell r="D766" t="str">
            <v>EUR</v>
          </cell>
          <cell r="E766">
            <v>45747</v>
          </cell>
          <cell r="F766">
            <v>2897867.58</v>
          </cell>
          <cell r="G766">
            <v>327474.26</v>
          </cell>
          <cell r="H766">
            <v>8.8490000000000002</v>
          </cell>
          <cell r="I766">
            <v>0</v>
          </cell>
          <cell r="J766">
            <v>8.8490000000000002</v>
          </cell>
          <cell r="K766">
            <v>-0.313</v>
          </cell>
        </row>
        <row r="767">
          <cell r="A767" t="str">
            <v>LU1923162603</v>
          </cell>
          <cell r="B767" t="str">
            <v>AMUNDI FUNDS JAPAN EQUITY ENGAGEMENT</v>
          </cell>
          <cell r="C767" t="str">
            <v>Class F EUR (C)</v>
          </cell>
          <cell r="D767" t="str">
            <v>EUR</v>
          </cell>
          <cell r="E767">
            <v>45747</v>
          </cell>
          <cell r="F767">
            <v>3956051.87</v>
          </cell>
          <cell r="G767">
            <v>675864.29700000002</v>
          </cell>
          <cell r="H767">
            <v>5.8529999999999998</v>
          </cell>
          <cell r="I767">
            <v>0</v>
          </cell>
          <cell r="J767">
            <v>5.8529999999999998</v>
          </cell>
          <cell r="K767">
            <v>-0.16500000000000001</v>
          </cell>
        </row>
        <row r="768">
          <cell r="A768" t="str">
            <v>LU2176991425</v>
          </cell>
          <cell r="B768" t="str">
            <v>AMUNDI FUNDS JAPAN EQUITY ENGAGEMENT</v>
          </cell>
          <cell r="C768" t="str">
            <v>Class I2 GBP (C)</v>
          </cell>
          <cell r="D768" t="str">
            <v>GBP</v>
          </cell>
          <cell r="E768">
            <v>45747</v>
          </cell>
          <cell r="F768">
            <v>5086</v>
          </cell>
          <cell r="G768">
            <v>5</v>
          </cell>
          <cell r="H768">
            <v>1017.2</v>
          </cell>
          <cell r="I768">
            <v>0</v>
          </cell>
          <cell r="J768">
            <v>1017.2</v>
          </cell>
          <cell r="K768">
            <v>-27.78</v>
          </cell>
        </row>
        <row r="769">
          <cell r="A769" t="str">
            <v>LU1923163080</v>
          </cell>
          <cell r="B769" t="str">
            <v>AMUNDI FUNDS JAPAN EQUITY ENGAGEMENT</v>
          </cell>
          <cell r="C769" t="str">
            <v>Class I2 USD (C)</v>
          </cell>
          <cell r="D769" t="str">
            <v>USD</v>
          </cell>
          <cell r="E769">
            <v>45747</v>
          </cell>
          <cell r="F769">
            <v>524693.49</v>
          </cell>
          <cell r="G769">
            <v>411.14299999999997</v>
          </cell>
          <cell r="H769">
            <v>1276.18</v>
          </cell>
          <cell r="I769">
            <v>0</v>
          </cell>
          <cell r="J769">
            <v>1276.18</v>
          </cell>
          <cell r="K769">
            <v>-38.270000000000003</v>
          </cell>
        </row>
        <row r="770">
          <cell r="A770" t="str">
            <v>LU2249602553</v>
          </cell>
          <cell r="B770" t="str">
            <v>AMUNDI FUNDS JAPAN EQUITY ENGAGEMENT</v>
          </cell>
          <cell r="C770" t="str">
            <v>Class I JPY ( C )</v>
          </cell>
          <cell r="D770" t="str">
            <v>JPY</v>
          </cell>
          <cell r="E770">
            <v>45747</v>
          </cell>
          <cell r="F770">
            <v>622517</v>
          </cell>
          <cell r="G770">
            <v>5</v>
          </cell>
          <cell r="H770">
            <v>124503</v>
          </cell>
          <cell r="I770">
            <v>0</v>
          </cell>
          <cell r="J770">
            <v>124503</v>
          </cell>
          <cell r="K770">
            <v>-4363</v>
          </cell>
        </row>
        <row r="771">
          <cell r="A771" t="str">
            <v>LU1923163163</v>
          </cell>
          <cell r="B771" t="str">
            <v>AMUNDI FUNDS JAPAN EQUITY ENGAGEMENT</v>
          </cell>
          <cell r="C771" t="str">
            <v>Class I2 EUR (C)</v>
          </cell>
          <cell r="D771" t="str">
            <v>EUR</v>
          </cell>
          <cell r="E771">
            <v>45747</v>
          </cell>
          <cell r="F771">
            <v>3298057.98</v>
          </cell>
          <cell r="G771">
            <v>2505.1080000000002</v>
          </cell>
          <cell r="H771">
            <v>1316.53</v>
          </cell>
          <cell r="I771">
            <v>0</v>
          </cell>
          <cell r="J771">
            <v>1316.53</v>
          </cell>
          <cell r="K771">
            <v>-36.85</v>
          </cell>
        </row>
        <row r="772">
          <cell r="A772" t="str">
            <v>LU1923162785</v>
          </cell>
          <cell r="B772" t="str">
            <v>AMUNDI FUNDS JAPAN EQUITY ENGAGEMENT</v>
          </cell>
          <cell r="C772" t="str">
            <v>Class G EUR (C)</v>
          </cell>
          <cell r="D772" t="str">
            <v>EUR</v>
          </cell>
          <cell r="E772">
            <v>45747</v>
          </cell>
          <cell r="F772">
            <v>426718.01</v>
          </cell>
          <cell r="G772">
            <v>69883.504000000001</v>
          </cell>
          <cell r="H772">
            <v>6.1059999999999999</v>
          </cell>
          <cell r="I772">
            <v>0</v>
          </cell>
          <cell r="J772">
            <v>6.1059999999999999</v>
          </cell>
          <cell r="K772">
            <v>-0.17100000000000001</v>
          </cell>
        </row>
        <row r="773">
          <cell r="A773" t="str">
            <v>LU1923163320</v>
          </cell>
          <cell r="B773" t="str">
            <v>AMUNDI FUNDS JAPAN EQUITY ENGAGEMENT</v>
          </cell>
          <cell r="C773" t="str">
            <v>Class R2 EUR (C)</v>
          </cell>
          <cell r="D773" t="str">
            <v>EUR</v>
          </cell>
          <cell r="E773">
            <v>45747</v>
          </cell>
          <cell r="F773">
            <v>5771.53</v>
          </cell>
          <cell r="G773">
            <v>88.63</v>
          </cell>
          <cell r="H773">
            <v>65.12</v>
          </cell>
          <cell r="I773">
            <v>0</v>
          </cell>
          <cell r="J773">
            <v>65.12</v>
          </cell>
          <cell r="K773">
            <v>-1.82</v>
          </cell>
        </row>
        <row r="774">
          <cell r="A774" t="str">
            <v>LU2259110539</v>
          </cell>
          <cell r="B774" t="str">
            <v>AMUNDI FUNDS JAPAN EQUITY ENGAGEMENT</v>
          </cell>
          <cell r="C774" t="str">
            <v>Class R2 GBP (C)</v>
          </cell>
          <cell r="D774" t="str">
            <v>GBP</v>
          </cell>
          <cell r="E774">
            <v>45747</v>
          </cell>
          <cell r="F774">
            <v>13236.09</v>
          </cell>
          <cell r="G774">
            <v>309.00700000000001</v>
          </cell>
          <cell r="H774">
            <v>42.83</v>
          </cell>
          <cell r="I774">
            <v>0</v>
          </cell>
          <cell r="J774">
            <v>42.83</v>
          </cell>
          <cell r="K774">
            <v>-1.17</v>
          </cell>
        </row>
        <row r="775">
          <cell r="A775" t="str">
            <v>LU1926209377</v>
          </cell>
          <cell r="B775" t="str">
            <v>AMUNDI FUNDS JAPAN EQUITY ENGAGEMENT</v>
          </cell>
          <cell r="C775" t="str">
            <v>Class R EUR (C)</v>
          </cell>
          <cell r="D775" t="str">
            <v>EUR</v>
          </cell>
          <cell r="E775">
            <v>45747</v>
          </cell>
          <cell r="F775">
            <v>45520.639999999999</v>
          </cell>
          <cell r="G775">
            <v>366</v>
          </cell>
          <cell r="H775">
            <v>124.37</v>
          </cell>
          <cell r="I775">
            <v>0</v>
          </cell>
          <cell r="J775">
            <v>124.37</v>
          </cell>
          <cell r="K775">
            <v>-3.48</v>
          </cell>
        </row>
        <row r="776">
          <cell r="A776" t="str">
            <v>LU1923163247</v>
          </cell>
          <cell r="B776" t="str">
            <v>AMUNDI FUNDS JAPAN EQUITY ENGAGEMENT</v>
          </cell>
          <cell r="C776" t="str">
            <v>Class R2 USD (C)</v>
          </cell>
          <cell r="D776" t="str">
            <v>USD</v>
          </cell>
          <cell r="E776">
            <v>45747</v>
          </cell>
          <cell r="F776">
            <v>6135.8</v>
          </cell>
          <cell r="G776">
            <v>100</v>
          </cell>
          <cell r="H776">
            <v>61.36</v>
          </cell>
          <cell r="I776">
            <v>0</v>
          </cell>
          <cell r="J776">
            <v>61.36</v>
          </cell>
          <cell r="K776">
            <v>-1.84</v>
          </cell>
        </row>
        <row r="777">
          <cell r="A777" t="str">
            <v>LU1926209294</v>
          </cell>
          <cell r="B777" t="str">
            <v>AMUNDI FUNDS JAPAN EQUITY ENGAGEMENT</v>
          </cell>
          <cell r="C777" t="str">
            <v>Class I EUR (C)</v>
          </cell>
          <cell r="D777" t="str">
            <v>EUR</v>
          </cell>
          <cell r="E777">
            <v>45747</v>
          </cell>
          <cell r="F777">
            <v>536907.15</v>
          </cell>
          <cell r="G777">
            <v>499.84100000000001</v>
          </cell>
          <cell r="H777">
            <v>1074.1600000000001</v>
          </cell>
          <cell r="I777">
            <v>0</v>
          </cell>
          <cell r="J777">
            <v>1074.1600000000001</v>
          </cell>
          <cell r="K777">
            <v>-30.05</v>
          </cell>
        </row>
        <row r="778">
          <cell r="A778" t="str">
            <v>LU2237438382</v>
          </cell>
          <cell r="B778" t="str">
            <v>AMUNDI FUNDS JAPAN EQUITY ENGAGEMENT</v>
          </cell>
          <cell r="C778" t="str">
            <v>Class Z EUR (C)</v>
          </cell>
          <cell r="D778" t="str">
            <v>EUR</v>
          </cell>
          <cell r="E778">
            <v>45747</v>
          </cell>
          <cell r="F778">
            <v>1123.24</v>
          </cell>
          <cell r="G778">
            <v>1.2350000000000001</v>
          </cell>
          <cell r="H778">
            <v>909.51</v>
          </cell>
          <cell r="I778">
            <v>0</v>
          </cell>
          <cell r="J778">
            <v>909.51</v>
          </cell>
          <cell r="K778">
            <v>-25.43</v>
          </cell>
        </row>
        <row r="779">
          <cell r="A779" t="str">
            <v>LU1941681956</v>
          </cell>
          <cell r="B779" t="str">
            <v>AMUNDI FUNDS MULTI-ASSET SUSTAINABLE FUTURE</v>
          </cell>
          <cell r="C779" t="str">
            <v>Class A EUR (C)</v>
          </cell>
          <cell r="D779" t="str">
            <v>EUR</v>
          </cell>
          <cell r="E779">
            <v>45747</v>
          </cell>
          <cell r="F779">
            <v>159764069.49000001</v>
          </cell>
          <cell r="G779">
            <v>1524928.1</v>
          </cell>
          <cell r="H779">
            <v>104.77</v>
          </cell>
          <cell r="I779">
            <v>0</v>
          </cell>
          <cell r="J779">
            <v>104.77</v>
          </cell>
          <cell r="K779">
            <v>-0.09</v>
          </cell>
        </row>
        <row r="780">
          <cell r="A780" t="str">
            <v>LU1941682095</v>
          </cell>
          <cell r="B780" t="str">
            <v>AMUNDI FUNDS MULTI-ASSET SUSTAINABLE FUTURE</v>
          </cell>
          <cell r="C780" t="str">
            <v>Class A EUR AD (D)</v>
          </cell>
          <cell r="D780" t="str">
            <v>EUR</v>
          </cell>
          <cell r="E780">
            <v>45747</v>
          </cell>
          <cell r="F780">
            <v>7020338.6600000001</v>
          </cell>
          <cell r="G780">
            <v>66992.637000000002</v>
          </cell>
          <cell r="H780">
            <v>104.79</v>
          </cell>
          <cell r="I780">
            <v>0</v>
          </cell>
          <cell r="J780">
            <v>104.79</v>
          </cell>
          <cell r="K780">
            <v>-0.09</v>
          </cell>
        </row>
        <row r="781">
          <cell r="A781" t="str">
            <v>LU2110861817</v>
          </cell>
          <cell r="B781" t="str">
            <v>AMUNDI FUNDS MULTI-ASSET SUSTAINABLE FUTURE</v>
          </cell>
          <cell r="C781" t="str">
            <v>Class A CHF Hgd (C)</v>
          </cell>
          <cell r="D781" t="str">
            <v>CHF</v>
          </cell>
          <cell r="E781">
            <v>45747</v>
          </cell>
          <cell r="F781">
            <v>8713290.8399999999</v>
          </cell>
          <cell r="G781">
            <v>185788.61900000001</v>
          </cell>
          <cell r="H781">
            <v>46.9</v>
          </cell>
          <cell r="I781">
            <v>0</v>
          </cell>
          <cell r="J781">
            <v>46.9</v>
          </cell>
          <cell r="K781">
            <v>-0.04</v>
          </cell>
        </row>
        <row r="782">
          <cell r="A782" t="str">
            <v>LU2176991698</v>
          </cell>
          <cell r="B782" t="str">
            <v>AMUNDI FUNDS MULTI-ASSET SUSTAINABLE FUTURE</v>
          </cell>
          <cell r="C782" t="str">
            <v>Class A CZK Hgd (C)</v>
          </cell>
          <cell r="D782" t="str">
            <v>CZK</v>
          </cell>
          <cell r="E782">
            <v>45747</v>
          </cell>
          <cell r="F782">
            <v>937025135.83000004</v>
          </cell>
          <cell r="G782">
            <v>792977.81599999999</v>
          </cell>
          <cell r="H782">
            <v>1181.6500000000001</v>
          </cell>
          <cell r="I782">
            <v>0</v>
          </cell>
          <cell r="J782">
            <v>1181.6500000000001</v>
          </cell>
          <cell r="K782">
            <v>-1</v>
          </cell>
        </row>
        <row r="783">
          <cell r="A783" t="str">
            <v>LU1941682681</v>
          </cell>
          <cell r="B783" t="str">
            <v>AMUNDI FUNDS MULTI-ASSET SUSTAINABLE FUTURE</v>
          </cell>
          <cell r="C783" t="str">
            <v>Class A USD (C)</v>
          </cell>
          <cell r="D783" t="str">
            <v>USD</v>
          </cell>
          <cell r="E783">
            <v>45747</v>
          </cell>
          <cell r="F783">
            <v>3834065.89</v>
          </cell>
          <cell r="G783">
            <v>38069.334000000003</v>
          </cell>
          <cell r="H783">
            <v>100.71</v>
          </cell>
          <cell r="I783">
            <v>0</v>
          </cell>
          <cell r="J783">
            <v>100.71</v>
          </cell>
          <cell r="K783">
            <v>-0.28999999999999998</v>
          </cell>
        </row>
        <row r="784">
          <cell r="A784" t="str">
            <v>LU2011223687</v>
          </cell>
          <cell r="B784" t="str">
            <v>AMUNDI FUNDS MULTI-ASSET SUSTAINABLE FUTURE</v>
          </cell>
          <cell r="C784" t="str">
            <v>Class M2 EUR (C)</v>
          </cell>
          <cell r="D784" t="str">
            <v>EUR</v>
          </cell>
          <cell r="E784">
            <v>45747</v>
          </cell>
          <cell r="F784">
            <v>39412459.909999996</v>
          </cell>
          <cell r="G784">
            <v>36597.883999999998</v>
          </cell>
          <cell r="H784">
            <v>1076.9100000000001</v>
          </cell>
          <cell r="I784">
            <v>0</v>
          </cell>
          <cell r="J784">
            <v>1076.9100000000001</v>
          </cell>
          <cell r="K784">
            <v>-0.86</v>
          </cell>
        </row>
        <row r="785">
          <cell r="A785" t="str">
            <v>LU2036673882</v>
          </cell>
          <cell r="B785" t="str">
            <v>AMUNDI FUNDS MULTI-ASSET SUSTAINABLE FUTURE</v>
          </cell>
          <cell r="C785" t="str">
            <v>Class E2 EUR (C)</v>
          </cell>
          <cell r="D785" t="str">
            <v>EUR</v>
          </cell>
          <cell r="E785">
            <v>45747</v>
          </cell>
          <cell r="F785">
            <v>104603920.14</v>
          </cell>
          <cell r="G785">
            <v>20375333.289000001</v>
          </cell>
          <cell r="H785">
            <v>5.1340000000000003</v>
          </cell>
          <cell r="I785">
            <v>0</v>
          </cell>
          <cell r="J785">
            <v>5.1340000000000003</v>
          </cell>
          <cell r="K785">
            <v>-4.0000000000000001E-3</v>
          </cell>
        </row>
        <row r="786">
          <cell r="A786" t="str">
            <v>LU2040441128</v>
          </cell>
          <cell r="B786" t="str">
            <v>AMUNDI FUNDS MULTI-ASSET SUSTAINABLE FUTURE</v>
          </cell>
          <cell r="C786" t="str">
            <v>Class A2 EUR (C)</v>
          </cell>
          <cell r="D786" t="str">
            <v>EUR</v>
          </cell>
          <cell r="E786">
            <v>45747</v>
          </cell>
          <cell r="F786">
            <v>105617.39</v>
          </cell>
          <cell r="G786">
            <v>2081.6060000000002</v>
          </cell>
          <cell r="H786">
            <v>50.74</v>
          </cell>
          <cell r="I786">
            <v>0</v>
          </cell>
          <cell r="J786">
            <v>50.74</v>
          </cell>
          <cell r="K786">
            <v>-0.04</v>
          </cell>
        </row>
        <row r="787">
          <cell r="A787" t="str">
            <v>LU2018721113</v>
          </cell>
          <cell r="B787" t="str">
            <v>AMUNDI FUNDS MULTI-ASSET SUSTAINABLE FUTURE</v>
          </cell>
          <cell r="C787" t="str">
            <v>Class F EUR (C)</v>
          </cell>
          <cell r="D787" t="str">
            <v>EUR</v>
          </cell>
          <cell r="E787">
            <v>45747</v>
          </cell>
          <cell r="F787">
            <v>2308206</v>
          </cell>
          <cell r="G787">
            <v>470889.84700000001</v>
          </cell>
          <cell r="H787">
            <v>4.9020000000000001</v>
          </cell>
          <cell r="I787">
            <v>0</v>
          </cell>
          <cell r="J787">
            <v>4.9020000000000001</v>
          </cell>
          <cell r="K787">
            <v>-4.0000000000000001E-3</v>
          </cell>
        </row>
        <row r="788">
          <cell r="A788" t="str">
            <v>LU1941682418</v>
          </cell>
          <cell r="B788" t="str">
            <v>AMUNDI FUNDS MULTI-ASSET SUSTAINABLE FUTURE</v>
          </cell>
          <cell r="C788" t="str">
            <v>Class F2 EUR (C)</v>
          </cell>
          <cell r="D788" t="str">
            <v>EUR</v>
          </cell>
          <cell r="E788">
            <v>45747</v>
          </cell>
          <cell r="F788">
            <v>272398.88</v>
          </cell>
          <cell r="G788">
            <v>2714.0659999999998</v>
          </cell>
          <cell r="H788">
            <v>100.37</v>
          </cell>
          <cell r="I788">
            <v>0</v>
          </cell>
          <cell r="J788">
            <v>100.37</v>
          </cell>
          <cell r="K788">
            <v>-0.09</v>
          </cell>
        </row>
        <row r="789">
          <cell r="A789" t="str">
            <v>LU2462611307</v>
          </cell>
          <cell r="B789" t="str">
            <v>AMUNDI FUNDS MULTI-ASSET SUSTAINABLE FUTURE</v>
          </cell>
          <cell r="C789" t="str">
            <v>Class I16 EUR (C)</v>
          </cell>
          <cell r="D789" t="str">
            <v>EUR</v>
          </cell>
          <cell r="E789">
            <v>45747</v>
          </cell>
          <cell r="F789">
            <v>28074.75</v>
          </cell>
          <cell r="G789">
            <v>27</v>
          </cell>
          <cell r="H789">
            <v>1039.81</v>
          </cell>
          <cell r="I789">
            <v>0</v>
          </cell>
          <cell r="J789">
            <v>1039.81</v>
          </cell>
          <cell r="K789">
            <v>-0.84</v>
          </cell>
        </row>
        <row r="790">
          <cell r="A790" t="str">
            <v>LU2031984342</v>
          </cell>
          <cell r="B790" t="str">
            <v>AMUNDI FUNDS MULTI-ASSET SUSTAINABLE FUTURE</v>
          </cell>
          <cell r="C790" t="str">
            <v>Class I2 EUR (C)</v>
          </cell>
          <cell r="D790" t="str">
            <v>EUR</v>
          </cell>
          <cell r="E790">
            <v>45747</v>
          </cell>
          <cell r="F790">
            <v>18511553.41</v>
          </cell>
          <cell r="G790">
            <v>17237.311000000002</v>
          </cell>
          <cell r="H790">
            <v>1073.92</v>
          </cell>
          <cell r="I790">
            <v>0</v>
          </cell>
          <cell r="J790">
            <v>1073.92</v>
          </cell>
          <cell r="K790">
            <v>-0.87</v>
          </cell>
        </row>
        <row r="791">
          <cell r="A791" t="str">
            <v>LU1941682178</v>
          </cell>
          <cell r="B791" t="str">
            <v>AMUNDI FUNDS MULTI-ASSET SUSTAINABLE FUTURE</v>
          </cell>
          <cell r="C791" t="str">
            <v>Class I EUR (C)</v>
          </cell>
          <cell r="D791" t="str">
            <v>EUR</v>
          </cell>
          <cell r="E791">
            <v>45747</v>
          </cell>
          <cell r="F791">
            <v>22517669.93</v>
          </cell>
          <cell r="G791">
            <v>20530.058000000001</v>
          </cell>
          <cell r="H791">
            <v>1096.81</v>
          </cell>
          <cell r="I791">
            <v>0</v>
          </cell>
          <cell r="J791">
            <v>1096.81</v>
          </cell>
          <cell r="K791">
            <v>-0.88</v>
          </cell>
        </row>
        <row r="792">
          <cell r="A792" t="str">
            <v>LU2359308629</v>
          </cell>
          <cell r="B792" t="str">
            <v>AMUNDI FUNDS MULTI-ASSET SUSTAINABLE FUTURE</v>
          </cell>
          <cell r="C792" t="str">
            <v>Class I2 GBP (C)</v>
          </cell>
          <cell r="D792" t="str">
            <v>GBP</v>
          </cell>
          <cell r="E792">
            <v>45747</v>
          </cell>
          <cell r="F792">
            <v>4801.6099999999997</v>
          </cell>
          <cell r="G792">
            <v>5</v>
          </cell>
          <cell r="H792">
            <v>960.32</v>
          </cell>
          <cell r="I792">
            <v>0</v>
          </cell>
          <cell r="J792">
            <v>960.32</v>
          </cell>
          <cell r="K792">
            <v>-0.14000000000000001</v>
          </cell>
        </row>
        <row r="793">
          <cell r="A793" t="str">
            <v>LU2085675861</v>
          </cell>
          <cell r="B793" t="str">
            <v>AMUNDI FUNDS MULTI-ASSET SUSTAINABLE FUTURE</v>
          </cell>
          <cell r="C793" t="str">
            <v>Class J2 EUR (C)</v>
          </cell>
          <cell r="D793" t="str">
            <v>EUR</v>
          </cell>
          <cell r="E793">
            <v>45747</v>
          </cell>
          <cell r="F793">
            <v>35230722.439999998</v>
          </cell>
          <cell r="G793">
            <v>32983</v>
          </cell>
          <cell r="H793">
            <v>1068.1500000000001</v>
          </cell>
          <cell r="I793">
            <v>0</v>
          </cell>
          <cell r="J793">
            <v>1068.1500000000001</v>
          </cell>
          <cell r="K793">
            <v>-0.85</v>
          </cell>
        </row>
        <row r="794">
          <cell r="A794" t="str">
            <v>LU1941682509</v>
          </cell>
          <cell r="B794" t="str">
            <v>AMUNDI FUNDS MULTI-ASSET SUSTAINABLE FUTURE</v>
          </cell>
          <cell r="C794" t="str">
            <v>Class M EUR (C)</v>
          </cell>
          <cell r="D794" t="str">
            <v>EUR</v>
          </cell>
          <cell r="E794">
            <v>45747</v>
          </cell>
          <cell r="F794">
            <v>77508103.609999999</v>
          </cell>
          <cell r="G794">
            <v>705990.39599999995</v>
          </cell>
          <cell r="H794">
            <v>109.79</v>
          </cell>
          <cell r="I794">
            <v>0</v>
          </cell>
          <cell r="J794">
            <v>109.79</v>
          </cell>
          <cell r="K794">
            <v>-0.08</v>
          </cell>
        </row>
        <row r="795">
          <cell r="A795" t="str">
            <v>LU2359306094</v>
          </cell>
          <cell r="B795" t="str">
            <v>AMUNDI FUNDS MULTI-ASSET SUSTAINABLE FUTURE</v>
          </cell>
          <cell r="C795" t="str">
            <v>Class R EUR AD (D)</v>
          </cell>
          <cell r="D795" t="str">
            <v>EUR</v>
          </cell>
          <cell r="E795">
            <v>45747</v>
          </cell>
          <cell r="F795">
            <v>4816.2700000000004</v>
          </cell>
          <cell r="G795">
            <v>100</v>
          </cell>
          <cell r="H795">
            <v>48.16</v>
          </cell>
          <cell r="I795">
            <v>0</v>
          </cell>
          <cell r="J795">
            <v>48.16</v>
          </cell>
          <cell r="K795">
            <v>-0.04</v>
          </cell>
        </row>
        <row r="796">
          <cell r="A796" t="str">
            <v>LU1941682251</v>
          </cell>
          <cell r="B796" t="str">
            <v>AMUNDI FUNDS MULTI-ASSET SUSTAINABLE FUTURE</v>
          </cell>
          <cell r="C796" t="str">
            <v>Class R EUR (C)</v>
          </cell>
          <cell r="D796" t="str">
            <v>EUR</v>
          </cell>
          <cell r="E796">
            <v>45747</v>
          </cell>
          <cell r="F796">
            <v>639452.74</v>
          </cell>
          <cell r="G796">
            <v>5915.5119999999997</v>
          </cell>
          <cell r="H796">
            <v>108.1</v>
          </cell>
          <cell r="I796">
            <v>0</v>
          </cell>
          <cell r="J796">
            <v>108.1</v>
          </cell>
          <cell r="K796">
            <v>-0.09</v>
          </cell>
        </row>
        <row r="797">
          <cell r="A797" t="str">
            <v>LU2391859084</v>
          </cell>
          <cell r="B797" t="str">
            <v>AMUNDI FUNDS MULTI-ASSET SUSTAINABLE FUTURE</v>
          </cell>
          <cell r="C797" t="str">
            <v>Class R5 EUR (C)</v>
          </cell>
          <cell r="D797" t="str">
            <v>EUR</v>
          </cell>
          <cell r="E797">
            <v>45747</v>
          </cell>
          <cell r="F797">
            <v>2389528.61</v>
          </cell>
          <cell r="G797">
            <v>48983.563999999998</v>
          </cell>
          <cell r="H797">
            <v>48.78</v>
          </cell>
          <cell r="I797">
            <v>0</v>
          </cell>
          <cell r="J797">
            <v>48.78</v>
          </cell>
          <cell r="K797">
            <v>-0.04</v>
          </cell>
        </row>
        <row r="798">
          <cell r="A798" t="str">
            <v>LU1941682335</v>
          </cell>
          <cell r="B798" t="str">
            <v>AMUNDI FUNDS MULTI-ASSET SUSTAINABLE FUTURE</v>
          </cell>
          <cell r="C798" t="str">
            <v>Class G EUR (C)</v>
          </cell>
          <cell r="D798" t="str">
            <v>EUR</v>
          </cell>
          <cell r="E798">
            <v>45747</v>
          </cell>
          <cell r="F798">
            <v>317581584.50999999</v>
          </cell>
          <cell r="G798">
            <v>3038357.6439999999</v>
          </cell>
          <cell r="H798">
            <v>104.52</v>
          </cell>
          <cell r="I798">
            <v>0</v>
          </cell>
          <cell r="J798">
            <v>104.52</v>
          </cell>
          <cell r="K798">
            <v>-0.09</v>
          </cell>
        </row>
        <row r="799">
          <cell r="A799" t="str">
            <v>LU1941681014</v>
          </cell>
          <cell r="B799" t="str">
            <v>AMUNDI FUNDS NEW SILK ROAD</v>
          </cell>
          <cell r="C799" t="str">
            <v>Class A EUR (C)</v>
          </cell>
          <cell r="D799" t="str">
            <v>EUR</v>
          </cell>
          <cell r="E799">
            <v>45747</v>
          </cell>
          <cell r="F799">
            <v>217250123.13</v>
          </cell>
          <cell r="G799">
            <v>1591081.213</v>
          </cell>
          <cell r="H799">
            <v>136.54</v>
          </cell>
          <cell r="I799">
            <v>0</v>
          </cell>
          <cell r="J799">
            <v>136.54</v>
          </cell>
          <cell r="K799">
            <v>-2.21</v>
          </cell>
        </row>
        <row r="800">
          <cell r="A800" t="str">
            <v>LU2018721386</v>
          </cell>
          <cell r="B800" t="str">
            <v>AMUNDI FUNDS NEW SILK ROAD</v>
          </cell>
          <cell r="C800" t="str">
            <v>Class F EUR (C)</v>
          </cell>
          <cell r="D800" t="str">
            <v>EUR</v>
          </cell>
          <cell r="E800">
            <v>45747</v>
          </cell>
          <cell r="F800">
            <v>480399.86</v>
          </cell>
          <cell r="G800">
            <v>74342.606</v>
          </cell>
          <cell r="H800">
            <v>6.4619999999999997</v>
          </cell>
          <cell r="I800">
            <v>0</v>
          </cell>
          <cell r="J800">
            <v>6.4619999999999997</v>
          </cell>
          <cell r="K800">
            <v>-0.105</v>
          </cell>
        </row>
        <row r="801">
          <cell r="A801" t="str">
            <v>LU1941681105</v>
          </cell>
          <cell r="B801" t="str">
            <v>AMUNDI FUNDS NEW SILK ROAD</v>
          </cell>
          <cell r="C801" t="str">
            <v>Class F2 EUR (C)</v>
          </cell>
          <cell r="D801" t="str">
            <v>EUR</v>
          </cell>
          <cell r="E801">
            <v>45747</v>
          </cell>
          <cell r="F801">
            <v>28576.38</v>
          </cell>
          <cell r="G801">
            <v>216.19200000000001</v>
          </cell>
          <cell r="H801">
            <v>132.18</v>
          </cell>
          <cell r="I801">
            <v>0</v>
          </cell>
          <cell r="J801">
            <v>132.18</v>
          </cell>
          <cell r="K801">
            <v>-2.15</v>
          </cell>
        </row>
        <row r="802">
          <cell r="A802" t="str">
            <v>LU2036674690</v>
          </cell>
          <cell r="B802" t="str">
            <v>AMUNDI FUNDS NEW SILK ROAD</v>
          </cell>
          <cell r="C802" t="str">
            <v>Class H EUR (C)</v>
          </cell>
          <cell r="D802" t="str">
            <v>EUR</v>
          </cell>
          <cell r="E802">
            <v>45747</v>
          </cell>
          <cell r="F802">
            <v>5192090.82</v>
          </cell>
          <cell r="G802">
            <v>3397.0169999999998</v>
          </cell>
          <cell r="H802">
            <v>1528.43</v>
          </cell>
          <cell r="I802">
            <v>0</v>
          </cell>
          <cell r="J802">
            <v>1528.43</v>
          </cell>
          <cell r="K802">
            <v>-24.58</v>
          </cell>
        </row>
        <row r="803">
          <cell r="A803" t="str">
            <v>LU2031984268</v>
          </cell>
          <cell r="B803" t="str">
            <v>AMUNDI FUNDS NEW SILK ROAD</v>
          </cell>
          <cell r="C803" t="str">
            <v>Class I2 GBP (C)</v>
          </cell>
          <cell r="D803" t="str">
            <v>GBP</v>
          </cell>
          <cell r="E803">
            <v>45747</v>
          </cell>
          <cell r="F803">
            <v>7041.86</v>
          </cell>
          <cell r="G803">
            <v>5</v>
          </cell>
          <cell r="H803">
            <v>1408.37</v>
          </cell>
          <cell r="I803">
            <v>0</v>
          </cell>
          <cell r="J803">
            <v>1408.37</v>
          </cell>
          <cell r="K803">
            <v>-21.76</v>
          </cell>
        </row>
        <row r="804">
          <cell r="A804" t="str">
            <v>LU1941681287</v>
          </cell>
          <cell r="B804" t="str">
            <v>AMUNDI FUNDS NEW SILK ROAD</v>
          </cell>
          <cell r="C804" t="str">
            <v>Class I EUR (C)</v>
          </cell>
          <cell r="D804" t="str">
            <v>EUR</v>
          </cell>
          <cell r="E804">
            <v>45747</v>
          </cell>
          <cell r="F804">
            <v>18558781.109999999</v>
          </cell>
          <cell r="G804">
            <v>12899.484</v>
          </cell>
          <cell r="H804">
            <v>1438.72</v>
          </cell>
          <cell r="I804">
            <v>0</v>
          </cell>
          <cell r="J804">
            <v>1438.72</v>
          </cell>
          <cell r="K804">
            <v>-23.18</v>
          </cell>
        </row>
        <row r="805">
          <cell r="A805" t="str">
            <v>LU3015123683</v>
          </cell>
          <cell r="B805" t="str">
            <v>AMUNDI FUNDS NEW SILK ROAD</v>
          </cell>
          <cell r="C805" t="str">
            <v>Class I2 USD (C)</v>
          </cell>
          <cell r="D805" t="str">
            <v>USD</v>
          </cell>
          <cell r="E805">
            <v>45747</v>
          </cell>
          <cell r="F805">
            <v>5088.8999999999996</v>
          </cell>
          <cell r="G805">
            <v>5.3</v>
          </cell>
          <cell r="H805">
            <v>960.17</v>
          </cell>
          <cell r="I805">
            <v>0</v>
          </cell>
          <cell r="J805">
            <v>960.17</v>
          </cell>
          <cell r="K805">
            <v>-17.37</v>
          </cell>
        </row>
        <row r="806">
          <cell r="A806" t="str">
            <v>LU1941681444</v>
          </cell>
          <cell r="B806" t="str">
            <v>AMUNDI FUNDS NEW SILK ROAD</v>
          </cell>
          <cell r="C806" t="str">
            <v>Class M EUR (C)</v>
          </cell>
          <cell r="D806" t="str">
            <v>EUR</v>
          </cell>
          <cell r="E806">
            <v>45747</v>
          </cell>
          <cell r="F806">
            <v>78203699.049999997</v>
          </cell>
          <cell r="G806">
            <v>550081.68500000006</v>
          </cell>
          <cell r="H806">
            <v>142.16999999999999</v>
          </cell>
          <cell r="I806">
            <v>0</v>
          </cell>
          <cell r="J806">
            <v>142.16999999999999</v>
          </cell>
          <cell r="K806">
            <v>-2.29</v>
          </cell>
        </row>
        <row r="807">
          <cell r="A807" t="str">
            <v>LU1941681790</v>
          </cell>
          <cell r="B807" t="str">
            <v>AMUNDI FUNDS NEW SILK ROAD</v>
          </cell>
          <cell r="C807" t="str">
            <v>Class R EUR (C)</v>
          </cell>
          <cell r="D807" t="str">
            <v>EUR</v>
          </cell>
          <cell r="E807">
            <v>45747</v>
          </cell>
          <cell r="F807">
            <v>84492.66</v>
          </cell>
          <cell r="G807">
            <v>594.84299999999996</v>
          </cell>
          <cell r="H807">
            <v>142.04</v>
          </cell>
          <cell r="I807">
            <v>0</v>
          </cell>
          <cell r="J807">
            <v>142.04</v>
          </cell>
          <cell r="K807">
            <v>-2.29</v>
          </cell>
        </row>
        <row r="808">
          <cell r="A808" t="str">
            <v>LU1941681527</v>
          </cell>
          <cell r="B808" t="str">
            <v>AMUNDI FUNDS NEW SILK ROAD</v>
          </cell>
          <cell r="C808" t="str">
            <v>Class R USD (C)</v>
          </cell>
          <cell r="D808" t="str">
            <v>USD</v>
          </cell>
          <cell r="E808">
            <v>45747</v>
          </cell>
          <cell r="F808">
            <v>6810.24</v>
          </cell>
          <cell r="G808">
            <v>50</v>
          </cell>
          <cell r="H808">
            <v>136.19999999999999</v>
          </cell>
          <cell r="I808">
            <v>0</v>
          </cell>
          <cell r="J808">
            <v>136.19999999999999</v>
          </cell>
          <cell r="K808">
            <v>-2.4700000000000002</v>
          </cell>
        </row>
        <row r="809">
          <cell r="A809" t="str">
            <v>LU1941681873</v>
          </cell>
          <cell r="B809" t="str">
            <v>AMUNDI FUNDS NEW SILK ROAD</v>
          </cell>
          <cell r="C809" t="str">
            <v>Class G EUR (C)</v>
          </cell>
          <cell r="D809" t="str">
            <v>EUR</v>
          </cell>
          <cell r="E809">
            <v>45747</v>
          </cell>
          <cell r="F809">
            <v>87977061.480000004</v>
          </cell>
          <cell r="G809">
            <v>652987.66299999994</v>
          </cell>
          <cell r="H809">
            <v>134.72999999999999</v>
          </cell>
          <cell r="I809">
            <v>0</v>
          </cell>
          <cell r="J809">
            <v>134.72999999999999</v>
          </cell>
          <cell r="K809">
            <v>-2.1800000000000002</v>
          </cell>
        </row>
        <row r="810">
          <cell r="A810" t="str">
            <v>LU1880395964</v>
          </cell>
          <cell r="B810" t="str">
            <v>AMUNDI FUNDS EUROPEAN EQUITY SMALL CAP</v>
          </cell>
          <cell r="C810" t="str">
            <v>Class A EUR AD (D)</v>
          </cell>
          <cell r="D810" t="str">
            <v>EUR</v>
          </cell>
          <cell r="E810">
            <v>45747</v>
          </cell>
          <cell r="F810">
            <v>348516.35</v>
          </cell>
          <cell r="G810">
            <v>6131.9520000000002</v>
          </cell>
          <cell r="H810">
            <v>56.84</v>
          </cell>
          <cell r="I810">
            <v>0</v>
          </cell>
          <cell r="J810">
            <v>59.4</v>
          </cell>
          <cell r="K810">
            <v>-1.22</v>
          </cell>
        </row>
        <row r="811">
          <cell r="A811" t="str">
            <v>LU1883306497</v>
          </cell>
          <cell r="B811" t="str">
            <v>AMUNDI FUNDS EUROPEAN EQUITY SMALL CAP</v>
          </cell>
          <cell r="C811" t="str">
            <v>Class A EUR (C)</v>
          </cell>
          <cell r="D811" t="str">
            <v>EUR</v>
          </cell>
          <cell r="E811">
            <v>45747</v>
          </cell>
          <cell r="F811">
            <v>92620210.290000007</v>
          </cell>
          <cell r="G811">
            <v>484397.44199999998</v>
          </cell>
          <cell r="H811">
            <v>191.21</v>
          </cell>
          <cell r="I811">
            <v>0</v>
          </cell>
          <cell r="J811">
            <v>199.81</v>
          </cell>
          <cell r="K811">
            <v>-4.1100000000000003</v>
          </cell>
        </row>
        <row r="812">
          <cell r="A812" t="str">
            <v>LU1883306653</v>
          </cell>
          <cell r="B812" t="str">
            <v>AMUNDI FUNDS EUROPEAN EQUITY SMALL CAP</v>
          </cell>
          <cell r="C812" t="str">
            <v>Class A USD Hgd (C)</v>
          </cell>
          <cell r="D812" t="str">
            <v>USD</v>
          </cell>
          <cell r="E812">
            <v>45747</v>
          </cell>
          <cell r="F812">
            <v>5353043.29</v>
          </cell>
          <cell r="G812">
            <v>65153.900999999998</v>
          </cell>
          <cell r="H812">
            <v>82.16</v>
          </cell>
          <cell r="I812">
            <v>0</v>
          </cell>
          <cell r="J812">
            <v>85.86</v>
          </cell>
          <cell r="K812">
            <v>-1.69</v>
          </cell>
        </row>
        <row r="813">
          <cell r="A813" t="str">
            <v>LU1883306570</v>
          </cell>
          <cell r="B813" t="str">
            <v>AMUNDI FUNDS EUROPEAN EQUITY SMALL CAP</v>
          </cell>
          <cell r="C813" t="str">
            <v>Class A USD (C)</v>
          </cell>
          <cell r="D813" t="str">
            <v>USD</v>
          </cell>
          <cell r="E813">
            <v>45747</v>
          </cell>
          <cell r="F813">
            <v>9321102.8000000007</v>
          </cell>
          <cell r="G813">
            <v>45144.14</v>
          </cell>
          <cell r="H813">
            <v>206.47</v>
          </cell>
          <cell r="I813">
            <v>0</v>
          </cell>
          <cell r="J813">
            <v>215.76</v>
          </cell>
          <cell r="K813">
            <v>-4.8600000000000003</v>
          </cell>
        </row>
        <row r="814">
          <cell r="A814" t="str">
            <v>LU1883306737</v>
          </cell>
          <cell r="B814" t="str">
            <v>AMUNDI FUNDS EUROPEAN EQUITY SMALL CAP</v>
          </cell>
          <cell r="C814" t="str">
            <v>Class B EUR (C)</v>
          </cell>
          <cell r="D814" t="str">
            <v>EUR</v>
          </cell>
          <cell r="E814">
            <v>45747</v>
          </cell>
          <cell r="F814">
            <v>286539.21999999997</v>
          </cell>
          <cell r="G814">
            <v>2859.8029999999999</v>
          </cell>
          <cell r="H814">
            <v>100.2</v>
          </cell>
          <cell r="I814">
            <v>0</v>
          </cell>
          <cell r="J814">
            <v>100.2</v>
          </cell>
          <cell r="K814">
            <v>-2.16</v>
          </cell>
        </row>
        <row r="815">
          <cell r="A815" t="str">
            <v>LU1883307974</v>
          </cell>
          <cell r="B815" t="str">
            <v>AMUNDI FUNDS EUROPEAN EQUITY SMALL CAP</v>
          </cell>
          <cell r="C815" t="str">
            <v>Class M2 EUR (C)</v>
          </cell>
          <cell r="D815" t="str">
            <v>EUR</v>
          </cell>
          <cell r="E815">
            <v>45747</v>
          </cell>
          <cell r="F815">
            <v>23056387.039999999</v>
          </cell>
          <cell r="G815">
            <v>10627.303</v>
          </cell>
          <cell r="H815">
            <v>2169.54</v>
          </cell>
          <cell r="I815">
            <v>0</v>
          </cell>
          <cell r="J815">
            <v>2169.54</v>
          </cell>
          <cell r="K815">
            <v>-46.5</v>
          </cell>
        </row>
        <row r="816">
          <cell r="A816" t="str">
            <v>LU1883306810</v>
          </cell>
          <cell r="B816" t="str">
            <v>AMUNDI FUNDS EUROPEAN EQUITY SMALL CAP</v>
          </cell>
          <cell r="C816" t="str">
            <v>Class B USD (C)</v>
          </cell>
          <cell r="D816" t="str">
            <v>USD</v>
          </cell>
          <cell r="E816">
            <v>45747</v>
          </cell>
          <cell r="F816">
            <v>2625568.33</v>
          </cell>
          <cell r="G816">
            <v>24261.82</v>
          </cell>
          <cell r="H816">
            <v>108.22</v>
          </cell>
          <cell r="I816">
            <v>0</v>
          </cell>
          <cell r="J816">
            <v>108.22</v>
          </cell>
          <cell r="K816">
            <v>-2.5499999999999998</v>
          </cell>
        </row>
        <row r="817">
          <cell r="A817" t="str">
            <v>LU1883306901</v>
          </cell>
          <cell r="B817" t="str">
            <v>AMUNDI FUNDS EUROPEAN EQUITY SMALL CAP</v>
          </cell>
          <cell r="C817" t="str">
            <v>Class C EUR (C)</v>
          </cell>
          <cell r="D817" t="str">
            <v>EUR</v>
          </cell>
          <cell r="E817">
            <v>45747</v>
          </cell>
          <cell r="F817">
            <v>2049388.58</v>
          </cell>
          <cell r="G817">
            <v>19746.736000000001</v>
          </cell>
          <cell r="H817">
            <v>103.78</v>
          </cell>
          <cell r="I817">
            <v>0</v>
          </cell>
          <cell r="J817">
            <v>103.78</v>
          </cell>
          <cell r="K817">
            <v>-2.2400000000000002</v>
          </cell>
        </row>
        <row r="818">
          <cell r="A818" t="str">
            <v>LU1883307032</v>
          </cell>
          <cell r="B818" t="str">
            <v>AMUNDI FUNDS EUROPEAN EQUITY SMALL CAP</v>
          </cell>
          <cell r="C818" t="str">
            <v>Class C USD (C)</v>
          </cell>
          <cell r="D818" t="str">
            <v>USD</v>
          </cell>
          <cell r="E818">
            <v>45747</v>
          </cell>
          <cell r="F818">
            <v>588750.30000000005</v>
          </cell>
          <cell r="G818">
            <v>5251.4269999999997</v>
          </cell>
          <cell r="H818">
            <v>112.11</v>
          </cell>
          <cell r="I818">
            <v>0</v>
          </cell>
          <cell r="J818">
            <v>112.11</v>
          </cell>
          <cell r="K818">
            <v>-2.65</v>
          </cell>
        </row>
        <row r="819">
          <cell r="A819" t="str">
            <v>LU1883307115</v>
          </cell>
          <cell r="B819" t="str">
            <v>AMUNDI FUNDS EUROPEAN EQUITY SMALL CAP</v>
          </cell>
          <cell r="C819" t="str">
            <v>Class C USD Hgd (C)</v>
          </cell>
          <cell r="D819" t="str">
            <v>USD</v>
          </cell>
          <cell r="E819">
            <v>45747</v>
          </cell>
          <cell r="F819">
            <v>1480035.78</v>
          </cell>
          <cell r="G819">
            <v>19247.899000000001</v>
          </cell>
          <cell r="H819">
            <v>76.89</v>
          </cell>
          <cell r="I819">
            <v>0</v>
          </cell>
          <cell r="J819">
            <v>76.89</v>
          </cell>
          <cell r="K819">
            <v>-1.59</v>
          </cell>
        </row>
        <row r="820">
          <cell r="A820" t="str">
            <v>LU1883307206</v>
          </cell>
          <cell r="B820" t="str">
            <v>AMUNDI FUNDS EUROPEAN EQUITY SMALL CAP</v>
          </cell>
          <cell r="C820" t="str">
            <v>Class E2 EUR (C)</v>
          </cell>
          <cell r="D820" t="str">
            <v>EUR</v>
          </cell>
          <cell r="E820">
            <v>45747</v>
          </cell>
          <cell r="F820">
            <v>57162936.659999996</v>
          </cell>
          <cell r="G820">
            <v>6037488.9639999997</v>
          </cell>
          <cell r="H820">
            <v>9.468</v>
          </cell>
          <cell r="I820">
            <v>0</v>
          </cell>
          <cell r="J820">
            <v>9.468</v>
          </cell>
          <cell r="K820">
            <v>-0.20399999999999999</v>
          </cell>
        </row>
        <row r="821">
          <cell r="A821" t="str">
            <v>LU1883307388</v>
          </cell>
          <cell r="B821" t="str">
            <v>AMUNDI FUNDS EUROPEAN EQUITY SMALL CAP</v>
          </cell>
          <cell r="C821" t="str">
            <v>Class F EUR (C)</v>
          </cell>
          <cell r="D821" t="str">
            <v>EUR</v>
          </cell>
          <cell r="E821">
            <v>45747</v>
          </cell>
          <cell r="F821">
            <v>29671846.48</v>
          </cell>
          <cell r="G821">
            <v>3654966.9219999998</v>
          </cell>
          <cell r="H821">
            <v>8.1180000000000003</v>
          </cell>
          <cell r="I821">
            <v>0</v>
          </cell>
          <cell r="J821">
            <v>8.1180000000000003</v>
          </cell>
          <cell r="K821">
            <v>-0.17499999999999999</v>
          </cell>
        </row>
        <row r="822">
          <cell r="A822" t="str">
            <v>LU1880396004</v>
          </cell>
          <cell r="B822" t="str">
            <v>AMUNDI FUNDS EUROPEAN EQUITY SMALL CAP</v>
          </cell>
          <cell r="C822" t="str">
            <v>Class F2 EUR (C)</v>
          </cell>
          <cell r="D822" t="str">
            <v>EUR</v>
          </cell>
          <cell r="E822">
            <v>45747</v>
          </cell>
          <cell r="F822">
            <v>262921.81</v>
          </cell>
          <cell r="G822">
            <v>47569.108</v>
          </cell>
          <cell r="H822">
            <v>5.5270000000000001</v>
          </cell>
          <cell r="I822">
            <v>0</v>
          </cell>
          <cell r="J822">
            <v>5.5270000000000001</v>
          </cell>
          <cell r="K822">
            <v>-0.12</v>
          </cell>
        </row>
        <row r="823">
          <cell r="A823" t="str">
            <v>LU1998915299</v>
          </cell>
          <cell r="B823" t="str">
            <v>AMUNDI FUNDS EUROPEAN EQUITY SMALL CAP</v>
          </cell>
          <cell r="C823" t="str">
            <v>Class H EUR (C)</v>
          </cell>
          <cell r="D823" t="str">
            <v>EUR</v>
          </cell>
          <cell r="E823">
            <v>45747</v>
          </cell>
          <cell r="F823">
            <v>6818.56</v>
          </cell>
          <cell r="G823">
            <v>5</v>
          </cell>
          <cell r="H823">
            <v>1363.71</v>
          </cell>
          <cell r="I823">
            <v>0</v>
          </cell>
          <cell r="J823">
            <v>1363.71</v>
          </cell>
          <cell r="K823">
            <v>-29.18</v>
          </cell>
        </row>
        <row r="824">
          <cell r="A824" t="str">
            <v>LU1883307628</v>
          </cell>
          <cell r="B824" t="str">
            <v>AMUNDI FUNDS EUROPEAN EQUITY SMALL CAP</v>
          </cell>
          <cell r="C824" t="str">
            <v>Class I2 USD (C)</v>
          </cell>
          <cell r="D824" t="str">
            <v>USD</v>
          </cell>
          <cell r="E824">
            <v>45747</v>
          </cell>
          <cell r="F824">
            <v>1456636.65</v>
          </cell>
          <cell r="G824">
            <v>672.26499999999999</v>
          </cell>
          <cell r="H824">
            <v>2166.7600000000002</v>
          </cell>
          <cell r="I824">
            <v>0</v>
          </cell>
          <cell r="J824">
            <v>2166.7600000000002</v>
          </cell>
          <cell r="K824">
            <v>-50.74</v>
          </cell>
        </row>
        <row r="825">
          <cell r="A825" t="str">
            <v>LU1883307891</v>
          </cell>
          <cell r="B825" t="str">
            <v>AMUNDI FUNDS EUROPEAN EQUITY SMALL CAP</v>
          </cell>
          <cell r="C825" t="str">
            <v>Class I2 USD Hgd (C)</v>
          </cell>
          <cell r="D825" t="str">
            <v>USD</v>
          </cell>
          <cell r="E825">
            <v>45747</v>
          </cell>
          <cell r="F825">
            <v>726981.42</v>
          </cell>
          <cell r="G825">
            <v>464.97</v>
          </cell>
          <cell r="H825">
            <v>1563.5</v>
          </cell>
          <cell r="I825">
            <v>0</v>
          </cell>
          <cell r="J825">
            <v>1563.5</v>
          </cell>
          <cell r="K825">
            <v>-31.98</v>
          </cell>
        </row>
        <row r="826">
          <cell r="A826" t="str">
            <v>LU1880396426</v>
          </cell>
          <cell r="B826" t="str">
            <v>AMUNDI FUNDS EUROPEAN EQUITY SMALL CAP</v>
          </cell>
          <cell r="C826" t="str">
            <v>Class M EUR (C)</v>
          </cell>
          <cell r="D826" t="str">
            <v>EUR</v>
          </cell>
          <cell r="E826">
            <v>45747</v>
          </cell>
          <cell r="F826">
            <v>4607.5</v>
          </cell>
          <cell r="G826">
            <v>3.7050000000000001</v>
          </cell>
          <cell r="H826">
            <v>1243.5899999999999</v>
          </cell>
          <cell r="I826">
            <v>0</v>
          </cell>
          <cell r="J826">
            <v>1243.5899999999999</v>
          </cell>
          <cell r="K826">
            <v>-26.65</v>
          </cell>
        </row>
        <row r="827">
          <cell r="A827" t="str">
            <v>LU1883307545</v>
          </cell>
          <cell r="B827" t="str">
            <v>AMUNDI FUNDS EUROPEAN EQUITY SMALL CAP</v>
          </cell>
          <cell r="C827" t="str">
            <v>Class I2 EUR (C)</v>
          </cell>
          <cell r="D827" t="str">
            <v>EUR</v>
          </cell>
          <cell r="E827">
            <v>45747</v>
          </cell>
          <cell r="F827">
            <v>53968449.770000003</v>
          </cell>
          <cell r="G827">
            <v>26905.241999999998</v>
          </cell>
          <cell r="H827">
            <v>2005.87</v>
          </cell>
          <cell r="I827">
            <v>0</v>
          </cell>
          <cell r="J827">
            <v>2005.87</v>
          </cell>
          <cell r="K827">
            <v>-42.99</v>
          </cell>
        </row>
        <row r="828">
          <cell r="A828" t="str">
            <v>LU1883307461</v>
          </cell>
          <cell r="B828" t="str">
            <v>AMUNDI FUNDS EUROPEAN EQUITY SMALL CAP</v>
          </cell>
          <cell r="C828" t="str">
            <v>Class G EUR (C)</v>
          </cell>
          <cell r="D828" t="str">
            <v>EUR</v>
          </cell>
          <cell r="E828">
            <v>45747</v>
          </cell>
          <cell r="F828">
            <v>3926216.93</v>
          </cell>
          <cell r="G828">
            <v>752228.90300000005</v>
          </cell>
          <cell r="H828">
            <v>5.2190000000000003</v>
          </cell>
          <cell r="I828">
            <v>0</v>
          </cell>
          <cell r="J828">
            <v>5.2190000000000003</v>
          </cell>
          <cell r="K828">
            <v>-0.113</v>
          </cell>
        </row>
        <row r="829">
          <cell r="A829" t="str">
            <v>LU1883310259</v>
          </cell>
          <cell r="B829" t="str">
            <v>AMUNDI FUNDS EUROPEAN EQUITY SMALL CAP</v>
          </cell>
          <cell r="C829" t="str">
            <v>Class T USD (C)</v>
          </cell>
          <cell r="D829" t="str">
            <v>USD</v>
          </cell>
          <cell r="E829">
            <v>45747</v>
          </cell>
          <cell r="F829">
            <v>4227.92</v>
          </cell>
          <cell r="G829">
            <v>81.182000000000002</v>
          </cell>
          <cell r="H829">
            <v>52.08</v>
          </cell>
          <cell r="I829">
            <v>0</v>
          </cell>
          <cell r="J829">
            <v>52.08</v>
          </cell>
          <cell r="K829">
            <v>-1.21</v>
          </cell>
        </row>
        <row r="830">
          <cell r="A830" t="str">
            <v>LU1883310176</v>
          </cell>
          <cell r="B830" t="str">
            <v>AMUNDI FUNDS EUROPEAN EQUITY SMALL CAP</v>
          </cell>
          <cell r="C830" t="str">
            <v>Class T EUR (C)</v>
          </cell>
          <cell r="D830" t="str">
            <v>EUR</v>
          </cell>
          <cell r="E830">
            <v>45747</v>
          </cell>
          <cell r="F830">
            <v>23350.14</v>
          </cell>
          <cell r="G830">
            <v>477.15600000000001</v>
          </cell>
          <cell r="H830">
            <v>48.94</v>
          </cell>
          <cell r="I830">
            <v>0</v>
          </cell>
          <cell r="J830">
            <v>48.94</v>
          </cell>
          <cell r="K830">
            <v>-1.05</v>
          </cell>
        </row>
        <row r="831">
          <cell r="A831" t="str">
            <v>LU1883310333</v>
          </cell>
          <cell r="B831" t="str">
            <v>AMUNDI FUNDS EUROPEAN EQUITY SMALL CAP</v>
          </cell>
          <cell r="C831" t="str">
            <v>Class T USD Hgd (C)</v>
          </cell>
          <cell r="D831" t="str">
            <v>USD</v>
          </cell>
          <cell r="E831">
            <v>45747</v>
          </cell>
          <cell r="F831">
            <v>38649.71</v>
          </cell>
          <cell r="G831">
            <v>792.66800000000001</v>
          </cell>
          <cell r="H831">
            <v>48.76</v>
          </cell>
          <cell r="I831">
            <v>0</v>
          </cell>
          <cell r="J831">
            <v>48.76</v>
          </cell>
          <cell r="K831">
            <v>-1.03</v>
          </cell>
        </row>
        <row r="832">
          <cell r="A832" t="str">
            <v>LU1883308279</v>
          </cell>
          <cell r="B832" t="str">
            <v>AMUNDI FUNDS EUROPEAN EQUITY SMALL CAP</v>
          </cell>
          <cell r="C832" t="str">
            <v>Class R2 EUR (C)</v>
          </cell>
          <cell r="D832" t="str">
            <v>EUR</v>
          </cell>
          <cell r="E832">
            <v>45747</v>
          </cell>
          <cell r="F832">
            <v>676883.24</v>
          </cell>
          <cell r="G832">
            <v>8560.0450000000001</v>
          </cell>
          <cell r="H832">
            <v>79.069999999999993</v>
          </cell>
          <cell r="I832">
            <v>0</v>
          </cell>
          <cell r="J832">
            <v>79.069999999999993</v>
          </cell>
          <cell r="K832">
            <v>-1.7</v>
          </cell>
        </row>
        <row r="833">
          <cell r="A833" t="str">
            <v>LU1883308352</v>
          </cell>
          <cell r="B833" t="str">
            <v>AMUNDI FUNDS EUROPEAN EQUITY SMALL CAP</v>
          </cell>
          <cell r="C833" t="str">
            <v>Class R2 GBP (C)</v>
          </cell>
          <cell r="D833" t="str">
            <v>GBP</v>
          </cell>
          <cell r="E833">
            <v>45747</v>
          </cell>
          <cell r="F833">
            <v>14680.87</v>
          </cell>
          <cell r="G833">
            <v>221.756</v>
          </cell>
          <cell r="H833">
            <v>66.2</v>
          </cell>
          <cell r="I833">
            <v>0</v>
          </cell>
          <cell r="J833">
            <v>66.2</v>
          </cell>
          <cell r="K833">
            <v>-1.38</v>
          </cell>
        </row>
        <row r="834">
          <cell r="A834" t="str">
            <v>LU1883308196</v>
          </cell>
          <cell r="B834" t="str">
            <v>AMUNDI FUNDS EUROPEAN EQUITY SMALL CAP</v>
          </cell>
          <cell r="C834" t="str">
            <v>Class P2 USD (C)</v>
          </cell>
          <cell r="D834" t="str">
            <v>USD</v>
          </cell>
          <cell r="E834">
            <v>45747</v>
          </cell>
          <cell r="F834">
            <v>7170.4</v>
          </cell>
          <cell r="G834">
            <v>100</v>
          </cell>
          <cell r="H834">
            <v>71.7</v>
          </cell>
          <cell r="I834">
            <v>0</v>
          </cell>
          <cell r="J834">
            <v>71.7</v>
          </cell>
          <cell r="K834">
            <v>-1.68</v>
          </cell>
        </row>
        <row r="835">
          <cell r="A835" t="str">
            <v>LU1883310507</v>
          </cell>
          <cell r="B835" t="str">
            <v>AMUNDI FUNDS EUROPEAN EQUITY SMALL CAP</v>
          </cell>
          <cell r="C835" t="str">
            <v>Class U USD (C)</v>
          </cell>
          <cell r="D835" t="str">
            <v>USD</v>
          </cell>
          <cell r="E835">
            <v>45747</v>
          </cell>
          <cell r="F835">
            <v>821992.71</v>
          </cell>
          <cell r="G835">
            <v>14532.154</v>
          </cell>
          <cell r="H835">
            <v>56.56</v>
          </cell>
          <cell r="I835">
            <v>0</v>
          </cell>
          <cell r="J835">
            <v>56.56</v>
          </cell>
          <cell r="K835">
            <v>-1.34</v>
          </cell>
        </row>
        <row r="836">
          <cell r="A836" t="str">
            <v>LU1883310416</v>
          </cell>
          <cell r="B836" t="str">
            <v>AMUNDI FUNDS EUROPEAN EQUITY SMALL CAP</v>
          </cell>
          <cell r="C836" t="str">
            <v>Class U EUR (C)</v>
          </cell>
          <cell r="D836" t="str">
            <v>EUR</v>
          </cell>
          <cell r="E836">
            <v>45747</v>
          </cell>
          <cell r="F836">
            <v>93708.37</v>
          </cell>
          <cell r="G836">
            <v>1789.1790000000001</v>
          </cell>
          <cell r="H836">
            <v>52.38</v>
          </cell>
          <cell r="I836">
            <v>0</v>
          </cell>
          <cell r="J836">
            <v>52.38</v>
          </cell>
          <cell r="K836">
            <v>-1.1299999999999999</v>
          </cell>
        </row>
        <row r="837">
          <cell r="A837" t="str">
            <v>LU1880396939</v>
          </cell>
          <cell r="B837" t="str">
            <v>AMUNDI FUNDS EUROPEAN EQUITY SMALL CAP</v>
          </cell>
          <cell r="C837" t="str">
            <v>Class R EUR (C)</v>
          </cell>
          <cell r="D837" t="str">
            <v>EUR</v>
          </cell>
          <cell r="E837">
            <v>45747</v>
          </cell>
          <cell r="F837">
            <v>506369.32</v>
          </cell>
          <cell r="G837">
            <v>8261.3940000000002</v>
          </cell>
          <cell r="H837">
            <v>61.29</v>
          </cell>
          <cell r="I837">
            <v>0</v>
          </cell>
          <cell r="J837">
            <v>61.29</v>
          </cell>
          <cell r="K837">
            <v>-1.32</v>
          </cell>
        </row>
        <row r="838">
          <cell r="A838" t="str">
            <v>LU1883310689</v>
          </cell>
          <cell r="B838" t="str">
            <v>AMUNDI FUNDS EUROPEAN EQUITY SMALL CAP</v>
          </cell>
          <cell r="C838" t="str">
            <v>Class U USD Hgd (C)</v>
          </cell>
          <cell r="D838" t="str">
            <v>USD</v>
          </cell>
          <cell r="E838">
            <v>45747</v>
          </cell>
          <cell r="F838">
            <v>466626.06</v>
          </cell>
          <cell r="G838">
            <v>7645.8010000000004</v>
          </cell>
          <cell r="H838">
            <v>61.03</v>
          </cell>
          <cell r="I838">
            <v>0</v>
          </cell>
          <cell r="J838">
            <v>61.03</v>
          </cell>
          <cell r="K838">
            <v>-1.26</v>
          </cell>
        </row>
        <row r="839">
          <cell r="A839" t="str">
            <v>LU1883310093</v>
          </cell>
          <cell r="B839" t="str">
            <v>AMUNDI FUNDS EUROPEAN EQUITY SMALL CAP</v>
          </cell>
          <cell r="C839" t="str">
            <v>Class R2 USD (C)</v>
          </cell>
          <cell r="D839" t="str">
            <v>USD</v>
          </cell>
          <cell r="E839">
            <v>45747</v>
          </cell>
          <cell r="F839">
            <v>129735.9</v>
          </cell>
          <cell r="G839">
            <v>1518.3979999999999</v>
          </cell>
          <cell r="H839">
            <v>85.44</v>
          </cell>
          <cell r="I839">
            <v>0</v>
          </cell>
          <cell r="J839">
            <v>85.44</v>
          </cell>
          <cell r="K839">
            <v>-2.0099999999999998</v>
          </cell>
        </row>
        <row r="840">
          <cell r="A840" t="str">
            <v>LU1880396186</v>
          </cell>
          <cell r="B840" t="str">
            <v>AMUNDI FUNDS EUROPEAN EQUITY SMALL CAP</v>
          </cell>
          <cell r="C840" t="str">
            <v>Class I EUR (C)</v>
          </cell>
          <cell r="D840" t="str">
            <v>EUR</v>
          </cell>
          <cell r="E840">
            <v>45747</v>
          </cell>
          <cell r="F840">
            <v>22670.83</v>
          </cell>
          <cell r="G840">
            <v>18.206</v>
          </cell>
          <cell r="H840">
            <v>1245.24</v>
          </cell>
          <cell r="I840">
            <v>0</v>
          </cell>
          <cell r="J840">
            <v>1245.24</v>
          </cell>
          <cell r="K840">
            <v>-26.68</v>
          </cell>
        </row>
        <row r="841">
          <cell r="A841" t="str">
            <v>LU1880397317</v>
          </cell>
          <cell r="B841" t="str">
            <v>AMUNDI FUNDS EUROPEAN EQUITY SMALL CAP</v>
          </cell>
          <cell r="C841" t="str">
            <v>Class Z EUR (C)</v>
          </cell>
          <cell r="D841" t="str">
            <v>EUR</v>
          </cell>
          <cell r="E841">
            <v>45747</v>
          </cell>
          <cell r="F841">
            <v>581469.17000000004</v>
          </cell>
          <cell r="G841">
            <v>459.56599999999997</v>
          </cell>
          <cell r="H841">
            <v>1265.26</v>
          </cell>
          <cell r="I841">
            <v>0</v>
          </cell>
          <cell r="J841">
            <v>1265.26</v>
          </cell>
          <cell r="K841">
            <v>-27.09</v>
          </cell>
        </row>
        <row r="842">
          <cell r="A842" t="str">
            <v>LU1882447425</v>
          </cell>
          <cell r="B842" t="str">
            <v>AMUNDI FUNDS EMERGING EUROP MIDDLE EAST AND AFRICA</v>
          </cell>
          <cell r="C842" t="str">
            <v>Class A EUR (C)</v>
          </cell>
          <cell r="D842" t="str">
            <v>EUR</v>
          </cell>
          <cell r="E842">
            <v>45747</v>
          </cell>
          <cell r="F842">
            <v>37100059.950000003</v>
          </cell>
          <cell r="G842">
            <v>1624033.22</v>
          </cell>
          <cell r="H842">
            <v>22.84</v>
          </cell>
          <cell r="I842">
            <v>0</v>
          </cell>
          <cell r="J842">
            <v>23.87</v>
          </cell>
          <cell r="K842">
            <v>-0.23</v>
          </cell>
        </row>
        <row r="843">
          <cell r="A843" t="str">
            <v>LU1882447342</v>
          </cell>
          <cell r="B843" t="str">
            <v>AMUNDI FUNDS EMERGING EUROP MIDDLE EAST AND AFRICA</v>
          </cell>
          <cell r="C843" t="str">
            <v>Class A CZK (C)</v>
          </cell>
          <cell r="D843" t="str">
            <v>CZK</v>
          </cell>
          <cell r="E843">
            <v>45747</v>
          </cell>
          <cell r="F843">
            <v>159643366.11000001</v>
          </cell>
          <cell r="G843">
            <v>278968.93300000002</v>
          </cell>
          <cell r="H843">
            <v>572.26</v>
          </cell>
          <cell r="I843">
            <v>0</v>
          </cell>
          <cell r="J843">
            <v>598.01</v>
          </cell>
          <cell r="K843">
            <v>-4.78</v>
          </cell>
        </row>
        <row r="844">
          <cell r="A844" t="str">
            <v>LU1882447771</v>
          </cell>
          <cell r="B844" t="str">
            <v>AMUNDI FUNDS EMERGING EUROP MIDDLE EAST AND AFRICA</v>
          </cell>
          <cell r="C844" t="str">
            <v>Class A USD AD (D)</v>
          </cell>
          <cell r="D844" t="str">
            <v>USD</v>
          </cell>
          <cell r="E844">
            <v>45747</v>
          </cell>
          <cell r="F844">
            <v>46963.34</v>
          </cell>
          <cell r="G844">
            <v>2181.3739999999998</v>
          </cell>
          <cell r="H844">
            <v>21.53</v>
          </cell>
          <cell r="I844">
            <v>0</v>
          </cell>
          <cell r="J844">
            <v>22.5</v>
          </cell>
          <cell r="K844">
            <v>-0.26</v>
          </cell>
        </row>
        <row r="845">
          <cell r="A845" t="str">
            <v>LU1882447698</v>
          </cell>
          <cell r="B845" t="str">
            <v>AMUNDI FUNDS EMERGING EUROP MIDDLE EAST AND AFRICA</v>
          </cell>
          <cell r="C845" t="str">
            <v>Class A USD (C)</v>
          </cell>
          <cell r="D845" t="str">
            <v>USD</v>
          </cell>
          <cell r="E845">
            <v>45747</v>
          </cell>
          <cell r="F845">
            <v>10174372.25</v>
          </cell>
          <cell r="G845">
            <v>411880.48</v>
          </cell>
          <cell r="H845">
            <v>24.7</v>
          </cell>
          <cell r="I845">
            <v>0</v>
          </cell>
          <cell r="J845">
            <v>25.81</v>
          </cell>
          <cell r="K845">
            <v>-0.3</v>
          </cell>
        </row>
        <row r="846">
          <cell r="A846" t="str">
            <v>LU1882447854</v>
          </cell>
          <cell r="B846" t="str">
            <v>AMUNDI FUNDS EMERGING EUROP MIDDLE EAST AND AFRICA</v>
          </cell>
          <cell r="C846" t="str">
            <v>Class B EUR (C)</v>
          </cell>
          <cell r="D846" t="str">
            <v>EUR</v>
          </cell>
          <cell r="E846">
            <v>45747</v>
          </cell>
          <cell r="F846">
            <v>8361.9599999999991</v>
          </cell>
          <cell r="G846">
            <v>436.84399999999999</v>
          </cell>
          <cell r="H846">
            <v>19.14</v>
          </cell>
          <cell r="I846">
            <v>0</v>
          </cell>
          <cell r="J846">
            <v>19.14</v>
          </cell>
          <cell r="K846">
            <v>-0.2</v>
          </cell>
        </row>
        <row r="847">
          <cell r="A847" t="str">
            <v>LU1882448829</v>
          </cell>
          <cell r="B847" t="str">
            <v>AMUNDI FUNDS EMERGING EUROP MIDDLE EAST AND AFRICA</v>
          </cell>
          <cell r="C847" t="str">
            <v>Class M2 EUR (C)</v>
          </cell>
          <cell r="D847" t="str">
            <v>EUR</v>
          </cell>
          <cell r="E847">
            <v>45747</v>
          </cell>
          <cell r="F847">
            <v>1094830.07</v>
          </cell>
          <cell r="G847">
            <v>805.69</v>
          </cell>
          <cell r="H847">
            <v>1358.87</v>
          </cell>
          <cell r="I847">
            <v>0</v>
          </cell>
          <cell r="J847">
            <v>1358.87</v>
          </cell>
          <cell r="K847">
            <v>-13.72</v>
          </cell>
        </row>
        <row r="848">
          <cell r="A848" t="str">
            <v>LU1882447938</v>
          </cell>
          <cell r="B848" t="str">
            <v>AMUNDI FUNDS EMERGING EUROP MIDDLE EAST AND AFRICA</v>
          </cell>
          <cell r="C848" t="str">
            <v>Class B USD (C)</v>
          </cell>
          <cell r="D848" t="str">
            <v>USD</v>
          </cell>
          <cell r="E848">
            <v>45747</v>
          </cell>
          <cell r="F848">
            <v>580382.25</v>
          </cell>
          <cell r="G848">
            <v>28055.455000000002</v>
          </cell>
          <cell r="H848">
            <v>20.69</v>
          </cell>
          <cell r="I848">
            <v>0</v>
          </cell>
          <cell r="J848">
            <v>20.69</v>
          </cell>
          <cell r="K848">
            <v>-0.25</v>
          </cell>
        </row>
        <row r="849">
          <cell r="A849" t="str">
            <v>LU1882448076</v>
          </cell>
          <cell r="B849" t="str">
            <v>AMUNDI FUNDS EMERGING EUROP MIDDLE EAST AND AFRICA</v>
          </cell>
          <cell r="C849" t="str">
            <v>Class C EUR (C)</v>
          </cell>
          <cell r="D849" t="str">
            <v>EUR</v>
          </cell>
          <cell r="E849">
            <v>45747</v>
          </cell>
          <cell r="F849">
            <v>4196019.51</v>
          </cell>
          <cell r="G849">
            <v>204464.73499999999</v>
          </cell>
          <cell r="H849">
            <v>20.52</v>
          </cell>
          <cell r="I849">
            <v>0</v>
          </cell>
          <cell r="J849">
            <v>20.52</v>
          </cell>
          <cell r="K849">
            <v>-0.21</v>
          </cell>
        </row>
        <row r="850">
          <cell r="A850" t="str">
            <v>LU1882448233</v>
          </cell>
          <cell r="B850" t="str">
            <v>AMUNDI FUNDS EMERGING EUROP MIDDLE EAST AND AFRICA</v>
          </cell>
          <cell r="C850" t="str">
            <v>Class C USD AD (D)</v>
          </cell>
          <cell r="D850" t="str">
            <v>USD</v>
          </cell>
          <cell r="E850">
            <v>45747</v>
          </cell>
          <cell r="F850">
            <v>7170.34</v>
          </cell>
          <cell r="G850">
            <v>352</v>
          </cell>
          <cell r="H850">
            <v>20.37</v>
          </cell>
          <cell r="I850">
            <v>0</v>
          </cell>
          <cell r="J850">
            <v>20.37</v>
          </cell>
          <cell r="K850">
            <v>-0.25</v>
          </cell>
        </row>
        <row r="851">
          <cell r="A851" t="str">
            <v>LU1882448159</v>
          </cell>
          <cell r="B851" t="str">
            <v>AMUNDI FUNDS EMERGING EUROP MIDDLE EAST AND AFRICA</v>
          </cell>
          <cell r="C851" t="str">
            <v>Class C USD (C)</v>
          </cell>
          <cell r="D851" t="str">
            <v>USD</v>
          </cell>
          <cell r="E851">
            <v>45747</v>
          </cell>
          <cell r="F851">
            <v>289557.63</v>
          </cell>
          <cell r="G851">
            <v>13062.115</v>
          </cell>
          <cell r="H851">
            <v>22.17</v>
          </cell>
          <cell r="I851">
            <v>0</v>
          </cell>
          <cell r="J851">
            <v>22.17</v>
          </cell>
          <cell r="K851">
            <v>-0.27</v>
          </cell>
        </row>
        <row r="852">
          <cell r="A852" t="str">
            <v>LU1882448316</v>
          </cell>
          <cell r="B852" t="str">
            <v>AMUNDI FUNDS EMERGING EUROP MIDDLE EAST AND AFRICA</v>
          </cell>
          <cell r="C852" t="str">
            <v>Class E2 EUR (C)</v>
          </cell>
          <cell r="D852" t="str">
            <v>EUR</v>
          </cell>
          <cell r="E852">
            <v>45747</v>
          </cell>
          <cell r="F852">
            <v>12567402.34</v>
          </cell>
          <cell r="G852">
            <v>486302.90500000003</v>
          </cell>
          <cell r="H852">
            <v>25.843</v>
          </cell>
          <cell r="I852">
            <v>0</v>
          </cell>
          <cell r="J852">
            <v>25.843</v>
          </cell>
          <cell r="K852">
            <v>-0.26200000000000001</v>
          </cell>
        </row>
        <row r="853">
          <cell r="A853" t="str">
            <v>LU1882448407</v>
          </cell>
          <cell r="B853" t="str">
            <v>AMUNDI FUNDS EMERGING EUROP MIDDLE EAST AND AFRICA</v>
          </cell>
          <cell r="C853" t="str">
            <v>Class F EUR (C)</v>
          </cell>
          <cell r="D853" t="str">
            <v>EUR</v>
          </cell>
          <cell r="E853">
            <v>45747</v>
          </cell>
          <cell r="F853">
            <v>7192968.25</v>
          </cell>
          <cell r="G853">
            <v>367402.83199999999</v>
          </cell>
          <cell r="H853">
            <v>19.577999999999999</v>
          </cell>
          <cell r="I853">
            <v>0</v>
          </cell>
          <cell r="J853">
            <v>19.577999999999999</v>
          </cell>
          <cell r="K853">
            <v>-0.19800000000000001</v>
          </cell>
        </row>
        <row r="854">
          <cell r="A854" t="str">
            <v>LU1882448746</v>
          </cell>
          <cell r="B854" t="str">
            <v>AMUNDI FUNDS EMERGING EUROP MIDDLE EAST AND AFRICA</v>
          </cell>
          <cell r="C854" t="str">
            <v>Class I2 USD (C)</v>
          </cell>
          <cell r="D854" t="str">
            <v>USD</v>
          </cell>
          <cell r="E854">
            <v>45747</v>
          </cell>
          <cell r="F854">
            <v>28014.63</v>
          </cell>
          <cell r="G854">
            <v>853.36800000000005</v>
          </cell>
          <cell r="H854">
            <v>32.83</v>
          </cell>
          <cell r="I854">
            <v>0</v>
          </cell>
          <cell r="J854">
            <v>32.83</v>
          </cell>
          <cell r="K854">
            <v>-0.39</v>
          </cell>
        </row>
        <row r="855">
          <cell r="A855" t="str">
            <v>LU1882448662</v>
          </cell>
          <cell r="B855" t="str">
            <v>AMUNDI FUNDS EMERGING EUROP MIDDLE EAST AND AFRICA</v>
          </cell>
          <cell r="C855" t="str">
            <v>Class I2 EUR (C)</v>
          </cell>
          <cell r="D855" t="str">
            <v>EUR</v>
          </cell>
          <cell r="E855">
            <v>45747</v>
          </cell>
          <cell r="F855">
            <v>12793008.57</v>
          </cell>
          <cell r="G855">
            <v>421015.96100000001</v>
          </cell>
          <cell r="H855">
            <v>30.39</v>
          </cell>
          <cell r="I855">
            <v>0</v>
          </cell>
          <cell r="J855">
            <v>30.39</v>
          </cell>
          <cell r="K855">
            <v>-0.3</v>
          </cell>
        </row>
        <row r="856">
          <cell r="A856" t="str">
            <v>LU1882448589</v>
          </cell>
          <cell r="B856" t="str">
            <v>AMUNDI FUNDS EMERGING EUROP MIDDLE EAST AND AFRICA</v>
          </cell>
          <cell r="C856" t="str">
            <v>Class G EUR (C)</v>
          </cell>
          <cell r="D856" t="str">
            <v>EUR</v>
          </cell>
          <cell r="E856">
            <v>45747</v>
          </cell>
          <cell r="F856">
            <v>189202.38</v>
          </cell>
          <cell r="G856">
            <v>30202.608</v>
          </cell>
          <cell r="H856">
            <v>6.2640000000000002</v>
          </cell>
          <cell r="I856">
            <v>0</v>
          </cell>
          <cell r="J856">
            <v>6.2640000000000002</v>
          </cell>
          <cell r="K856">
            <v>-6.4000000000000001E-2</v>
          </cell>
        </row>
        <row r="857">
          <cell r="A857" t="str">
            <v>LU1882449397</v>
          </cell>
          <cell r="B857" t="str">
            <v>AMUNDI FUNDS EMERGING EUROP MIDDLE EAST AND AFRICA</v>
          </cell>
          <cell r="C857" t="str">
            <v>Class T USD (C)</v>
          </cell>
          <cell r="D857" t="str">
            <v>USD</v>
          </cell>
          <cell r="E857">
            <v>45747</v>
          </cell>
          <cell r="F857">
            <v>8076.2</v>
          </cell>
          <cell r="G857">
            <v>103.90900000000001</v>
          </cell>
          <cell r="H857">
            <v>77.72</v>
          </cell>
          <cell r="I857">
            <v>0</v>
          </cell>
          <cell r="J857">
            <v>77.72</v>
          </cell>
          <cell r="K857">
            <v>-0.95</v>
          </cell>
        </row>
        <row r="858">
          <cell r="A858" t="str">
            <v>LU1882449124</v>
          </cell>
          <cell r="B858" t="str">
            <v>AMUNDI FUNDS EMERGING EUROP MIDDLE EAST AND AFRICA</v>
          </cell>
          <cell r="C858" t="str">
            <v>Class T EUR (C)</v>
          </cell>
          <cell r="D858" t="str">
            <v>EUR</v>
          </cell>
          <cell r="E858">
            <v>45747</v>
          </cell>
          <cell r="F858">
            <v>296.64999999999998</v>
          </cell>
          <cell r="G858">
            <v>6.0380000000000003</v>
          </cell>
          <cell r="H858">
            <v>49.13</v>
          </cell>
          <cell r="I858">
            <v>0</v>
          </cell>
          <cell r="J858">
            <v>49.13</v>
          </cell>
          <cell r="K858">
            <v>-0.5</v>
          </cell>
        </row>
        <row r="859">
          <cell r="A859" t="str">
            <v>LU1882449041</v>
          </cell>
          <cell r="B859" t="str">
            <v>AMUNDI FUNDS EMERGING EUROP MIDDLE EAST AND AFRICA</v>
          </cell>
          <cell r="C859" t="str">
            <v>Class R2 EUR (C)</v>
          </cell>
          <cell r="D859" t="str">
            <v>EUR</v>
          </cell>
          <cell r="E859">
            <v>45747</v>
          </cell>
          <cell r="F859">
            <v>101600.62</v>
          </cell>
          <cell r="G859">
            <v>1339.08</v>
          </cell>
          <cell r="H859">
            <v>75.87</v>
          </cell>
          <cell r="I859">
            <v>0</v>
          </cell>
          <cell r="J859">
            <v>75.87</v>
          </cell>
          <cell r="K859">
            <v>-0.77</v>
          </cell>
        </row>
        <row r="860">
          <cell r="A860" t="str">
            <v>LU1882449553</v>
          </cell>
          <cell r="B860" t="str">
            <v>AMUNDI FUNDS EMERGING EUROP MIDDLE EAST AND AFRICA</v>
          </cell>
          <cell r="C860" t="str">
            <v>Class U USD (C)</v>
          </cell>
          <cell r="D860" t="str">
            <v>USD</v>
          </cell>
          <cell r="E860">
            <v>45747</v>
          </cell>
          <cell r="F860">
            <v>32246.7</v>
          </cell>
          <cell r="G860">
            <v>631.86099999999999</v>
          </cell>
          <cell r="H860">
            <v>51.03</v>
          </cell>
          <cell r="I860">
            <v>0</v>
          </cell>
          <cell r="J860">
            <v>51.03</v>
          </cell>
          <cell r="K860">
            <v>-0.62</v>
          </cell>
        </row>
        <row r="861">
          <cell r="A861" t="str">
            <v>LU1882449470</v>
          </cell>
          <cell r="B861" t="str">
            <v>AMUNDI FUNDS EMERGING EUROP MIDDLE EAST AND AFRICA</v>
          </cell>
          <cell r="C861" t="str">
            <v>Class U EUR (C)</v>
          </cell>
          <cell r="D861" t="str">
            <v>EUR</v>
          </cell>
          <cell r="E861">
            <v>45747</v>
          </cell>
          <cell r="F861">
            <v>13710.78</v>
          </cell>
          <cell r="G861">
            <v>191.553</v>
          </cell>
          <cell r="H861">
            <v>71.58</v>
          </cell>
          <cell r="I861">
            <v>0</v>
          </cell>
          <cell r="J861">
            <v>71.58</v>
          </cell>
          <cell r="K861">
            <v>-0.73</v>
          </cell>
        </row>
        <row r="862">
          <cell r="A862" t="str">
            <v>LU2600584523</v>
          </cell>
          <cell r="B862" t="str">
            <v>AMUNDI FUNDS EMERGING EUROP MIDDLE EAST AND AFRICA</v>
          </cell>
          <cell r="C862" t="str">
            <v>Class SP EUR (C)</v>
          </cell>
          <cell r="D862" t="str">
            <v>EUR</v>
          </cell>
          <cell r="E862">
            <v>45747</v>
          </cell>
          <cell r="F862">
            <v>1412494.73</v>
          </cell>
          <cell r="G862">
            <v>10000000.006999999</v>
          </cell>
          <cell r="H862">
            <v>0.14000000000000001</v>
          </cell>
          <cell r="I862">
            <v>0</v>
          </cell>
          <cell r="J862">
            <v>0.14000000000000001</v>
          </cell>
          <cell r="K862">
            <v>0</v>
          </cell>
        </row>
        <row r="863">
          <cell r="A863" t="str">
            <v>LU1880383101</v>
          </cell>
          <cell r="B863" t="str">
            <v>AMUNDI FUNDS CHINA EQUITY</v>
          </cell>
          <cell r="C863" t="str">
            <v>Class A EUR AD (D)</v>
          </cell>
          <cell r="D863" t="str">
            <v>EUR</v>
          </cell>
          <cell r="E863">
            <v>45747</v>
          </cell>
          <cell r="F863">
            <v>548819.23</v>
          </cell>
          <cell r="G863">
            <v>11808.548000000001</v>
          </cell>
          <cell r="H863">
            <v>46.48</v>
          </cell>
          <cell r="I863">
            <v>0</v>
          </cell>
          <cell r="J863">
            <v>48.57</v>
          </cell>
          <cell r="K863">
            <v>-0.56999999999999995</v>
          </cell>
        </row>
        <row r="864">
          <cell r="A864" t="str">
            <v>LU1882445569</v>
          </cell>
          <cell r="B864" t="str">
            <v>AMUNDI FUNDS CHINA EQUITY</v>
          </cell>
          <cell r="C864" t="str">
            <v>Class A EUR (C)</v>
          </cell>
          <cell r="D864" t="str">
            <v>EUR</v>
          </cell>
          <cell r="E864">
            <v>45747</v>
          </cell>
          <cell r="F864">
            <v>73683041.75</v>
          </cell>
          <cell r="G864">
            <v>5394774.0650000004</v>
          </cell>
          <cell r="H864">
            <v>13.66</v>
          </cell>
          <cell r="I864">
            <v>0</v>
          </cell>
          <cell r="J864">
            <v>14.27</v>
          </cell>
          <cell r="K864">
            <v>-0.17</v>
          </cell>
        </row>
        <row r="865">
          <cell r="A865" t="str">
            <v>LU2070305623</v>
          </cell>
          <cell r="B865" t="str">
            <v>AMUNDI FUNDS CHINA EQUITY</v>
          </cell>
          <cell r="C865" t="str">
            <v>Class A5 EUR (C)</v>
          </cell>
          <cell r="D865" t="str">
            <v>EUR</v>
          </cell>
          <cell r="E865">
            <v>45747</v>
          </cell>
          <cell r="F865">
            <v>706360.62</v>
          </cell>
          <cell r="G865">
            <v>15283.505999999999</v>
          </cell>
          <cell r="H865">
            <v>46.22</v>
          </cell>
          <cell r="I865">
            <v>0</v>
          </cell>
          <cell r="J865">
            <v>46.22</v>
          </cell>
          <cell r="K865">
            <v>-0.56999999999999995</v>
          </cell>
        </row>
        <row r="866">
          <cell r="A866" t="str">
            <v>LU1880383283</v>
          </cell>
          <cell r="B866" t="str">
            <v>AMUNDI FUNDS CHINA EQUITY</v>
          </cell>
          <cell r="C866" t="str">
            <v>Class A USD AD (D)</v>
          </cell>
          <cell r="D866" t="str">
            <v>USD</v>
          </cell>
          <cell r="E866">
            <v>45747</v>
          </cell>
          <cell r="F866">
            <v>5940599.7699999996</v>
          </cell>
          <cell r="G866">
            <v>134039.359</v>
          </cell>
          <cell r="H866">
            <v>44.32</v>
          </cell>
          <cell r="I866">
            <v>0</v>
          </cell>
          <cell r="J866">
            <v>46.31</v>
          </cell>
          <cell r="K866">
            <v>-0.64</v>
          </cell>
        </row>
        <row r="867">
          <cell r="A867" t="str">
            <v>LU1882445643</v>
          </cell>
          <cell r="B867" t="str">
            <v>AMUNDI FUNDS CHINA EQUITY</v>
          </cell>
          <cell r="C867" t="str">
            <v>Class A USD (C)</v>
          </cell>
          <cell r="D867" t="str">
            <v>USD</v>
          </cell>
          <cell r="E867">
            <v>45747</v>
          </cell>
          <cell r="F867">
            <v>70331866.760000005</v>
          </cell>
          <cell r="G867">
            <v>4768160.4979999997</v>
          </cell>
          <cell r="H867">
            <v>14.75</v>
          </cell>
          <cell r="I867">
            <v>0</v>
          </cell>
          <cell r="J867">
            <v>15.41</v>
          </cell>
          <cell r="K867">
            <v>-0.21</v>
          </cell>
        </row>
        <row r="868">
          <cell r="A868" t="str">
            <v>LU1882446708</v>
          </cell>
          <cell r="B868" t="str">
            <v>AMUNDI FUNDS CHINA EQUITY</v>
          </cell>
          <cell r="C868" t="str">
            <v>Class M2 EUR (C)</v>
          </cell>
          <cell r="D868" t="str">
            <v>EUR</v>
          </cell>
          <cell r="E868">
            <v>45747</v>
          </cell>
          <cell r="F868">
            <v>4917144.68</v>
          </cell>
          <cell r="G868">
            <v>2637.4679999999998</v>
          </cell>
          <cell r="H868">
            <v>1864.34</v>
          </cell>
          <cell r="I868">
            <v>0</v>
          </cell>
          <cell r="J868">
            <v>1864.34</v>
          </cell>
          <cell r="K868">
            <v>-22.98</v>
          </cell>
        </row>
        <row r="869">
          <cell r="A869" t="str">
            <v>LU1882445726</v>
          </cell>
          <cell r="B869" t="str">
            <v>AMUNDI FUNDS CHINA EQUITY</v>
          </cell>
          <cell r="C869" t="str">
            <v>Class B USD (C)</v>
          </cell>
          <cell r="D869" t="str">
            <v>USD</v>
          </cell>
          <cell r="E869">
            <v>45747</v>
          </cell>
          <cell r="F869">
            <v>1444665.83</v>
          </cell>
          <cell r="G869">
            <v>120052.56</v>
          </cell>
          <cell r="H869">
            <v>12.03</v>
          </cell>
          <cell r="I869">
            <v>0</v>
          </cell>
          <cell r="J869">
            <v>12.03</v>
          </cell>
          <cell r="K869">
            <v>-0.18</v>
          </cell>
        </row>
        <row r="870">
          <cell r="A870" t="str">
            <v>LU1882445999</v>
          </cell>
          <cell r="B870" t="str">
            <v>AMUNDI FUNDS CHINA EQUITY</v>
          </cell>
          <cell r="C870" t="str">
            <v>Class C EUR (C)</v>
          </cell>
          <cell r="D870" t="str">
            <v>EUR</v>
          </cell>
          <cell r="E870">
            <v>45747</v>
          </cell>
          <cell r="F870">
            <v>1246811.0900000001</v>
          </cell>
          <cell r="G870">
            <v>103088.50599999999</v>
          </cell>
          <cell r="H870">
            <v>12.09</v>
          </cell>
          <cell r="I870">
            <v>0</v>
          </cell>
          <cell r="J870">
            <v>12.09</v>
          </cell>
          <cell r="K870">
            <v>-0.16</v>
          </cell>
        </row>
        <row r="871">
          <cell r="A871" t="str">
            <v>LU1882446021</v>
          </cell>
          <cell r="B871" t="str">
            <v>AMUNDI FUNDS CHINA EQUITY</v>
          </cell>
          <cell r="C871" t="str">
            <v>Class C USD (C)</v>
          </cell>
          <cell r="D871" t="str">
            <v>USD</v>
          </cell>
          <cell r="E871">
            <v>45747</v>
          </cell>
          <cell r="F871">
            <v>266589.06</v>
          </cell>
          <cell r="G871">
            <v>20416.401999999998</v>
          </cell>
          <cell r="H871">
            <v>13.06</v>
          </cell>
          <cell r="I871">
            <v>0</v>
          </cell>
          <cell r="J871">
            <v>13.06</v>
          </cell>
          <cell r="K871">
            <v>-0.19</v>
          </cell>
        </row>
        <row r="872">
          <cell r="A872" t="str">
            <v>LU1882446294</v>
          </cell>
          <cell r="B872" t="str">
            <v>AMUNDI FUNDS CHINA EQUITY</v>
          </cell>
          <cell r="C872" t="str">
            <v>Class E2 EUR (C)</v>
          </cell>
          <cell r="D872" t="str">
            <v>EUR</v>
          </cell>
          <cell r="E872">
            <v>45747</v>
          </cell>
          <cell r="F872">
            <v>68833109.409999996</v>
          </cell>
          <cell r="G872">
            <v>4535129.7910000002</v>
          </cell>
          <cell r="H872">
            <v>15.178000000000001</v>
          </cell>
          <cell r="I872">
            <v>0</v>
          </cell>
          <cell r="J872">
            <v>15.178000000000001</v>
          </cell>
          <cell r="K872">
            <v>-0.188</v>
          </cell>
        </row>
        <row r="873">
          <cell r="A873" t="str">
            <v>LU1882446377</v>
          </cell>
          <cell r="B873" t="str">
            <v>AMUNDI FUNDS CHINA EQUITY</v>
          </cell>
          <cell r="C873" t="str">
            <v>Class F EUR (C)</v>
          </cell>
          <cell r="D873" t="str">
            <v>EUR</v>
          </cell>
          <cell r="E873">
            <v>45747</v>
          </cell>
          <cell r="F873">
            <v>25054911.710000001</v>
          </cell>
          <cell r="G873">
            <v>2083689.1580000001</v>
          </cell>
          <cell r="H873">
            <v>12.023999999999999</v>
          </cell>
          <cell r="I873">
            <v>0</v>
          </cell>
          <cell r="J873">
            <v>12.023999999999999</v>
          </cell>
          <cell r="K873">
            <v>-0.15</v>
          </cell>
        </row>
        <row r="874">
          <cell r="A874" t="str">
            <v>LU1880383523</v>
          </cell>
          <cell r="B874" t="str">
            <v>AMUNDI FUNDS CHINA EQUITY</v>
          </cell>
          <cell r="C874" t="str">
            <v>Class F2 USD (C)</v>
          </cell>
          <cell r="D874" t="str">
            <v>USD</v>
          </cell>
          <cell r="E874">
            <v>45747</v>
          </cell>
          <cell r="F874">
            <v>1342884.19</v>
          </cell>
          <cell r="G874">
            <v>311488.96399999998</v>
          </cell>
          <cell r="H874">
            <v>4.3109999999999999</v>
          </cell>
          <cell r="I874">
            <v>0</v>
          </cell>
          <cell r="J874">
            <v>4.3109999999999999</v>
          </cell>
          <cell r="K874">
            <v>-6.3E-2</v>
          </cell>
        </row>
        <row r="875">
          <cell r="A875" t="str">
            <v>LU1882446617</v>
          </cell>
          <cell r="B875" t="str">
            <v>AMUNDI FUNDS CHINA EQUITY</v>
          </cell>
          <cell r="C875" t="str">
            <v>Class I2 USD (C)</v>
          </cell>
          <cell r="D875" t="str">
            <v>USD</v>
          </cell>
          <cell r="E875">
            <v>45747</v>
          </cell>
          <cell r="F875">
            <v>6781492.46</v>
          </cell>
          <cell r="G875">
            <v>350222.06599999999</v>
          </cell>
          <cell r="H875">
            <v>19.36</v>
          </cell>
          <cell r="I875">
            <v>0</v>
          </cell>
          <cell r="J875">
            <v>19.36</v>
          </cell>
          <cell r="K875">
            <v>-0.28000000000000003</v>
          </cell>
        </row>
        <row r="876">
          <cell r="A876" t="str">
            <v>LU2259109523</v>
          </cell>
          <cell r="B876" t="str">
            <v>AMUNDI FUNDS CHINA EQUITY</v>
          </cell>
          <cell r="C876" t="str">
            <v>Class I2 GBP (C)</v>
          </cell>
          <cell r="D876" t="str">
            <v>GBP</v>
          </cell>
          <cell r="E876">
            <v>45747</v>
          </cell>
          <cell r="F876">
            <v>3343.78</v>
          </cell>
          <cell r="G876">
            <v>5</v>
          </cell>
          <cell r="H876">
            <v>668.76</v>
          </cell>
          <cell r="I876">
            <v>0</v>
          </cell>
          <cell r="J876">
            <v>668.76</v>
          </cell>
          <cell r="K876">
            <v>-7.79</v>
          </cell>
        </row>
        <row r="877">
          <cell r="A877" t="str">
            <v>LU1882446534</v>
          </cell>
          <cell r="B877" t="str">
            <v>AMUNDI FUNDS CHINA EQUITY</v>
          </cell>
          <cell r="C877" t="str">
            <v>Class I2 EUR (C)</v>
          </cell>
          <cell r="D877" t="str">
            <v>EUR</v>
          </cell>
          <cell r="E877">
            <v>45747</v>
          </cell>
          <cell r="F877">
            <v>7677210.6799999997</v>
          </cell>
          <cell r="G877">
            <v>428180</v>
          </cell>
          <cell r="H877">
            <v>17.93</v>
          </cell>
          <cell r="I877">
            <v>0</v>
          </cell>
          <cell r="J877">
            <v>17.93</v>
          </cell>
          <cell r="K877">
            <v>-0.22</v>
          </cell>
        </row>
        <row r="878">
          <cell r="A878" t="str">
            <v>LU1880383796</v>
          </cell>
          <cell r="B878" t="str">
            <v>AMUNDI FUNDS CHINA EQUITY</v>
          </cell>
          <cell r="C878" t="str">
            <v>Class G USD (C)</v>
          </cell>
          <cell r="D878" t="str">
            <v>USD</v>
          </cell>
          <cell r="E878">
            <v>45747</v>
          </cell>
          <cell r="F878">
            <v>29219972.07</v>
          </cell>
          <cell r="G878">
            <v>6665336.5300000003</v>
          </cell>
          <cell r="H878">
            <v>4.3840000000000003</v>
          </cell>
          <cell r="I878">
            <v>0</v>
          </cell>
          <cell r="J878">
            <v>4.516</v>
          </cell>
          <cell r="K878">
            <v>-6.3E-2</v>
          </cell>
        </row>
        <row r="879">
          <cell r="A879" t="str">
            <v>LU1882446450</v>
          </cell>
          <cell r="B879" t="str">
            <v>AMUNDI FUNDS CHINA EQUITY</v>
          </cell>
          <cell r="C879" t="str">
            <v>Class G EUR (C)</v>
          </cell>
          <cell r="D879" t="str">
            <v>EUR</v>
          </cell>
          <cell r="E879">
            <v>45747</v>
          </cell>
          <cell r="F879">
            <v>23280491.210000001</v>
          </cell>
          <cell r="G879">
            <v>5708379.3459999999</v>
          </cell>
          <cell r="H879">
            <v>4.0780000000000003</v>
          </cell>
          <cell r="I879">
            <v>0</v>
          </cell>
          <cell r="J879">
            <v>4.0780000000000003</v>
          </cell>
          <cell r="K879">
            <v>-5.0999999999999997E-2</v>
          </cell>
        </row>
        <row r="880">
          <cell r="A880" t="str">
            <v>LU2339089240</v>
          </cell>
          <cell r="B880" t="str">
            <v>AMUNDI FUNDS CHINA EQUITY</v>
          </cell>
          <cell r="C880" t="str">
            <v>Class H EUR (C)</v>
          </cell>
          <cell r="D880" t="str">
            <v>EUR</v>
          </cell>
          <cell r="E880">
            <v>45747</v>
          </cell>
          <cell r="F880">
            <v>5553790.0199999996</v>
          </cell>
          <cell r="G880">
            <v>7737.0169999999998</v>
          </cell>
          <cell r="H880">
            <v>717.82</v>
          </cell>
          <cell r="I880">
            <v>0</v>
          </cell>
          <cell r="J880">
            <v>717.82</v>
          </cell>
          <cell r="K880">
            <v>-8.82</v>
          </cell>
        </row>
        <row r="881">
          <cell r="A881" t="str">
            <v>LU1882447185</v>
          </cell>
          <cell r="B881" t="str">
            <v>AMUNDI FUNDS CHINA EQUITY</v>
          </cell>
          <cell r="C881" t="str">
            <v>Class T USD (C)</v>
          </cell>
          <cell r="D881" t="str">
            <v>USD</v>
          </cell>
          <cell r="E881">
            <v>45747</v>
          </cell>
          <cell r="F881">
            <v>21074.240000000002</v>
          </cell>
          <cell r="G881">
            <v>506.23</v>
          </cell>
          <cell r="H881">
            <v>41.63</v>
          </cell>
          <cell r="I881">
            <v>0</v>
          </cell>
          <cell r="J881">
            <v>41.63</v>
          </cell>
          <cell r="K881">
            <v>-0.6</v>
          </cell>
        </row>
        <row r="882">
          <cell r="A882" t="str">
            <v>LU1880384174</v>
          </cell>
          <cell r="B882" t="str">
            <v>AMUNDI FUNDS CHINA EQUITY</v>
          </cell>
          <cell r="C882" t="str">
            <v>Class M USD (C)</v>
          </cell>
          <cell r="D882" t="str">
            <v>USD</v>
          </cell>
          <cell r="E882">
            <v>45747</v>
          </cell>
          <cell r="F882">
            <v>1114450.3999999999</v>
          </cell>
          <cell r="G882">
            <v>1177.5070000000001</v>
          </cell>
          <cell r="H882">
            <v>946.45</v>
          </cell>
          <cell r="I882">
            <v>0</v>
          </cell>
          <cell r="J882">
            <v>946.45</v>
          </cell>
          <cell r="K882">
            <v>-13.52</v>
          </cell>
        </row>
        <row r="883">
          <cell r="A883" t="str">
            <v>LU1882446963</v>
          </cell>
          <cell r="B883" t="str">
            <v>AMUNDI FUNDS CHINA EQUITY</v>
          </cell>
          <cell r="C883" t="str">
            <v>Class R2 EUR (C)</v>
          </cell>
          <cell r="D883" t="str">
            <v>EUR</v>
          </cell>
          <cell r="E883">
            <v>45747</v>
          </cell>
          <cell r="F883">
            <v>215719.27</v>
          </cell>
          <cell r="G883">
            <v>4317.4399999999996</v>
          </cell>
          <cell r="H883">
            <v>49.96</v>
          </cell>
          <cell r="I883">
            <v>0</v>
          </cell>
          <cell r="J883">
            <v>49.96</v>
          </cell>
          <cell r="K883">
            <v>-0.62</v>
          </cell>
        </row>
        <row r="884">
          <cell r="A884" t="str">
            <v>LU1880383366</v>
          </cell>
          <cell r="B884" t="str">
            <v>AMUNDI FUNDS CHINA EQUITY</v>
          </cell>
          <cell r="C884" t="str">
            <v>Class A2 USD (C)</v>
          </cell>
          <cell r="D884" t="str">
            <v>USD</v>
          </cell>
          <cell r="E884">
            <v>45747</v>
          </cell>
          <cell r="F884">
            <v>18016492.559999999</v>
          </cell>
          <cell r="G884">
            <v>400127.46600000001</v>
          </cell>
          <cell r="H884">
            <v>45.03</v>
          </cell>
          <cell r="I884">
            <v>0</v>
          </cell>
          <cell r="J884">
            <v>45.03</v>
          </cell>
          <cell r="K884">
            <v>-0.64</v>
          </cell>
        </row>
        <row r="885">
          <cell r="A885" t="str">
            <v>LU1880383440</v>
          </cell>
          <cell r="B885" t="str">
            <v>AMUNDI FUNDS CHINA EQUITY</v>
          </cell>
          <cell r="C885" t="str">
            <v>Class A2 USD AD (D)</v>
          </cell>
          <cell r="D885" t="str">
            <v>USD</v>
          </cell>
          <cell r="E885">
            <v>45747</v>
          </cell>
          <cell r="F885">
            <v>114321.8</v>
          </cell>
          <cell r="G885">
            <v>2539.5059999999999</v>
          </cell>
          <cell r="H885">
            <v>45.02</v>
          </cell>
          <cell r="I885">
            <v>0</v>
          </cell>
          <cell r="J885">
            <v>45.02</v>
          </cell>
          <cell r="K885">
            <v>-0.65</v>
          </cell>
        </row>
        <row r="886">
          <cell r="A886" t="str">
            <v>LU1882446880</v>
          </cell>
          <cell r="B886" t="str">
            <v>AMUNDI FUNDS CHINA EQUITY</v>
          </cell>
          <cell r="C886" t="str">
            <v>Class P2 USD (C)</v>
          </cell>
          <cell r="D886" t="str">
            <v>USD</v>
          </cell>
          <cell r="E886">
            <v>45747</v>
          </cell>
          <cell r="F886">
            <v>6361.82</v>
          </cell>
          <cell r="G886">
            <v>100</v>
          </cell>
          <cell r="H886">
            <v>63.62</v>
          </cell>
          <cell r="I886">
            <v>0</v>
          </cell>
          <cell r="J886">
            <v>63.62</v>
          </cell>
          <cell r="K886">
            <v>-0.91</v>
          </cell>
        </row>
        <row r="887">
          <cell r="A887" t="str">
            <v>LU1882447268</v>
          </cell>
          <cell r="B887" t="str">
            <v>AMUNDI FUNDS CHINA EQUITY</v>
          </cell>
          <cell r="C887" t="str">
            <v>Class U USD (C)</v>
          </cell>
          <cell r="D887" t="str">
            <v>USD</v>
          </cell>
          <cell r="E887">
            <v>45747</v>
          </cell>
          <cell r="F887">
            <v>474.74</v>
          </cell>
          <cell r="G887">
            <v>11.786</v>
          </cell>
          <cell r="H887">
            <v>40.28</v>
          </cell>
          <cell r="I887">
            <v>0</v>
          </cell>
          <cell r="J887">
            <v>40.28</v>
          </cell>
          <cell r="K887">
            <v>-0.57999999999999996</v>
          </cell>
        </row>
        <row r="888">
          <cell r="A888" t="str">
            <v>LU1880385148</v>
          </cell>
          <cell r="B888" t="str">
            <v>AMUNDI FUNDS CHINA EQUITY</v>
          </cell>
          <cell r="C888" t="str">
            <v>Class R USD (C)</v>
          </cell>
          <cell r="D888" t="str">
            <v>USD</v>
          </cell>
          <cell r="E888">
            <v>45747</v>
          </cell>
          <cell r="F888">
            <v>218928.65</v>
          </cell>
          <cell r="G888">
            <v>4657.2179999999998</v>
          </cell>
          <cell r="H888">
            <v>47.01</v>
          </cell>
          <cell r="I888">
            <v>0</v>
          </cell>
          <cell r="J888">
            <v>47.01</v>
          </cell>
          <cell r="K888">
            <v>-0.67</v>
          </cell>
        </row>
        <row r="889">
          <cell r="A889" t="str">
            <v>LU1882447003</v>
          </cell>
          <cell r="B889" t="str">
            <v>AMUNDI FUNDS CHINA EQUITY</v>
          </cell>
          <cell r="C889" t="str">
            <v>Class R2 USD (C)</v>
          </cell>
          <cell r="D889" t="str">
            <v>USD</v>
          </cell>
          <cell r="E889">
            <v>45747</v>
          </cell>
          <cell r="F889">
            <v>4410.07</v>
          </cell>
          <cell r="G889">
            <v>100</v>
          </cell>
          <cell r="H889">
            <v>44.1</v>
          </cell>
          <cell r="I889">
            <v>0</v>
          </cell>
          <cell r="J889">
            <v>44.1</v>
          </cell>
          <cell r="K889">
            <v>-0.63</v>
          </cell>
        </row>
        <row r="890">
          <cell r="A890" t="str">
            <v>LU1880384331</v>
          </cell>
          <cell r="B890" t="str">
            <v>AMUNDI FUNDS CHINA EQUITY</v>
          </cell>
          <cell r="C890" t="str">
            <v>Class Q-I4 USD (C)</v>
          </cell>
          <cell r="D890" t="str">
            <v>USD</v>
          </cell>
          <cell r="E890">
            <v>45747</v>
          </cell>
          <cell r="F890">
            <v>20795061.84</v>
          </cell>
          <cell r="G890">
            <v>21239.293000000001</v>
          </cell>
          <cell r="H890">
            <v>979.08</v>
          </cell>
          <cell r="I890">
            <v>0</v>
          </cell>
          <cell r="J890">
            <v>979.08</v>
          </cell>
          <cell r="K890">
            <v>-13.98</v>
          </cell>
        </row>
        <row r="891">
          <cell r="A891" t="str">
            <v>LU2034728381</v>
          </cell>
          <cell r="B891" t="str">
            <v>AMUNDI FUNDS CHINA EQUITY</v>
          </cell>
          <cell r="C891" t="str">
            <v>Class X USD (C)</v>
          </cell>
          <cell r="D891" t="str">
            <v>USD</v>
          </cell>
          <cell r="E891">
            <v>45747</v>
          </cell>
          <cell r="F891">
            <v>5405.17</v>
          </cell>
          <cell r="G891">
            <v>5</v>
          </cell>
          <cell r="H891">
            <v>1081.03</v>
          </cell>
          <cell r="I891">
            <v>0</v>
          </cell>
          <cell r="J891">
            <v>1081.03</v>
          </cell>
          <cell r="K891">
            <v>-15.38</v>
          </cell>
        </row>
        <row r="892">
          <cell r="A892" t="str">
            <v>LU1880383879</v>
          </cell>
          <cell r="B892" t="str">
            <v>AMUNDI FUNDS CHINA EQUITY</v>
          </cell>
          <cell r="C892" t="str">
            <v>Class I USD (C)</v>
          </cell>
          <cell r="D892" t="str">
            <v>USD</v>
          </cell>
          <cell r="E892">
            <v>45747</v>
          </cell>
          <cell r="F892">
            <v>38357.019999999997</v>
          </cell>
          <cell r="G892">
            <v>40.234000000000002</v>
          </cell>
          <cell r="H892">
            <v>953.35</v>
          </cell>
          <cell r="I892">
            <v>0</v>
          </cell>
          <cell r="J892">
            <v>953.35</v>
          </cell>
          <cell r="K892">
            <v>-13.61</v>
          </cell>
        </row>
        <row r="893">
          <cell r="A893" t="str">
            <v>LU2040440070</v>
          </cell>
          <cell r="B893" t="str">
            <v>AMUNDI FUNDS CHINA EQUITY</v>
          </cell>
          <cell r="C893" t="str">
            <v>Class Z EUR (C)</v>
          </cell>
          <cell r="D893" t="str">
            <v>EUR</v>
          </cell>
          <cell r="E893">
            <v>45747</v>
          </cell>
          <cell r="F893">
            <v>248469.2</v>
          </cell>
          <cell r="G893">
            <v>244.327</v>
          </cell>
          <cell r="H893">
            <v>1016.95</v>
          </cell>
          <cell r="I893">
            <v>0</v>
          </cell>
          <cell r="J893">
            <v>1016.95</v>
          </cell>
          <cell r="K893">
            <v>-12.51</v>
          </cell>
        </row>
        <row r="894">
          <cell r="A894" t="str">
            <v>LU1883318666</v>
          </cell>
          <cell r="B894" t="str">
            <v>AMUNDI FUNDS GLOBAL ECOLOGY ESG</v>
          </cell>
          <cell r="C894" t="str">
            <v>Class A CHF (C)</v>
          </cell>
          <cell r="D894" t="str">
            <v>CHF</v>
          </cell>
          <cell r="E894">
            <v>45747</v>
          </cell>
          <cell r="F894">
            <v>2643195</v>
          </cell>
          <cell r="G894">
            <v>5876.5690000000004</v>
          </cell>
          <cell r="H894">
            <v>449.79</v>
          </cell>
          <cell r="I894">
            <v>0</v>
          </cell>
          <cell r="J894">
            <v>470.03</v>
          </cell>
          <cell r="K894">
            <v>-0.43</v>
          </cell>
        </row>
        <row r="895">
          <cell r="A895" t="str">
            <v>LU1883318823</v>
          </cell>
          <cell r="B895" t="str">
            <v>AMUNDI FUNDS GLOBAL ECOLOGY ESG</v>
          </cell>
          <cell r="C895" t="str">
            <v>Class A EUR AD (D)</v>
          </cell>
          <cell r="D895" t="str">
            <v>EUR</v>
          </cell>
          <cell r="E895">
            <v>45747</v>
          </cell>
          <cell r="F895">
            <v>122571350.33</v>
          </cell>
          <cell r="G895">
            <v>1083199.5290000001</v>
          </cell>
          <cell r="H895">
            <v>113.16</v>
          </cell>
          <cell r="I895">
            <v>0</v>
          </cell>
          <cell r="J895">
            <v>118.25</v>
          </cell>
          <cell r="K895">
            <v>-0.38</v>
          </cell>
        </row>
        <row r="896">
          <cell r="A896" t="str">
            <v>LU1883318740</v>
          </cell>
          <cell r="B896" t="str">
            <v>AMUNDI FUNDS GLOBAL ECOLOGY ESG</v>
          </cell>
          <cell r="C896" t="str">
            <v>Class A EUR (C)</v>
          </cell>
          <cell r="D896" t="str">
            <v>EUR</v>
          </cell>
          <cell r="E896">
            <v>45747</v>
          </cell>
          <cell r="F896">
            <v>1227468410.1400001</v>
          </cell>
          <cell r="G896">
            <v>2607116.5959999999</v>
          </cell>
          <cell r="H896">
            <v>470.81</v>
          </cell>
          <cell r="I896">
            <v>0</v>
          </cell>
          <cell r="J896">
            <v>492</v>
          </cell>
          <cell r="K896">
            <v>-1.6</v>
          </cell>
        </row>
        <row r="897">
          <cell r="A897" t="str">
            <v>LU2070309450</v>
          </cell>
          <cell r="B897" t="str">
            <v>AMUNDI FUNDS GLOBAL ECOLOGY ESG</v>
          </cell>
          <cell r="C897" t="str">
            <v>Class A2 EUR (C)</v>
          </cell>
          <cell r="D897" t="str">
            <v>EUR</v>
          </cell>
          <cell r="E897">
            <v>45747</v>
          </cell>
          <cell r="F897">
            <v>41899593.740000002</v>
          </cell>
          <cell r="G897">
            <v>531707.68099999998</v>
          </cell>
          <cell r="H897">
            <v>78.8</v>
          </cell>
          <cell r="I897">
            <v>0</v>
          </cell>
          <cell r="J897">
            <v>82.35</v>
          </cell>
          <cell r="K897">
            <v>-0.27</v>
          </cell>
        </row>
        <row r="898">
          <cell r="A898" t="str">
            <v>LU2032056439</v>
          </cell>
          <cell r="B898" t="str">
            <v>AMUNDI FUNDS GLOBAL ECOLOGY ESG</v>
          </cell>
          <cell r="C898" t="str">
            <v>Class A5 EUR (C)</v>
          </cell>
          <cell r="D898" t="str">
            <v>EUR</v>
          </cell>
          <cell r="E898">
            <v>45747</v>
          </cell>
          <cell r="F898">
            <v>93144087.700000003</v>
          </cell>
          <cell r="G898">
            <v>1116970.2819999999</v>
          </cell>
          <cell r="H898">
            <v>83.39</v>
          </cell>
          <cell r="I898">
            <v>0</v>
          </cell>
          <cell r="J898">
            <v>83.39</v>
          </cell>
          <cell r="K898">
            <v>-0.28000000000000003</v>
          </cell>
        </row>
        <row r="899">
          <cell r="A899" t="str">
            <v>LU1883319128</v>
          </cell>
          <cell r="B899" t="str">
            <v>AMUNDI FUNDS GLOBAL ECOLOGY ESG</v>
          </cell>
          <cell r="C899" t="str">
            <v>Class A USD AD (D)</v>
          </cell>
          <cell r="D899" t="str">
            <v>USD</v>
          </cell>
          <cell r="E899">
            <v>45747</v>
          </cell>
          <cell r="F899">
            <v>461517.88</v>
          </cell>
          <cell r="G899">
            <v>3778.6750000000002</v>
          </cell>
          <cell r="H899">
            <v>122.14</v>
          </cell>
          <cell r="I899">
            <v>0</v>
          </cell>
          <cell r="J899">
            <v>127.64</v>
          </cell>
          <cell r="K899">
            <v>-0.65</v>
          </cell>
        </row>
        <row r="900">
          <cell r="A900" t="str">
            <v>LU1883319045</v>
          </cell>
          <cell r="B900" t="str">
            <v>AMUNDI FUNDS GLOBAL ECOLOGY ESG</v>
          </cell>
          <cell r="C900" t="str">
            <v>Class A USD (C)</v>
          </cell>
          <cell r="D900" t="str">
            <v>USD</v>
          </cell>
          <cell r="E900">
            <v>45747</v>
          </cell>
          <cell r="F900">
            <v>26559623.66</v>
          </cell>
          <cell r="G900">
            <v>52258.654000000002</v>
          </cell>
          <cell r="H900">
            <v>508.23</v>
          </cell>
          <cell r="I900">
            <v>0</v>
          </cell>
          <cell r="J900">
            <v>531.1</v>
          </cell>
          <cell r="K900">
            <v>-2.72</v>
          </cell>
        </row>
        <row r="901">
          <cell r="A901" t="str">
            <v>LU2391858789</v>
          </cell>
          <cell r="B901" t="str">
            <v>AMUNDI FUNDS GLOBAL ECOLOGY ESG</v>
          </cell>
          <cell r="C901" t="str">
            <v>Class A2 USD MTD3 (D)</v>
          </cell>
          <cell r="D901" t="str">
            <v>USD</v>
          </cell>
          <cell r="E901">
            <v>45747</v>
          </cell>
          <cell r="F901">
            <v>1044121.38</v>
          </cell>
          <cell r="G901">
            <v>22813.991999999998</v>
          </cell>
          <cell r="H901">
            <v>45.77</v>
          </cell>
          <cell r="I901">
            <v>0</v>
          </cell>
          <cell r="J901">
            <v>45.77</v>
          </cell>
          <cell r="K901">
            <v>-0.24</v>
          </cell>
        </row>
        <row r="902">
          <cell r="A902" t="str">
            <v>LU2391858862</v>
          </cell>
          <cell r="B902" t="str">
            <v>AMUNDI FUNDS GLOBAL ECOLOGY ESG</v>
          </cell>
          <cell r="C902" t="str">
            <v>Class A2 ZAR Hgd MTD3 (D)</v>
          </cell>
          <cell r="D902" t="str">
            <v>ZAR</v>
          </cell>
          <cell r="E902">
            <v>45747</v>
          </cell>
          <cell r="F902">
            <v>24557773.510000002</v>
          </cell>
          <cell r="G902">
            <v>23922.827000000001</v>
          </cell>
          <cell r="H902">
            <v>1026.54</v>
          </cell>
          <cell r="I902">
            <v>0</v>
          </cell>
          <cell r="J902">
            <v>1026.54</v>
          </cell>
          <cell r="K902">
            <v>-3.32</v>
          </cell>
        </row>
        <row r="903">
          <cell r="A903" t="str">
            <v>LU1883320308</v>
          </cell>
          <cell r="B903" t="str">
            <v>AMUNDI FUNDS GLOBAL ECOLOGY ESG</v>
          </cell>
          <cell r="C903" t="str">
            <v>Class M2 EUR (C)</v>
          </cell>
          <cell r="D903" t="str">
            <v>EUR</v>
          </cell>
          <cell r="E903">
            <v>45747</v>
          </cell>
          <cell r="F903">
            <v>145496950.72999999</v>
          </cell>
          <cell r="G903">
            <v>49424.677000000003</v>
          </cell>
          <cell r="H903">
            <v>2943.81</v>
          </cell>
          <cell r="I903">
            <v>0</v>
          </cell>
          <cell r="J903">
            <v>2943.81</v>
          </cell>
          <cell r="K903">
            <v>-9.73</v>
          </cell>
        </row>
        <row r="904">
          <cell r="A904" t="str">
            <v>LU1883319391</v>
          </cell>
          <cell r="B904" t="str">
            <v>AMUNDI FUNDS GLOBAL ECOLOGY ESG</v>
          </cell>
          <cell r="C904" t="str">
            <v>Class B USD (C)</v>
          </cell>
          <cell r="D904" t="str">
            <v>USD</v>
          </cell>
          <cell r="E904">
            <v>45747</v>
          </cell>
          <cell r="F904">
            <v>5127781.08</v>
          </cell>
          <cell r="G904">
            <v>81153.13</v>
          </cell>
          <cell r="H904">
            <v>63.19</v>
          </cell>
          <cell r="I904">
            <v>0</v>
          </cell>
          <cell r="J904">
            <v>63.19</v>
          </cell>
          <cell r="K904">
            <v>-0.34</v>
          </cell>
        </row>
        <row r="905">
          <cell r="A905" t="str">
            <v>LU1883319474</v>
          </cell>
          <cell r="B905" t="str">
            <v>AMUNDI FUNDS GLOBAL ECOLOGY ESG</v>
          </cell>
          <cell r="C905" t="str">
            <v>Class C EUR (C)</v>
          </cell>
          <cell r="D905" t="str">
            <v>EUR</v>
          </cell>
          <cell r="E905">
            <v>45747</v>
          </cell>
          <cell r="F905">
            <v>7277182.6500000004</v>
          </cell>
          <cell r="G905">
            <v>71546.058999999994</v>
          </cell>
          <cell r="H905">
            <v>101.71</v>
          </cell>
          <cell r="I905">
            <v>0</v>
          </cell>
          <cell r="J905">
            <v>101.71</v>
          </cell>
          <cell r="K905">
            <v>-0.35</v>
          </cell>
        </row>
        <row r="906">
          <cell r="A906" t="str">
            <v>LU1883319557</v>
          </cell>
          <cell r="B906" t="str">
            <v>AMUNDI FUNDS GLOBAL ECOLOGY ESG</v>
          </cell>
          <cell r="C906" t="str">
            <v>Class C USD (C)</v>
          </cell>
          <cell r="D906" t="str">
            <v>USD</v>
          </cell>
          <cell r="E906">
            <v>45747</v>
          </cell>
          <cell r="F906">
            <v>2538124.4300000002</v>
          </cell>
          <cell r="G906">
            <v>23099.794000000002</v>
          </cell>
          <cell r="H906">
            <v>109.88</v>
          </cell>
          <cell r="I906">
            <v>0</v>
          </cell>
          <cell r="J906">
            <v>109.88</v>
          </cell>
          <cell r="K906">
            <v>-0.59</v>
          </cell>
        </row>
        <row r="907">
          <cell r="A907" t="str">
            <v>LU1883319714</v>
          </cell>
          <cell r="B907" t="str">
            <v>AMUNDI FUNDS GLOBAL ECOLOGY ESG</v>
          </cell>
          <cell r="C907" t="str">
            <v>Class E2 EUR (C)</v>
          </cell>
          <cell r="D907" t="str">
            <v>EUR</v>
          </cell>
          <cell r="E907">
            <v>45747</v>
          </cell>
          <cell r="F907">
            <v>165568335.40000001</v>
          </cell>
          <cell r="G907">
            <v>12757618.857999999</v>
          </cell>
          <cell r="H907">
            <v>12.978</v>
          </cell>
          <cell r="I907">
            <v>0</v>
          </cell>
          <cell r="J907">
            <v>12.978</v>
          </cell>
          <cell r="K907">
            <v>-4.3999999999999997E-2</v>
          </cell>
        </row>
        <row r="908">
          <cell r="A908" t="str">
            <v>LU1883319805</v>
          </cell>
          <cell r="B908" t="str">
            <v>AMUNDI FUNDS GLOBAL ECOLOGY ESG</v>
          </cell>
          <cell r="C908" t="str">
            <v>Class F EUR (C)</v>
          </cell>
          <cell r="D908" t="str">
            <v>EUR</v>
          </cell>
          <cell r="E908">
            <v>45747</v>
          </cell>
          <cell r="F908">
            <v>22872303.280000001</v>
          </cell>
          <cell r="G908">
            <v>2084623.976</v>
          </cell>
          <cell r="H908">
            <v>10.972</v>
          </cell>
          <cell r="I908">
            <v>0</v>
          </cell>
          <cell r="J908">
            <v>10.972</v>
          </cell>
          <cell r="K908">
            <v>-3.7999999999999999E-2</v>
          </cell>
        </row>
        <row r="909">
          <cell r="A909" t="str">
            <v>LU1998915539</v>
          </cell>
          <cell r="B909" t="str">
            <v>AMUNDI FUNDS GLOBAL ECOLOGY ESG</v>
          </cell>
          <cell r="C909" t="str">
            <v>Class H EUR (C)</v>
          </cell>
          <cell r="D909" t="str">
            <v>EUR</v>
          </cell>
          <cell r="E909">
            <v>45747</v>
          </cell>
          <cell r="F909">
            <v>39187165.299999997</v>
          </cell>
          <cell r="G909">
            <v>21116.074000000001</v>
          </cell>
          <cell r="H909">
            <v>1855.8</v>
          </cell>
          <cell r="I909">
            <v>0</v>
          </cell>
          <cell r="J909">
            <v>1855.8</v>
          </cell>
          <cell r="K909">
            <v>-6.05</v>
          </cell>
        </row>
        <row r="910">
          <cell r="A910" t="str">
            <v>LU2176991342</v>
          </cell>
          <cell r="B910" t="str">
            <v>AMUNDI FUNDS GLOBAL ECOLOGY ESG</v>
          </cell>
          <cell r="C910" t="str">
            <v>Class I2 GBP (C)</v>
          </cell>
          <cell r="D910" t="str">
            <v>GBP</v>
          </cell>
          <cell r="E910">
            <v>45747</v>
          </cell>
          <cell r="F910">
            <v>35540.99</v>
          </cell>
          <cell r="G910">
            <v>21.064</v>
          </cell>
          <cell r="H910">
            <v>1687.29</v>
          </cell>
          <cell r="I910">
            <v>0</v>
          </cell>
          <cell r="J910">
            <v>1687.29</v>
          </cell>
          <cell r="K910">
            <v>-4.4400000000000004</v>
          </cell>
        </row>
        <row r="911">
          <cell r="A911" t="str">
            <v>LU1883320217</v>
          </cell>
          <cell r="B911" t="str">
            <v>AMUNDI FUNDS GLOBAL ECOLOGY ESG</v>
          </cell>
          <cell r="C911" t="str">
            <v>Class I2 USD (C)</v>
          </cell>
          <cell r="D911" t="str">
            <v>USD</v>
          </cell>
          <cell r="E911">
            <v>45747</v>
          </cell>
          <cell r="F911">
            <v>17842259.5</v>
          </cell>
          <cell r="G911">
            <v>5885.3059999999996</v>
          </cell>
          <cell r="H911">
            <v>3031.66</v>
          </cell>
          <cell r="I911">
            <v>0</v>
          </cell>
          <cell r="J911">
            <v>3031.66</v>
          </cell>
          <cell r="K911">
            <v>-15.91</v>
          </cell>
        </row>
        <row r="912">
          <cell r="A912" t="str">
            <v>LU1883320134</v>
          </cell>
          <cell r="B912" t="str">
            <v>AMUNDI FUNDS GLOBAL ECOLOGY ESG</v>
          </cell>
          <cell r="C912" t="str">
            <v>Class I2 EUR AD (D)</v>
          </cell>
          <cell r="D912" t="str">
            <v>EUR</v>
          </cell>
          <cell r="E912">
            <v>45747</v>
          </cell>
          <cell r="F912">
            <v>12656.02</v>
          </cell>
          <cell r="G912">
            <v>7.0019999999999998</v>
          </cell>
          <cell r="H912">
            <v>1807.49</v>
          </cell>
          <cell r="I912">
            <v>0</v>
          </cell>
          <cell r="J912">
            <v>1807.49</v>
          </cell>
          <cell r="K912">
            <v>-5.95</v>
          </cell>
        </row>
        <row r="913">
          <cell r="A913" t="str">
            <v>LU1883320050</v>
          </cell>
          <cell r="B913" t="str">
            <v>AMUNDI FUNDS GLOBAL ECOLOGY ESG</v>
          </cell>
          <cell r="C913" t="str">
            <v>Class I2 EUR (C)</v>
          </cell>
          <cell r="D913" t="str">
            <v>EUR</v>
          </cell>
          <cell r="E913">
            <v>45747</v>
          </cell>
          <cell r="F913">
            <v>225677890.87</v>
          </cell>
          <cell r="G913">
            <v>80339.61</v>
          </cell>
          <cell r="H913">
            <v>2809.05</v>
          </cell>
          <cell r="I913">
            <v>0</v>
          </cell>
          <cell r="J913">
            <v>2809.05</v>
          </cell>
          <cell r="K913">
            <v>-9.26</v>
          </cell>
        </row>
        <row r="914">
          <cell r="A914" t="str">
            <v>LU2305762465</v>
          </cell>
          <cell r="B914" t="str">
            <v>AMUNDI FUNDS GLOBAL ECOLOGY ESG</v>
          </cell>
          <cell r="C914" t="str">
            <v>Class J12 EUR (C)</v>
          </cell>
          <cell r="D914" t="str">
            <v>EUR</v>
          </cell>
          <cell r="E914">
            <v>45747</v>
          </cell>
          <cell r="F914">
            <v>11735251.470000001</v>
          </cell>
          <cell r="G914">
            <v>8773</v>
          </cell>
          <cell r="H914">
            <v>1337.66</v>
          </cell>
          <cell r="I914">
            <v>0</v>
          </cell>
          <cell r="J914">
            <v>1337.66</v>
          </cell>
          <cell r="K914">
            <v>-4.38</v>
          </cell>
        </row>
        <row r="915">
          <cell r="A915" t="str">
            <v>LU1883319987</v>
          </cell>
          <cell r="B915" t="str">
            <v>AMUNDI FUNDS GLOBAL ECOLOGY ESG</v>
          </cell>
          <cell r="C915" t="str">
            <v>Class G EUR (C)</v>
          </cell>
          <cell r="D915" t="str">
            <v>EUR</v>
          </cell>
          <cell r="E915">
            <v>45747</v>
          </cell>
          <cell r="F915">
            <v>91506649.370000005</v>
          </cell>
          <cell r="G915">
            <v>10878816.187000001</v>
          </cell>
          <cell r="H915">
            <v>8.4109999999999996</v>
          </cell>
          <cell r="I915">
            <v>0</v>
          </cell>
          <cell r="J915">
            <v>8.4109999999999996</v>
          </cell>
          <cell r="K915">
            <v>-2.9000000000000001E-2</v>
          </cell>
        </row>
        <row r="916">
          <cell r="A916" t="str">
            <v>LU2279408673</v>
          </cell>
          <cell r="B916" t="str">
            <v>AMUNDI FUNDS GLOBAL ECOLOGY ESG</v>
          </cell>
          <cell r="C916" t="str">
            <v>Class M2 EUR QD (D)</v>
          </cell>
          <cell r="D916" t="str">
            <v>EUR</v>
          </cell>
          <cell r="E916">
            <v>45747</v>
          </cell>
          <cell r="F916">
            <v>10353440.17</v>
          </cell>
          <cell r="G916">
            <v>7701.0389999999998</v>
          </cell>
          <cell r="H916">
            <v>1344.42</v>
          </cell>
          <cell r="I916">
            <v>0</v>
          </cell>
          <cell r="J916">
            <v>1344.42</v>
          </cell>
          <cell r="K916">
            <v>-4.4400000000000004</v>
          </cell>
        </row>
        <row r="917">
          <cell r="A917" t="str">
            <v>LU1883320480</v>
          </cell>
          <cell r="B917" t="str">
            <v>AMUNDI FUNDS GLOBAL ECOLOGY ESG</v>
          </cell>
          <cell r="C917" t="str">
            <v>Class R2 EUR (C)</v>
          </cell>
          <cell r="D917" t="str">
            <v>EUR</v>
          </cell>
          <cell r="E917">
            <v>45747</v>
          </cell>
          <cell r="F917">
            <v>15796324.869999999</v>
          </cell>
          <cell r="G917">
            <v>114416.72900000001</v>
          </cell>
          <cell r="H917">
            <v>138.06</v>
          </cell>
          <cell r="I917">
            <v>0</v>
          </cell>
          <cell r="J917">
            <v>138.06</v>
          </cell>
          <cell r="K917">
            <v>-0.46</v>
          </cell>
        </row>
        <row r="918">
          <cell r="A918" t="str">
            <v>LU2347635984</v>
          </cell>
          <cell r="B918" t="str">
            <v>AMUNDI FUNDS GLOBAL ECOLOGY ESG</v>
          </cell>
          <cell r="C918" t="str">
            <v>Class OR EUR (C)</v>
          </cell>
          <cell r="D918" t="str">
            <v>EUR</v>
          </cell>
          <cell r="E918">
            <v>45747</v>
          </cell>
          <cell r="F918">
            <v>8407.33</v>
          </cell>
          <cell r="G918">
            <v>7.76</v>
          </cell>
          <cell r="H918">
            <v>1083.42</v>
          </cell>
          <cell r="I918">
            <v>0</v>
          </cell>
          <cell r="J918">
            <v>1083.42</v>
          </cell>
          <cell r="K918">
            <v>-3.5</v>
          </cell>
        </row>
        <row r="919">
          <cell r="A919" t="str">
            <v>LU1883320647</v>
          </cell>
          <cell r="B919" t="str">
            <v>AMUNDI FUNDS GLOBAL ECOLOGY ESG</v>
          </cell>
          <cell r="C919" t="str">
            <v>Class U USD (C)</v>
          </cell>
          <cell r="D919" t="str">
            <v>USD</v>
          </cell>
          <cell r="E919">
            <v>45747</v>
          </cell>
          <cell r="F919">
            <v>325064.43</v>
          </cell>
          <cell r="G919">
            <v>3894.384</v>
          </cell>
          <cell r="H919">
            <v>83.47</v>
          </cell>
          <cell r="I919">
            <v>0</v>
          </cell>
          <cell r="J919">
            <v>83.47</v>
          </cell>
          <cell r="K919">
            <v>-0.45</v>
          </cell>
        </row>
        <row r="920">
          <cell r="A920" t="str">
            <v>LU2183143929</v>
          </cell>
          <cell r="B920" t="str">
            <v>AMUNDI FUNDS GLOBAL ECOLOGY ESG</v>
          </cell>
          <cell r="C920" t="str">
            <v>Class R EUR (C)</v>
          </cell>
          <cell r="D920" t="str">
            <v>EUR</v>
          </cell>
          <cell r="E920">
            <v>45747</v>
          </cell>
          <cell r="F920">
            <v>1508430.72</v>
          </cell>
          <cell r="G920">
            <v>17791.321</v>
          </cell>
          <cell r="H920">
            <v>84.78</v>
          </cell>
          <cell r="I920">
            <v>0</v>
          </cell>
          <cell r="J920">
            <v>84.78</v>
          </cell>
          <cell r="K920">
            <v>-0.28999999999999998</v>
          </cell>
        </row>
        <row r="921">
          <cell r="A921" t="str">
            <v>LU1883320563</v>
          </cell>
          <cell r="B921" t="str">
            <v>AMUNDI FUNDS GLOBAL ECOLOGY ESG</v>
          </cell>
          <cell r="C921" t="str">
            <v>Class R2 USD (C)</v>
          </cell>
          <cell r="D921" t="str">
            <v>USD</v>
          </cell>
          <cell r="E921">
            <v>45747</v>
          </cell>
          <cell r="F921">
            <v>8889.68</v>
          </cell>
          <cell r="G921">
            <v>59.581000000000003</v>
          </cell>
          <cell r="H921">
            <v>149.19999999999999</v>
          </cell>
          <cell r="I921">
            <v>0</v>
          </cell>
          <cell r="J921">
            <v>149.19999999999999</v>
          </cell>
          <cell r="K921">
            <v>-0.79</v>
          </cell>
        </row>
        <row r="922">
          <cell r="A922" t="str">
            <v>LU2391858516</v>
          </cell>
          <cell r="B922" t="str">
            <v>AMUNDI FUNDS GLOBAL ECOLOGY ESG</v>
          </cell>
          <cell r="C922" t="str">
            <v>Class U USD MTD3 (D)</v>
          </cell>
          <cell r="D922" t="str">
            <v>USD</v>
          </cell>
          <cell r="E922">
            <v>45747</v>
          </cell>
          <cell r="F922">
            <v>913242.06</v>
          </cell>
          <cell r="G922">
            <v>20362.27</v>
          </cell>
          <cell r="H922">
            <v>44.85</v>
          </cell>
          <cell r="I922">
            <v>0</v>
          </cell>
          <cell r="J922">
            <v>44.85</v>
          </cell>
          <cell r="K922">
            <v>-0.24</v>
          </cell>
        </row>
        <row r="923">
          <cell r="A923" t="str">
            <v>LU2391858607</v>
          </cell>
          <cell r="B923" t="str">
            <v>AMUNDI FUNDS GLOBAL ECOLOGY ESG</v>
          </cell>
          <cell r="C923" t="str">
            <v>Class U ZAR Hgd MTD3 (D)</v>
          </cell>
          <cell r="D923" t="str">
            <v>ZAR</v>
          </cell>
          <cell r="E923">
            <v>45747</v>
          </cell>
          <cell r="F923">
            <v>57921031.229999997</v>
          </cell>
          <cell r="G923">
            <v>57791.56</v>
          </cell>
          <cell r="H923">
            <v>1002.24</v>
          </cell>
          <cell r="I923">
            <v>0</v>
          </cell>
          <cell r="J923">
            <v>1002.24</v>
          </cell>
          <cell r="K923">
            <v>-3.27</v>
          </cell>
        </row>
        <row r="924">
          <cell r="A924" t="str">
            <v>LU2085675358</v>
          </cell>
          <cell r="B924" t="str">
            <v>AMUNDI FUNDS GLOBAL ECOLOGY ESG</v>
          </cell>
          <cell r="C924" t="str">
            <v>Class Z EUR (C)</v>
          </cell>
          <cell r="D924" t="str">
            <v>EUR</v>
          </cell>
          <cell r="E924">
            <v>45747</v>
          </cell>
          <cell r="F924">
            <v>1448476.03</v>
          </cell>
          <cell r="G924">
            <v>1119.1500000000001</v>
          </cell>
          <cell r="H924">
            <v>1294.26</v>
          </cell>
          <cell r="I924">
            <v>0</v>
          </cell>
          <cell r="J924">
            <v>1294.26</v>
          </cell>
          <cell r="K924">
            <v>-5.31</v>
          </cell>
        </row>
        <row r="925">
          <cell r="A925" t="str">
            <v>LU2305762549</v>
          </cell>
          <cell r="B925" t="str">
            <v>AMUNDI FUNDS GLOBAL ECOLOGY ESG</v>
          </cell>
          <cell r="C925" t="str">
            <v>Class H EUR QD (D)</v>
          </cell>
          <cell r="D925" t="str">
            <v>EUR</v>
          </cell>
          <cell r="E925">
            <v>45747</v>
          </cell>
          <cell r="F925">
            <v>1329.48</v>
          </cell>
          <cell r="G925">
            <v>1</v>
          </cell>
          <cell r="H925">
            <v>1329.48</v>
          </cell>
          <cell r="I925">
            <v>2.91</v>
          </cell>
          <cell r="J925">
            <v>1329.48</v>
          </cell>
          <cell r="K925">
            <v>-7.27</v>
          </cell>
        </row>
        <row r="926">
          <cell r="A926" t="str">
            <v>LU1880398554</v>
          </cell>
          <cell r="B926" t="str">
            <v>AMUNDI FUNDS GLOBAL EQUITY</v>
          </cell>
          <cell r="C926" t="str">
            <v>Class A2 USD AD (D)</v>
          </cell>
          <cell r="D926" t="str">
            <v>USD</v>
          </cell>
          <cell r="E926">
            <v>45747</v>
          </cell>
          <cell r="F926">
            <v>31512.23</v>
          </cell>
          <cell r="G926">
            <v>344.45299999999997</v>
          </cell>
          <cell r="H926">
            <v>91.48</v>
          </cell>
          <cell r="I926">
            <v>0</v>
          </cell>
          <cell r="J926">
            <v>91.48</v>
          </cell>
          <cell r="K926">
            <v>-0.53</v>
          </cell>
        </row>
        <row r="927">
          <cell r="A927" t="str">
            <v>LU1883342534</v>
          </cell>
          <cell r="B927" t="str">
            <v>AMUNDI FUNDS GLOBAL EQUITY</v>
          </cell>
          <cell r="C927" t="str">
            <v>Class A EUR AD (D)</v>
          </cell>
          <cell r="D927" t="str">
            <v>EUR</v>
          </cell>
          <cell r="E927">
            <v>45747</v>
          </cell>
          <cell r="F927">
            <v>41768118.939999998</v>
          </cell>
          <cell r="G927">
            <v>319408.35399999999</v>
          </cell>
          <cell r="H927">
            <v>130.77000000000001</v>
          </cell>
          <cell r="I927">
            <v>0</v>
          </cell>
          <cell r="J927">
            <v>136.65</v>
          </cell>
          <cell r="K927">
            <v>-0.44</v>
          </cell>
        </row>
        <row r="928">
          <cell r="A928" t="str">
            <v>LU1883342377</v>
          </cell>
          <cell r="B928" t="str">
            <v>AMUNDI FUNDS GLOBAL EQUITY</v>
          </cell>
          <cell r="C928" t="str">
            <v>Class A EUR (C)</v>
          </cell>
          <cell r="D928" t="str">
            <v>EUR</v>
          </cell>
          <cell r="E928">
            <v>45747</v>
          </cell>
          <cell r="F928">
            <v>1049319851.25</v>
          </cell>
          <cell r="G928">
            <v>5456811.1030000001</v>
          </cell>
          <cell r="H928">
            <v>192.3</v>
          </cell>
          <cell r="I928">
            <v>0</v>
          </cell>
          <cell r="J928">
            <v>200.95</v>
          </cell>
          <cell r="K928">
            <v>-0.71</v>
          </cell>
        </row>
        <row r="929">
          <cell r="A929" t="str">
            <v>LU2070309377</v>
          </cell>
          <cell r="B929" t="str">
            <v>AMUNDI FUNDS GLOBAL EQUITY</v>
          </cell>
          <cell r="C929" t="str">
            <v>Class A2 EUR (C)</v>
          </cell>
          <cell r="D929" t="str">
            <v>EUR</v>
          </cell>
          <cell r="E929">
            <v>45747</v>
          </cell>
          <cell r="F929">
            <v>86767007.75</v>
          </cell>
          <cell r="G929">
            <v>979335.00399999996</v>
          </cell>
          <cell r="H929">
            <v>88.6</v>
          </cell>
          <cell r="I929">
            <v>0</v>
          </cell>
          <cell r="J929">
            <v>92.59</v>
          </cell>
          <cell r="K929">
            <v>-0.33</v>
          </cell>
        </row>
        <row r="930">
          <cell r="A930" t="str">
            <v>LU1883342708</v>
          </cell>
          <cell r="B930" t="str">
            <v>AMUNDI FUNDS GLOBAL EQUITY</v>
          </cell>
          <cell r="C930" t="str">
            <v>Class A USD AD (D)</v>
          </cell>
          <cell r="D930" t="str">
            <v>USD</v>
          </cell>
          <cell r="E930">
            <v>45747</v>
          </cell>
          <cell r="F930">
            <v>3867814.15</v>
          </cell>
          <cell r="G930">
            <v>27030.208999999999</v>
          </cell>
          <cell r="H930">
            <v>143.09</v>
          </cell>
          <cell r="I930">
            <v>0</v>
          </cell>
          <cell r="J930">
            <v>149.53</v>
          </cell>
          <cell r="K930">
            <v>-0.82</v>
          </cell>
        </row>
        <row r="931">
          <cell r="A931" t="str">
            <v>LU1880398398</v>
          </cell>
          <cell r="B931" t="str">
            <v>AMUNDI FUNDS GLOBAL EQUITY</v>
          </cell>
          <cell r="C931" t="str">
            <v>Class A EUR Hgd AD (D)</v>
          </cell>
          <cell r="D931" t="str">
            <v>EUR</v>
          </cell>
          <cell r="E931">
            <v>45747</v>
          </cell>
          <cell r="F931">
            <v>3000239.47</v>
          </cell>
          <cell r="G931">
            <v>34763.22</v>
          </cell>
          <cell r="H931">
            <v>86.3</v>
          </cell>
          <cell r="I931">
            <v>0</v>
          </cell>
          <cell r="J931">
            <v>90.18</v>
          </cell>
          <cell r="K931">
            <v>-0.43</v>
          </cell>
        </row>
        <row r="932">
          <cell r="A932" t="str">
            <v>LU1880398125</v>
          </cell>
          <cell r="B932" t="str">
            <v>AMUNDI FUNDS GLOBAL EQUITY</v>
          </cell>
          <cell r="C932" t="str">
            <v>Class A EUR Hgd (C)</v>
          </cell>
          <cell r="D932" t="str">
            <v>EUR</v>
          </cell>
          <cell r="E932">
            <v>45747</v>
          </cell>
          <cell r="F932">
            <v>22844281.989999998</v>
          </cell>
          <cell r="G932">
            <v>258620.14499999999</v>
          </cell>
          <cell r="H932">
            <v>88.33</v>
          </cell>
          <cell r="I932">
            <v>0</v>
          </cell>
          <cell r="J932">
            <v>92.3</v>
          </cell>
          <cell r="K932">
            <v>-0.44</v>
          </cell>
        </row>
        <row r="933">
          <cell r="A933" t="str">
            <v>LU1894680591</v>
          </cell>
          <cell r="B933" t="str">
            <v>AMUNDI FUNDS GLOBAL EQUITY</v>
          </cell>
          <cell r="C933" t="str">
            <v>Class A CZK Hgd (C)</v>
          </cell>
          <cell r="D933" t="str">
            <v>CZK</v>
          </cell>
          <cell r="E933">
            <v>45747</v>
          </cell>
          <cell r="F933">
            <v>1928756354.21</v>
          </cell>
          <cell r="G933">
            <v>1008930.08</v>
          </cell>
          <cell r="H933">
            <v>1911.68</v>
          </cell>
          <cell r="I933">
            <v>0</v>
          </cell>
          <cell r="J933">
            <v>1997.71</v>
          </cell>
          <cell r="K933">
            <v>-9.1999999999999993</v>
          </cell>
        </row>
        <row r="934">
          <cell r="A934" t="str">
            <v>LU1883342617</v>
          </cell>
          <cell r="B934" t="str">
            <v>AMUNDI FUNDS GLOBAL EQUITY</v>
          </cell>
          <cell r="C934" t="str">
            <v>Class A USD (C)</v>
          </cell>
          <cell r="D934" t="str">
            <v>USD</v>
          </cell>
          <cell r="E934">
            <v>45747</v>
          </cell>
          <cell r="F934">
            <v>62310929.32</v>
          </cell>
          <cell r="G934">
            <v>299892.72499999998</v>
          </cell>
          <cell r="H934">
            <v>207.78</v>
          </cell>
          <cell r="I934">
            <v>0</v>
          </cell>
          <cell r="J934">
            <v>217.13</v>
          </cell>
          <cell r="K934">
            <v>-1.18</v>
          </cell>
        </row>
        <row r="935">
          <cell r="A935" t="str">
            <v>LU1883834167</v>
          </cell>
          <cell r="B935" t="str">
            <v>AMUNDI FUNDS GLOBAL EQUITY</v>
          </cell>
          <cell r="C935" t="str">
            <v>Class M2 EUR (C)</v>
          </cell>
          <cell r="D935" t="str">
            <v>EUR</v>
          </cell>
          <cell r="E935">
            <v>45747</v>
          </cell>
          <cell r="F935">
            <v>267593467.72999999</v>
          </cell>
          <cell r="G935">
            <v>77653.853000000003</v>
          </cell>
          <cell r="H935">
            <v>3445.98</v>
          </cell>
          <cell r="I935">
            <v>0</v>
          </cell>
          <cell r="J935">
            <v>3445.98</v>
          </cell>
          <cell r="K935">
            <v>-12.56</v>
          </cell>
        </row>
        <row r="936">
          <cell r="A936" t="str">
            <v>LU1883342880</v>
          </cell>
          <cell r="B936" t="str">
            <v>AMUNDI FUNDS GLOBAL EQUITY</v>
          </cell>
          <cell r="C936" t="str">
            <v>Class C EUR (C)</v>
          </cell>
          <cell r="D936" t="str">
            <v>EUR</v>
          </cell>
          <cell r="E936">
            <v>45747</v>
          </cell>
          <cell r="F936">
            <v>3213978.09</v>
          </cell>
          <cell r="G936">
            <v>26984.455999999998</v>
          </cell>
          <cell r="H936">
            <v>119.1</v>
          </cell>
          <cell r="I936">
            <v>0</v>
          </cell>
          <cell r="J936">
            <v>119.1</v>
          </cell>
          <cell r="K936">
            <v>-0.46</v>
          </cell>
        </row>
        <row r="937">
          <cell r="A937" t="str">
            <v>LU1883342963</v>
          </cell>
          <cell r="B937" t="str">
            <v>AMUNDI FUNDS GLOBAL EQUITY</v>
          </cell>
          <cell r="C937" t="str">
            <v>Class C USD (C)</v>
          </cell>
          <cell r="D937" t="str">
            <v>USD</v>
          </cell>
          <cell r="E937">
            <v>45747</v>
          </cell>
          <cell r="F937">
            <v>10757048.189999999</v>
          </cell>
          <cell r="G937">
            <v>83631.054999999993</v>
          </cell>
          <cell r="H937">
            <v>128.63</v>
          </cell>
          <cell r="I937">
            <v>0</v>
          </cell>
          <cell r="J937">
            <v>128.63</v>
          </cell>
          <cell r="K937">
            <v>-0.74</v>
          </cell>
        </row>
        <row r="938">
          <cell r="A938" t="str">
            <v>LU1883833607</v>
          </cell>
          <cell r="B938" t="str">
            <v>AMUNDI FUNDS GLOBAL EQUITY</v>
          </cell>
          <cell r="C938" t="str">
            <v>Class E2 EUR (C)</v>
          </cell>
          <cell r="D938" t="str">
            <v>EUR</v>
          </cell>
          <cell r="E938">
            <v>45747</v>
          </cell>
          <cell r="F938">
            <v>195317041.31999999</v>
          </cell>
          <cell r="G938">
            <v>13060888.726</v>
          </cell>
          <cell r="H938">
            <v>14.954000000000001</v>
          </cell>
          <cell r="I938">
            <v>0</v>
          </cell>
          <cell r="J938">
            <v>14.954000000000001</v>
          </cell>
          <cell r="K938">
            <v>-5.6000000000000001E-2</v>
          </cell>
        </row>
        <row r="939">
          <cell r="A939" t="str">
            <v>LU1883833789</v>
          </cell>
          <cell r="B939" t="str">
            <v>AMUNDI FUNDS GLOBAL EQUITY</v>
          </cell>
          <cell r="C939" t="str">
            <v>Class F EUR (C)</v>
          </cell>
          <cell r="D939" t="str">
            <v>EUR</v>
          </cell>
          <cell r="E939">
            <v>45747</v>
          </cell>
          <cell r="F939">
            <v>40541876.840000004</v>
          </cell>
          <cell r="G939">
            <v>3155405.2370000002</v>
          </cell>
          <cell r="H939">
            <v>12.848000000000001</v>
          </cell>
          <cell r="I939">
            <v>0</v>
          </cell>
          <cell r="J939">
            <v>12.848000000000001</v>
          </cell>
          <cell r="K939">
            <v>-4.9000000000000002E-2</v>
          </cell>
        </row>
        <row r="940">
          <cell r="A940" t="str">
            <v>LU1880398711</v>
          </cell>
          <cell r="B940" t="str">
            <v>AMUNDI FUNDS GLOBAL EQUITY</v>
          </cell>
          <cell r="C940" t="str">
            <v>Class F2 USD (C)</v>
          </cell>
          <cell r="D940" t="str">
            <v>USD</v>
          </cell>
          <cell r="E940">
            <v>45747</v>
          </cell>
          <cell r="F940">
            <v>74243.27</v>
          </cell>
          <cell r="G940">
            <v>8342.6450000000004</v>
          </cell>
          <cell r="H940">
            <v>8.8989999999999991</v>
          </cell>
          <cell r="I940">
            <v>0</v>
          </cell>
          <cell r="J940">
            <v>8.8989999999999991</v>
          </cell>
          <cell r="K940">
            <v>-5.0999999999999997E-2</v>
          </cell>
        </row>
        <row r="941">
          <cell r="A941" t="str">
            <v>LU1880398638</v>
          </cell>
          <cell r="B941" t="str">
            <v>AMUNDI FUNDS GLOBAL EQUITY</v>
          </cell>
          <cell r="C941" t="str">
            <v>Class F2 EUR Hgd (C)</v>
          </cell>
          <cell r="D941" t="str">
            <v>EUR</v>
          </cell>
          <cell r="E941">
            <v>45747</v>
          </cell>
          <cell r="F941">
            <v>325297.77</v>
          </cell>
          <cell r="G941">
            <v>37944.642999999996</v>
          </cell>
          <cell r="H941">
            <v>8.5730000000000004</v>
          </cell>
          <cell r="I941">
            <v>0</v>
          </cell>
          <cell r="J941">
            <v>8.5730000000000004</v>
          </cell>
          <cell r="K941">
            <v>-4.2999999999999997E-2</v>
          </cell>
        </row>
        <row r="942">
          <cell r="A942" t="str">
            <v>LU1883834084</v>
          </cell>
          <cell r="B942" t="str">
            <v>AMUNDI FUNDS GLOBAL EQUITY</v>
          </cell>
          <cell r="C942" t="str">
            <v>Class I2 USD (C)</v>
          </cell>
          <cell r="D942" t="str">
            <v>USD</v>
          </cell>
          <cell r="E942">
            <v>45747</v>
          </cell>
          <cell r="F942">
            <v>145722074.27000001</v>
          </cell>
          <cell r="G942">
            <v>116089.102</v>
          </cell>
          <cell r="H942">
            <v>1255.26</v>
          </cell>
          <cell r="I942">
            <v>0</v>
          </cell>
          <cell r="J942">
            <v>1255.26</v>
          </cell>
          <cell r="K942">
            <v>-7.03</v>
          </cell>
        </row>
        <row r="943">
          <cell r="A943" t="str">
            <v>LU1883833946</v>
          </cell>
          <cell r="B943" t="str">
            <v>AMUNDI FUNDS GLOBAL EQUITY</v>
          </cell>
          <cell r="C943" t="str">
            <v>Class I2 EUR (C)</v>
          </cell>
          <cell r="D943" t="str">
            <v>EUR</v>
          </cell>
          <cell r="E943">
            <v>45747</v>
          </cell>
          <cell r="F943">
            <v>71082133.069999993</v>
          </cell>
          <cell r="G943">
            <v>20117.023000000001</v>
          </cell>
          <cell r="H943">
            <v>3533.43</v>
          </cell>
          <cell r="I943">
            <v>0</v>
          </cell>
          <cell r="J943">
            <v>3533.43</v>
          </cell>
          <cell r="K943">
            <v>-12.89</v>
          </cell>
        </row>
        <row r="944">
          <cell r="A944" t="str">
            <v>LU1880398984</v>
          </cell>
          <cell r="B944" t="str">
            <v>AMUNDI FUNDS GLOBAL EQUITY</v>
          </cell>
          <cell r="C944" t="str">
            <v>Class G USD (C)</v>
          </cell>
          <cell r="D944" t="str">
            <v>USD</v>
          </cell>
          <cell r="E944">
            <v>45747</v>
          </cell>
          <cell r="F944">
            <v>13914041.43</v>
          </cell>
          <cell r="G944">
            <v>152726.55499999999</v>
          </cell>
          <cell r="H944">
            <v>91.103999999999999</v>
          </cell>
          <cell r="I944">
            <v>0</v>
          </cell>
          <cell r="J944">
            <v>93.837000000000003</v>
          </cell>
          <cell r="K944">
            <v>-0.51900000000000002</v>
          </cell>
        </row>
        <row r="945">
          <cell r="A945" t="str">
            <v>LU1883833862</v>
          </cell>
          <cell r="B945" t="str">
            <v>AMUNDI FUNDS GLOBAL EQUITY</v>
          </cell>
          <cell r="C945" t="str">
            <v>Class G EUR (C)</v>
          </cell>
          <cell r="D945" t="str">
            <v>EUR</v>
          </cell>
          <cell r="E945">
            <v>45747</v>
          </cell>
          <cell r="F945">
            <v>133971267.90000001</v>
          </cell>
          <cell r="G945">
            <v>15078898.036</v>
          </cell>
          <cell r="H945">
            <v>8.8849999999999998</v>
          </cell>
          <cell r="I945">
            <v>0</v>
          </cell>
          <cell r="J945">
            <v>8.8849999999999998</v>
          </cell>
          <cell r="K945">
            <v>-3.3000000000000002E-2</v>
          </cell>
        </row>
        <row r="946">
          <cell r="A946" t="str">
            <v>LU1880398802</v>
          </cell>
          <cell r="B946" t="str">
            <v>AMUNDI FUNDS GLOBAL EQUITY</v>
          </cell>
          <cell r="C946" t="str">
            <v>Class G EUR Hgd (C)</v>
          </cell>
          <cell r="D946" t="str">
            <v>EUR</v>
          </cell>
          <cell r="E946">
            <v>45747</v>
          </cell>
          <cell r="F946">
            <v>15940213.890000001</v>
          </cell>
          <cell r="G946">
            <v>181617.32500000001</v>
          </cell>
          <cell r="H946">
            <v>87.768000000000001</v>
          </cell>
          <cell r="I946">
            <v>0</v>
          </cell>
          <cell r="J946">
            <v>90.400999999999996</v>
          </cell>
          <cell r="K946">
            <v>-0.434</v>
          </cell>
        </row>
        <row r="947">
          <cell r="A947" t="str">
            <v>LU1880400046</v>
          </cell>
          <cell r="B947" t="str">
            <v>AMUNDI FUNDS GLOBAL EQUITY</v>
          </cell>
          <cell r="C947" t="str">
            <v>Class M USD (C)</v>
          </cell>
          <cell r="D947" t="str">
            <v>USD</v>
          </cell>
          <cell r="E947">
            <v>45747</v>
          </cell>
          <cell r="F947">
            <v>85019.56</v>
          </cell>
          <cell r="G947">
            <v>43.709000000000003</v>
          </cell>
          <cell r="H947">
            <v>1945.13</v>
          </cell>
          <cell r="I947">
            <v>0</v>
          </cell>
          <cell r="J947">
            <v>1945.13</v>
          </cell>
          <cell r="K947">
            <v>-10.23</v>
          </cell>
        </row>
        <row r="948">
          <cell r="A948" t="str">
            <v>LU1883834324</v>
          </cell>
          <cell r="B948" t="str">
            <v>AMUNDI FUNDS GLOBAL EQUITY</v>
          </cell>
          <cell r="C948" t="str">
            <v>Class R2 EUR (C)</v>
          </cell>
          <cell r="D948" t="str">
            <v>EUR</v>
          </cell>
          <cell r="E948">
            <v>45747</v>
          </cell>
          <cell r="F948">
            <v>52419299.509999998</v>
          </cell>
          <cell r="G948">
            <v>508932.39899999998</v>
          </cell>
          <cell r="H948">
            <v>103</v>
          </cell>
          <cell r="I948">
            <v>0</v>
          </cell>
          <cell r="J948">
            <v>103</v>
          </cell>
          <cell r="K948">
            <v>-0.38</v>
          </cell>
        </row>
        <row r="949">
          <cell r="A949" t="str">
            <v>LU1880400558</v>
          </cell>
          <cell r="B949" t="str">
            <v>AMUNDI FUNDS GLOBAL EQUITY</v>
          </cell>
          <cell r="C949" t="str">
            <v>Class OR EUR (C)</v>
          </cell>
          <cell r="D949" t="str">
            <v>EUR</v>
          </cell>
          <cell r="E949">
            <v>45747</v>
          </cell>
          <cell r="F949">
            <v>4953616.09</v>
          </cell>
          <cell r="G949">
            <v>4751.7359999999999</v>
          </cell>
          <cell r="H949">
            <v>1042.49</v>
          </cell>
          <cell r="I949">
            <v>0</v>
          </cell>
          <cell r="J949">
            <v>1042.49</v>
          </cell>
          <cell r="K949">
            <v>-3.73</v>
          </cell>
        </row>
        <row r="950">
          <cell r="A950" t="str">
            <v>LU1880398471</v>
          </cell>
          <cell r="B950" t="str">
            <v>AMUNDI FUNDS GLOBAL EQUITY</v>
          </cell>
          <cell r="C950" t="str">
            <v>Class A2 USD (C)</v>
          </cell>
          <cell r="D950" t="str">
            <v>USD</v>
          </cell>
          <cell r="E950">
            <v>45747</v>
          </cell>
          <cell r="F950">
            <v>320663.3</v>
          </cell>
          <cell r="G950">
            <v>3480.239</v>
          </cell>
          <cell r="H950">
            <v>92.14</v>
          </cell>
          <cell r="I950">
            <v>0</v>
          </cell>
          <cell r="J950">
            <v>92.14</v>
          </cell>
          <cell r="K950">
            <v>-0.52</v>
          </cell>
        </row>
        <row r="951">
          <cell r="A951" t="str">
            <v>LU1883834241</v>
          </cell>
          <cell r="B951" t="str">
            <v>AMUNDI FUNDS GLOBAL EQUITY</v>
          </cell>
          <cell r="C951" t="str">
            <v>Class P2 USD (C)</v>
          </cell>
          <cell r="D951" t="str">
            <v>USD</v>
          </cell>
          <cell r="E951">
            <v>45747</v>
          </cell>
          <cell r="F951">
            <v>1185766</v>
          </cell>
          <cell r="G951">
            <v>9898.6080000000002</v>
          </cell>
          <cell r="H951">
            <v>119.79</v>
          </cell>
          <cell r="I951">
            <v>0</v>
          </cell>
          <cell r="J951">
            <v>119.79</v>
          </cell>
          <cell r="K951">
            <v>-0.68</v>
          </cell>
        </row>
        <row r="952">
          <cell r="A952" t="str">
            <v>LU2490080012</v>
          </cell>
          <cell r="B952" t="str">
            <v>AMUNDI FUNDS GLOBAL EQUITY</v>
          </cell>
          <cell r="C952" t="str">
            <v>Class R3 GBP (C)</v>
          </cell>
          <cell r="D952" t="str">
            <v>GBP</v>
          </cell>
          <cell r="E952">
            <v>45747</v>
          </cell>
          <cell r="F952">
            <v>138128.75</v>
          </cell>
          <cell r="G952">
            <v>2029.9359999999999</v>
          </cell>
          <cell r="H952">
            <v>68.05</v>
          </cell>
          <cell r="I952">
            <v>0</v>
          </cell>
          <cell r="J952">
            <v>68.05</v>
          </cell>
          <cell r="K952">
            <v>-0.2</v>
          </cell>
        </row>
        <row r="953">
          <cell r="A953" t="str">
            <v>LU1883834597</v>
          </cell>
          <cell r="B953" t="str">
            <v>AMUNDI FUNDS GLOBAL EQUITY</v>
          </cell>
          <cell r="C953" t="str">
            <v>Class R2 USD (C)</v>
          </cell>
          <cell r="D953" t="str">
            <v>USD</v>
          </cell>
          <cell r="E953">
            <v>45747</v>
          </cell>
          <cell r="F953">
            <v>9681.02</v>
          </cell>
          <cell r="G953">
            <v>100</v>
          </cell>
          <cell r="H953">
            <v>96.81</v>
          </cell>
          <cell r="I953">
            <v>0</v>
          </cell>
          <cell r="J953">
            <v>96.81</v>
          </cell>
          <cell r="K953">
            <v>-0.54</v>
          </cell>
        </row>
        <row r="954">
          <cell r="A954" t="str">
            <v>LU2034728035</v>
          </cell>
          <cell r="B954" t="str">
            <v>AMUNDI FUNDS GLOBAL EQUITY</v>
          </cell>
          <cell r="C954" t="str">
            <v>Class X USD (C)</v>
          </cell>
          <cell r="D954" t="str">
            <v>USD</v>
          </cell>
          <cell r="E954">
            <v>45747</v>
          </cell>
          <cell r="F954">
            <v>10697.73</v>
          </cell>
          <cell r="G954">
            <v>5</v>
          </cell>
          <cell r="H954">
            <v>2139.5500000000002</v>
          </cell>
          <cell r="I954">
            <v>0</v>
          </cell>
          <cell r="J954">
            <v>2139.5500000000002</v>
          </cell>
          <cell r="K954">
            <v>-11.84</v>
          </cell>
        </row>
        <row r="955">
          <cell r="A955" t="str">
            <v>LU1880399016</v>
          </cell>
          <cell r="B955" t="str">
            <v>AMUNDI FUNDS GLOBAL EQUITY</v>
          </cell>
          <cell r="C955" t="str">
            <v>Class I EUR (C)</v>
          </cell>
          <cell r="D955" t="str">
            <v>EUR</v>
          </cell>
          <cell r="E955">
            <v>45747</v>
          </cell>
          <cell r="F955">
            <v>71001718.219999999</v>
          </cell>
          <cell r="G955">
            <v>35036.981</v>
          </cell>
          <cell r="H955">
            <v>2026.48</v>
          </cell>
          <cell r="I955">
            <v>0</v>
          </cell>
          <cell r="J955">
            <v>2026.48</v>
          </cell>
          <cell r="K955">
            <v>-6.52</v>
          </cell>
        </row>
        <row r="956">
          <cell r="A956" t="str">
            <v>LU1880399362</v>
          </cell>
          <cell r="B956" t="str">
            <v>AMUNDI FUNDS GLOBAL EQUITY</v>
          </cell>
          <cell r="C956" t="str">
            <v>Class I USD (C)</v>
          </cell>
          <cell r="D956" t="str">
            <v>USD</v>
          </cell>
          <cell r="E956">
            <v>45747</v>
          </cell>
          <cell r="F956">
            <v>20766.38</v>
          </cell>
          <cell r="G956">
            <v>10.675000000000001</v>
          </cell>
          <cell r="H956">
            <v>1945.33</v>
          </cell>
          <cell r="I956">
            <v>0</v>
          </cell>
          <cell r="J956">
            <v>1945.33</v>
          </cell>
          <cell r="K956">
            <v>-10.65</v>
          </cell>
        </row>
        <row r="957">
          <cell r="A957" t="str">
            <v>LU1880401010</v>
          </cell>
          <cell r="B957" t="str">
            <v>AMUNDI FUNDS GLOBAL EQUITY</v>
          </cell>
          <cell r="C957" t="str">
            <v>Class Z EUR (C)</v>
          </cell>
          <cell r="D957" t="str">
            <v>EUR</v>
          </cell>
          <cell r="E957">
            <v>45747</v>
          </cell>
          <cell r="F957">
            <v>104728871.09</v>
          </cell>
          <cell r="G957">
            <v>50784.061000000002</v>
          </cell>
          <cell r="H957">
            <v>2062.2399999999998</v>
          </cell>
          <cell r="I957">
            <v>0</v>
          </cell>
          <cell r="J957">
            <v>2062.2399999999998</v>
          </cell>
          <cell r="K957">
            <v>-6.8</v>
          </cell>
        </row>
        <row r="958">
          <cell r="A958" t="str">
            <v>LU2976322649</v>
          </cell>
          <cell r="B958" t="str">
            <v>AMUNDI FUNDS EUROLAND EQUITY</v>
          </cell>
          <cell r="C958" t="str">
            <v>Class A2 USD (C)</v>
          </cell>
          <cell r="D958" t="str">
            <v>USD</v>
          </cell>
          <cell r="E958">
            <v>45747</v>
          </cell>
          <cell r="F958">
            <v>5207.54</v>
          </cell>
          <cell r="G958">
            <v>100</v>
          </cell>
          <cell r="H958">
            <v>52.08</v>
          </cell>
          <cell r="I958">
            <v>0</v>
          </cell>
          <cell r="J958">
            <v>52.08</v>
          </cell>
          <cell r="K958">
            <v>-0.9</v>
          </cell>
        </row>
        <row r="959">
          <cell r="A959" t="str">
            <v>LU1883303718</v>
          </cell>
          <cell r="B959" t="str">
            <v>AMUNDI FUNDS EUROLAND EQUITY</v>
          </cell>
          <cell r="C959" t="str">
            <v>Class A EUR AD (D)</v>
          </cell>
          <cell r="D959" t="str">
            <v>EUR</v>
          </cell>
          <cell r="E959">
            <v>45747</v>
          </cell>
          <cell r="F959">
            <v>7977646.3899999997</v>
          </cell>
          <cell r="G959">
            <v>93753.206000000006</v>
          </cell>
          <cell r="H959">
            <v>85.09</v>
          </cell>
          <cell r="I959">
            <v>0</v>
          </cell>
          <cell r="J959">
            <v>88.92</v>
          </cell>
          <cell r="K959">
            <v>-1.31</v>
          </cell>
        </row>
        <row r="960">
          <cell r="A960" t="str">
            <v>LU1883303635</v>
          </cell>
          <cell r="B960" t="str">
            <v>AMUNDI FUNDS EUROLAND EQUITY</v>
          </cell>
          <cell r="C960" t="str">
            <v>Class A EUR (C)</v>
          </cell>
          <cell r="D960" t="str">
            <v>EUR</v>
          </cell>
          <cell r="E960">
            <v>45747</v>
          </cell>
          <cell r="F960">
            <v>1246023825.48</v>
          </cell>
          <cell r="G960">
            <v>99167278.5</v>
          </cell>
          <cell r="H960">
            <v>12.56</v>
          </cell>
          <cell r="I960">
            <v>0</v>
          </cell>
          <cell r="J960">
            <v>13.13</v>
          </cell>
          <cell r="K960">
            <v>-0.2</v>
          </cell>
        </row>
        <row r="961">
          <cell r="A961" t="str">
            <v>LU2032055621</v>
          </cell>
          <cell r="B961" t="str">
            <v>AMUNDI FUNDS EUROLAND EQUITY</v>
          </cell>
          <cell r="C961" t="str">
            <v>Class A5 EUR (C)</v>
          </cell>
          <cell r="D961" t="str">
            <v>EUR</v>
          </cell>
          <cell r="E961">
            <v>45747</v>
          </cell>
          <cell r="F961">
            <v>43912618.469999999</v>
          </cell>
          <cell r="G961">
            <v>534128.65599999996</v>
          </cell>
          <cell r="H961">
            <v>82.21</v>
          </cell>
          <cell r="I961">
            <v>0</v>
          </cell>
          <cell r="J961">
            <v>82.21</v>
          </cell>
          <cell r="K961">
            <v>-1.27</v>
          </cell>
        </row>
        <row r="962">
          <cell r="A962" t="str">
            <v>LU1883303981</v>
          </cell>
          <cell r="B962" t="str">
            <v>AMUNDI FUNDS EUROLAND EQUITY</v>
          </cell>
          <cell r="C962" t="str">
            <v>Class A USD AD (D)</v>
          </cell>
          <cell r="D962" t="str">
            <v>USD</v>
          </cell>
          <cell r="E962">
            <v>45747</v>
          </cell>
          <cell r="F962">
            <v>762949.57</v>
          </cell>
          <cell r="G962">
            <v>66341.604000000007</v>
          </cell>
          <cell r="H962">
            <v>11.5</v>
          </cell>
          <cell r="I962">
            <v>0</v>
          </cell>
          <cell r="J962">
            <v>12.02</v>
          </cell>
          <cell r="K962">
            <v>-0.2</v>
          </cell>
        </row>
        <row r="963">
          <cell r="A963" t="str">
            <v>LU2032055548</v>
          </cell>
          <cell r="B963" t="str">
            <v>AMUNDI FUNDS EUROLAND EQUITY</v>
          </cell>
          <cell r="C963" t="str">
            <v>Class A6 EUR (C)</v>
          </cell>
          <cell r="D963" t="str">
            <v>EUR</v>
          </cell>
          <cell r="E963">
            <v>45747</v>
          </cell>
          <cell r="F963">
            <v>1007373.25</v>
          </cell>
          <cell r="G963">
            <v>12444.603999999999</v>
          </cell>
          <cell r="H963">
            <v>80.95</v>
          </cell>
          <cell r="I963">
            <v>0</v>
          </cell>
          <cell r="J963">
            <v>80.95</v>
          </cell>
          <cell r="K963">
            <v>-1.25</v>
          </cell>
        </row>
        <row r="964">
          <cell r="A964" t="str">
            <v>LU1883303551</v>
          </cell>
          <cell r="B964" t="str">
            <v>AMUNDI FUNDS EUROLAND EQUITY</v>
          </cell>
          <cell r="C964" t="str">
            <v>Class A CHF Hgd (C)</v>
          </cell>
          <cell r="D964" t="str">
            <v>CHF</v>
          </cell>
          <cell r="E964">
            <v>45747</v>
          </cell>
          <cell r="F964">
            <v>2587202.0499999998</v>
          </cell>
          <cell r="G964">
            <v>26511.469000000001</v>
          </cell>
          <cell r="H964">
            <v>97.59</v>
          </cell>
          <cell r="I964">
            <v>0</v>
          </cell>
          <cell r="J964">
            <v>101.98</v>
          </cell>
          <cell r="K964">
            <v>-1.51</v>
          </cell>
        </row>
        <row r="965">
          <cell r="A965" t="str">
            <v>LU1883304013</v>
          </cell>
          <cell r="B965" t="str">
            <v>AMUNDI FUNDS EUROLAND EQUITY</v>
          </cell>
          <cell r="C965" t="str">
            <v>Class A USD Hgd (C)</v>
          </cell>
          <cell r="D965" t="str">
            <v>USD</v>
          </cell>
          <cell r="E965">
            <v>45747</v>
          </cell>
          <cell r="F965">
            <v>2145128.88</v>
          </cell>
          <cell r="G965">
            <v>17115.963</v>
          </cell>
          <cell r="H965">
            <v>125.33</v>
          </cell>
          <cell r="I965">
            <v>0</v>
          </cell>
          <cell r="J965">
            <v>130.97</v>
          </cell>
          <cell r="K965">
            <v>-1.92</v>
          </cell>
        </row>
        <row r="966">
          <cell r="A966" t="str">
            <v>LU1883303809</v>
          </cell>
          <cell r="B966" t="str">
            <v>AMUNDI FUNDS EUROLAND EQUITY</v>
          </cell>
          <cell r="C966" t="str">
            <v>Class A USD (C)</v>
          </cell>
          <cell r="D966" t="str">
            <v>USD</v>
          </cell>
          <cell r="E966">
            <v>45747</v>
          </cell>
          <cell r="F966">
            <v>8119642.2599999998</v>
          </cell>
          <cell r="G966">
            <v>598662.46699999995</v>
          </cell>
          <cell r="H966">
            <v>13.56</v>
          </cell>
          <cell r="I966">
            <v>0</v>
          </cell>
          <cell r="J966">
            <v>14.17</v>
          </cell>
          <cell r="K966">
            <v>-0.24</v>
          </cell>
        </row>
        <row r="967">
          <cell r="A967" t="str">
            <v>LU1883305333</v>
          </cell>
          <cell r="B967" t="str">
            <v>AMUNDI FUNDS EUROLAND EQUITY</v>
          </cell>
          <cell r="C967" t="str">
            <v>Class M2 EUR (C)</v>
          </cell>
          <cell r="D967" t="str">
            <v>EUR</v>
          </cell>
          <cell r="E967">
            <v>45747</v>
          </cell>
          <cell r="F967">
            <v>214192212.15000001</v>
          </cell>
          <cell r="G967">
            <v>78167.597999999998</v>
          </cell>
          <cell r="H967">
            <v>2740.17</v>
          </cell>
          <cell r="I967">
            <v>0</v>
          </cell>
          <cell r="J967">
            <v>2740.17</v>
          </cell>
          <cell r="K967">
            <v>-42.02</v>
          </cell>
        </row>
        <row r="968">
          <cell r="A968" t="str">
            <v>LU1883304104</v>
          </cell>
          <cell r="B968" t="str">
            <v>AMUNDI FUNDS EUROLAND EQUITY</v>
          </cell>
          <cell r="C968" t="str">
            <v>Class B USD (C)</v>
          </cell>
          <cell r="D968" t="str">
            <v>USD</v>
          </cell>
          <cell r="E968">
            <v>45747</v>
          </cell>
          <cell r="F968">
            <v>641136.53</v>
          </cell>
          <cell r="G968">
            <v>60889.226999999999</v>
          </cell>
          <cell r="H968">
            <v>10.53</v>
          </cell>
          <cell r="I968">
            <v>0</v>
          </cell>
          <cell r="J968">
            <v>10.53</v>
          </cell>
          <cell r="K968">
            <v>-0.18</v>
          </cell>
        </row>
        <row r="969">
          <cell r="A969" t="str">
            <v>LU1883304286</v>
          </cell>
          <cell r="B969" t="str">
            <v>AMUNDI FUNDS EUROLAND EQUITY</v>
          </cell>
          <cell r="C969" t="str">
            <v>Class C EUR (C)</v>
          </cell>
          <cell r="D969" t="str">
            <v>EUR</v>
          </cell>
          <cell r="E969">
            <v>45747</v>
          </cell>
          <cell r="F969">
            <v>4418050.5999999996</v>
          </cell>
          <cell r="G969">
            <v>434341.55499999999</v>
          </cell>
          <cell r="H969">
            <v>10.17</v>
          </cell>
          <cell r="I969">
            <v>0</v>
          </cell>
          <cell r="J969">
            <v>10.17</v>
          </cell>
          <cell r="K969">
            <v>-0.16</v>
          </cell>
        </row>
        <row r="970">
          <cell r="A970" t="str">
            <v>LU1883304369</v>
          </cell>
          <cell r="B970" t="str">
            <v>AMUNDI FUNDS EUROLAND EQUITY</v>
          </cell>
          <cell r="C970" t="str">
            <v>Class C USD (C)</v>
          </cell>
          <cell r="D970" t="str">
            <v>USD</v>
          </cell>
          <cell r="E970">
            <v>45747</v>
          </cell>
          <cell r="F970">
            <v>104725.39</v>
          </cell>
          <cell r="G970">
            <v>9526.4570000000003</v>
          </cell>
          <cell r="H970">
            <v>10.99</v>
          </cell>
          <cell r="I970">
            <v>0</v>
          </cell>
          <cell r="J970">
            <v>10.99</v>
          </cell>
          <cell r="K970">
            <v>-0.2</v>
          </cell>
        </row>
        <row r="971">
          <cell r="A971" t="str">
            <v>LU1883304443</v>
          </cell>
          <cell r="B971" t="str">
            <v>AMUNDI FUNDS EUROLAND EQUITY</v>
          </cell>
          <cell r="C971" t="str">
            <v>Class E2 EUR (C)</v>
          </cell>
          <cell r="D971" t="str">
            <v>EUR</v>
          </cell>
          <cell r="E971">
            <v>45747</v>
          </cell>
          <cell r="F971">
            <v>409085471.29000002</v>
          </cell>
          <cell r="G971">
            <v>30795152.396000002</v>
          </cell>
          <cell r="H971">
            <v>13.284000000000001</v>
          </cell>
          <cell r="I971">
            <v>0</v>
          </cell>
          <cell r="J971">
            <v>13.284000000000001</v>
          </cell>
          <cell r="K971">
            <v>-0.20499999999999999</v>
          </cell>
        </row>
        <row r="972">
          <cell r="A972" t="str">
            <v>LU1883304526</v>
          </cell>
          <cell r="B972" t="str">
            <v>AMUNDI FUNDS EUROLAND EQUITY</v>
          </cell>
          <cell r="C972" t="str">
            <v>Class F EUR (C)</v>
          </cell>
          <cell r="D972" t="str">
            <v>EUR</v>
          </cell>
          <cell r="E972">
            <v>45747</v>
          </cell>
          <cell r="F972">
            <v>26571260.210000001</v>
          </cell>
          <cell r="G972">
            <v>2494027.4900000002</v>
          </cell>
          <cell r="H972">
            <v>10.654</v>
          </cell>
          <cell r="I972">
            <v>0</v>
          </cell>
          <cell r="J972">
            <v>10.654</v>
          </cell>
          <cell r="K972">
            <v>-0.16500000000000001</v>
          </cell>
        </row>
        <row r="973">
          <cell r="A973" t="str">
            <v>LU1880391898</v>
          </cell>
          <cell r="B973" t="str">
            <v>AMUNDI FUNDS EUROLAND EQUITY</v>
          </cell>
          <cell r="C973" t="str">
            <v>Class F2 EUR (C)</v>
          </cell>
          <cell r="D973" t="str">
            <v>EUR</v>
          </cell>
          <cell r="E973">
            <v>45747</v>
          </cell>
          <cell r="F973">
            <v>577723.24</v>
          </cell>
          <cell r="G973">
            <v>73565.968999999997</v>
          </cell>
          <cell r="H973">
            <v>7.8529999999999998</v>
          </cell>
          <cell r="I973">
            <v>0</v>
          </cell>
          <cell r="J973">
            <v>7.8529999999999998</v>
          </cell>
          <cell r="K973">
            <v>-0.122</v>
          </cell>
        </row>
        <row r="974">
          <cell r="A974" t="str">
            <v>LU1897304546</v>
          </cell>
          <cell r="B974" t="str">
            <v>AMUNDI FUNDS EUROLAND EQUITY</v>
          </cell>
          <cell r="C974" t="str">
            <v>Class I2 GBP (C)</v>
          </cell>
          <cell r="D974" t="str">
            <v>GBP</v>
          </cell>
          <cell r="E974">
            <v>45747</v>
          </cell>
          <cell r="F974">
            <v>8286.65</v>
          </cell>
          <cell r="G974">
            <v>5</v>
          </cell>
          <cell r="H974">
            <v>1657.33</v>
          </cell>
          <cell r="I974">
            <v>0</v>
          </cell>
          <cell r="J974">
            <v>1657.33</v>
          </cell>
          <cell r="K974">
            <v>-24.3</v>
          </cell>
        </row>
        <row r="975">
          <cell r="A975" t="str">
            <v>LU1883305093</v>
          </cell>
          <cell r="B975" t="str">
            <v>AMUNDI FUNDS EUROLAND EQUITY</v>
          </cell>
          <cell r="C975" t="str">
            <v>Class I2 USD (C)</v>
          </cell>
          <cell r="D975" t="str">
            <v>USD</v>
          </cell>
          <cell r="E975">
            <v>45747</v>
          </cell>
          <cell r="F975">
            <v>24665514.109999999</v>
          </cell>
          <cell r="G975">
            <v>1375999.2779999999</v>
          </cell>
          <cell r="H975">
            <v>17.93</v>
          </cell>
          <cell r="I975">
            <v>0</v>
          </cell>
          <cell r="J975">
            <v>17.93</v>
          </cell>
          <cell r="K975">
            <v>-0.31</v>
          </cell>
        </row>
        <row r="976">
          <cell r="A976" t="str">
            <v>LU1883304955</v>
          </cell>
          <cell r="B976" t="str">
            <v>AMUNDI FUNDS EUROLAND EQUITY</v>
          </cell>
          <cell r="C976" t="str">
            <v>Class I2 EUR AD (D)</v>
          </cell>
          <cell r="D976" t="str">
            <v>EUR</v>
          </cell>
          <cell r="E976">
            <v>45747</v>
          </cell>
          <cell r="F976">
            <v>8338231.8300000001</v>
          </cell>
          <cell r="G976">
            <v>3615.973</v>
          </cell>
          <cell r="H976">
            <v>2305.94</v>
          </cell>
          <cell r="I976">
            <v>0</v>
          </cell>
          <cell r="J976">
            <v>2305.94</v>
          </cell>
          <cell r="K976">
            <v>-35.35</v>
          </cell>
        </row>
        <row r="977">
          <cell r="A977" t="str">
            <v>LU1883305176</v>
          </cell>
          <cell r="B977" t="str">
            <v>AMUNDI FUNDS EUROLAND EQUITY</v>
          </cell>
          <cell r="C977" t="str">
            <v>Class I2 USD Hgd (C)</v>
          </cell>
          <cell r="D977" t="str">
            <v>USD</v>
          </cell>
          <cell r="E977">
            <v>45747</v>
          </cell>
          <cell r="F977">
            <v>17180377.41</v>
          </cell>
          <cell r="G977">
            <v>7494.6580000000004</v>
          </cell>
          <cell r="H977">
            <v>2292.35</v>
          </cell>
          <cell r="I977">
            <v>0</v>
          </cell>
          <cell r="J977">
            <v>2292.35</v>
          </cell>
          <cell r="K977">
            <v>-34.92</v>
          </cell>
        </row>
        <row r="978">
          <cell r="A978" t="str">
            <v>LU1883304872</v>
          </cell>
          <cell r="B978" t="str">
            <v>AMUNDI FUNDS EUROLAND EQUITY</v>
          </cell>
          <cell r="C978" t="str">
            <v>Class I2 EUR (C)</v>
          </cell>
          <cell r="D978" t="str">
            <v>EUR</v>
          </cell>
          <cell r="E978">
            <v>45747</v>
          </cell>
          <cell r="F978">
            <v>709674645.75999999</v>
          </cell>
          <cell r="G978">
            <v>42697310.049000002</v>
          </cell>
          <cell r="H978">
            <v>16.62</v>
          </cell>
          <cell r="I978">
            <v>0</v>
          </cell>
          <cell r="J978">
            <v>16.62</v>
          </cell>
          <cell r="K978">
            <v>-0.26</v>
          </cell>
        </row>
        <row r="979">
          <cell r="A979" t="str">
            <v>LU1883305259</v>
          </cell>
          <cell r="B979" t="str">
            <v>AMUNDI FUNDS EUROLAND EQUITY</v>
          </cell>
          <cell r="C979" t="str">
            <v>Class J2 EUR (C)</v>
          </cell>
          <cell r="D979" t="str">
            <v>EUR</v>
          </cell>
          <cell r="E979">
            <v>45747</v>
          </cell>
          <cell r="F979">
            <v>525937616.67000002</v>
          </cell>
          <cell r="G979">
            <v>211006.33799999999</v>
          </cell>
          <cell r="H979">
            <v>2492.52</v>
          </cell>
          <cell r="I979">
            <v>0</v>
          </cell>
          <cell r="J979">
            <v>2492.52</v>
          </cell>
          <cell r="K979">
            <v>-38.17</v>
          </cell>
        </row>
        <row r="980">
          <cell r="A980" t="str">
            <v>LU1883305762</v>
          </cell>
          <cell r="B980" t="str">
            <v>AMUNDI FUNDS EUROLAND EQUITY</v>
          </cell>
          <cell r="C980" t="str">
            <v>Class R2 CHF Hgd (C)</v>
          </cell>
          <cell r="D980" t="str">
            <v>CHF</v>
          </cell>
          <cell r="E980">
            <v>45747</v>
          </cell>
          <cell r="F980">
            <v>4548733.17</v>
          </cell>
          <cell r="G980">
            <v>52547.252</v>
          </cell>
          <cell r="H980">
            <v>86.56</v>
          </cell>
          <cell r="I980">
            <v>0</v>
          </cell>
          <cell r="J980">
            <v>86.56</v>
          </cell>
          <cell r="K980">
            <v>-1.34</v>
          </cell>
        </row>
        <row r="981">
          <cell r="A981" t="str">
            <v>LU1883304799</v>
          </cell>
          <cell r="B981" t="str">
            <v>AMUNDI FUNDS EUROLAND EQUITY</v>
          </cell>
          <cell r="C981" t="str">
            <v>Class G EUR (C)</v>
          </cell>
          <cell r="D981" t="str">
            <v>EUR</v>
          </cell>
          <cell r="E981">
            <v>45747</v>
          </cell>
          <cell r="F981">
            <v>69422820.870000005</v>
          </cell>
          <cell r="G981">
            <v>9081495.9879999999</v>
          </cell>
          <cell r="H981">
            <v>7.6440000000000001</v>
          </cell>
          <cell r="I981">
            <v>0</v>
          </cell>
          <cell r="J981">
            <v>7.6440000000000001</v>
          </cell>
          <cell r="K981">
            <v>-0.11799999999999999</v>
          </cell>
        </row>
        <row r="982">
          <cell r="A982" t="str">
            <v>LU1883305846</v>
          </cell>
          <cell r="B982" t="str">
            <v>AMUNDI FUNDS EUROLAND EQUITY</v>
          </cell>
          <cell r="C982" t="str">
            <v>Class R2 EUR (C)</v>
          </cell>
          <cell r="D982" t="str">
            <v>EUR</v>
          </cell>
          <cell r="E982">
            <v>45747</v>
          </cell>
          <cell r="F982">
            <v>78878335.269999996</v>
          </cell>
          <cell r="G982">
            <v>814089.93500000006</v>
          </cell>
          <cell r="H982">
            <v>96.89</v>
          </cell>
          <cell r="I982">
            <v>0</v>
          </cell>
          <cell r="J982">
            <v>96.89</v>
          </cell>
          <cell r="K982">
            <v>-1.49</v>
          </cell>
        </row>
        <row r="983">
          <cell r="A983" t="str">
            <v>LU1883306141</v>
          </cell>
          <cell r="B983" t="str">
            <v>AMUNDI FUNDS EUROLAND EQUITY</v>
          </cell>
          <cell r="C983" t="str">
            <v>Class R2 USD Hgd (C)</v>
          </cell>
          <cell r="D983" t="str">
            <v>USD</v>
          </cell>
          <cell r="E983">
            <v>45747</v>
          </cell>
          <cell r="F983">
            <v>1685129.96</v>
          </cell>
          <cell r="G983">
            <v>14668.232</v>
          </cell>
          <cell r="H983">
            <v>114.88</v>
          </cell>
          <cell r="I983">
            <v>0</v>
          </cell>
          <cell r="J983">
            <v>114.88</v>
          </cell>
          <cell r="K983">
            <v>-1.76</v>
          </cell>
        </row>
        <row r="984">
          <cell r="A984" t="str">
            <v>LU1880392433</v>
          </cell>
          <cell r="B984" t="str">
            <v>AMUNDI FUNDS EUROLAND EQUITY</v>
          </cell>
          <cell r="C984" t="str">
            <v>Class OR EUR (C)</v>
          </cell>
          <cell r="D984" t="str">
            <v>EUR</v>
          </cell>
          <cell r="E984">
            <v>45747</v>
          </cell>
          <cell r="F984">
            <v>318785737.57999998</v>
          </cell>
          <cell r="G984">
            <v>174893.73499999999</v>
          </cell>
          <cell r="H984">
            <v>1822.74</v>
          </cell>
          <cell r="I984">
            <v>0</v>
          </cell>
          <cell r="J984">
            <v>1822.74</v>
          </cell>
          <cell r="K984">
            <v>-27.84</v>
          </cell>
        </row>
        <row r="985">
          <cell r="A985" t="str">
            <v>LU1883305416</v>
          </cell>
          <cell r="B985" t="str">
            <v>AMUNDI FUNDS EUROLAND EQUITY</v>
          </cell>
          <cell r="C985" t="str">
            <v>Class P2 USD (C)</v>
          </cell>
          <cell r="D985" t="str">
            <v>USD</v>
          </cell>
          <cell r="E985">
            <v>45747</v>
          </cell>
          <cell r="F985">
            <v>890574.87</v>
          </cell>
          <cell r="G985">
            <v>9029.4480000000003</v>
          </cell>
          <cell r="H985">
            <v>98.63</v>
          </cell>
          <cell r="I985">
            <v>0</v>
          </cell>
          <cell r="J985">
            <v>98.63</v>
          </cell>
          <cell r="K985">
            <v>-1.71</v>
          </cell>
        </row>
        <row r="986">
          <cell r="A986" t="str">
            <v>LU1883305507</v>
          </cell>
          <cell r="B986" t="str">
            <v>AMUNDI FUNDS EUROLAND EQUITY</v>
          </cell>
          <cell r="C986" t="str">
            <v>Class P2 USD Hgd (C)</v>
          </cell>
          <cell r="D986" t="str">
            <v>USD</v>
          </cell>
          <cell r="E986">
            <v>45747</v>
          </cell>
          <cell r="F986">
            <v>183123.08</v>
          </cell>
          <cell r="G986">
            <v>1540</v>
          </cell>
          <cell r="H986">
            <v>118.91</v>
          </cell>
          <cell r="I986">
            <v>0</v>
          </cell>
          <cell r="J986">
            <v>118.91</v>
          </cell>
          <cell r="K986">
            <v>-1.82</v>
          </cell>
        </row>
        <row r="987">
          <cell r="A987" t="str">
            <v>LU1883306067</v>
          </cell>
          <cell r="B987" t="str">
            <v>AMUNDI FUNDS EUROLAND EQUITY</v>
          </cell>
          <cell r="C987" t="str">
            <v>Class R2 USD (C)</v>
          </cell>
          <cell r="D987" t="str">
            <v>USD</v>
          </cell>
          <cell r="E987">
            <v>45747</v>
          </cell>
          <cell r="F987">
            <v>1679731.89</v>
          </cell>
          <cell r="G987">
            <v>20229.241000000002</v>
          </cell>
          <cell r="H987">
            <v>83.03</v>
          </cell>
          <cell r="I987">
            <v>0</v>
          </cell>
          <cell r="J987">
            <v>83.03</v>
          </cell>
          <cell r="K987">
            <v>-1.44</v>
          </cell>
        </row>
        <row r="988">
          <cell r="A988" t="str">
            <v>LU2034727730</v>
          </cell>
          <cell r="B988" t="str">
            <v>AMUNDI FUNDS EUROLAND EQUITY</v>
          </cell>
          <cell r="C988" t="str">
            <v>Class X EUR (C)</v>
          </cell>
          <cell r="D988" t="str">
            <v>EUR</v>
          </cell>
          <cell r="E988">
            <v>45747</v>
          </cell>
          <cell r="F988">
            <v>9505.2099999999991</v>
          </cell>
          <cell r="G988">
            <v>5</v>
          </cell>
          <cell r="H988">
            <v>1901.04</v>
          </cell>
          <cell r="I988">
            <v>0</v>
          </cell>
          <cell r="J988">
            <v>1901.04</v>
          </cell>
          <cell r="K988">
            <v>-29.04</v>
          </cell>
        </row>
        <row r="989">
          <cell r="A989" t="str">
            <v>LU1880391971</v>
          </cell>
          <cell r="B989" t="str">
            <v>AMUNDI FUNDS EUROLAND EQUITY</v>
          </cell>
          <cell r="C989" t="str">
            <v>Class I EUR (C)</v>
          </cell>
          <cell r="D989" t="str">
            <v>EUR</v>
          </cell>
          <cell r="E989">
            <v>45747</v>
          </cell>
          <cell r="F989">
            <v>31196113.940000001</v>
          </cell>
          <cell r="G989">
            <v>18153.358</v>
          </cell>
          <cell r="H989">
            <v>1718.48</v>
          </cell>
          <cell r="I989">
            <v>0</v>
          </cell>
          <cell r="J989">
            <v>1718.48</v>
          </cell>
          <cell r="K989">
            <v>-26.32</v>
          </cell>
        </row>
        <row r="990">
          <cell r="A990" t="str">
            <v>LU1880392607</v>
          </cell>
          <cell r="B990" t="str">
            <v>AMUNDI FUNDS EUROLAND EQUITY</v>
          </cell>
          <cell r="C990" t="str">
            <v>Class Z EUR (C)</v>
          </cell>
          <cell r="D990" t="str">
            <v>EUR</v>
          </cell>
          <cell r="E990">
            <v>45747</v>
          </cell>
          <cell r="F990">
            <v>485110159.10000002</v>
          </cell>
          <cell r="G990">
            <v>279035.53899999999</v>
          </cell>
          <cell r="H990">
            <v>1738.52</v>
          </cell>
          <cell r="I990">
            <v>0</v>
          </cell>
          <cell r="J990">
            <v>1738.52</v>
          </cell>
          <cell r="K990">
            <v>-26.62</v>
          </cell>
        </row>
        <row r="991">
          <cell r="A991" t="str">
            <v>LU1880392789</v>
          </cell>
          <cell r="B991" t="str">
            <v>AMUNDI FUNDS EUROLAND EQUITY</v>
          </cell>
          <cell r="C991" t="str">
            <v>Class Z EUR AD (D)</v>
          </cell>
          <cell r="D991" t="str">
            <v>EUR</v>
          </cell>
          <cell r="E991">
            <v>45747</v>
          </cell>
          <cell r="F991">
            <v>359666601.07999998</v>
          </cell>
          <cell r="G991">
            <v>234672.394</v>
          </cell>
          <cell r="H991">
            <v>1532.63</v>
          </cell>
          <cell r="I991">
            <v>0</v>
          </cell>
          <cell r="J991">
            <v>1532.63</v>
          </cell>
          <cell r="K991">
            <v>-23.47</v>
          </cell>
        </row>
        <row r="992">
          <cell r="A992" t="str">
            <v>LU2237438978</v>
          </cell>
          <cell r="B992" t="str">
            <v>AMUNDI FUNDS US PIONEER FUND</v>
          </cell>
          <cell r="C992" t="str">
            <v>Class A2 USD (C)</v>
          </cell>
          <cell r="D992" t="str">
            <v>USD</v>
          </cell>
          <cell r="E992">
            <v>45747</v>
          </cell>
          <cell r="F992">
            <v>21510.240000000002</v>
          </cell>
          <cell r="G992">
            <v>282.22699999999998</v>
          </cell>
          <cell r="H992">
            <v>76.22</v>
          </cell>
          <cell r="I992">
            <v>0</v>
          </cell>
          <cell r="J992">
            <v>76.22</v>
          </cell>
          <cell r="K992">
            <v>0.08</v>
          </cell>
        </row>
        <row r="993">
          <cell r="A993" t="str">
            <v>LU1883872332</v>
          </cell>
          <cell r="B993" t="str">
            <v>AMUNDI FUNDS US PIONEER FUND</v>
          </cell>
          <cell r="C993" t="str">
            <v>Class A EUR (C)</v>
          </cell>
          <cell r="D993" t="str">
            <v>EUR</v>
          </cell>
          <cell r="E993">
            <v>45747</v>
          </cell>
          <cell r="F993">
            <v>988840780.79999995</v>
          </cell>
          <cell r="G993">
            <v>45996294.631999999</v>
          </cell>
          <cell r="H993">
            <v>21.5</v>
          </cell>
          <cell r="I993">
            <v>0</v>
          </cell>
          <cell r="J993">
            <v>22.47</v>
          </cell>
          <cell r="K993">
            <v>0.06</v>
          </cell>
        </row>
        <row r="994">
          <cell r="A994" t="str">
            <v>LU2070308726</v>
          </cell>
          <cell r="B994" t="str">
            <v>AMUNDI FUNDS US PIONEER FUND</v>
          </cell>
          <cell r="C994" t="str">
            <v>Class A2 EUR (C)</v>
          </cell>
          <cell r="D994" t="str">
            <v>EUR</v>
          </cell>
          <cell r="E994">
            <v>45747</v>
          </cell>
          <cell r="F994">
            <v>63210132.75</v>
          </cell>
          <cell r="G994">
            <v>699509.527</v>
          </cell>
          <cell r="H994">
            <v>90.36</v>
          </cell>
          <cell r="I994">
            <v>0</v>
          </cell>
          <cell r="J994">
            <v>94.43</v>
          </cell>
          <cell r="K994">
            <v>0.26</v>
          </cell>
        </row>
        <row r="995">
          <cell r="A995" t="str">
            <v>LU2330498838</v>
          </cell>
          <cell r="B995" t="str">
            <v>AMUNDI FUNDS US PIONEER FUND</v>
          </cell>
          <cell r="C995" t="str">
            <v>Class A EUR AD (D)</v>
          </cell>
          <cell r="D995" t="str">
            <v>EUR</v>
          </cell>
          <cell r="E995">
            <v>45747</v>
          </cell>
          <cell r="F995">
            <v>10001805.609999999</v>
          </cell>
          <cell r="G995">
            <v>151346.42300000001</v>
          </cell>
          <cell r="H995">
            <v>66.09</v>
          </cell>
          <cell r="I995">
            <v>0</v>
          </cell>
          <cell r="J995">
            <v>66.09</v>
          </cell>
          <cell r="K995">
            <v>0.2</v>
          </cell>
        </row>
        <row r="996">
          <cell r="A996" t="str">
            <v>LU1883872258</v>
          </cell>
          <cell r="B996" t="str">
            <v>AMUNDI FUNDS US PIONEER FUND</v>
          </cell>
          <cell r="C996" t="str">
            <v>Class A CZK Hgd (C)</v>
          </cell>
          <cell r="D996" t="str">
            <v>CZK</v>
          </cell>
          <cell r="E996">
            <v>45747</v>
          </cell>
          <cell r="F996">
            <v>5893763726.8900003</v>
          </cell>
          <cell r="G996">
            <v>1100406.058</v>
          </cell>
          <cell r="H996">
            <v>5355.99</v>
          </cell>
          <cell r="I996">
            <v>0</v>
          </cell>
          <cell r="J996">
            <v>5597.01</v>
          </cell>
          <cell r="K996">
            <v>4.96</v>
          </cell>
        </row>
        <row r="997">
          <cell r="A997" t="str">
            <v>LU1883872415</v>
          </cell>
          <cell r="B997" t="str">
            <v>AMUNDI FUNDS US PIONEER FUND</v>
          </cell>
          <cell r="C997" t="str">
            <v>Class A USD (C)</v>
          </cell>
          <cell r="D997" t="str">
            <v>USD</v>
          </cell>
          <cell r="E997">
            <v>45747</v>
          </cell>
          <cell r="F997">
            <v>986660575.82000005</v>
          </cell>
          <cell r="G997">
            <v>42487490.042000003</v>
          </cell>
          <cell r="H997">
            <v>23.22</v>
          </cell>
          <cell r="I997">
            <v>0</v>
          </cell>
          <cell r="J997">
            <v>24.26</v>
          </cell>
          <cell r="K997">
            <v>0.02</v>
          </cell>
        </row>
        <row r="998">
          <cell r="A998" t="str">
            <v>LU1883873736</v>
          </cell>
          <cell r="B998" t="str">
            <v>AMUNDI FUNDS US PIONEER FUND</v>
          </cell>
          <cell r="C998" t="str">
            <v>Class M2 EUR (C)</v>
          </cell>
          <cell r="D998" t="str">
            <v>EUR</v>
          </cell>
          <cell r="E998">
            <v>45747</v>
          </cell>
          <cell r="F998">
            <v>261845086.97</v>
          </cell>
          <cell r="G998">
            <v>46062.821000000004</v>
          </cell>
          <cell r="H998">
            <v>5684.52</v>
          </cell>
          <cell r="I998">
            <v>0</v>
          </cell>
          <cell r="J998">
            <v>5684.52</v>
          </cell>
          <cell r="K998">
            <v>16.96</v>
          </cell>
        </row>
        <row r="999">
          <cell r="A999" t="str">
            <v>LU1883873819</v>
          </cell>
          <cell r="B999" t="str">
            <v>AMUNDI FUNDS US PIONEER FUND</v>
          </cell>
          <cell r="C999" t="str">
            <v>Class M2 EUR Hgd (C)</v>
          </cell>
          <cell r="D999" t="str">
            <v>EUR</v>
          </cell>
          <cell r="E999">
            <v>45747</v>
          </cell>
          <cell r="F999">
            <v>80938155.609999999</v>
          </cell>
          <cell r="G999">
            <v>22826.778999999999</v>
          </cell>
          <cell r="H999">
            <v>3545.75</v>
          </cell>
          <cell r="I999">
            <v>0</v>
          </cell>
          <cell r="J999">
            <v>3545.75</v>
          </cell>
          <cell r="K999">
            <v>3.47</v>
          </cell>
        </row>
        <row r="1000">
          <cell r="A1000" t="str">
            <v>LU1883872506</v>
          </cell>
          <cell r="B1000" t="str">
            <v>AMUNDI FUNDS US PIONEER FUND</v>
          </cell>
          <cell r="C1000" t="str">
            <v>Class B USD (C)</v>
          </cell>
          <cell r="D1000" t="str">
            <v>USD</v>
          </cell>
          <cell r="E1000">
            <v>45747</v>
          </cell>
          <cell r="F1000">
            <v>24851735.82</v>
          </cell>
          <cell r="G1000">
            <v>1346990.12</v>
          </cell>
          <cell r="H1000">
            <v>18.45</v>
          </cell>
          <cell r="I1000">
            <v>0</v>
          </cell>
          <cell r="J1000">
            <v>18.45</v>
          </cell>
          <cell r="K1000">
            <v>0.02</v>
          </cell>
        </row>
        <row r="1001">
          <cell r="A1001" t="str">
            <v>LU1883872688</v>
          </cell>
          <cell r="B1001" t="str">
            <v>AMUNDI FUNDS US PIONEER FUND</v>
          </cell>
          <cell r="C1001" t="str">
            <v>Class C EUR (C)</v>
          </cell>
          <cell r="D1001" t="str">
            <v>EUR</v>
          </cell>
          <cell r="E1001">
            <v>45747</v>
          </cell>
          <cell r="F1001">
            <v>126029715.17</v>
          </cell>
          <cell r="G1001">
            <v>6824520.1509999996</v>
          </cell>
          <cell r="H1001">
            <v>18.47</v>
          </cell>
          <cell r="I1001">
            <v>0</v>
          </cell>
          <cell r="J1001">
            <v>18.47</v>
          </cell>
          <cell r="K1001">
            <v>0.06</v>
          </cell>
        </row>
        <row r="1002">
          <cell r="A1002" t="str">
            <v>LU1883872845</v>
          </cell>
          <cell r="B1002" t="str">
            <v>AMUNDI FUNDS US PIONEER FUND</v>
          </cell>
          <cell r="C1002" t="str">
            <v>Class C USD (C)</v>
          </cell>
          <cell r="D1002" t="str">
            <v>USD</v>
          </cell>
          <cell r="E1002">
            <v>45747</v>
          </cell>
          <cell r="F1002">
            <v>10597376.76</v>
          </cell>
          <cell r="G1002">
            <v>531102.59199999995</v>
          </cell>
          <cell r="H1002">
            <v>19.95</v>
          </cell>
          <cell r="I1002">
            <v>0</v>
          </cell>
          <cell r="J1002">
            <v>19.95</v>
          </cell>
          <cell r="K1002">
            <v>0.01</v>
          </cell>
        </row>
        <row r="1003">
          <cell r="A1003" t="str">
            <v>LU1883872761</v>
          </cell>
          <cell r="B1003" t="str">
            <v>AMUNDI FUNDS US PIONEER FUND</v>
          </cell>
          <cell r="C1003" t="str">
            <v>Class C EUR Hgd (C)</v>
          </cell>
          <cell r="D1003" t="str">
            <v>EUR</v>
          </cell>
          <cell r="E1003">
            <v>45747</v>
          </cell>
          <cell r="F1003">
            <v>3246664.01</v>
          </cell>
          <cell r="G1003">
            <v>18804.751</v>
          </cell>
          <cell r="H1003">
            <v>172.65</v>
          </cell>
          <cell r="I1003">
            <v>0</v>
          </cell>
          <cell r="J1003">
            <v>172.65</v>
          </cell>
          <cell r="K1003">
            <v>0.14000000000000001</v>
          </cell>
        </row>
        <row r="1004">
          <cell r="A1004" t="str">
            <v>LU1883872928</v>
          </cell>
          <cell r="B1004" t="str">
            <v>AMUNDI FUNDS US PIONEER FUND</v>
          </cell>
          <cell r="C1004" t="str">
            <v>Class E2 EUR (C)</v>
          </cell>
          <cell r="D1004" t="str">
            <v>EUR</v>
          </cell>
          <cell r="E1004">
            <v>45747</v>
          </cell>
          <cell r="F1004">
            <v>151839505.36000001</v>
          </cell>
          <cell r="G1004">
            <v>6915555.7790000001</v>
          </cell>
          <cell r="H1004">
            <v>21.956</v>
          </cell>
          <cell r="I1004">
            <v>0</v>
          </cell>
          <cell r="J1004">
            <v>21.956</v>
          </cell>
          <cell r="K1004">
            <v>6.4000000000000001E-2</v>
          </cell>
        </row>
        <row r="1005">
          <cell r="A1005" t="str">
            <v>LU1883873066</v>
          </cell>
          <cell r="B1005" t="str">
            <v>AMUNDI FUNDS US PIONEER FUND</v>
          </cell>
          <cell r="C1005" t="str">
            <v>Class E2 EUR Hgd (C)</v>
          </cell>
          <cell r="D1005" t="str">
            <v>EUR</v>
          </cell>
          <cell r="E1005">
            <v>45747</v>
          </cell>
          <cell r="F1005">
            <v>9256850.6999999993</v>
          </cell>
          <cell r="G1005">
            <v>721073.85199999996</v>
          </cell>
          <cell r="H1005">
            <v>12.837999999999999</v>
          </cell>
          <cell r="I1005">
            <v>0</v>
          </cell>
          <cell r="J1005">
            <v>12.837999999999999</v>
          </cell>
          <cell r="K1005">
            <v>1.2E-2</v>
          </cell>
        </row>
        <row r="1006">
          <cell r="A1006" t="str">
            <v>LU1883873140</v>
          </cell>
          <cell r="B1006" t="str">
            <v>AMUNDI FUNDS US PIONEER FUND</v>
          </cell>
          <cell r="C1006" t="str">
            <v>Class F EUR (C)</v>
          </cell>
          <cell r="D1006" t="str">
            <v>EUR</v>
          </cell>
          <cell r="E1006">
            <v>45747</v>
          </cell>
          <cell r="F1006">
            <v>24981772.84</v>
          </cell>
          <cell r="G1006">
            <v>1375183.679</v>
          </cell>
          <cell r="H1006">
            <v>18.166</v>
          </cell>
          <cell r="I1006">
            <v>0</v>
          </cell>
          <cell r="J1006">
            <v>18.166</v>
          </cell>
          <cell r="K1006">
            <v>5.1999999999999998E-2</v>
          </cell>
        </row>
        <row r="1007">
          <cell r="A1007" t="str">
            <v>LU2428739630</v>
          </cell>
          <cell r="B1007" t="str">
            <v>AMUNDI FUNDS US PIONEER FUND</v>
          </cell>
          <cell r="C1007" t="str">
            <v>Class I15 USD (C)</v>
          </cell>
          <cell r="D1007" t="str">
            <v>USD</v>
          </cell>
          <cell r="E1007">
            <v>45747</v>
          </cell>
          <cell r="F1007">
            <v>100504555.22</v>
          </cell>
          <cell r="G1007">
            <v>82630.789999999994</v>
          </cell>
          <cell r="H1007">
            <v>1216.31</v>
          </cell>
          <cell r="I1007">
            <v>0</v>
          </cell>
          <cell r="J1007">
            <v>1216.31</v>
          </cell>
          <cell r="K1007">
            <v>1.28</v>
          </cell>
        </row>
        <row r="1008">
          <cell r="A1008" t="str">
            <v>LU1883873652</v>
          </cell>
          <cell r="B1008" t="str">
            <v>AMUNDI FUNDS US PIONEER FUND</v>
          </cell>
          <cell r="C1008" t="str">
            <v>Class I2 USD (C)</v>
          </cell>
          <cell r="D1008" t="str">
            <v>USD</v>
          </cell>
          <cell r="E1008">
            <v>45747</v>
          </cell>
          <cell r="F1008">
            <v>291547311.81999999</v>
          </cell>
          <cell r="G1008">
            <v>9993620.8690000009</v>
          </cell>
          <cell r="H1008">
            <v>29.17</v>
          </cell>
          <cell r="I1008">
            <v>0</v>
          </cell>
          <cell r="J1008">
            <v>29.17</v>
          </cell>
          <cell r="K1008">
            <v>0.03</v>
          </cell>
        </row>
        <row r="1009">
          <cell r="A1009" t="str">
            <v>LU1883873579</v>
          </cell>
          <cell r="B1009" t="str">
            <v>AMUNDI FUNDS US PIONEER FUND</v>
          </cell>
          <cell r="C1009" t="str">
            <v>Class I2 EUR Hgd (C)</v>
          </cell>
          <cell r="D1009" t="str">
            <v>EUR</v>
          </cell>
          <cell r="E1009">
            <v>45747</v>
          </cell>
          <cell r="F1009">
            <v>315891130.04000002</v>
          </cell>
          <cell r="G1009">
            <v>88176.97</v>
          </cell>
          <cell r="H1009">
            <v>3582.47</v>
          </cell>
          <cell r="I1009">
            <v>0</v>
          </cell>
          <cell r="J1009">
            <v>3582.47</v>
          </cell>
          <cell r="K1009">
            <v>3.5</v>
          </cell>
        </row>
        <row r="1010">
          <cell r="A1010" t="str">
            <v>LU1883873496</v>
          </cell>
          <cell r="B1010" t="str">
            <v>AMUNDI FUNDS US PIONEER FUND</v>
          </cell>
          <cell r="C1010" t="str">
            <v>Class I2 EUR (C)</v>
          </cell>
          <cell r="D1010" t="str">
            <v>EUR</v>
          </cell>
          <cell r="E1010">
            <v>45747</v>
          </cell>
          <cell r="F1010">
            <v>221698171.66</v>
          </cell>
          <cell r="G1010">
            <v>8208884.9369999999</v>
          </cell>
          <cell r="H1010">
            <v>27.01</v>
          </cell>
          <cell r="I1010">
            <v>0</v>
          </cell>
          <cell r="J1010">
            <v>27.01</v>
          </cell>
          <cell r="K1010">
            <v>0.08</v>
          </cell>
        </row>
        <row r="1011">
          <cell r="A1011" t="str">
            <v>LU1883873223</v>
          </cell>
          <cell r="B1011" t="str">
            <v>AMUNDI FUNDS US PIONEER FUND</v>
          </cell>
          <cell r="C1011" t="str">
            <v>Class G EUR (C)</v>
          </cell>
          <cell r="D1011" t="str">
            <v>EUR</v>
          </cell>
          <cell r="E1011">
            <v>45747</v>
          </cell>
          <cell r="F1011">
            <v>18193301.68</v>
          </cell>
          <cell r="G1011">
            <v>1619012.8559999999</v>
          </cell>
          <cell r="H1011">
            <v>11.237</v>
          </cell>
          <cell r="I1011">
            <v>0</v>
          </cell>
          <cell r="J1011">
            <v>11.237</v>
          </cell>
          <cell r="K1011">
            <v>3.2000000000000001E-2</v>
          </cell>
        </row>
        <row r="1012">
          <cell r="A1012" t="str">
            <v>LU1883874205</v>
          </cell>
          <cell r="B1012" t="str">
            <v>AMUNDI FUNDS US PIONEER FUND</v>
          </cell>
          <cell r="C1012" t="str">
            <v>Class T USD (C)</v>
          </cell>
          <cell r="D1012" t="str">
            <v>USD</v>
          </cell>
          <cell r="E1012">
            <v>45747</v>
          </cell>
          <cell r="F1012">
            <v>5420489.9100000001</v>
          </cell>
          <cell r="G1012">
            <v>43801.911999999997</v>
          </cell>
          <cell r="H1012">
            <v>123.75</v>
          </cell>
          <cell r="I1012">
            <v>0</v>
          </cell>
          <cell r="J1012">
            <v>123.75</v>
          </cell>
          <cell r="K1012">
            <v>0.11</v>
          </cell>
        </row>
        <row r="1013">
          <cell r="A1013" t="str">
            <v>LU2907103910</v>
          </cell>
          <cell r="B1013" t="str">
            <v>AMUNDI FUNDS US PIONEER FUND</v>
          </cell>
          <cell r="C1013" t="str">
            <v>Class M2 EUR QD (D)</v>
          </cell>
          <cell r="D1013" t="str">
            <v>EUR</v>
          </cell>
          <cell r="E1013">
            <v>45747</v>
          </cell>
          <cell r="F1013">
            <v>4557.4399999999996</v>
          </cell>
          <cell r="G1013">
            <v>5</v>
          </cell>
          <cell r="H1013">
            <v>911.49</v>
          </cell>
          <cell r="I1013">
            <v>0.16400000000000001</v>
          </cell>
          <cell r="J1013">
            <v>911.49</v>
          </cell>
          <cell r="K1013">
            <v>2.56</v>
          </cell>
        </row>
        <row r="1014">
          <cell r="A1014" t="str">
            <v>LU1883874031</v>
          </cell>
          <cell r="B1014" t="str">
            <v>AMUNDI FUNDS US PIONEER FUND</v>
          </cell>
          <cell r="C1014" t="str">
            <v>Class R2 EUR (C)</v>
          </cell>
          <cell r="D1014" t="str">
            <v>EUR</v>
          </cell>
          <cell r="E1014">
            <v>45747</v>
          </cell>
          <cell r="F1014">
            <v>16828374.460000001</v>
          </cell>
          <cell r="G1014">
            <v>90697.096999999994</v>
          </cell>
          <cell r="H1014">
            <v>185.54</v>
          </cell>
          <cell r="I1014">
            <v>0</v>
          </cell>
          <cell r="J1014">
            <v>185.54</v>
          </cell>
          <cell r="K1014">
            <v>0.54</v>
          </cell>
        </row>
        <row r="1015">
          <cell r="A1015" t="str">
            <v>LU2347635711</v>
          </cell>
          <cell r="B1015" t="str">
            <v>AMUNDI FUNDS US PIONEER FUND</v>
          </cell>
          <cell r="C1015" t="str">
            <v>Class OR EUR (C)</v>
          </cell>
          <cell r="D1015" t="str">
            <v>EUR</v>
          </cell>
          <cell r="E1015">
            <v>45747</v>
          </cell>
          <cell r="F1015">
            <v>4225186.26</v>
          </cell>
          <cell r="G1015">
            <v>4494.55</v>
          </cell>
          <cell r="H1015">
            <v>940.07</v>
          </cell>
          <cell r="I1015">
            <v>0</v>
          </cell>
          <cell r="J1015">
            <v>940.07</v>
          </cell>
          <cell r="K1015">
            <v>2.86</v>
          </cell>
        </row>
        <row r="1016">
          <cell r="A1016" t="str">
            <v>LU1883873900</v>
          </cell>
          <cell r="B1016" t="str">
            <v>AMUNDI FUNDS US PIONEER FUND</v>
          </cell>
          <cell r="C1016" t="str">
            <v>Class P2 USD (C)</v>
          </cell>
          <cell r="D1016" t="str">
            <v>USD</v>
          </cell>
          <cell r="E1016">
            <v>45747</v>
          </cell>
          <cell r="F1016">
            <v>16822060.719999999</v>
          </cell>
          <cell r="G1016">
            <v>119583.497</v>
          </cell>
          <cell r="H1016">
            <v>140.66999999999999</v>
          </cell>
          <cell r="I1016">
            <v>0</v>
          </cell>
          <cell r="J1016">
            <v>140.66999999999999</v>
          </cell>
          <cell r="K1016">
            <v>0.14000000000000001</v>
          </cell>
        </row>
        <row r="1017">
          <cell r="A1017" t="str">
            <v>LU1883874387</v>
          </cell>
          <cell r="B1017" t="str">
            <v>AMUNDI FUNDS US PIONEER FUND</v>
          </cell>
          <cell r="C1017" t="str">
            <v>Class U USD (C)</v>
          </cell>
          <cell r="D1017" t="str">
            <v>USD</v>
          </cell>
          <cell r="E1017">
            <v>45747</v>
          </cell>
          <cell r="F1017">
            <v>19437329.399999999</v>
          </cell>
          <cell r="G1017">
            <v>154172.89499999999</v>
          </cell>
          <cell r="H1017">
            <v>126.07</v>
          </cell>
          <cell r="I1017">
            <v>0</v>
          </cell>
          <cell r="J1017">
            <v>126.07</v>
          </cell>
          <cell r="K1017">
            <v>0.11</v>
          </cell>
        </row>
        <row r="1018">
          <cell r="A1018" t="str">
            <v>LU2450198820</v>
          </cell>
          <cell r="B1018" t="str">
            <v>AMUNDI FUNDS US PIONEER FUND</v>
          </cell>
          <cell r="C1018" t="str">
            <v>Class R EUR (C)</v>
          </cell>
          <cell r="D1018" t="str">
            <v>EUR</v>
          </cell>
          <cell r="E1018">
            <v>45747</v>
          </cell>
          <cell r="F1018">
            <v>7400946.3700000001</v>
          </cell>
          <cell r="G1018">
            <v>124110.78</v>
          </cell>
          <cell r="H1018">
            <v>59.63</v>
          </cell>
          <cell r="I1018">
            <v>0</v>
          </cell>
          <cell r="J1018">
            <v>59.63</v>
          </cell>
          <cell r="K1018">
            <v>0.18</v>
          </cell>
        </row>
        <row r="1019">
          <cell r="A1019" t="str">
            <v>LU2450199042</v>
          </cell>
          <cell r="B1019" t="str">
            <v>AMUNDI FUNDS US PIONEER FUND</v>
          </cell>
          <cell r="C1019" t="str">
            <v>Class R USD (C)</v>
          </cell>
          <cell r="D1019" t="str">
            <v>USD</v>
          </cell>
          <cell r="E1019">
            <v>45747</v>
          </cell>
          <cell r="F1019">
            <v>2908233.58</v>
          </cell>
          <cell r="G1019">
            <v>49140.593999999997</v>
          </cell>
          <cell r="H1019">
            <v>59.18</v>
          </cell>
          <cell r="I1019">
            <v>0</v>
          </cell>
          <cell r="J1019">
            <v>59.18</v>
          </cell>
          <cell r="K1019">
            <v>0.06</v>
          </cell>
        </row>
        <row r="1020">
          <cell r="A1020" t="str">
            <v>LU2450198747</v>
          </cell>
          <cell r="B1020" t="str">
            <v>AMUNDI FUNDS US PIONEER FUND</v>
          </cell>
          <cell r="C1020" t="str">
            <v>Class R EUR Hgd (C)</v>
          </cell>
          <cell r="D1020" t="str">
            <v>EUR</v>
          </cell>
          <cell r="E1020">
            <v>45747</v>
          </cell>
          <cell r="F1020">
            <v>2471584.34</v>
          </cell>
          <cell r="G1020">
            <v>45582.233</v>
          </cell>
          <cell r="H1020">
            <v>54.22</v>
          </cell>
          <cell r="I1020">
            <v>0</v>
          </cell>
          <cell r="J1020">
            <v>54.22</v>
          </cell>
          <cell r="K1020">
            <v>0.05</v>
          </cell>
        </row>
        <row r="1021">
          <cell r="A1021" t="str">
            <v>LU1883874114</v>
          </cell>
          <cell r="B1021" t="str">
            <v>AMUNDI FUNDS US PIONEER FUND</v>
          </cell>
          <cell r="C1021" t="str">
            <v>Class R2 USD (C)</v>
          </cell>
          <cell r="D1021" t="str">
            <v>USD</v>
          </cell>
          <cell r="E1021">
            <v>45747</v>
          </cell>
          <cell r="F1021">
            <v>26298414.469999999</v>
          </cell>
          <cell r="G1021">
            <v>131262.242</v>
          </cell>
          <cell r="H1021">
            <v>200.35</v>
          </cell>
          <cell r="I1021">
            <v>0</v>
          </cell>
          <cell r="J1021">
            <v>200.35</v>
          </cell>
          <cell r="K1021">
            <v>0.2</v>
          </cell>
        </row>
        <row r="1022">
          <cell r="A1022" t="str">
            <v>LU2034727904</v>
          </cell>
          <cell r="B1022" t="str">
            <v>AMUNDI FUNDS US PIONEER FUND</v>
          </cell>
          <cell r="C1022" t="str">
            <v>Class X USD (C)</v>
          </cell>
          <cell r="D1022" t="str">
            <v>USD</v>
          </cell>
          <cell r="E1022">
            <v>45747</v>
          </cell>
          <cell r="F1022">
            <v>219425611.06999999</v>
          </cell>
          <cell r="G1022">
            <v>103575.792</v>
          </cell>
          <cell r="H1022">
            <v>2118.5</v>
          </cell>
          <cell r="I1022">
            <v>0</v>
          </cell>
          <cell r="J1022">
            <v>2118.5</v>
          </cell>
          <cell r="K1022">
            <v>2.34</v>
          </cell>
        </row>
        <row r="1023">
          <cell r="A1023" t="str">
            <v>LU2040440823</v>
          </cell>
          <cell r="B1023" t="str">
            <v>AMUNDI FUNDS US PIONEER FUND</v>
          </cell>
          <cell r="C1023" t="str">
            <v>Class Z EUR (C)</v>
          </cell>
          <cell r="D1023" t="str">
            <v>EUR</v>
          </cell>
          <cell r="E1023">
            <v>45747</v>
          </cell>
          <cell r="F1023">
            <v>27892176.280000001</v>
          </cell>
          <cell r="G1023">
            <v>14106.697</v>
          </cell>
          <cell r="H1023">
            <v>1977.23</v>
          </cell>
          <cell r="I1023">
            <v>0</v>
          </cell>
          <cell r="J1023">
            <v>1977.23</v>
          </cell>
          <cell r="K1023">
            <v>5.93</v>
          </cell>
        </row>
        <row r="1024">
          <cell r="A1024" t="str">
            <v>LU2031987014</v>
          </cell>
          <cell r="B1024" t="str">
            <v>AMUNDI FUNDS US PIONEER FUND</v>
          </cell>
          <cell r="C1024" t="str">
            <v>Class Z USD (C)</v>
          </cell>
          <cell r="D1024" t="str">
            <v>USD</v>
          </cell>
          <cell r="E1024">
            <v>45747</v>
          </cell>
          <cell r="F1024">
            <v>171182780.63</v>
          </cell>
          <cell r="G1024">
            <v>91699.587</v>
          </cell>
          <cell r="H1024">
            <v>1866.78</v>
          </cell>
          <cell r="I1024">
            <v>0</v>
          </cell>
          <cell r="J1024">
            <v>1866.78</v>
          </cell>
          <cell r="K1024">
            <v>1.99</v>
          </cell>
        </row>
        <row r="1025">
          <cell r="A1025" t="str">
            <v>LU1883859230</v>
          </cell>
          <cell r="B1025" t="str">
            <v>AMUNDI FUNDS US EQUITY RESEARCH</v>
          </cell>
          <cell r="C1025" t="str">
            <v>Class A EUR (C)</v>
          </cell>
          <cell r="D1025" t="str">
            <v>EUR</v>
          </cell>
          <cell r="E1025">
            <v>45747</v>
          </cell>
          <cell r="F1025">
            <v>18082184.300000001</v>
          </cell>
          <cell r="G1025">
            <v>902851.49100000004</v>
          </cell>
          <cell r="H1025">
            <v>20.03</v>
          </cell>
          <cell r="I1025">
            <v>0</v>
          </cell>
          <cell r="J1025">
            <v>20.93</v>
          </cell>
          <cell r="K1025">
            <v>0.12</v>
          </cell>
        </row>
        <row r="1026">
          <cell r="A1026" t="str">
            <v>LU1883859313</v>
          </cell>
          <cell r="B1026" t="str">
            <v>AMUNDI FUNDS US EQUITY RESEARCH</v>
          </cell>
          <cell r="C1026" t="str">
            <v>Class A EUR Hgd (C)</v>
          </cell>
          <cell r="D1026" t="str">
            <v>EUR</v>
          </cell>
          <cell r="E1026">
            <v>45747</v>
          </cell>
          <cell r="F1026">
            <v>4283230.12</v>
          </cell>
          <cell r="G1026">
            <v>32949.167000000001</v>
          </cell>
          <cell r="H1026">
            <v>130</v>
          </cell>
          <cell r="I1026">
            <v>0</v>
          </cell>
          <cell r="J1026">
            <v>135.85</v>
          </cell>
          <cell r="K1026">
            <v>0.48</v>
          </cell>
        </row>
        <row r="1027">
          <cell r="A1027" t="str">
            <v>LU1883859404</v>
          </cell>
          <cell r="B1027" t="str">
            <v>AMUNDI FUNDS US EQUITY RESEARCH</v>
          </cell>
          <cell r="C1027" t="str">
            <v>Class A USD (C)</v>
          </cell>
          <cell r="D1027" t="str">
            <v>USD</v>
          </cell>
          <cell r="E1027">
            <v>45747</v>
          </cell>
          <cell r="F1027">
            <v>44688957.18</v>
          </cell>
          <cell r="G1027">
            <v>2064568.784</v>
          </cell>
          <cell r="H1027">
            <v>21.65</v>
          </cell>
          <cell r="I1027">
            <v>0</v>
          </cell>
          <cell r="J1027">
            <v>22.62</v>
          </cell>
          <cell r="K1027">
            <v>0.08</v>
          </cell>
        </row>
        <row r="1028">
          <cell r="A1028" t="str">
            <v>LU1883860592</v>
          </cell>
          <cell r="B1028" t="str">
            <v>AMUNDI FUNDS US EQUITY RESEARCH</v>
          </cell>
          <cell r="C1028" t="str">
            <v>Class M2 EUR (C)</v>
          </cell>
          <cell r="D1028" t="str">
            <v>EUR</v>
          </cell>
          <cell r="E1028">
            <v>45747</v>
          </cell>
          <cell r="F1028">
            <v>45525427.649999999</v>
          </cell>
          <cell r="G1028">
            <v>8820.7150000000001</v>
          </cell>
          <cell r="H1028">
            <v>5161.1899999999996</v>
          </cell>
          <cell r="I1028">
            <v>0</v>
          </cell>
          <cell r="J1028">
            <v>5161.1899999999996</v>
          </cell>
          <cell r="K1028">
            <v>29.49</v>
          </cell>
        </row>
        <row r="1029">
          <cell r="A1029" t="str">
            <v>LU1883860675</v>
          </cell>
          <cell r="B1029" t="str">
            <v>AMUNDI FUNDS US EQUITY RESEARCH</v>
          </cell>
          <cell r="C1029" t="str">
            <v>Class M2 EUR Hgd (C)</v>
          </cell>
          <cell r="D1029" t="str">
            <v>EUR</v>
          </cell>
          <cell r="E1029">
            <v>45747</v>
          </cell>
          <cell r="F1029">
            <v>651063.43000000005</v>
          </cell>
          <cell r="G1029">
            <v>195.584</v>
          </cell>
          <cell r="H1029">
            <v>3328.82</v>
          </cell>
          <cell r="I1029">
            <v>0</v>
          </cell>
          <cell r="J1029">
            <v>3328.82</v>
          </cell>
          <cell r="K1029">
            <v>12.39</v>
          </cell>
        </row>
        <row r="1030">
          <cell r="A1030" t="str">
            <v>LU1883859586</v>
          </cell>
          <cell r="B1030" t="str">
            <v>AMUNDI FUNDS US EQUITY RESEARCH</v>
          </cell>
          <cell r="C1030" t="str">
            <v>Class C EUR (C)</v>
          </cell>
          <cell r="D1030" t="str">
            <v>EUR</v>
          </cell>
          <cell r="E1030">
            <v>45747</v>
          </cell>
          <cell r="F1030">
            <v>1187324.3600000001</v>
          </cell>
          <cell r="G1030">
            <v>69650.014999999999</v>
          </cell>
          <cell r="H1030">
            <v>17.05</v>
          </cell>
          <cell r="I1030">
            <v>0</v>
          </cell>
          <cell r="J1030">
            <v>17.05</v>
          </cell>
          <cell r="K1030">
            <v>0.1</v>
          </cell>
        </row>
        <row r="1031">
          <cell r="A1031" t="str">
            <v>LU1883859669</v>
          </cell>
          <cell r="B1031" t="str">
            <v>AMUNDI FUNDS US EQUITY RESEARCH</v>
          </cell>
          <cell r="C1031" t="str">
            <v>Class C USD (C)</v>
          </cell>
          <cell r="D1031" t="str">
            <v>USD</v>
          </cell>
          <cell r="E1031">
            <v>45747</v>
          </cell>
          <cell r="F1031">
            <v>2514624.5</v>
          </cell>
          <cell r="G1031">
            <v>136550.91500000001</v>
          </cell>
          <cell r="H1031">
            <v>18.420000000000002</v>
          </cell>
          <cell r="I1031">
            <v>0</v>
          </cell>
          <cell r="J1031">
            <v>18.420000000000002</v>
          </cell>
          <cell r="K1031">
            <v>7.0000000000000007E-2</v>
          </cell>
        </row>
        <row r="1032">
          <cell r="A1032" t="str">
            <v>LU1883859743</v>
          </cell>
          <cell r="B1032" t="str">
            <v>AMUNDI FUNDS US EQUITY RESEARCH</v>
          </cell>
          <cell r="C1032" t="str">
            <v>Class E2 EUR (C)</v>
          </cell>
          <cell r="D1032" t="str">
            <v>EUR</v>
          </cell>
          <cell r="E1032">
            <v>45747</v>
          </cell>
          <cell r="F1032">
            <v>81108295.560000002</v>
          </cell>
          <cell r="G1032">
            <v>3968829.2209999999</v>
          </cell>
          <cell r="H1032">
            <v>20.436</v>
          </cell>
          <cell r="I1032">
            <v>0</v>
          </cell>
          <cell r="J1032">
            <v>20.436</v>
          </cell>
          <cell r="K1032">
            <v>0.115</v>
          </cell>
        </row>
        <row r="1033">
          <cell r="A1033" t="str">
            <v>LU1883859826</v>
          </cell>
          <cell r="B1033" t="str">
            <v>AMUNDI FUNDS US EQUITY RESEARCH</v>
          </cell>
          <cell r="C1033" t="str">
            <v>Class E2 EUR Hgd (C)</v>
          </cell>
          <cell r="D1033" t="str">
            <v>EUR</v>
          </cell>
          <cell r="E1033">
            <v>45747</v>
          </cell>
          <cell r="F1033">
            <v>14823333.800000001</v>
          </cell>
          <cell r="G1033">
            <v>1259546.9709999999</v>
          </cell>
          <cell r="H1033">
            <v>11.769</v>
          </cell>
          <cell r="I1033">
            <v>0</v>
          </cell>
          <cell r="J1033">
            <v>11.769</v>
          </cell>
          <cell r="K1033">
            <v>4.2999999999999997E-2</v>
          </cell>
        </row>
        <row r="1034">
          <cell r="A1034" t="str">
            <v>LU1883860089</v>
          </cell>
          <cell r="B1034" t="str">
            <v>AMUNDI FUNDS US EQUITY RESEARCH</v>
          </cell>
          <cell r="C1034" t="str">
            <v>Class F EUR (C)</v>
          </cell>
          <cell r="D1034" t="str">
            <v>EUR</v>
          </cell>
          <cell r="E1034">
            <v>45747</v>
          </cell>
          <cell r="F1034">
            <v>41325744.810000002</v>
          </cell>
          <cell r="G1034">
            <v>2446492.6490000002</v>
          </cell>
          <cell r="H1034">
            <v>16.891999999999999</v>
          </cell>
          <cell r="I1034">
            <v>0</v>
          </cell>
          <cell r="J1034">
            <v>16.891999999999999</v>
          </cell>
          <cell r="K1034">
            <v>9.5000000000000001E-2</v>
          </cell>
        </row>
        <row r="1035">
          <cell r="A1035" t="str">
            <v>LU1883860329</v>
          </cell>
          <cell r="B1035" t="str">
            <v>AMUNDI FUNDS US EQUITY RESEARCH</v>
          </cell>
          <cell r="C1035" t="str">
            <v>Class I2 USD (C)</v>
          </cell>
          <cell r="D1035" t="str">
            <v>USD</v>
          </cell>
          <cell r="E1035">
            <v>45747</v>
          </cell>
          <cell r="F1035">
            <v>16579659</v>
          </cell>
          <cell r="G1035">
            <v>610515.09400000004</v>
          </cell>
          <cell r="H1035">
            <v>27.16</v>
          </cell>
          <cell r="I1035">
            <v>0</v>
          </cell>
          <cell r="J1035">
            <v>27.16</v>
          </cell>
          <cell r="K1035">
            <v>0.11</v>
          </cell>
        </row>
        <row r="1036">
          <cell r="A1036" t="str">
            <v>LU1883860246</v>
          </cell>
          <cell r="B1036" t="str">
            <v>AMUNDI FUNDS US EQUITY RESEARCH</v>
          </cell>
          <cell r="C1036" t="str">
            <v>Class I2 EUR (C)</v>
          </cell>
          <cell r="D1036" t="str">
            <v>EUR</v>
          </cell>
          <cell r="E1036">
            <v>45747</v>
          </cell>
          <cell r="F1036">
            <v>3757948.29</v>
          </cell>
          <cell r="G1036">
            <v>149425.87599999999</v>
          </cell>
          <cell r="H1036">
            <v>25.15</v>
          </cell>
          <cell r="I1036">
            <v>0</v>
          </cell>
          <cell r="J1036">
            <v>25.15</v>
          </cell>
          <cell r="K1036">
            <v>0.14000000000000001</v>
          </cell>
        </row>
        <row r="1037">
          <cell r="A1037" t="str">
            <v>LU1883860162</v>
          </cell>
          <cell r="B1037" t="str">
            <v>AMUNDI FUNDS US EQUITY RESEARCH</v>
          </cell>
          <cell r="C1037" t="str">
            <v>Class G EUR (C)</v>
          </cell>
          <cell r="D1037" t="str">
            <v>EUR</v>
          </cell>
          <cell r="E1037">
            <v>45747</v>
          </cell>
          <cell r="F1037">
            <v>2496844.6</v>
          </cell>
          <cell r="G1037">
            <v>267400.67</v>
          </cell>
          <cell r="H1037">
            <v>9.3369999999999997</v>
          </cell>
          <cell r="I1037">
            <v>0</v>
          </cell>
          <cell r="J1037">
            <v>9.3369999999999997</v>
          </cell>
          <cell r="K1037">
            <v>5.1999999999999998E-2</v>
          </cell>
        </row>
        <row r="1038">
          <cell r="A1038" t="str">
            <v>LU1883860832</v>
          </cell>
          <cell r="B1038" t="str">
            <v>AMUNDI FUNDS US EQUITY RESEARCH</v>
          </cell>
          <cell r="C1038" t="str">
            <v>Class R2 EUR (C)</v>
          </cell>
          <cell r="D1038" t="str">
            <v>EUR</v>
          </cell>
          <cell r="E1038">
            <v>45747</v>
          </cell>
          <cell r="F1038">
            <v>8963.2099999999991</v>
          </cell>
          <cell r="G1038">
            <v>100</v>
          </cell>
          <cell r="H1038">
            <v>89.63</v>
          </cell>
          <cell r="I1038">
            <v>0</v>
          </cell>
          <cell r="J1038">
            <v>89.63</v>
          </cell>
          <cell r="K1038">
            <v>0.51</v>
          </cell>
        </row>
        <row r="1039">
          <cell r="A1039" t="str">
            <v>LU1883860758</v>
          </cell>
          <cell r="B1039" t="str">
            <v>AMUNDI FUNDS US EQUITY RESEARCH</v>
          </cell>
          <cell r="C1039" t="str">
            <v>Class P2 USD (C)</v>
          </cell>
          <cell r="D1039" t="str">
            <v>USD</v>
          </cell>
          <cell r="E1039">
            <v>45747</v>
          </cell>
          <cell r="F1039">
            <v>11805.03</v>
          </cell>
          <cell r="G1039">
            <v>100</v>
          </cell>
          <cell r="H1039">
            <v>118.05</v>
          </cell>
          <cell r="I1039">
            <v>0</v>
          </cell>
          <cell r="J1039">
            <v>118.05</v>
          </cell>
          <cell r="K1039">
            <v>0.44</v>
          </cell>
        </row>
        <row r="1040">
          <cell r="A1040" t="str">
            <v>LU1883860915</v>
          </cell>
          <cell r="B1040" t="str">
            <v>AMUNDI FUNDS US EQUITY RESEARCH</v>
          </cell>
          <cell r="C1040" t="str">
            <v>Class R2 USD (C)</v>
          </cell>
          <cell r="D1040" t="str">
            <v>USD</v>
          </cell>
          <cell r="E1040">
            <v>45747</v>
          </cell>
          <cell r="F1040">
            <v>1760.78</v>
          </cell>
          <cell r="G1040">
            <v>9.5079999999999991</v>
          </cell>
          <cell r="H1040">
            <v>185.19</v>
          </cell>
          <cell r="I1040">
            <v>0</v>
          </cell>
          <cell r="J1040">
            <v>185.19</v>
          </cell>
          <cell r="K1040">
            <v>0.7</v>
          </cell>
        </row>
        <row r="1041">
          <cell r="A1041" t="str">
            <v>LU2976323027</v>
          </cell>
          <cell r="B1041" t="str">
            <v>AMUNDI FUNDS US HIGH YIELD BOND</v>
          </cell>
          <cell r="C1041" t="str">
            <v>Class A2 USD (C)</v>
          </cell>
          <cell r="D1041" t="str">
            <v>USD</v>
          </cell>
          <cell r="E1041">
            <v>45747</v>
          </cell>
          <cell r="F1041">
            <v>4982.3500000000004</v>
          </cell>
          <cell r="G1041">
            <v>100</v>
          </cell>
          <cell r="H1041">
            <v>49.82</v>
          </cell>
          <cell r="I1041">
            <v>0</v>
          </cell>
          <cell r="J1041">
            <v>49.82</v>
          </cell>
          <cell r="K1041">
            <v>-0.05</v>
          </cell>
        </row>
        <row r="1042">
          <cell r="A1042" t="str">
            <v>LU1883861137</v>
          </cell>
          <cell r="B1042" t="str">
            <v>AMUNDI FUNDS US HIGH YIELD BOND</v>
          </cell>
          <cell r="C1042" t="str">
            <v>Class A EUR (C)</v>
          </cell>
          <cell r="D1042" t="str">
            <v>EUR</v>
          </cell>
          <cell r="E1042">
            <v>45747</v>
          </cell>
          <cell r="F1042">
            <v>12070063.83</v>
          </cell>
          <cell r="G1042">
            <v>780219.30299999996</v>
          </cell>
          <cell r="H1042">
            <v>15.47</v>
          </cell>
          <cell r="I1042">
            <v>0</v>
          </cell>
          <cell r="J1042">
            <v>16.09</v>
          </cell>
          <cell r="K1042">
            <v>0.01</v>
          </cell>
        </row>
        <row r="1043">
          <cell r="A1043" t="str">
            <v>LU2976323290</v>
          </cell>
          <cell r="B1043" t="str">
            <v>AMUNDI FUNDS US HIGH YIELD BOND</v>
          </cell>
          <cell r="C1043" t="str">
            <v>Class A2 USD MD (D)</v>
          </cell>
          <cell r="D1043" t="str">
            <v>USD</v>
          </cell>
          <cell r="E1043">
            <v>45747</v>
          </cell>
          <cell r="F1043">
            <v>4932.21</v>
          </cell>
          <cell r="G1043">
            <v>100</v>
          </cell>
          <cell r="H1043">
            <v>49.32</v>
          </cell>
          <cell r="I1043">
            <v>0.21490000000000001</v>
          </cell>
          <cell r="J1043">
            <v>49.32</v>
          </cell>
          <cell r="K1043">
            <v>-0.27</v>
          </cell>
        </row>
        <row r="1044">
          <cell r="A1044" t="str">
            <v>LU1883861053</v>
          </cell>
          <cell r="B1044" t="str">
            <v>AMUNDI FUNDS US HIGH YIELD BOND</v>
          </cell>
          <cell r="C1044" t="str">
            <v>Class A AUD Hgd MTD3 (D)</v>
          </cell>
          <cell r="D1044" t="str">
            <v>AUD</v>
          </cell>
          <cell r="E1044">
            <v>45747</v>
          </cell>
          <cell r="F1044">
            <v>32639093.789999999</v>
          </cell>
          <cell r="G1044">
            <v>1321036.973</v>
          </cell>
          <cell r="H1044">
            <v>24.71</v>
          </cell>
          <cell r="I1044">
            <v>0</v>
          </cell>
          <cell r="J1044">
            <v>25.7</v>
          </cell>
          <cell r="K1044">
            <v>-0.02</v>
          </cell>
        </row>
        <row r="1045">
          <cell r="A1045" t="str">
            <v>LU1883861301</v>
          </cell>
          <cell r="B1045" t="str">
            <v>AMUNDI FUNDS US HIGH YIELD BOND</v>
          </cell>
          <cell r="C1045" t="str">
            <v>Class A EUR MTD (D)</v>
          </cell>
          <cell r="D1045" t="str">
            <v>EUR</v>
          </cell>
          <cell r="E1045">
            <v>45747</v>
          </cell>
          <cell r="F1045">
            <v>262157.5</v>
          </cell>
          <cell r="G1045">
            <v>57511.851000000002</v>
          </cell>
          <cell r="H1045">
            <v>4.5599999999999996</v>
          </cell>
          <cell r="I1045">
            <v>0</v>
          </cell>
          <cell r="J1045">
            <v>4.74</v>
          </cell>
          <cell r="K1045">
            <v>0.01</v>
          </cell>
        </row>
        <row r="1046">
          <cell r="A1046" t="str">
            <v>LU1883861566</v>
          </cell>
          <cell r="B1046" t="str">
            <v>AMUNDI FUNDS US HIGH YIELD BOND</v>
          </cell>
          <cell r="C1046" t="str">
            <v>Class A USD MTD (D)</v>
          </cell>
          <cell r="D1046" t="str">
            <v>USD</v>
          </cell>
          <cell r="E1046">
            <v>45747</v>
          </cell>
          <cell r="F1046">
            <v>3266138.51</v>
          </cell>
          <cell r="G1046">
            <v>668747.85100000002</v>
          </cell>
          <cell r="H1046">
            <v>4.88</v>
          </cell>
          <cell r="I1046">
            <v>0</v>
          </cell>
          <cell r="J1046">
            <v>5.08</v>
          </cell>
          <cell r="K1046">
            <v>-0.01</v>
          </cell>
        </row>
        <row r="1047">
          <cell r="A1047" t="str">
            <v>LU1883861640</v>
          </cell>
          <cell r="B1047" t="str">
            <v>AMUNDI FUNDS US HIGH YIELD BOND</v>
          </cell>
          <cell r="C1047" t="str">
            <v>Class A USD MTD3 (D)</v>
          </cell>
          <cell r="D1047" t="str">
            <v>USD</v>
          </cell>
          <cell r="E1047">
            <v>45747</v>
          </cell>
          <cell r="F1047">
            <v>2836925.36</v>
          </cell>
          <cell r="G1047">
            <v>93699.82</v>
          </cell>
          <cell r="H1047">
            <v>30.28</v>
          </cell>
          <cell r="I1047">
            <v>0</v>
          </cell>
          <cell r="J1047">
            <v>31.49</v>
          </cell>
          <cell r="K1047">
            <v>-0.03</v>
          </cell>
        </row>
        <row r="1048">
          <cell r="A1048" t="str">
            <v>LU1883861723</v>
          </cell>
          <cell r="B1048" t="str">
            <v>AMUNDI FUNDS US HIGH YIELD BOND</v>
          </cell>
          <cell r="C1048" t="str">
            <v>Class A USD MGI (D)</v>
          </cell>
          <cell r="D1048" t="str">
            <v>USD</v>
          </cell>
          <cell r="E1048">
            <v>45747</v>
          </cell>
          <cell r="F1048">
            <v>87721969.480000004</v>
          </cell>
          <cell r="G1048">
            <v>1982231.8030000001</v>
          </cell>
          <cell r="H1048">
            <v>44.25</v>
          </cell>
          <cell r="I1048">
            <v>0</v>
          </cell>
          <cell r="J1048">
            <v>46.02</v>
          </cell>
          <cell r="K1048">
            <v>-0.05</v>
          </cell>
        </row>
        <row r="1049">
          <cell r="A1049" t="str">
            <v>LU1883861210</v>
          </cell>
          <cell r="B1049" t="str">
            <v>AMUNDI FUNDS US HIGH YIELD BOND</v>
          </cell>
          <cell r="C1049" t="str">
            <v>Class A EUR Hgd (C)</v>
          </cell>
          <cell r="D1049" t="str">
            <v>EUR</v>
          </cell>
          <cell r="E1049">
            <v>45747</v>
          </cell>
          <cell r="F1049">
            <v>720271.35999999999</v>
          </cell>
          <cell r="G1049">
            <v>7104.8519999999999</v>
          </cell>
          <cell r="H1049">
            <v>101.38</v>
          </cell>
          <cell r="I1049">
            <v>0</v>
          </cell>
          <cell r="J1049">
            <v>105.44</v>
          </cell>
          <cell r="K1049">
            <v>-0.1</v>
          </cell>
        </row>
        <row r="1050">
          <cell r="A1050" t="str">
            <v>LU1883861483</v>
          </cell>
          <cell r="B1050" t="str">
            <v>AMUNDI FUNDS US HIGH YIELD BOND</v>
          </cell>
          <cell r="C1050" t="str">
            <v>Class A USD (C)</v>
          </cell>
          <cell r="D1050" t="str">
            <v>USD</v>
          </cell>
          <cell r="E1050">
            <v>45747</v>
          </cell>
          <cell r="F1050">
            <v>36059041.149999999</v>
          </cell>
          <cell r="G1050">
            <v>2157062.5610000002</v>
          </cell>
          <cell r="H1050">
            <v>16.72</v>
          </cell>
          <cell r="I1050">
            <v>0</v>
          </cell>
          <cell r="J1050">
            <v>17.39</v>
          </cell>
          <cell r="K1050">
            <v>-0.01</v>
          </cell>
        </row>
        <row r="1051">
          <cell r="A1051" t="str">
            <v>LU1883862705</v>
          </cell>
          <cell r="B1051" t="str">
            <v>AMUNDI FUNDS US HIGH YIELD BOND</v>
          </cell>
          <cell r="C1051" t="str">
            <v>Class B ZAR Hgd MTD3 (D)</v>
          </cell>
          <cell r="D1051" t="str">
            <v>ZAR</v>
          </cell>
          <cell r="E1051">
            <v>45747</v>
          </cell>
          <cell r="F1051">
            <v>6802236.0700000003</v>
          </cell>
          <cell r="G1051">
            <v>18611.618999999999</v>
          </cell>
          <cell r="H1051">
            <v>365.48</v>
          </cell>
          <cell r="I1051">
            <v>0</v>
          </cell>
          <cell r="J1051">
            <v>365.48</v>
          </cell>
          <cell r="K1051">
            <v>-0.35</v>
          </cell>
        </row>
        <row r="1052">
          <cell r="A1052" t="str">
            <v>LU1883862614</v>
          </cell>
          <cell r="B1052" t="str">
            <v>AMUNDI FUNDS US HIGH YIELD BOND</v>
          </cell>
          <cell r="C1052" t="str">
            <v>Class B USD MGI (D)</v>
          </cell>
          <cell r="D1052" t="str">
            <v>USD</v>
          </cell>
          <cell r="E1052">
            <v>45747</v>
          </cell>
          <cell r="F1052">
            <v>602681.44999999995</v>
          </cell>
          <cell r="G1052">
            <v>16611.631000000001</v>
          </cell>
          <cell r="H1052">
            <v>36.28</v>
          </cell>
          <cell r="I1052">
            <v>0</v>
          </cell>
          <cell r="J1052">
            <v>36.28</v>
          </cell>
          <cell r="K1052">
            <v>-0.04</v>
          </cell>
        </row>
        <row r="1053">
          <cell r="A1053" t="str">
            <v>LU1883862531</v>
          </cell>
          <cell r="B1053" t="str">
            <v>AMUNDI FUNDS US HIGH YIELD BOND</v>
          </cell>
          <cell r="C1053" t="str">
            <v>Class B USD MTD3 (D)</v>
          </cell>
          <cell r="D1053" t="str">
            <v>USD</v>
          </cell>
          <cell r="E1053">
            <v>45747</v>
          </cell>
          <cell r="F1053">
            <v>504924.4</v>
          </cell>
          <cell r="G1053">
            <v>17540.198</v>
          </cell>
          <cell r="H1053">
            <v>28.79</v>
          </cell>
          <cell r="I1053">
            <v>0</v>
          </cell>
          <cell r="J1053">
            <v>28.79</v>
          </cell>
          <cell r="K1053">
            <v>-0.03</v>
          </cell>
        </row>
        <row r="1054">
          <cell r="A1054" t="str">
            <v>LU1883862028</v>
          </cell>
          <cell r="B1054" t="str">
            <v>AMUNDI FUNDS US HIGH YIELD BOND</v>
          </cell>
          <cell r="C1054" t="str">
            <v>Class B AUD Hgd MTD3 (D)</v>
          </cell>
          <cell r="D1054" t="str">
            <v>AUD</v>
          </cell>
          <cell r="E1054">
            <v>45747</v>
          </cell>
          <cell r="F1054">
            <v>188506.81</v>
          </cell>
          <cell r="G1054">
            <v>8549.8330000000005</v>
          </cell>
          <cell r="H1054">
            <v>22.05</v>
          </cell>
          <cell r="I1054">
            <v>0</v>
          </cell>
          <cell r="J1054">
            <v>22.05</v>
          </cell>
          <cell r="K1054">
            <v>-0.02</v>
          </cell>
        </row>
        <row r="1055">
          <cell r="A1055" t="str">
            <v>LU1883864073</v>
          </cell>
          <cell r="B1055" t="str">
            <v>AMUNDI FUNDS US HIGH YIELD BOND</v>
          </cell>
          <cell r="C1055" t="str">
            <v>Class M2 EUR (C)</v>
          </cell>
          <cell r="D1055" t="str">
            <v>EUR</v>
          </cell>
          <cell r="E1055">
            <v>45747</v>
          </cell>
          <cell r="F1055">
            <v>3886075.97</v>
          </cell>
          <cell r="G1055">
            <v>1134.4839999999999</v>
          </cell>
          <cell r="H1055">
            <v>3425.41</v>
          </cell>
          <cell r="I1055">
            <v>0</v>
          </cell>
          <cell r="J1055">
            <v>3425.41</v>
          </cell>
          <cell r="K1055">
            <v>3.57</v>
          </cell>
        </row>
        <row r="1056">
          <cell r="A1056" t="str">
            <v>LU1883864156</v>
          </cell>
          <cell r="B1056" t="str">
            <v>AMUNDI FUNDS US HIGH YIELD BOND</v>
          </cell>
          <cell r="C1056" t="str">
            <v>Class M2 EUR Hgd (C)</v>
          </cell>
          <cell r="D1056" t="str">
            <v>EUR</v>
          </cell>
          <cell r="E1056">
            <v>45747</v>
          </cell>
          <cell r="F1056">
            <v>5922146.2199999997</v>
          </cell>
          <cell r="G1056">
            <v>2872.8449999999998</v>
          </cell>
          <cell r="H1056">
            <v>2061.42</v>
          </cell>
          <cell r="I1056">
            <v>0</v>
          </cell>
          <cell r="J1056">
            <v>2061.42</v>
          </cell>
          <cell r="K1056">
            <v>-2</v>
          </cell>
        </row>
        <row r="1057">
          <cell r="A1057" t="str">
            <v>LU1883862374</v>
          </cell>
          <cell r="B1057" t="str">
            <v>AMUNDI FUNDS US HIGH YIELD BOND</v>
          </cell>
          <cell r="C1057" t="str">
            <v>Class B USD (C)</v>
          </cell>
          <cell r="D1057" t="str">
            <v>USD</v>
          </cell>
          <cell r="E1057">
            <v>45747</v>
          </cell>
          <cell r="F1057">
            <v>36895.43</v>
          </cell>
          <cell r="G1057">
            <v>637.56700000000001</v>
          </cell>
          <cell r="H1057">
            <v>57.87</v>
          </cell>
          <cell r="I1057">
            <v>0</v>
          </cell>
          <cell r="J1057">
            <v>57.87</v>
          </cell>
          <cell r="K1057">
            <v>-0.06</v>
          </cell>
        </row>
        <row r="1058">
          <cell r="A1058" t="str">
            <v>LU1883862887</v>
          </cell>
          <cell r="B1058" t="str">
            <v>AMUNDI FUNDS US HIGH YIELD BOND</v>
          </cell>
          <cell r="C1058" t="str">
            <v>Class C EUR (C)</v>
          </cell>
          <cell r="D1058" t="str">
            <v>EUR</v>
          </cell>
          <cell r="E1058">
            <v>45747</v>
          </cell>
          <cell r="F1058">
            <v>195383.2</v>
          </cell>
          <cell r="G1058">
            <v>15094.114</v>
          </cell>
          <cell r="H1058">
            <v>12.94</v>
          </cell>
          <cell r="I1058">
            <v>0</v>
          </cell>
          <cell r="J1058">
            <v>12.94</v>
          </cell>
          <cell r="K1058">
            <v>0.01</v>
          </cell>
        </row>
        <row r="1059">
          <cell r="A1059" t="str">
            <v>LU1883863000</v>
          </cell>
          <cell r="B1059" t="str">
            <v>AMUNDI FUNDS US HIGH YIELD BOND</v>
          </cell>
          <cell r="C1059" t="str">
            <v>Class C USD (C)</v>
          </cell>
          <cell r="D1059" t="str">
            <v>USD</v>
          </cell>
          <cell r="E1059">
            <v>45747</v>
          </cell>
          <cell r="F1059">
            <v>14733451.76</v>
          </cell>
          <cell r="G1059">
            <v>1053471.426</v>
          </cell>
          <cell r="H1059">
            <v>13.99</v>
          </cell>
          <cell r="I1059">
            <v>0</v>
          </cell>
          <cell r="J1059">
            <v>13.99</v>
          </cell>
          <cell r="K1059">
            <v>-0.01</v>
          </cell>
        </row>
        <row r="1060">
          <cell r="A1060" t="str">
            <v>LU1883863182</v>
          </cell>
          <cell r="B1060" t="str">
            <v>AMUNDI FUNDS US HIGH YIELD BOND</v>
          </cell>
          <cell r="C1060" t="str">
            <v>Class C USD MTD (D)</v>
          </cell>
          <cell r="D1060" t="str">
            <v>USD</v>
          </cell>
          <cell r="E1060">
            <v>45747</v>
          </cell>
          <cell r="F1060">
            <v>5744641.9500000002</v>
          </cell>
          <cell r="G1060">
            <v>1229329.267</v>
          </cell>
          <cell r="H1060">
            <v>4.67</v>
          </cell>
          <cell r="I1060">
            <v>0</v>
          </cell>
          <cell r="J1060">
            <v>4.67</v>
          </cell>
          <cell r="K1060">
            <v>-0.01</v>
          </cell>
        </row>
        <row r="1061">
          <cell r="A1061" t="str">
            <v>LU1883861996</v>
          </cell>
          <cell r="B1061" t="str">
            <v>AMUNDI FUNDS US HIGH YIELD BOND</v>
          </cell>
          <cell r="C1061" t="str">
            <v>Class A ZAR Hgd MTD3 (D)</v>
          </cell>
          <cell r="D1061" t="str">
            <v>ZAR</v>
          </cell>
          <cell r="E1061">
            <v>45747</v>
          </cell>
          <cell r="F1061">
            <v>504186298.26999998</v>
          </cell>
          <cell r="G1061">
            <v>1274029.29</v>
          </cell>
          <cell r="H1061">
            <v>395.74</v>
          </cell>
          <cell r="I1061">
            <v>0</v>
          </cell>
          <cell r="J1061">
            <v>411.57</v>
          </cell>
          <cell r="K1061">
            <v>-0.35</v>
          </cell>
        </row>
        <row r="1062">
          <cell r="A1062" t="str">
            <v>LU1883863265</v>
          </cell>
          <cell r="B1062" t="str">
            <v>AMUNDI FUNDS US HIGH YIELD BOND</v>
          </cell>
          <cell r="C1062" t="str">
            <v>Class E2 EUR (C)</v>
          </cell>
          <cell r="D1062" t="str">
            <v>EUR</v>
          </cell>
          <cell r="E1062">
            <v>45747</v>
          </cell>
          <cell r="F1062">
            <v>3933685.86</v>
          </cell>
          <cell r="G1062">
            <v>238775.58799999999</v>
          </cell>
          <cell r="H1062">
            <v>16.474</v>
          </cell>
          <cell r="I1062">
            <v>0</v>
          </cell>
          <cell r="J1062">
            <v>16.474</v>
          </cell>
          <cell r="K1062">
            <v>1.6E-2</v>
          </cell>
        </row>
        <row r="1063">
          <cell r="A1063" t="str">
            <v>LU1883863349</v>
          </cell>
          <cell r="B1063" t="str">
            <v>AMUNDI FUNDS US HIGH YIELD BOND</v>
          </cell>
          <cell r="C1063" t="str">
            <v>Class E2 EUR Hgd (C)</v>
          </cell>
          <cell r="D1063" t="str">
            <v>EUR</v>
          </cell>
          <cell r="E1063">
            <v>45747</v>
          </cell>
          <cell r="F1063">
            <v>973329.46</v>
          </cell>
          <cell r="G1063">
            <v>108406.375</v>
          </cell>
          <cell r="H1063">
            <v>8.9789999999999992</v>
          </cell>
          <cell r="I1063">
            <v>0</v>
          </cell>
          <cell r="J1063">
            <v>8.9789999999999992</v>
          </cell>
          <cell r="K1063">
            <v>-8.9999999999999993E-3</v>
          </cell>
        </row>
        <row r="1064">
          <cell r="A1064" t="str">
            <v>LU1883863422</v>
          </cell>
          <cell r="B1064" t="str">
            <v>AMUNDI FUNDS US HIGH YIELD BOND</v>
          </cell>
          <cell r="C1064" t="str">
            <v>Class F EUR (C)</v>
          </cell>
          <cell r="D1064" t="str">
            <v>EUR</v>
          </cell>
          <cell r="E1064">
            <v>45747</v>
          </cell>
          <cell r="F1064">
            <v>2907467.39</v>
          </cell>
          <cell r="G1064">
            <v>204553.02499999999</v>
          </cell>
          <cell r="H1064">
            <v>14.214</v>
          </cell>
          <cell r="I1064">
            <v>0</v>
          </cell>
          <cell r="J1064">
            <v>14.214</v>
          </cell>
          <cell r="K1064">
            <v>1.4E-2</v>
          </cell>
        </row>
        <row r="1065">
          <cell r="A1065" t="str">
            <v>LU1998916933</v>
          </cell>
          <cell r="B1065" t="str">
            <v>AMUNDI FUNDS US HIGH YIELD BOND</v>
          </cell>
          <cell r="C1065" t="str">
            <v>Class H EUR (C)</v>
          </cell>
          <cell r="D1065" t="str">
            <v>EUR</v>
          </cell>
          <cell r="E1065">
            <v>45747</v>
          </cell>
          <cell r="F1065">
            <v>6604.2</v>
          </cell>
          <cell r="G1065">
            <v>5</v>
          </cell>
          <cell r="H1065">
            <v>1320.84</v>
          </cell>
          <cell r="I1065">
            <v>0</v>
          </cell>
          <cell r="J1065">
            <v>1320.84</v>
          </cell>
          <cell r="K1065">
            <v>1.43</v>
          </cell>
        </row>
        <row r="1066">
          <cell r="A1066" t="str">
            <v>LU1883863935</v>
          </cell>
          <cell r="B1066" t="str">
            <v>AMUNDI FUNDS US HIGH YIELD BOND</v>
          </cell>
          <cell r="C1066" t="str">
            <v>Class I2 USD QD (D)</v>
          </cell>
          <cell r="D1066" t="str">
            <v>USD</v>
          </cell>
          <cell r="E1066">
            <v>45747</v>
          </cell>
          <cell r="F1066">
            <v>16040304.119999999</v>
          </cell>
          <cell r="G1066">
            <v>16975.954000000002</v>
          </cell>
          <cell r="H1066">
            <v>944.88</v>
          </cell>
          <cell r="I1066">
            <v>15.855600000000001</v>
          </cell>
          <cell r="J1066">
            <v>944.88</v>
          </cell>
          <cell r="K1066">
            <v>-16.72</v>
          </cell>
        </row>
        <row r="1067">
          <cell r="A1067" t="str">
            <v>LU1883863851</v>
          </cell>
          <cell r="B1067" t="str">
            <v>AMUNDI FUNDS US HIGH YIELD BOND</v>
          </cell>
          <cell r="C1067" t="str">
            <v>Class I2 USD (C)</v>
          </cell>
          <cell r="D1067" t="str">
            <v>USD</v>
          </cell>
          <cell r="E1067">
            <v>45747</v>
          </cell>
          <cell r="F1067">
            <v>24961381.25</v>
          </cell>
          <cell r="G1067">
            <v>1170081.183</v>
          </cell>
          <cell r="H1067">
            <v>21.33</v>
          </cell>
          <cell r="I1067">
            <v>0</v>
          </cell>
          <cell r="J1067">
            <v>21.33</v>
          </cell>
          <cell r="K1067">
            <v>-0.02</v>
          </cell>
        </row>
        <row r="1068">
          <cell r="A1068" t="str">
            <v>LU1883863778</v>
          </cell>
          <cell r="B1068" t="str">
            <v>AMUNDI FUNDS US HIGH YIELD BOND</v>
          </cell>
          <cell r="C1068" t="str">
            <v>Class I2 EUR Hgd (C)</v>
          </cell>
          <cell r="D1068" t="str">
            <v>EUR</v>
          </cell>
          <cell r="E1068">
            <v>45747</v>
          </cell>
          <cell r="F1068">
            <v>2829635.93</v>
          </cell>
          <cell r="G1068">
            <v>1967.7660000000001</v>
          </cell>
          <cell r="H1068">
            <v>1437.99</v>
          </cell>
          <cell r="I1068">
            <v>0</v>
          </cell>
          <cell r="J1068">
            <v>1437.99</v>
          </cell>
          <cell r="K1068">
            <v>-0.86</v>
          </cell>
        </row>
        <row r="1069">
          <cell r="A1069" t="str">
            <v>LU1883863695</v>
          </cell>
          <cell r="B1069" t="str">
            <v>AMUNDI FUNDS US HIGH YIELD BOND</v>
          </cell>
          <cell r="C1069" t="str">
            <v>Class I2 EUR (C)</v>
          </cell>
          <cell r="D1069" t="str">
            <v>EUR</v>
          </cell>
          <cell r="E1069">
            <v>45747</v>
          </cell>
          <cell r="F1069">
            <v>1629456.54</v>
          </cell>
          <cell r="G1069">
            <v>82522.399999999994</v>
          </cell>
          <cell r="H1069">
            <v>19.75</v>
          </cell>
          <cell r="I1069">
            <v>0</v>
          </cell>
          <cell r="J1069">
            <v>19.75</v>
          </cell>
          <cell r="K1069">
            <v>0.03</v>
          </cell>
        </row>
        <row r="1070">
          <cell r="A1070" t="str">
            <v>LU1897311913</v>
          </cell>
          <cell r="B1070" t="str">
            <v>AMUNDI FUNDS US HIGH YIELD BOND</v>
          </cell>
          <cell r="C1070" t="str">
            <v>Class I2 GBP Hgd (C)</v>
          </cell>
          <cell r="D1070" t="str">
            <v>GBP</v>
          </cell>
          <cell r="E1070">
            <v>45747</v>
          </cell>
          <cell r="F1070">
            <v>118409.26</v>
          </cell>
          <cell r="G1070">
            <v>100</v>
          </cell>
          <cell r="H1070">
            <v>1184.0899999999999</v>
          </cell>
          <cell r="I1070">
            <v>0</v>
          </cell>
          <cell r="J1070">
            <v>0</v>
          </cell>
          <cell r="K1070">
            <v>-1.06</v>
          </cell>
        </row>
        <row r="1071">
          <cell r="A1071" t="str">
            <v>LU1883864826</v>
          </cell>
          <cell r="B1071" t="str">
            <v>AMUNDI FUNDS US HIGH YIELD BOND</v>
          </cell>
          <cell r="C1071" t="str">
            <v>Class T AUD Hgd MTD3 (D)</v>
          </cell>
          <cell r="D1071" t="str">
            <v>AUD</v>
          </cell>
          <cell r="E1071">
            <v>45747</v>
          </cell>
          <cell r="F1071">
            <v>9475.3700000000008</v>
          </cell>
          <cell r="G1071">
            <v>398.733</v>
          </cell>
          <cell r="H1071">
            <v>23.76</v>
          </cell>
          <cell r="I1071">
            <v>0</v>
          </cell>
          <cell r="J1071">
            <v>23.76</v>
          </cell>
          <cell r="K1071">
            <v>-0.03</v>
          </cell>
        </row>
        <row r="1072">
          <cell r="A1072" t="str">
            <v>LU1883865476</v>
          </cell>
          <cell r="B1072" t="str">
            <v>AMUNDI FUNDS US HIGH YIELD BOND</v>
          </cell>
          <cell r="C1072" t="str">
            <v>Class T ZAR Hgd MTD3 (D)</v>
          </cell>
          <cell r="D1072" t="str">
            <v>ZAR</v>
          </cell>
          <cell r="E1072">
            <v>45747</v>
          </cell>
          <cell r="F1072">
            <v>4540723.54</v>
          </cell>
          <cell r="G1072">
            <v>11891.989</v>
          </cell>
          <cell r="H1072">
            <v>381.83</v>
          </cell>
          <cell r="I1072">
            <v>0</v>
          </cell>
          <cell r="J1072">
            <v>381.83</v>
          </cell>
          <cell r="K1072">
            <v>-0.37</v>
          </cell>
        </row>
        <row r="1073">
          <cell r="A1073" t="str">
            <v>LU1883864586</v>
          </cell>
          <cell r="B1073" t="str">
            <v>AMUNDI FUNDS US HIGH YIELD BOND</v>
          </cell>
          <cell r="C1073" t="str">
            <v>Class R2 EUR (C)</v>
          </cell>
          <cell r="D1073" t="str">
            <v>EUR</v>
          </cell>
          <cell r="E1073">
            <v>45747</v>
          </cell>
          <cell r="F1073">
            <v>446689.99</v>
          </cell>
          <cell r="G1073">
            <v>6798.8329999999996</v>
          </cell>
          <cell r="H1073">
            <v>65.7</v>
          </cell>
          <cell r="I1073">
            <v>0</v>
          </cell>
          <cell r="J1073">
            <v>65.7</v>
          </cell>
          <cell r="K1073">
            <v>7.0000000000000007E-2</v>
          </cell>
        </row>
        <row r="1074">
          <cell r="A1074" t="str">
            <v>LU1883864669</v>
          </cell>
          <cell r="B1074" t="str">
            <v>AMUNDI FUNDS US HIGH YIELD BOND</v>
          </cell>
          <cell r="C1074" t="str">
            <v>Class R2 EUR Hgd (C)</v>
          </cell>
          <cell r="D1074" t="str">
            <v>EUR</v>
          </cell>
          <cell r="E1074">
            <v>45747</v>
          </cell>
          <cell r="F1074">
            <v>105910.97</v>
          </cell>
          <cell r="G1074">
            <v>1883.4</v>
          </cell>
          <cell r="H1074">
            <v>56.23</v>
          </cell>
          <cell r="I1074">
            <v>0</v>
          </cell>
          <cell r="J1074">
            <v>56.23</v>
          </cell>
          <cell r="K1074">
            <v>-0.06</v>
          </cell>
        </row>
        <row r="1075">
          <cell r="A1075" t="str">
            <v>LU1883864230</v>
          </cell>
          <cell r="B1075" t="str">
            <v>AMUNDI FUNDS US HIGH YIELD BOND</v>
          </cell>
          <cell r="C1075" t="str">
            <v>Class P2 USD (C)</v>
          </cell>
          <cell r="D1075" t="str">
            <v>USD</v>
          </cell>
          <cell r="E1075">
            <v>45747</v>
          </cell>
          <cell r="F1075">
            <v>5598.49</v>
          </cell>
          <cell r="G1075">
            <v>99.998999999999995</v>
          </cell>
          <cell r="H1075">
            <v>55.99</v>
          </cell>
          <cell r="I1075">
            <v>0</v>
          </cell>
          <cell r="J1075">
            <v>55.99</v>
          </cell>
          <cell r="K1075">
            <v>-0.05</v>
          </cell>
        </row>
        <row r="1076">
          <cell r="A1076" t="str">
            <v>LU1883864313</v>
          </cell>
          <cell r="B1076" t="str">
            <v>AMUNDI FUNDS US HIGH YIELD BOND</v>
          </cell>
          <cell r="C1076" t="str">
            <v>Class P2 USD MTD (D)</v>
          </cell>
          <cell r="D1076" t="str">
            <v>USD</v>
          </cell>
          <cell r="E1076">
            <v>45747</v>
          </cell>
          <cell r="F1076">
            <v>31595.25</v>
          </cell>
          <cell r="G1076">
            <v>692.923</v>
          </cell>
          <cell r="H1076">
            <v>45.6</v>
          </cell>
          <cell r="I1076">
            <v>0</v>
          </cell>
          <cell r="J1076">
            <v>45.6</v>
          </cell>
          <cell r="K1076">
            <v>-0.04</v>
          </cell>
        </row>
        <row r="1077">
          <cell r="A1077" t="str">
            <v>LU1883864404</v>
          </cell>
          <cell r="B1077" t="str">
            <v>AMUNDI FUNDS US HIGH YIELD BOND</v>
          </cell>
          <cell r="C1077" t="str">
            <v>Class Q-D USD MTD (D)</v>
          </cell>
          <cell r="D1077" t="str">
            <v>USD</v>
          </cell>
          <cell r="E1077">
            <v>45747</v>
          </cell>
          <cell r="F1077">
            <v>147075.01</v>
          </cell>
          <cell r="G1077">
            <v>2687.078</v>
          </cell>
          <cell r="H1077">
            <v>54.73</v>
          </cell>
          <cell r="I1077">
            <v>0</v>
          </cell>
          <cell r="J1077">
            <v>54.73</v>
          </cell>
          <cell r="K1077">
            <v>-0.06</v>
          </cell>
        </row>
        <row r="1078">
          <cell r="A1078" t="str">
            <v>LU1883865559</v>
          </cell>
          <cell r="B1078" t="str">
            <v>AMUNDI FUNDS US HIGH YIELD BOND</v>
          </cell>
          <cell r="C1078" t="str">
            <v>Class U AUD Hgd MTD3 (D)</v>
          </cell>
          <cell r="D1078" t="str">
            <v>AUD</v>
          </cell>
          <cell r="E1078">
            <v>45747</v>
          </cell>
          <cell r="F1078">
            <v>92430.26</v>
          </cell>
          <cell r="G1078">
            <v>3982.8380000000002</v>
          </cell>
          <cell r="H1078">
            <v>23.21</v>
          </cell>
          <cell r="I1078">
            <v>0</v>
          </cell>
          <cell r="J1078">
            <v>23.21</v>
          </cell>
          <cell r="K1078">
            <v>-0.02</v>
          </cell>
        </row>
        <row r="1079">
          <cell r="A1079" t="str">
            <v>LU1883865807</v>
          </cell>
          <cell r="B1079" t="str">
            <v>AMUNDI FUNDS US HIGH YIELD BOND</v>
          </cell>
          <cell r="C1079" t="str">
            <v>Class U USD MGI (D)</v>
          </cell>
          <cell r="D1079" t="str">
            <v>USD</v>
          </cell>
          <cell r="E1079">
            <v>45747</v>
          </cell>
          <cell r="F1079">
            <v>250419.04</v>
          </cell>
          <cell r="G1079">
            <v>5032.8</v>
          </cell>
          <cell r="H1079">
            <v>49.76</v>
          </cell>
          <cell r="I1079">
            <v>0</v>
          </cell>
          <cell r="J1079">
            <v>49.76</v>
          </cell>
          <cell r="K1079">
            <v>-0.05</v>
          </cell>
        </row>
        <row r="1080">
          <cell r="A1080" t="str">
            <v>LU1883865989</v>
          </cell>
          <cell r="B1080" t="str">
            <v>AMUNDI FUNDS US HIGH YIELD BOND</v>
          </cell>
          <cell r="C1080" t="str">
            <v>Class U ZAR Hgd MTD3 (D)</v>
          </cell>
          <cell r="D1080" t="str">
            <v>ZAR</v>
          </cell>
          <cell r="E1080">
            <v>45747</v>
          </cell>
          <cell r="F1080">
            <v>19986697.449999999</v>
          </cell>
          <cell r="G1080">
            <v>52916.54</v>
          </cell>
          <cell r="H1080">
            <v>377.7</v>
          </cell>
          <cell r="I1080">
            <v>0</v>
          </cell>
          <cell r="J1080">
            <v>377.7</v>
          </cell>
          <cell r="K1080">
            <v>-0.36</v>
          </cell>
        </row>
        <row r="1081">
          <cell r="A1081" t="str">
            <v>LU1883865716</v>
          </cell>
          <cell r="B1081" t="str">
            <v>AMUNDI FUNDS US HIGH YIELD BOND</v>
          </cell>
          <cell r="C1081" t="str">
            <v>Class U USD MTD3 (D)</v>
          </cell>
          <cell r="D1081" t="str">
            <v>USD</v>
          </cell>
          <cell r="E1081">
            <v>45747</v>
          </cell>
          <cell r="F1081">
            <v>185988.39</v>
          </cell>
          <cell r="G1081">
            <v>4018.4259999999999</v>
          </cell>
          <cell r="H1081">
            <v>46.28</v>
          </cell>
          <cell r="I1081">
            <v>0</v>
          </cell>
          <cell r="J1081">
            <v>46.28</v>
          </cell>
          <cell r="K1081">
            <v>-0.05</v>
          </cell>
        </row>
        <row r="1082">
          <cell r="A1082" t="str">
            <v>LU1883864743</v>
          </cell>
          <cell r="B1082" t="str">
            <v>AMUNDI FUNDS US HIGH YIELD BOND</v>
          </cell>
          <cell r="C1082" t="str">
            <v>Class R2 USD (C)</v>
          </cell>
          <cell r="D1082" t="str">
            <v>USD</v>
          </cell>
          <cell r="E1082">
            <v>45747</v>
          </cell>
          <cell r="F1082">
            <v>174279.15</v>
          </cell>
          <cell r="G1082">
            <v>1670</v>
          </cell>
          <cell r="H1082">
            <v>104.36</v>
          </cell>
          <cell r="I1082">
            <v>0</v>
          </cell>
          <cell r="J1082">
            <v>104.36</v>
          </cell>
          <cell r="K1082">
            <v>-0.09</v>
          </cell>
        </row>
        <row r="1083">
          <cell r="A1083" t="str">
            <v>LU2031986636</v>
          </cell>
          <cell r="B1083" t="str">
            <v>AMUNDI FUNDS US HIGH YIELD BOND</v>
          </cell>
          <cell r="C1083" t="str">
            <v>Class Z USD (C)</v>
          </cell>
          <cell r="D1083" t="str">
            <v>USD</v>
          </cell>
          <cell r="E1083">
            <v>45747</v>
          </cell>
          <cell r="F1083">
            <v>5686354.9199999999</v>
          </cell>
          <cell r="G1083">
            <v>4402</v>
          </cell>
          <cell r="H1083">
            <v>1291.77</v>
          </cell>
          <cell r="I1083">
            <v>0</v>
          </cell>
          <cell r="J1083">
            <v>1291.77</v>
          </cell>
          <cell r="K1083">
            <v>-1.1399999999999999</v>
          </cell>
        </row>
        <row r="1084">
          <cell r="A1084" t="str">
            <v>LU2259111263</v>
          </cell>
          <cell r="B1084" t="str">
            <v>AMUNDI FUNDS OPTIMAL YIELD</v>
          </cell>
          <cell r="C1084" t="str">
            <v>Class A2 EUR AD (D)</v>
          </cell>
          <cell r="D1084" t="str">
            <v>EUR</v>
          </cell>
          <cell r="E1084">
            <v>45747</v>
          </cell>
          <cell r="F1084">
            <v>19968.13</v>
          </cell>
          <cell r="G1084">
            <v>422.25799999999998</v>
          </cell>
          <cell r="H1084">
            <v>47.29</v>
          </cell>
          <cell r="I1084">
            <v>0</v>
          </cell>
          <cell r="J1084">
            <v>49.42</v>
          </cell>
          <cell r="K1084">
            <v>-0.13</v>
          </cell>
        </row>
        <row r="1085">
          <cell r="A1085" t="str">
            <v>LU1883336643</v>
          </cell>
          <cell r="B1085" t="str">
            <v>AMUNDI FUNDS OPTIMAL YIELD</v>
          </cell>
          <cell r="C1085" t="str">
            <v>Class A EUR AD (D)</v>
          </cell>
          <cell r="D1085" t="str">
            <v>EUR</v>
          </cell>
          <cell r="E1085">
            <v>45747</v>
          </cell>
          <cell r="F1085">
            <v>9480189.9600000009</v>
          </cell>
          <cell r="G1085">
            <v>155655.53200000001</v>
          </cell>
          <cell r="H1085">
            <v>60.9</v>
          </cell>
          <cell r="I1085">
            <v>0</v>
          </cell>
          <cell r="J1085">
            <v>63.34</v>
          </cell>
          <cell r="K1085">
            <v>-0.17</v>
          </cell>
        </row>
        <row r="1086">
          <cell r="A1086" t="str">
            <v>LU1883336569</v>
          </cell>
          <cell r="B1086" t="str">
            <v>AMUNDI FUNDS OPTIMAL YIELD</v>
          </cell>
          <cell r="C1086" t="str">
            <v>Class A EUR (C)</v>
          </cell>
          <cell r="D1086" t="str">
            <v>EUR</v>
          </cell>
          <cell r="E1086">
            <v>45747</v>
          </cell>
          <cell r="F1086">
            <v>11669844.390000001</v>
          </cell>
          <cell r="G1086">
            <v>103941.82799999999</v>
          </cell>
          <cell r="H1086">
            <v>112.27</v>
          </cell>
          <cell r="I1086">
            <v>0</v>
          </cell>
          <cell r="J1086">
            <v>116.76</v>
          </cell>
          <cell r="K1086">
            <v>-0.31</v>
          </cell>
        </row>
        <row r="1087">
          <cell r="A1087" t="str">
            <v>LU2259111180</v>
          </cell>
          <cell r="B1087" t="str">
            <v>AMUNDI FUNDS OPTIMAL YIELD</v>
          </cell>
          <cell r="C1087" t="str">
            <v>Class A2 EUR (C)</v>
          </cell>
          <cell r="D1087" t="str">
            <v>EUR</v>
          </cell>
          <cell r="E1087">
            <v>45747</v>
          </cell>
          <cell r="F1087">
            <v>5232.24</v>
          </cell>
          <cell r="G1087">
            <v>100</v>
          </cell>
          <cell r="H1087">
            <v>52.32</v>
          </cell>
          <cell r="I1087">
            <v>0</v>
          </cell>
          <cell r="J1087">
            <v>54.67</v>
          </cell>
          <cell r="K1087">
            <v>-0.15</v>
          </cell>
        </row>
        <row r="1088">
          <cell r="A1088" t="str">
            <v>LU1883337021</v>
          </cell>
          <cell r="B1088" t="str">
            <v>AMUNDI FUNDS OPTIMAL YIELD</v>
          </cell>
          <cell r="C1088" t="str">
            <v>Class A USD Hgd MTD (D)</v>
          </cell>
          <cell r="D1088" t="str">
            <v>USD</v>
          </cell>
          <cell r="E1088">
            <v>45747</v>
          </cell>
          <cell r="F1088">
            <v>146743.24</v>
          </cell>
          <cell r="G1088">
            <v>2021.9870000000001</v>
          </cell>
          <cell r="H1088">
            <v>72.569999999999993</v>
          </cell>
          <cell r="I1088">
            <v>0</v>
          </cell>
          <cell r="J1088">
            <v>75.47</v>
          </cell>
          <cell r="K1088">
            <v>-0.2</v>
          </cell>
        </row>
        <row r="1089">
          <cell r="A1089" t="str">
            <v>LU1883336726</v>
          </cell>
          <cell r="B1089" t="str">
            <v>AMUNDI FUNDS OPTIMAL YIELD</v>
          </cell>
          <cell r="C1089" t="str">
            <v>Class A SEK Hgd (C)</v>
          </cell>
          <cell r="D1089" t="str">
            <v>SEK</v>
          </cell>
          <cell r="E1089">
            <v>45747</v>
          </cell>
          <cell r="F1089">
            <v>614549.14</v>
          </cell>
          <cell r="G1089">
            <v>500</v>
          </cell>
          <cell r="H1089">
            <v>1229.0999999999999</v>
          </cell>
          <cell r="I1089">
            <v>0</v>
          </cell>
          <cell r="J1089">
            <v>1278.26</v>
          </cell>
          <cell r="K1089">
            <v>-3.37</v>
          </cell>
        </row>
        <row r="1090">
          <cell r="A1090" t="str">
            <v>LU1883336999</v>
          </cell>
          <cell r="B1090" t="str">
            <v>AMUNDI FUNDS OPTIMAL YIELD</v>
          </cell>
          <cell r="C1090" t="str">
            <v>Class A USD Hgd (C)</v>
          </cell>
          <cell r="D1090" t="str">
            <v>USD</v>
          </cell>
          <cell r="E1090">
            <v>45747</v>
          </cell>
          <cell r="F1090">
            <v>2507138.4300000002</v>
          </cell>
          <cell r="G1090">
            <v>23585.699000000001</v>
          </cell>
          <cell r="H1090">
            <v>106.3</v>
          </cell>
          <cell r="I1090">
            <v>0</v>
          </cell>
          <cell r="J1090">
            <v>110.55</v>
          </cell>
          <cell r="K1090">
            <v>-0.28000000000000003</v>
          </cell>
        </row>
        <row r="1091">
          <cell r="A1091" t="str">
            <v>LU1883338003</v>
          </cell>
          <cell r="B1091" t="str">
            <v>AMUNDI FUNDS OPTIMAL YIELD</v>
          </cell>
          <cell r="C1091" t="str">
            <v>Class M2 EUR (C)</v>
          </cell>
          <cell r="D1091" t="str">
            <v>EUR</v>
          </cell>
          <cell r="E1091">
            <v>45747</v>
          </cell>
          <cell r="F1091">
            <v>9940688.3900000006</v>
          </cell>
          <cell r="G1091">
            <v>3981.9780000000001</v>
          </cell>
          <cell r="H1091">
            <v>2496.42</v>
          </cell>
          <cell r="I1091">
            <v>0</v>
          </cell>
          <cell r="J1091">
            <v>2496.42</v>
          </cell>
          <cell r="K1091">
            <v>-6.64</v>
          </cell>
        </row>
        <row r="1092">
          <cell r="A1092" t="str">
            <v>LU1883337294</v>
          </cell>
          <cell r="B1092" t="str">
            <v>AMUNDI FUNDS OPTIMAL YIELD</v>
          </cell>
          <cell r="C1092" t="str">
            <v>Class C EUR (C)</v>
          </cell>
          <cell r="D1092" t="str">
            <v>EUR</v>
          </cell>
          <cell r="E1092">
            <v>45747</v>
          </cell>
          <cell r="F1092">
            <v>160.61000000000001</v>
          </cell>
          <cell r="G1092">
            <v>2.1120000000000001</v>
          </cell>
          <cell r="H1092">
            <v>76.05</v>
          </cell>
          <cell r="I1092">
            <v>0</v>
          </cell>
          <cell r="J1092">
            <v>76.05</v>
          </cell>
          <cell r="K1092">
            <v>-0.21</v>
          </cell>
        </row>
        <row r="1093">
          <cell r="A1093" t="str">
            <v>LU1883337377</v>
          </cell>
          <cell r="B1093" t="str">
            <v>AMUNDI FUNDS OPTIMAL YIELD</v>
          </cell>
          <cell r="C1093" t="str">
            <v>Class E2 EUR (C)</v>
          </cell>
          <cell r="D1093" t="str">
            <v>EUR</v>
          </cell>
          <cell r="E1093">
            <v>45747</v>
          </cell>
          <cell r="F1093">
            <v>50612138.5</v>
          </cell>
          <cell r="G1093">
            <v>4132692.2489999998</v>
          </cell>
          <cell r="H1093">
            <v>12.247</v>
          </cell>
          <cell r="I1093">
            <v>0</v>
          </cell>
          <cell r="J1093">
            <v>12.247</v>
          </cell>
          <cell r="K1093">
            <v>-3.3000000000000002E-2</v>
          </cell>
        </row>
        <row r="1094">
          <cell r="A1094" t="str">
            <v>LU1883337534</v>
          </cell>
          <cell r="B1094" t="str">
            <v>AMUNDI FUNDS OPTIMAL YIELD</v>
          </cell>
          <cell r="C1094" t="str">
            <v>Class F EUR (C)</v>
          </cell>
          <cell r="D1094" t="str">
            <v>EUR</v>
          </cell>
          <cell r="E1094">
            <v>45747</v>
          </cell>
          <cell r="F1094">
            <v>18853185.579999998</v>
          </cell>
          <cell r="G1094">
            <v>1809202</v>
          </cell>
          <cell r="H1094">
            <v>10.420999999999999</v>
          </cell>
          <cell r="I1094">
            <v>0</v>
          </cell>
          <cell r="J1094">
            <v>10.420999999999999</v>
          </cell>
          <cell r="K1094">
            <v>-2.9000000000000001E-2</v>
          </cell>
        </row>
        <row r="1095">
          <cell r="A1095" t="str">
            <v>LU1883337617</v>
          </cell>
          <cell r="B1095" t="str">
            <v>AMUNDI FUNDS OPTIMAL YIELD</v>
          </cell>
          <cell r="C1095" t="str">
            <v>Class F EUR QTD (D)</v>
          </cell>
          <cell r="D1095" t="str">
            <v>EUR</v>
          </cell>
          <cell r="E1095">
            <v>45747</v>
          </cell>
          <cell r="F1095">
            <v>3710075.27</v>
          </cell>
          <cell r="G1095">
            <v>757165.87699999998</v>
          </cell>
          <cell r="H1095">
            <v>4.9000000000000004</v>
          </cell>
          <cell r="I1095">
            <v>0</v>
          </cell>
          <cell r="J1095">
            <v>4.9000000000000004</v>
          </cell>
          <cell r="K1095">
            <v>-1.2999999999999999E-2</v>
          </cell>
        </row>
        <row r="1096">
          <cell r="A1096" t="str">
            <v>LU2098276038</v>
          </cell>
          <cell r="B1096" t="str">
            <v>AMUNDI FUNDS OPTIMAL YIELD</v>
          </cell>
          <cell r="C1096" t="str">
            <v>Class H EUR (C)</v>
          </cell>
          <cell r="D1096" t="str">
            <v>EUR</v>
          </cell>
          <cell r="E1096">
            <v>45747</v>
          </cell>
          <cell r="F1096">
            <v>5593.94</v>
          </cell>
          <cell r="G1096">
            <v>5</v>
          </cell>
          <cell r="H1096">
            <v>1118.79</v>
          </cell>
          <cell r="I1096">
            <v>0</v>
          </cell>
          <cell r="J1096">
            <v>1118.79</v>
          </cell>
          <cell r="K1096">
            <v>-2.93</v>
          </cell>
        </row>
        <row r="1097">
          <cell r="A1097" t="str">
            <v>LU1883337450</v>
          </cell>
          <cell r="B1097" t="str">
            <v>AMUNDI FUNDS OPTIMAL YIELD</v>
          </cell>
          <cell r="C1097" t="str">
            <v>Class E2 EUR QTD (D)</v>
          </cell>
          <cell r="D1097" t="str">
            <v>EUR</v>
          </cell>
          <cell r="E1097">
            <v>45747</v>
          </cell>
          <cell r="F1097">
            <v>20236824.809999999</v>
          </cell>
          <cell r="G1097">
            <v>3636377.3939999999</v>
          </cell>
          <cell r="H1097">
            <v>5.5650000000000004</v>
          </cell>
          <cell r="I1097">
            <v>0</v>
          </cell>
          <cell r="J1097">
            <v>5.5650000000000004</v>
          </cell>
          <cell r="K1097">
            <v>-1.4999999999999999E-2</v>
          </cell>
        </row>
        <row r="1098">
          <cell r="A1098" t="str">
            <v>LU1883337708</v>
          </cell>
          <cell r="B1098" t="str">
            <v>AMUNDI FUNDS OPTIMAL YIELD</v>
          </cell>
          <cell r="C1098" t="str">
            <v>Class I2 EUR (C)</v>
          </cell>
          <cell r="D1098" t="str">
            <v>EUR</v>
          </cell>
          <cell r="E1098">
            <v>45747</v>
          </cell>
          <cell r="F1098">
            <v>46842914.090000004</v>
          </cell>
          <cell r="G1098">
            <v>19963.493999999999</v>
          </cell>
          <cell r="H1098">
            <v>2346.4299999999998</v>
          </cell>
          <cell r="I1098">
            <v>0</v>
          </cell>
          <cell r="J1098">
            <v>2346.4299999999998</v>
          </cell>
          <cell r="K1098">
            <v>-6.24</v>
          </cell>
        </row>
        <row r="1099">
          <cell r="A1099" t="str">
            <v>LU1894680088</v>
          </cell>
          <cell r="B1099" t="str">
            <v>AMUNDI FUNDS OPTIMAL YIELD</v>
          </cell>
          <cell r="C1099" t="str">
            <v>Class G EUR QD (D)</v>
          </cell>
          <cell r="D1099" t="str">
            <v>EUR</v>
          </cell>
          <cell r="E1099">
            <v>45747</v>
          </cell>
          <cell r="F1099">
            <v>742760.36</v>
          </cell>
          <cell r="G1099">
            <v>162884.429</v>
          </cell>
          <cell r="H1099">
            <v>4.5599999999999996</v>
          </cell>
          <cell r="I1099">
            <v>4.1138000000000001E-2</v>
          </cell>
          <cell r="J1099">
            <v>4.5599999999999996</v>
          </cell>
          <cell r="K1099">
            <v>-5.3999999999999999E-2</v>
          </cell>
        </row>
        <row r="1100">
          <cell r="A1100" t="str">
            <v>LU1883338342</v>
          </cell>
          <cell r="B1100" t="str">
            <v>AMUNDI FUNDS OPTIMAL YIELD</v>
          </cell>
          <cell r="C1100" t="str">
            <v>Class R2 EUR AD (D)</v>
          </cell>
          <cell r="D1100" t="str">
            <v>EUR</v>
          </cell>
          <cell r="E1100">
            <v>45747</v>
          </cell>
          <cell r="F1100">
            <v>30973.13</v>
          </cell>
          <cell r="G1100">
            <v>660.01</v>
          </cell>
          <cell r="H1100">
            <v>46.93</v>
          </cell>
          <cell r="I1100">
            <v>0</v>
          </cell>
          <cell r="J1100">
            <v>46.93</v>
          </cell>
          <cell r="K1100">
            <v>-0.12</v>
          </cell>
        </row>
        <row r="1101">
          <cell r="A1101" t="str">
            <v>LU1883338268</v>
          </cell>
          <cell r="B1101" t="str">
            <v>AMUNDI FUNDS OPTIMAL YIELD</v>
          </cell>
          <cell r="C1101" t="str">
            <v>Class R2 EUR (C)</v>
          </cell>
          <cell r="D1101" t="str">
            <v>EUR</v>
          </cell>
          <cell r="E1101">
            <v>45747</v>
          </cell>
          <cell r="F1101">
            <v>277160.78999999998</v>
          </cell>
          <cell r="G1101">
            <v>4160.62</v>
          </cell>
          <cell r="H1101">
            <v>66.62</v>
          </cell>
          <cell r="I1101">
            <v>0</v>
          </cell>
          <cell r="J1101">
            <v>66.62</v>
          </cell>
          <cell r="K1101">
            <v>-0.17</v>
          </cell>
        </row>
        <row r="1102">
          <cell r="A1102" t="str">
            <v>LU1883338425</v>
          </cell>
          <cell r="B1102" t="str">
            <v>AMUNDI FUNDS OPTIMAL YIELD</v>
          </cell>
          <cell r="C1102" t="str">
            <v>Class R2 GBP (C)</v>
          </cell>
          <cell r="D1102" t="str">
            <v>GBP</v>
          </cell>
          <cell r="E1102">
            <v>45747</v>
          </cell>
          <cell r="F1102">
            <v>144835.76999999999</v>
          </cell>
          <cell r="G1102">
            <v>1669.1790000000001</v>
          </cell>
          <cell r="H1102">
            <v>86.77</v>
          </cell>
          <cell r="I1102">
            <v>0</v>
          </cell>
          <cell r="J1102">
            <v>86.77</v>
          </cell>
          <cell r="K1102">
            <v>-0.18</v>
          </cell>
        </row>
        <row r="1103">
          <cell r="A1103" t="str">
            <v>LU2176991185</v>
          </cell>
          <cell r="B1103" t="str">
            <v>AMUNDI FUNDS OPTIMAL YIELD</v>
          </cell>
          <cell r="C1103" t="str">
            <v>Class G EUR (C)</v>
          </cell>
          <cell r="D1103" t="str">
            <v>EUR</v>
          </cell>
          <cell r="E1103">
            <v>45747</v>
          </cell>
          <cell r="F1103">
            <v>410381.05</v>
          </cell>
          <cell r="G1103">
            <v>73507.091</v>
          </cell>
          <cell r="H1103">
            <v>5.5830000000000002</v>
          </cell>
          <cell r="I1103">
            <v>0</v>
          </cell>
          <cell r="J1103">
            <v>5.5830000000000002</v>
          </cell>
          <cell r="K1103">
            <v>-1.4999999999999999E-2</v>
          </cell>
        </row>
        <row r="1104">
          <cell r="A1104" t="str">
            <v>LU1882476010</v>
          </cell>
          <cell r="B1104" t="str">
            <v>AMUNDI FUNDS STRATEGIC BOND</v>
          </cell>
          <cell r="C1104" t="str">
            <v>Class A EUR AD (D)</v>
          </cell>
          <cell r="D1104" t="str">
            <v>EUR</v>
          </cell>
          <cell r="E1104">
            <v>45747</v>
          </cell>
          <cell r="F1104">
            <v>6228713.5</v>
          </cell>
          <cell r="G1104">
            <v>162314.04500000001</v>
          </cell>
          <cell r="H1104">
            <v>38.369999999999997</v>
          </cell>
          <cell r="I1104">
            <v>0</v>
          </cell>
          <cell r="J1104">
            <v>39.520000000000003</v>
          </cell>
          <cell r="K1104">
            <v>-0.1</v>
          </cell>
        </row>
        <row r="1105">
          <cell r="A1105" t="str">
            <v>LU1882475988</v>
          </cell>
          <cell r="B1105" t="str">
            <v>AMUNDI FUNDS STRATEGIC BOND</v>
          </cell>
          <cell r="C1105" t="str">
            <v>Class A EUR (C)</v>
          </cell>
          <cell r="D1105" t="str">
            <v>EUR</v>
          </cell>
          <cell r="E1105">
            <v>45747</v>
          </cell>
          <cell r="F1105">
            <v>37099874.130000003</v>
          </cell>
          <cell r="G1105">
            <v>347846.283</v>
          </cell>
          <cell r="H1105">
            <v>106.66</v>
          </cell>
          <cell r="I1105">
            <v>0</v>
          </cell>
          <cell r="J1105">
            <v>109.86</v>
          </cell>
          <cell r="K1105">
            <v>-0.25</v>
          </cell>
        </row>
        <row r="1106">
          <cell r="A1106" t="str">
            <v>LU1882475806</v>
          </cell>
          <cell r="B1106" t="str">
            <v>AMUNDI FUNDS STRATEGIC BOND</v>
          </cell>
          <cell r="C1106" t="str">
            <v>Class A CZK Hgd (C)</v>
          </cell>
          <cell r="D1106" t="str">
            <v>CZK</v>
          </cell>
          <cell r="E1106">
            <v>45747</v>
          </cell>
          <cell r="F1106">
            <v>1139776344.29</v>
          </cell>
          <cell r="G1106">
            <v>625079.68599999999</v>
          </cell>
          <cell r="H1106">
            <v>1823.41</v>
          </cell>
          <cell r="I1106">
            <v>0</v>
          </cell>
          <cell r="J1106">
            <v>1878.11</v>
          </cell>
          <cell r="K1106">
            <v>-4.34</v>
          </cell>
        </row>
        <row r="1107">
          <cell r="A1107" t="str">
            <v>LU1883302827</v>
          </cell>
          <cell r="B1107" t="str">
            <v>AMUNDI FUNDS STRATEGIC BOND</v>
          </cell>
          <cell r="C1107" t="str">
            <v>Class M2 EUR (C)</v>
          </cell>
          <cell r="D1107" t="str">
            <v>EUR</v>
          </cell>
          <cell r="E1107">
            <v>45747</v>
          </cell>
          <cell r="F1107">
            <v>21024796.16</v>
          </cell>
          <cell r="G1107">
            <v>9747.991</v>
          </cell>
          <cell r="H1107">
            <v>2156.83</v>
          </cell>
          <cell r="I1107">
            <v>0</v>
          </cell>
          <cell r="J1107">
            <v>2156.83</v>
          </cell>
          <cell r="K1107">
            <v>-5.05</v>
          </cell>
        </row>
        <row r="1108">
          <cell r="A1108" t="str">
            <v>LU1883303049</v>
          </cell>
          <cell r="B1108" t="str">
            <v>AMUNDI FUNDS STRATEGIC BOND</v>
          </cell>
          <cell r="C1108" t="str">
            <v>Class M2 EUR AD (D)</v>
          </cell>
          <cell r="D1108" t="str">
            <v>EUR</v>
          </cell>
          <cell r="E1108">
            <v>45747</v>
          </cell>
          <cell r="F1108">
            <v>300290.8</v>
          </cell>
          <cell r="G1108">
            <v>382.99</v>
          </cell>
          <cell r="H1108">
            <v>784.07</v>
          </cell>
          <cell r="I1108">
            <v>0</v>
          </cell>
          <cell r="J1108">
            <v>784.07</v>
          </cell>
          <cell r="K1108">
            <v>-1.83</v>
          </cell>
        </row>
        <row r="1109">
          <cell r="A1109" t="str">
            <v>LU1882476101</v>
          </cell>
          <cell r="B1109" t="str">
            <v>AMUNDI FUNDS STRATEGIC BOND</v>
          </cell>
          <cell r="C1109" t="str">
            <v>Class C EUR (C)</v>
          </cell>
          <cell r="D1109" t="str">
            <v>EUR</v>
          </cell>
          <cell r="E1109">
            <v>45747</v>
          </cell>
          <cell r="F1109">
            <v>1402257.25</v>
          </cell>
          <cell r="G1109">
            <v>14780.501</v>
          </cell>
          <cell r="H1109">
            <v>94.87</v>
          </cell>
          <cell r="I1109">
            <v>0</v>
          </cell>
          <cell r="J1109">
            <v>94.87</v>
          </cell>
          <cell r="K1109">
            <v>-0.24</v>
          </cell>
        </row>
        <row r="1110">
          <cell r="A1110" t="str">
            <v>LU1882476283</v>
          </cell>
          <cell r="B1110" t="str">
            <v>AMUNDI FUNDS STRATEGIC BOND</v>
          </cell>
          <cell r="C1110" t="str">
            <v>Class E2 EUR (C)</v>
          </cell>
          <cell r="D1110" t="str">
            <v>EUR</v>
          </cell>
          <cell r="E1110">
            <v>45747</v>
          </cell>
          <cell r="F1110">
            <v>135998772.36000001</v>
          </cell>
          <cell r="G1110">
            <v>11473990.039999999</v>
          </cell>
          <cell r="H1110">
            <v>11.853</v>
          </cell>
          <cell r="I1110">
            <v>0</v>
          </cell>
          <cell r="J1110">
            <v>11.853</v>
          </cell>
          <cell r="K1110">
            <v>-2.8000000000000001E-2</v>
          </cell>
        </row>
        <row r="1111">
          <cell r="A1111" t="str">
            <v>LU1882476366</v>
          </cell>
          <cell r="B1111" t="str">
            <v>AMUNDI FUNDS STRATEGIC BOND</v>
          </cell>
          <cell r="C1111" t="str">
            <v>Class E2 EUR AD (D)</v>
          </cell>
          <cell r="D1111" t="str">
            <v>EUR</v>
          </cell>
          <cell r="E1111">
            <v>45747</v>
          </cell>
          <cell r="F1111">
            <v>58335212.149999999</v>
          </cell>
          <cell r="G1111">
            <v>15568356.202</v>
          </cell>
          <cell r="H1111">
            <v>3.7469999999999999</v>
          </cell>
          <cell r="I1111">
            <v>0</v>
          </cell>
          <cell r="J1111">
            <v>3.7469999999999999</v>
          </cell>
          <cell r="K1111">
            <v>-8.9999999999999993E-3</v>
          </cell>
        </row>
        <row r="1112">
          <cell r="A1112" t="str">
            <v>LU1882476796</v>
          </cell>
          <cell r="B1112" t="str">
            <v>AMUNDI FUNDS STRATEGIC BOND</v>
          </cell>
          <cell r="C1112" t="str">
            <v>Class F EUR AD (D)</v>
          </cell>
          <cell r="D1112" t="str">
            <v>EUR</v>
          </cell>
          <cell r="E1112">
            <v>45747</v>
          </cell>
          <cell r="F1112">
            <v>9392164.7899999991</v>
          </cell>
          <cell r="G1112">
            <v>2528194.5989999999</v>
          </cell>
          <cell r="H1112">
            <v>3.7149999999999999</v>
          </cell>
          <cell r="I1112">
            <v>0</v>
          </cell>
          <cell r="J1112">
            <v>3.7149999999999999</v>
          </cell>
          <cell r="K1112">
            <v>-8.9999999999999993E-3</v>
          </cell>
        </row>
        <row r="1113">
          <cell r="A1113" t="str">
            <v>LU1882476523</v>
          </cell>
          <cell r="B1113" t="str">
            <v>AMUNDI FUNDS STRATEGIC BOND</v>
          </cell>
          <cell r="C1113" t="str">
            <v>Class F EUR (C)</v>
          </cell>
          <cell r="D1113" t="str">
            <v>EUR</v>
          </cell>
          <cell r="E1113">
            <v>45747</v>
          </cell>
          <cell r="F1113">
            <v>55639724.350000001</v>
          </cell>
          <cell r="G1113">
            <v>5832718.3660000004</v>
          </cell>
          <cell r="H1113">
            <v>9.5389999999999997</v>
          </cell>
          <cell r="I1113">
            <v>0</v>
          </cell>
          <cell r="J1113">
            <v>9.5389999999999997</v>
          </cell>
          <cell r="K1113">
            <v>-2.3E-2</v>
          </cell>
        </row>
        <row r="1114">
          <cell r="A1114" t="str">
            <v>LU1882476879</v>
          </cell>
          <cell r="B1114" t="str">
            <v>AMUNDI FUNDS STRATEGIC BOND</v>
          </cell>
          <cell r="C1114" t="str">
            <v>Class F EUR QTD (D)</v>
          </cell>
          <cell r="D1114" t="str">
            <v>EUR</v>
          </cell>
          <cell r="E1114">
            <v>45747</v>
          </cell>
          <cell r="F1114">
            <v>17466361.550000001</v>
          </cell>
          <cell r="G1114">
            <v>3887960.0970000001</v>
          </cell>
          <cell r="H1114">
            <v>4.492</v>
          </cell>
          <cell r="I1114">
            <v>0</v>
          </cell>
          <cell r="J1114">
            <v>4.492</v>
          </cell>
          <cell r="K1114">
            <v>-1.0999999999999999E-2</v>
          </cell>
        </row>
        <row r="1115">
          <cell r="A1115" t="str">
            <v>LU1883302744</v>
          </cell>
          <cell r="B1115" t="str">
            <v>AMUNDI FUNDS STRATEGIC BOND</v>
          </cell>
          <cell r="C1115" t="str">
            <v>Class I2 EUR QD (D)</v>
          </cell>
          <cell r="D1115" t="str">
            <v>EUR</v>
          </cell>
          <cell r="E1115">
            <v>45747</v>
          </cell>
          <cell r="F1115">
            <v>5402301.9100000001</v>
          </cell>
          <cell r="G1115">
            <v>7539.1220000000003</v>
          </cell>
          <cell r="H1115">
            <v>716.57</v>
          </cell>
          <cell r="I1115">
            <v>11.851680999999999</v>
          </cell>
          <cell r="J1115">
            <v>716.57</v>
          </cell>
          <cell r="K1115">
            <v>-13.56</v>
          </cell>
        </row>
        <row r="1116">
          <cell r="A1116" t="str">
            <v>LU1882476440</v>
          </cell>
          <cell r="B1116" t="str">
            <v>AMUNDI FUNDS STRATEGIC BOND</v>
          </cell>
          <cell r="C1116" t="str">
            <v>Class E2 EUR QTD (D)</v>
          </cell>
          <cell r="D1116" t="str">
            <v>EUR</v>
          </cell>
          <cell r="E1116">
            <v>45747</v>
          </cell>
          <cell r="F1116">
            <v>92119949.25</v>
          </cell>
          <cell r="G1116">
            <v>18851567.554000001</v>
          </cell>
          <cell r="H1116">
            <v>4.8869999999999996</v>
          </cell>
          <cell r="I1116">
            <v>0</v>
          </cell>
          <cell r="J1116">
            <v>4.8869999999999996</v>
          </cell>
          <cell r="K1116">
            <v>-1.0999999999999999E-2</v>
          </cell>
        </row>
        <row r="1117">
          <cell r="A1117" t="str">
            <v>LU1883302660</v>
          </cell>
          <cell r="B1117" t="str">
            <v>AMUNDI FUNDS STRATEGIC BOND</v>
          </cell>
          <cell r="C1117" t="str">
            <v>Class I2 EUR (C)</v>
          </cell>
          <cell r="D1117" t="str">
            <v>EUR</v>
          </cell>
          <cell r="E1117">
            <v>45747</v>
          </cell>
          <cell r="F1117">
            <v>2844927.92</v>
          </cell>
          <cell r="G1117">
            <v>22179.098999999998</v>
          </cell>
          <cell r="H1117">
            <v>128.27000000000001</v>
          </cell>
          <cell r="I1117">
            <v>0</v>
          </cell>
          <cell r="J1117">
            <v>128.27000000000001</v>
          </cell>
          <cell r="K1117">
            <v>-0.3</v>
          </cell>
        </row>
        <row r="1118">
          <cell r="A1118" t="str">
            <v>LU1894679072</v>
          </cell>
          <cell r="B1118" t="str">
            <v>AMUNDI FUNDS STRATEGIC BOND</v>
          </cell>
          <cell r="C1118" t="str">
            <v>Class G EUR AD (D)</v>
          </cell>
          <cell r="D1118" t="str">
            <v>EUR</v>
          </cell>
          <cell r="E1118">
            <v>45747</v>
          </cell>
          <cell r="F1118">
            <v>2303593.41</v>
          </cell>
          <cell r="G1118">
            <v>564984.22</v>
          </cell>
          <cell r="H1118">
            <v>4.077</v>
          </cell>
          <cell r="I1118">
            <v>0</v>
          </cell>
          <cell r="J1118">
            <v>4.077</v>
          </cell>
          <cell r="K1118">
            <v>-0.01</v>
          </cell>
        </row>
        <row r="1119">
          <cell r="A1119" t="str">
            <v>LU1894679155</v>
          </cell>
          <cell r="B1119" t="str">
            <v>AMUNDI FUNDS STRATEGIC BOND</v>
          </cell>
          <cell r="C1119" t="str">
            <v>Class G EUR QD (D)</v>
          </cell>
          <cell r="D1119" t="str">
            <v>EUR</v>
          </cell>
          <cell r="E1119">
            <v>45747</v>
          </cell>
          <cell r="F1119">
            <v>416619.57</v>
          </cell>
          <cell r="G1119">
            <v>106901.053</v>
          </cell>
          <cell r="H1119">
            <v>3.8969999999999998</v>
          </cell>
          <cell r="I1119">
            <v>5.5864999999999998E-2</v>
          </cell>
          <cell r="J1119">
            <v>3.8969999999999998</v>
          </cell>
          <cell r="K1119">
            <v>-6.6000000000000003E-2</v>
          </cell>
        </row>
        <row r="1120">
          <cell r="A1120" t="str">
            <v>LU1883303395</v>
          </cell>
          <cell r="B1120" t="str">
            <v>AMUNDI FUNDS STRATEGIC BOND</v>
          </cell>
          <cell r="C1120" t="str">
            <v>Class R2 EUR (C)</v>
          </cell>
          <cell r="D1120" t="str">
            <v>EUR</v>
          </cell>
          <cell r="E1120">
            <v>45747</v>
          </cell>
          <cell r="F1120">
            <v>224122.6</v>
          </cell>
          <cell r="G1120">
            <v>3453.9070000000002</v>
          </cell>
          <cell r="H1120">
            <v>64.89</v>
          </cell>
          <cell r="I1120">
            <v>0</v>
          </cell>
          <cell r="J1120">
            <v>64.89</v>
          </cell>
          <cell r="K1120">
            <v>-0.15</v>
          </cell>
        </row>
        <row r="1121">
          <cell r="A1121" t="str">
            <v>LU2585852598</v>
          </cell>
          <cell r="B1121" t="str">
            <v>AMUNDI FUNDS US SHORT TERM BOND</v>
          </cell>
          <cell r="C1121" t="str">
            <v>Class A2 USD MTD3 (D)</v>
          </cell>
          <cell r="D1121" t="str">
            <v>USD</v>
          </cell>
          <cell r="E1121">
            <v>45747</v>
          </cell>
          <cell r="F1121">
            <v>250027785.56</v>
          </cell>
          <cell r="G1121">
            <v>4989219.0020000003</v>
          </cell>
          <cell r="H1121">
            <v>50.11</v>
          </cell>
          <cell r="I1121">
            <v>0</v>
          </cell>
          <cell r="J1121">
            <v>50.11</v>
          </cell>
          <cell r="K1121">
            <v>0.01</v>
          </cell>
        </row>
        <row r="1122">
          <cell r="A1122" t="str">
            <v>LU2574252669</v>
          </cell>
          <cell r="B1122" t="str">
            <v>AMUNDI FUNDS US SHORT TERM BOND</v>
          </cell>
          <cell r="C1122" t="str">
            <v>Class A2 USD MD (D)</v>
          </cell>
          <cell r="D1122" t="str">
            <v>USD</v>
          </cell>
          <cell r="E1122">
            <v>45747</v>
          </cell>
          <cell r="F1122">
            <v>7183950.7000000002</v>
          </cell>
          <cell r="G1122">
            <v>141873.38099999999</v>
          </cell>
          <cell r="H1122">
            <v>50.64</v>
          </cell>
          <cell r="I1122">
            <v>0.17522199999999999</v>
          </cell>
          <cell r="J1122">
            <v>50.64</v>
          </cell>
          <cell r="K1122">
            <v>-0.16</v>
          </cell>
        </row>
        <row r="1123">
          <cell r="A1123" t="str">
            <v>LU2976322565</v>
          </cell>
          <cell r="B1123" t="str">
            <v>AMUNDI FUNDS US SHORT TERM BOND</v>
          </cell>
          <cell r="C1123" t="str">
            <v>Class A2 GBP Hgd MTD3 (D)</v>
          </cell>
          <cell r="D1123" t="str">
            <v>GBP</v>
          </cell>
          <cell r="E1123">
            <v>45747</v>
          </cell>
          <cell r="F1123">
            <v>3423678.12</v>
          </cell>
          <cell r="G1123">
            <v>68666.304999999993</v>
          </cell>
          <cell r="H1123">
            <v>49.86</v>
          </cell>
          <cell r="I1123">
            <v>0</v>
          </cell>
          <cell r="J1123">
            <v>49.86</v>
          </cell>
          <cell r="K1123">
            <v>0.02</v>
          </cell>
        </row>
        <row r="1124">
          <cell r="A1124" t="str">
            <v>LU2741907526</v>
          </cell>
          <cell r="B1124" t="str">
            <v>AMUNDI FUNDS US SHORT TERM BOND</v>
          </cell>
          <cell r="C1124" t="str">
            <v>Class A2 USD MGI (D)</v>
          </cell>
          <cell r="D1124" t="str">
            <v>USD</v>
          </cell>
          <cell r="E1124">
            <v>45747</v>
          </cell>
          <cell r="F1124">
            <v>937622.25</v>
          </cell>
          <cell r="G1124">
            <v>18715.683000000001</v>
          </cell>
          <cell r="H1124">
            <v>50.1</v>
          </cell>
          <cell r="I1124">
            <v>0</v>
          </cell>
          <cell r="J1124">
            <v>50.1</v>
          </cell>
          <cell r="K1124">
            <v>0.02</v>
          </cell>
        </row>
        <row r="1125">
          <cell r="A1125" t="str">
            <v>LU2585852671</v>
          </cell>
          <cell r="B1125" t="str">
            <v>AMUNDI FUNDS US SHORT TERM BOND</v>
          </cell>
          <cell r="C1125" t="str">
            <v>Class A2 HKD MTD3 (D)</v>
          </cell>
          <cell r="D1125" t="str">
            <v>HKD</v>
          </cell>
          <cell r="E1125">
            <v>45747</v>
          </cell>
          <cell r="F1125">
            <v>1200323880.53</v>
          </cell>
          <cell r="G1125">
            <v>24263858.280999999</v>
          </cell>
          <cell r="H1125">
            <v>49.47</v>
          </cell>
          <cell r="I1125">
            <v>0</v>
          </cell>
          <cell r="J1125">
            <v>49.47</v>
          </cell>
          <cell r="K1125">
            <v>0.03</v>
          </cell>
        </row>
        <row r="1126">
          <cell r="A1126" t="str">
            <v>LU2585852838</v>
          </cell>
          <cell r="B1126" t="str">
            <v>AMUNDI FUNDS US SHORT TERM BOND</v>
          </cell>
          <cell r="C1126" t="str">
            <v>Class A2 RMB Hgd MTD3 (D)</v>
          </cell>
          <cell r="D1126" t="str">
            <v>CNH</v>
          </cell>
          <cell r="E1126">
            <v>45747</v>
          </cell>
          <cell r="F1126">
            <v>89073801.890000001</v>
          </cell>
          <cell r="G1126">
            <v>1788007.932</v>
          </cell>
          <cell r="H1126">
            <v>49.82</v>
          </cell>
          <cell r="I1126">
            <v>0</v>
          </cell>
          <cell r="J1126">
            <v>49.82</v>
          </cell>
          <cell r="K1126">
            <v>0.01</v>
          </cell>
        </row>
        <row r="1127">
          <cell r="A1127" t="str">
            <v>LU2741907369</v>
          </cell>
          <cell r="B1127" t="str">
            <v>AMUNDI FUNDS US SHORT TERM BOND</v>
          </cell>
          <cell r="C1127" t="str">
            <v>Class A2 SGD Hgd (C)</v>
          </cell>
          <cell r="D1127" t="str">
            <v>SGD</v>
          </cell>
          <cell r="E1127">
            <v>45747</v>
          </cell>
          <cell r="F1127">
            <v>451032.92</v>
          </cell>
          <cell r="G1127">
            <v>9000</v>
          </cell>
          <cell r="H1127">
            <v>50.11</v>
          </cell>
          <cell r="I1127">
            <v>0</v>
          </cell>
          <cell r="J1127">
            <v>50.11</v>
          </cell>
          <cell r="K1127">
            <v>0.01</v>
          </cell>
        </row>
        <row r="1128">
          <cell r="A1128" t="str">
            <v>LU2585852754</v>
          </cell>
          <cell r="B1128" t="str">
            <v>AMUNDI FUNDS US SHORT TERM BOND</v>
          </cell>
          <cell r="C1128" t="str">
            <v>Class A2 AUD Hgd MTD3 (D)</v>
          </cell>
          <cell r="D1128" t="str">
            <v>AUD</v>
          </cell>
          <cell r="E1128">
            <v>45747</v>
          </cell>
          <cell r="F1128">
            <v>62025899.57</v>
          </cell>
          <cell r="G1128">
            <v>1244362.8419999999</v>
          </cell>
          <cell r="H1128">
            <v>49.85</v>
          </cell>
          <cell r="I1128">
            <v>0</v>
          </cell>
          <cell r="J1128">
            <v>49.85</v>
          </cell>
          <cell r="K1128">
            <v>0.02</v>
          </cell>
        </row>
        <row r="1129">
          <cell r="A1129" t="str">
            <v>LU2596443304</v>
          </cell>
          <cell r="B1129" t="str">
            <v>AMUNDI FUNDS US SHORT TERM BOND</v>
          </cell>
          <cell r="C1129" t="str">
            <v>Class A2 ZAR Hgd MTD3 (D)</v>
          </cell>
          <cell r="D1129" t="str">
            <v>ZAR</v>
          </cell>
          <cell r="E1129">
            <v>45747</v>
          </cell>
          <cell r="F1129">
            <v>2161322.91</v>
          </cell>
          <cell r="G1129">
            <v>2000</v>
          </cell>
          <cell r="H1129">
            <v>1080.6600000000001</v>
          </cell>
          <cell r="I1129">
            <v>0</v>
          </cell>
          <cell r="J1129">
            <v>1080.6600000000001</v>
          </cell>
          <cell r="K1129">
            <v>0.39</v>
          </cell>
        </row>
        <row r="1130">
          <cell r="A1130" t="str">
            <v>LU2596443056</v>
          </cell>
          <cell r="B1130" t="str">
            <v>AMUNDI FUNDS US SHORT TERM BOND</v>
          </cell>
          <cell r="C1130" t="str">
            <v>Class B ZAR Hgd MTD3 (D)</v>
          </cell>
          <cell r="D1130" t="str">
            <v>ZAR</v>
          </cell>
          <cell r="E1130">
            <v>45747</v>
          </cell>
          <cell r="F1130">
            <v>2116124.4</v>
          </cell>
          <cell r="G1130">
            <v>2000</v>
          </cell>
          <cell r="H1130">
            <v>1058.06</v>
          </cell>
          <cell r="I1130">
            <v>0</v>
          </cell>
          <cell r="J1130">
            <v>1058.06</v>
          </cell>
          <cell r="K1130">
            <v>0.28999999999999998</v>
          </cell>
        </row>
        <row r="1131">
          <cell r="A1131" t="str">
            <v>LU2596443130</v>
          </cell>
          <cell r="B1131" t="str">
            <v>AMUNDI FUNDS US SHORT TERM BOND</v>
          </cell>
          <cell r="C1131" t="str">
            <v>Class B USD MTD3 (D)</v>
          </cell>
          <cell r="D1131" t="str">
            <v>USD</v>
          </cell>
          <cell r="E1131">
            <v>45747</v>
          </cell>
          <cell r="F1131">
            <v>5242.55</v>
          </cell>
          <cell r="G1131">
            <v>100</v>
          </cell>
          <cell r="H1131">
            <v>52.43</v>
          </cell>
          <cell r="I1131">
            <v>0</v>
          </cell>
          <cell r="J1131">
            <v>52.43</v>
          </cell>
          <cell r="K1131">
            <v>0.02</v>
          </cell>
        </row>
        <row r="1132">
          <cell r="A1132" t="str">
            <v>LU1882443432</v>
          </cell>
          <cell r="B1132" t="str">
            <v>AMUNDI FUNDS US SHORT TERM BOND</v>
          </cell>
          <cell r="C1132" t="str">
            <v>Class M2 EUR (C)</v>
          </cell>
          <cell r="D1132" t="str">
            <v>EUR</v>
          </cell>
          <cell r="E1132">
            <v>45747</v>
          </cell>
          <cell r="F1132">
            <v>7634262.9699999997</v>
          </cell>
          <cell r="G1132">
            <v>3847.2249999999999</v>
          </cell>
          <cell r="H1132">
            <v>1984.36</v>
          </cell>
          <cell r="I1132">
            <v>0</v>
          </cell>
          <cell r="J1132">
            <v>1984.36</v>
          </cell>
          <cell r="K1132">
            <v>4.46</v>
          </cell>
        </row>
        <row r="1133">
          <cell r="A1133" t="str">
            <v>LU1882442467</v>
          </cell>
          <cell r="B1133" t="str">
            <v>AMUNDI FUNDS US SHORT TERM BOND</v>
          </cell>
          <cell r="C1133" t="str">
            <v>Class B USD (C)</v>
          </cell>
          <cell r="D1133" t="str">
            <v>USD</v>
          </cell>
          <cell r="E1133">
            <v>45747</v>
          </cell>
          <cell r="F1133">
            <v>7497026.2699999996</v>
          </cell>
          <cell r="G1133">
            <v>1283740.0009999999</v>
          </cell>
          <cell r="H1133">
            <v>5.84</v>
          </cell>
          <cell r="I1133">
            <v>0</v>
          </cell>
          <cell r="J1133">
            <v>5.84</v>
          </cell>
          <cell r="K1133">
            <v>0</v>
          </cell>
        </row>
        <row r="1134">
          <cell r="A1134" t="str">
            <v>LU1882442541</v>
          </cell>
          <cell r="B1134" t="str">
            <v>AMUNDI FUNDS US SHORT TERM BOND</v>
          </cell>
          <cell r="C1134" t="str">
            <v>Class C EUR (C)</v>
          </cell>
          <cell r="D1134" t="str">
            <v>EUR</v>
          </cell>
          <cell r="E1134">
            <v>45747</v>
          </cell>
          <cell r="F1134">
            <v>1639588.59</v>
          </cell>
          <cell r="G1134">
            <v>284129.57699999999</v>
          </cell>
          <cell r="H1134">
            <v>5.77</v>
          </cell>
          <cell r="I1134">
            <v>0</v>
          </cell>
          <cell r="J1134">
            <v>5.77</v>
          </cell>
          <cell r="K1134">
            <v>0.01</v>
          </cell>
        </row>
        <row r="1135">
          <cell r="A1135" t="str">
            <v>LU1882442897</v>
          </cell>
          <cell r="B1135" t="str">
            <v>AMUNDI FUNDS US SHORT TERM BOND</v>
          </cell>
          <cell r="C1135" t="str">
            <v>Class C USD (C)</v>
          </cell>
          <cell r="D1135" t="str">
            <v>USD</v>
          </cell>
          <cell r="E1135">
            <v>45747</v>
          </cell>
          <cell r="F1135">
            <v>13035422.060000001</v>
          </cell>
          <cell r="G1135">
            <v>2091509.763</v>
          </cell>
          <cell r="H1135">
            <v>6.23</v>
          </cell>
          <cell r="I1135">
            <v>0</v>
          </cell>
          <cell r="J1135">
            <v>6.23</v>
          </cell>
          <cell r="K1135">
            <v>0</v>
          </cell>
        </row>
        <row r="1136">
          <cell r="A1136" t="str">
            <v>LU1882442970</v>
          </cell>
          <cell r="B1136" t="str">
            <v>AMUNDI FUNDS US SHORT TERM BOND</v>
          </cell>
          <cell r="C1136" t="str">
            <v>Class C USD MTD (D)</v>
          </cell>
          <cell r="D1136" t="str">
            <v>USD</v>
          </cell>
          <cell r="E1136">
            <v>45747</v>
          </cell>
          <cell r="F1136">
            <v>1138442.26</v>
          </cell>
          <cell r="G1136">
            <v>242222.82199999999</v>
          </cell>
          <cell r="H1136">
            <v>4.7</v>
          </cell>
          <cell r="I1136">
            <v>0</v>
          </cell>
          <cell r="J1136">
            <v>4.7</v>
          </cell>
          <cell r="K1136">
            <v>0</v>
          </cell>
        </row>
        <row r="1137">
          <cell r="A1137" t="str">
            <v>LU1882442202</v>
          </cell>
          <cell r="B1137" t="str">
            <v>AMUNDI FUNDS US SHORT TERM BOND</v>
          </cell>
          <cell r="C1137" t="str">
            <v>Class A2 USD MTD (D)</v>
          </cell>
          <cell r="D1137" t="str">
            <v>USD</v>
          </cell>
          <cell r="E1137">
            <v>45747</v>
          </cell>
          <cell r="F1137">
            <v>24513451.120000001</v>
          </cell>
          <cell r="G1137">
            <v>4692023.091</v>
          </cell>
          <cell r="H1137">
            <v>5.22</v>
          </cell>
          <cell r="I1137">
            <v>0</v>
          </cell>
          <cell r="J1137">
            <v>5.32</v>
          </cell>
          <cell r="K1137">
            <v>0</v>
          </cell>
        </row>
        <row r="1138">
          <cell r="A1138" t="str">
            <v>LU1882441816</v>
          </cell>
          <cell r="B1138" t="str">
            <v>AMUNDI FUNDS US SHORT TERM BOND</v>
          </cell>
          <cell r="C1138" t="str">
            <v>Class A2 EUR (C)</v>
          </cell>
          <cell r="D1138" t="str">
            <v>EUR</v>
          </cell>
          <cell r="E1138">
            <v>45747</v>
          </cell>
          <cell r="F1138">
            <v>23023420.890000001</v>
          </cell>
          <cell r="G1138">
            <v>3125024.0559999999</v>
          </cell>
          <cell r="H1138">
            <v>7.37</v>
          </cell>
          <cell r="I1138">
            <v>0</v>
          </cell>
          <cell r="J1138">
            <v>7.52</v>
          </cell>
          <cell r="K1138">
            <v>0.02</v>
          </cell>
        </row>
        <row r="1139">
          <cell r="A1139" t="str">
            <v>LU1882443192</v>
          </cell>
          <cell r="B1139" t="str">
            <v>AMUNDI FUNDS US SHORT TERM BOND</v>
          </cell>
          <cell r="C1139" t="str">
            <v>Class E2 EUR (C)</v>
          </cell>
          <cell r="D1139" t="str">
            <v>EUR</v>
          </cell>
          <cell r="E1139">
            <v>45747</v>
          </cell>
          <cell r="F1139">
            <v>23317318.84</v>
          </cell>
          <cell r="G1139">
            <v>3071106.8930000002</v>
          </cell>
          <cell r="H1139">
            <v>7.5919999999999996</v>
          </cell>
          <cell r="I1139">
            <v>0</v>
          </cell>
          <cell r="J1139">
            <v>7.5919999999999996</v>
          </cell>
          <cell r="K1139">
            <v>1.6E-2</v>
          </cell>
        </row>
        <row r="1140">
          <cell r="A1140" t="str">
            <v>LU1882443275</v>
          </cell>
          <cell r="B1140" t="str">
            <v>AMUNDI FUNDS US SHORT TERM BOND</v>
          </cell>
          <cell r="C1140" t="str">
            <v>Class F EUR (C)</v>
          </cell>
          <cell r="D1140" t="str">
            <v>EUR</v>
          </cell>
          <cell r="E1140">
            <v>45747</v>
          </cell>
          <cell r="F1140">
            <v>13786076.25</v>
          </cell>
          <cell r="G1140">
            <v>1987606.523</v>
          </cell>
          <cell r="H1140">
            <v>6.9359999999999999</v>
          </cell>
          <cell r="I1140">
            <v>0</v>
          </cell>
          <cell r="J1140">
            <v>6.9359999999999999</v>
          </cell>
          <cell r="K1140">
            <v>1.4999999999999999E-2</v>
          </cell>
        </row>
        <row r="1141">
          <cell r="A1141" t="str">
            <v>LU1882443358</v>
          </cell>
          <cell r="B1141" t="str">
            <v>AMUNDI FUNDS US SHORT TERM BOND</v>
          </cell>
          <cell r="C1141" t="str">
            <v>Class I2 USD (C)</v>
          </cell>
          <cell r="D1141" t="str">
            <v>USD</v>
          </cell>
          <cell r="E1141">
            <v>45747</v>
          </cell>
          <cell r="F1141">
            <v>187654486.16999999</v>
          </cell>
          <cell r="G1141">
            <v>78204.562999999995</v>
          </cell>
          <cell r="H1141">
            <v>2399.5300000000002</v>
          </cell>
          <cell r="I1141">
            <v>0</v>
          </cell>
          <cell r="J1141">
            <v>2399.5300000000002</v>
          </cell>
          <cell r="K1141">
            <v>0.74</v>
          </cell>
        </row>
        <row r="1142">
          <cell r="A1142" t="str">
            <v>LU2085676596</v>
          </cell>
          <cell r="B1142" t="str">
            <v>AMUNDI FUNDS US SHORT TERM BOND</v>
          </cell>
          <cell r="C1142" t="str">
            <v>Class G EUR (C)</v>
          </cell>
          <cell r="D1142" t="str">
            <v>EUR</v>
          </cell>
          <cell r="E1142">
            <v>45747</v>
          </cell>
          <cell r="F1142">
            <v>3097969.41</v>
          </cell>
          <cell r="G1142">
            <v>525985.82999999996</v>
          </cell>
          <cell r="H1142">
            <v>5.89</v>
          </cell>
          <cell r="I1142">
            <v>0</v>
          </cell>
          <cell r="J1142">
            <v>5.89</v>
          </cell>
          <cell r="K1142">
            <v>1.4E-2</v>
          </cell>
        </row>
        <row r="1143">
          <cell r="A1143" t="str">
            <v>LU1882443861</v>
          </cell>
          <cell r="B1143" t="str">
            <v>AMUNDI FUNDS US SHORT TERM BOND</v>
          </cell>
          <cell r="C1143" t="str">
            <v>Class T USD (C)</v>
          </cell>
          <cell r="D1143" t="str">
            <v>USD</v>
          </cell>
          <cell r="E1143">
            <v>45747</v>
          </cell>
          <cell r="F1143">
            <v>10526549.59</v>
          </cell>
          <cell r="G1143">
            <v>190887.82699999999</v>
          </cell>
          <cell r="H1143">
            <v>55.15</v>
          </cell>
          <cell r="I1143">
            <v>0</v>
          </cell>
          <cell r="J1143">
            <v>55.15</v>
          </cell>
          <cell r="K1143">
            <v>0.02</v>
          </cell>
        </row>
        <row r="1144">
          <cell r="A1144" t="str">
            <v>LU1882443606</v>
          </cell>
          <cell r="B1144" t="str">
            <v>AMUNDI FUNDS US SHORT TERM BOND</v>
          </cell>
          <cell r="C1144" t="str">
            <v>Class R2 EUR (C)</v>
          </cell>
          <cell r="D1144" t="str">
            <v>EUR</v>
          </cell>
          <cell r="E1144">
            <v>45747</v>
          </cell>
          <cell r="F1144">
            <v>745312.92</v>
          </cell>
          <cell r="G1144">
            <v>13051.64</v>
          </cell>
          <cell r="H1144">
            <v>57.1</v>
          </cell>
          <cell r="I1144">
            <v>0</v>
          </cell>
          <cell r="J1144">
            <v>57.1</v>
          </cell>
          <cell r="K1144">
            <v>0.12</v>
          </cell>
        </row>
        <row r="1145">
          <cell r="A1145" t="str">
            <v>LU1882441907</v>
          </cell>
          <cell r="B1145" t="str">
            <v>AMUNDI FUNDS US SHORT TERM BOND</v>
          </cell>
          <cell r="C1145" t="str">
            <v>Class A2 USD (C)</v>
          </cell>
          <cell r="D1145" t="str">
            <v>USD</v>
          </cell>
          <cell r="E1145">
            <v>45747</v>
          </cell>
          <cell r="F1145">
            <v>455105416.05000001</v>
          </cell>
          <cell r="G1145">
            <v>57210517.291000001</v>
          </cell>
          <cell r="H1145">
            <v>7.95</v>
          </cell>
          <cell r="I1145">
            <v>0</v>
          </cell>
          <cell r="J1145">
            <v>8.11</v>
          </cell>
          <cell r="K1145">
            <v>0</v>
          </cell>
        </row>
        <row r="1146">
          <cell r="A1146" t="str">
            <v>LU1882442111</v>
          </cell>
          <cell r="B1146" t="str">
            <v>AMUNDI FUNDS US SHORT TERM BOND</v>
          </cell>
          <cell r="C1146" t="str">
            <v>Class A2 USD AD (D)</v>
          </cell>
          <cell r="D1146" t="str">
            <v>USD</v>
          </cell>
          <cell r="E1146">
            <v>45747</v>
          </cell>
          <cell r="F1146">
            <v>4280762.7</v>
          </cell>
          <cell r="G1146">
            <v>63943.798999999999</v>
          </cell>
          <cell r="H1146">
            <v>66.95</v>
          </cell>
          <cell r="I1146">
            <v>0</v>
          </cell>
          <cell r="J1146">
            <v>68.290000000000006</v>
          </cell>
          <cell r="K1146">
            <v>0.02</v>
          </cell>
        </row>
        <row r="1147">
          <cell r="A1147" t="str">
            <v>LU1882443515</v>
          </cell>
          <cell r="B1147" t="str">
            <v>AMUNDI FUNDS US SHORT TERM BOND</v>
          </cell>
          <cell r="C1147" t="str">
            <v>Class P2 USD (C)</v>
          </cell>
          <cell r="D1147" t="str">
            <v>USD</v>
          </cell>
          <cell r="E1147">
            <v>45747</v>
          </cell>
          <cell r="F1147">
            <v>30929619.010000002</v>
          </cell>
          <cell r="G1147">
            <v>497190.11900000001</v>
          </cell>
          <cell r="H1147">
            <v>62.21</v>
          </cell>
          <cell r="I1147">
            <v>0</v>
          </cell>
          <cell r="J1147">
            <v>62.21</v>
          </cell>
          <cell r="K1147">
            <v>0.02</v>
          </cell>
        </row>
        <row r="1148">
          <cell r="A1148" t="str">
            <v>LU1882443945</v>
          </cell>
          <cell r="B1148" t="str">
            <v>AMUNDI FUNDS US SHORT TERM BOND</v>
          </cell>
          <cell r="C1148" t="str">
            <v>Class U USD (C)</v>
          </cell>
          <cell r="D1148" t="str">
            <v>USD</v>
          </cell>
          <cell r="E1148">
            <v>45747</v>
          </cell>
          <cell r="F1148">
            <v>28141976.02</v>
          </cell>
          <cell r="G1148">
            <v>512044.73</v>
          </cell>
          <cell r="H1148">
            <v>54.96</v>
          </cell>
          <cell r="I1148">
            <v>0</v>
          </cell>
          <cell r="J1148">
            <v>54.96</v>
          </cell>
          <cell r="K1148">
            <v>0.01</v>
          </cell>
        </row>
        <row r="1149">
          <cell r="A1149" t="str">
            <v>LU1882443788</v>
          </cell>
          <cell r="B1149" t="str">
            <v>AMUNDI FUNDS US SHORT TERM BOND</v>
          </cell>
          <cell r="C1149" t="str">
            <v>Class R2 USD (C)</v>
          </cell>
          <cell r="D1149" t="str">
            <v>USD</v>
          </cell>
          <cell r="E1149">
            <v>45747</v>
          </cell>
          <cell r="F1149">
            <v>7281382.9400000004</v>
          </cell>
          <cell r="G1149">
            <v>117925.136</v>
          </cell>
          <cell r="H1149">
            <v>61.75</v>
          </cell>
          <cell r="I1149">
            <v>0</v>
          </cell>
          <cell r="J1149">
            <v>61.75</v>
          </cell>
          <cell r="K1149">
            <v>0.02</v>
          </cell>
        </row>
        <row r="1150">
          <cell r="A1150" t="str">
            <v>LU2596442918</v>
          </cell>
          <cell r="B1150" t="str">
            <v>AMUNDI FUNDS US SHORT TERM BOND</v>
          </cell>
          <cell r="C1150" t="str">
            <v>Class U USD MTD3 (D)</v>
          </cell>
          <cell r="D1150" t="str">
            <v>USD</v>
          </cell>
          <cell r="E1150">
            <v>45747</v>
          </cell>
          <cell r="F1150">
            <v>5242.55</v>
          </cell>
          <cell r="G1150">
            <v>100</v>
          </cell>
          <cell r="H1150">
            <v>52.43</v>
          </cell>
          <cell r="I1150">
            <v>0</v>
          </cell>
          <cell r="J1150">
            <v>52.43</v>
          </cell>
          <cell r="K1150">
            <v>0.02</v>
          </cell>
        </row>
        <row r="1151">
          <cell r="A1151" t="str">
            <v>LU2596442835</v>
          </cell>
          <cell r="B1151" t="str">
            <v>AMUNDI FUNDS US SHORT TERM BOND</v>
          </cell>
          <cell r="C1151" t="str">
            <v>Class U ZAR Hgd MTD3 (D)</v>
          </cell>
          <cell r="D1151" t="str">
            <v>ZAR</v>
          </cell>
          <cell r="E1151">
            <v>45747</v>
          </cell>
          <cell r="F1151">
            <v>2116124.4</v>
          </cell>
          <cell r="G1151">
            <v>2000</v>
          </cell>
          <cell r="H1151">
            <v>1058.06</v>
          </cell>
          <cell r="I1151">
            <v>0</v>
          </cell>
          <cell r="J1151">
            <v>1058.06</v>
          </cell>
          <cell r="K1151">
            <v>0.28999999999999998</v>
          </cell>
        </row>
        <row r="1152">
          <cell r="A1152" t="str">
            <v>LU2031986552</v>
          </cell>
          <cell r="B1152" t="str">
            <v>AMUNDI FUNDS US SHORT TERM BOND</v>
          </cell>
          <cell r="C1152" t="str">
            <v>Class Z USD (C)</v>
          </cell>
          <cell r="D1152" t="str">
            <v>USD</v>
          </cell>
          <cell r="E1152">
            <v>45747</v>
          </cell>
          <cell r="F1152">
            <v>360272.84</v>
          </cell>
          <cell r="G1152">
            <v>326.64499999999998</v>
          </cell>
          <cell r="H1152">
            <v>1102.95</v>
          </cell>
          <cell r="I1152">
            <v>0</v>
          </cell>
          <cell r="J1152">
            <v>1102.95</v>
          </cell>
          <cell r="K1152">
            <v>0.42</v>
          </cell>
        </row>
        <row r="1153">
          <cell r="A1153" t="str">
            <v>LU1998917071</v>
          </cell>
          <cell r="B1153" t="str">
            <v>AMUNDI FUNDS US SHORT TERM BOND</v>
          </cell>
          <cell r="C1153" t="str">
            <v>Class H EUR (C)</v>
          </cell>
          <cell r="D1153" t="str">
            <v>EUR</v>
          </cell>
          <cell r="E1153">
            <v>45747</v>
          </cell>
          <cell r="F1153">
            <v>6184.9</v>
          </cell>
          <cell r="G1153">
            <v>5</v>
          </cell>
          <cell r="H1153">
            <v>1236.98</v>
          </cell>
          <cell r="I1153">
            <v>0</v>
          </cell>
          <cell r="J1153">
            <v>1236.98</v>
          </cell>
          <cell r="K1153">
            <v>2.79</v>
          </cell>
        </row>
        <row r="1154">
          <cell r="A1154" t="str">
            <v>LU2110860256</v>
          </cell>
          <cell r="B1154" t="str">
            <v>AMUNDI FUNDS EMERGING MARKETS BOND</v>
          </cell>
          <cell r="C1154" t="str">
            <v>Class A2 AUD Hgd MTD3 (D)</v>
          </cell>
          <cell r="D1154" t="str">
            <v>AUD</v>
          </cell>
          <cell r="E1154">
            <v>45747</v>
          </cell>
          <cell r="F1154">
            <v>116638.13</v>
          </cell>
          <cell r="G1154">
            <v>3300</v>
          </cell>
          <cell r="H1154">
            <v>35.340000000000003</v>
          </cell>
          <cell r="I1154">
            <v>0</v>
          </cell>
          <cell r="J1154">
            <v>35.340000000000003</v>
          </cell>
          <cell r="K1154">
            <v>-0.1</v>
          </cell>
        </row>
        <row r="1155">
          <cell r="A1155" t="str">
            <v>LU1882449983</v>
          </cell>
          <cell r="B1155" t="str">
            <v>AMUNDI FUNDS EMERGING MARKETS BOND</v>
          </cell>
          <cell r="C1155" t="str">
            <v>Class A EUR AD (D)</v>
          </cell>
          <cell r="D1155" t="str">
            <v>EUR</v>
          </cell>
          <cell r="E1155">
            <v>45747</v>
          </cell>
          <cell r="F1155">
            <v>61798463.259999998</v>
          </cell>
          <cell r="G1155">
            <v>1451865.1780000001</v>
          </cell>
          <cell r="H1155">
            <v>42.56</v>
          </cell>
          <cell r="I1155">
            <v>0</v>
          </cell>
          <cell r="J1155">
            <v>44.26</v>
          </cell>
          <cell r="K1155">
            <v>-0.01</v>
          </cell>
        </row>
        <row r="1156">
          <cell r="A1156" t="str">
            <v>LU1882449801</v>
          </cell>
          <cell r="B1156" t="str">
            <v>AMUNDI FUNDS EMERGING MARKETS BOND</v>
          </cell>
          <cell r="C1156" t="str">
            <v>Class A EUR (C)</v>
          </cell>
          <cell r="D1156" t="str">
            <v>EUR</v>
          </cell>
          <cell r="E1156">
            <v>45747</v>
          </cell>
          <cell r="F1156">
            <v>67451345.599999994</v>
          </cell>
          <cell r="G1156">
            <v>3428357.0469999998</v>
          </cell>
          <cell r="H1156">
            <v>19.670000000000002</v>
          </cell>
          <cell r="I1156">
            <v>0</v>
          </cell>
          <cell r="J1156">
            <v>20.46</v>
          </cell>
          <cell r="K1156">
            <v>-0.01</v>
          </cell>
        </row>
        <row r="1157">
          <cell r="A1157" t="str">
            <v>LU2070310037</v>
          </cell>
          <cell r="B1157" t="str">
            <v>AMUNDI FUNDS EMERGING MARKETS BOND</v>
          </cell>
          <cell r="C1157" t="str">
            <v>Class A2 EUR (C)</v>
          </cell>
          <cell r="D1157" t="str">
            <v>EUR</v>
          </cell>
          <cell r="E1157">
            <v>45747</v>
          </cell>
          <cell r="F1157">
            <v>5488.11</v>
          </cell>
          <cell r="G1157">
            <v>100</v>
          </cell>
          <cell r="H1157">
            <v>54.88</v>
          </cell>
          <cell r="I1157">
            <v>0</v>
          </cell>
          <cell r="J1157">
            <v>57.08</v>
          </cell>
          <cell r="K1157">
            <v>-0.03</v>
          </cell>
        </row>
        <row r="1158">
          <cell r="A1158" t="str">
            <v>LU1882449637</v>
          </cell>
          <cell r="B1158" t="str">
            <v>AMUNDI FUNDS EMERGING MARKETS BOND</v>
          </cell>
          <cell r="C1158" t="str">
            <v>Class A AUD Hgd MTD3 (D)</v>
          </cell>
          <cell r="D1158" t="str">
            <v>AUD</v>
          </cell>
          <cell r="E1158">
            <v>45747</v>
          </cell>
          <cell r="F1158">
            <v>138366920.06</v>
          </cell>
          <cell r="G1158">
            <v>7743367.5020000003</v>
          </cell>
          <cell r="H1158">
            <v>17.87</v>
          </cell>
          <cell r="I1158">
            <v>0</v>
          </cell>
          <cell r="J1158">
            <v>18.579999999999998</v>
          </cell>
          <cell r="K1158">
            <v>-0.04</v>
          </cell>
        </row>
        <row r="1159">
          <cell r="A1159" t="str">
            <v>LU1882450213</v>
          </cell>
          <cell r="B1159" t="str">
            <v>AMUNDI FUNDS EMERGING MARKETS BOND</v>
          </cell>
          <cell r="C1159" t="str">
            <v>Class A EUR MTD (D)</v>
          </cell>
          <cell r="D1159" t="str">
            <v>EUR</v>
          </cell>
          <cell r="E1159">
            <v>45747</v>
          </cell>
          <cell r="F1159">
            <v>11361051.439999999</v>
          </cell>
          <cell r="G1159">
            <v>2347353.656</v>
          </cell>
          <cell r="H1159">
            <v>4.84</v>
          </cell>
          <cell r="I1159">
            <v>0</v>
          </cell>
          <cell r="J1159">
            <v>5.03</v>
          </cell>
          <cell r="K1159">
            <v>0</v>
          </cell>
        </row>
        <row r="1160">
          <cell r="A1160" t="str">
            <v>LU2110860330</v>
          </cell>
          <cell r="B1160" t="str">
            <v>AMUNDI FUNDS EMERGING MARKETS BOND</v>
          </cell>
          <cell r="C1160" t="str">
            <v>Class A2 HKD MTD3 (D)</v>
          </cell>
          <cell r="D1160" t="str">
            <v>HKD</v>
          </cell>
          <cell r="E1160">
            <v>45747</v>
          </cell>
          <cell r="F1160">
            <v>33143.79</v>
          </cell>
          <cell r="G1160">
            <v>920</v>
          </cell>
          <cell r="H1160">
            <v>36.03</v>
          </cell>
          <cell r="I1160">
            <v>0</v>
          </cell>
          <cell r="J1160">
            <v>36.03</v>
          </cell>
          <cell r="K1160">
            <v>-7.0000000000000007E-2</v>
          </cell>
        </row>
        <row r="1161">
          <cell r="A1161" t="str">
            <v>LU1882450486</v>
          </cell>
          <cell r="B1161" t="str">
            <v>AMUNDI FUNDS EMERGING MARKETS BOND</v>
          </cell>
          <cell r="C1161" t="str">
            <v>Class A USD AD (D)</v>
          </cell>
          <cell r="D1161" t="str">
            <v>USD</v>
          </cell>
          <cell r="E1161">
            <v>45747</v>
          </cell>
          <cell r="F1161">
            <v>4014006.36</v>
          </cell>
          <cell r="G1161">
            <v>87333.027000000002</v>
          </cell>
          <cell r="H1161">
            <v>45.96</v>
          </cell>
          <cell r="I1161">
            <v>0</v>
          </cell>
          <cell r="J1161">
            <v>47.8</v>
          </cell>
          <cell r="K1161">
            <v>-0.1</v>
          </cell>
        </row>
        <row r="1162">
          <cell r="A1162" t="str">
            <v>LU1882450569</v>
          </cell>
          <cell r="B1162" t="str">
            <v>AMUNDI FUNDS EMERGING MARKETS BOND</v>
          </cell>
          <cell r="C1162" t="str">
            <v>Class A USD MTD (D)</v>
          </cell>
          <cell r="D1162" t="str">
            <v>USD</v>
          </cell>
          <cell r="E1162">
            <v>45747</v>
          </cell>
          <cell r="F1162">
            <v>54329112.049999997</v>
          </cell>
          <cell r="G1162">
            <v>10532674.688999999</v>
          </cell>
          <cell r="H1162">
            <v>5.16</v>
          </cell>
          <cell r="I1162">
            <v>0</v>
          </cell>
          <cell r="J1162">
            <v>5.37</v>
          </cell>
          <cell r="K1162">
            <v>-0.01</v>
          </cell>
        </row>
        <row r="1163">
          <cell r="A1163" t="str">
            <v>LU1882450643</v>
          </cell>
          <cell r="B1163" t="str">
            <v>AMUNDI FUNDS EMERGING MARKETS BOND</v>
          </cell>
          <cell r="C1163" t="str">
            <v>Class A USD MTD3 (D)</v>
          </cell>
          <cell r="D1163" t="str">
            <v>USD</v>
          </cell>
          <cell r="E1163">
            <v>45747</v>
          </cell>
          <cell r="F1163">
            <v>248688487.25999999</v>
          </cell>
          <cell r="G1163">
            <v>11463571.636</v>
          </cell>
          <cell r="H1163">
            <v>21.69</v>
          </cell>
          <cell r="I1163">
            <v>0</v>
          </cell>
          <cell r="J1163">
            <v>22.56</v>
          </cell>
          <cell r="K1163">
            <v>-0.05</v>
          </cell>
        </row>
        <row r="1164">
          <cell r="A1164" t="str">
            <v>LU1882450726</v>
          </cell>
          <cell r="B1164" t="str">
            <v>AMUNDI FUNDS EMERGING MARKETS BOND</v>
          </cell>
          <cell r="C1164" t="str">
            <v>Class A USD MGI (D)</v>
          </cell>
          <cell r="D1164" t="str">
            <v>USD</v>
          </cell>
          <cell r="E1164">
            <v>45747</v>
          </cell>
          <cell r="F1164">
            <v>133913980.89</v>
          </cell>
          <cell r="G1164">
            <v>3204132.898</v>
          </cell>
          <cell r="H1164">
            <v>41.79</v>
          </cell>
          <cell r="I1164">
            <v>0</v>
          </cell>
          <cell r="J1164">
            <v>43.46</v>
          </cell>
          <cell r="K1164">
            <v>-0.09</v>
          </cell>
        </row>
        <row r="1165">
          <cell r="A1165" t="str">
            <v>LU1882450130</v>
          </cell>
          <cell r="B1165" t="str">
            <v>AMUNDI FUNDS EMERGING MARKETS BOND</v>
          </cell>
          <cell r="C1165" t="str">
            <v>Class A EUR Hgd AD (D)</v>
          </cell>
          <cell r="D1165" t="str">
            <v>EUR</v>
          </cell>
          <cell r="E1165">
            <v>45747</v>
          </cell>
          <cell r="F1165">
            <v>15077286.52</v>
          </cell>
          <cell r="G1165">
            <v>570822.44999999995</v>
          </cell>
          <cell r="H1165">
            <v>26.41</v>
          </cell>
          <cell r="I1165">
            <v>0</v>
          </cell>
          <cell r="J1165">
            <v>27.47</v>
          </cell>
          <cell r="K1165">
            <v>-0.06</v>
          </cell>
        </row>
        <row r="1166">
          <cell r="A1166" t="str">
            <v>LU2110860769</v>
          </cell>
          <cell r="B1166" t="str">
            <v>AMUNDI FUNDS EMERGING MARKETS BOND</v>
          </cell>
          <cell r="C1166" t="str">
            <v>Class A2 USD MTD3 (D)</v>
          </cell>
          <cell r="D1166" t="str">
            <v>USD</v>
          </cell>
          <cell r="E1166">
            <v>45747</v>
          </cell>
          <cell r="F1166">
            <v>205106.62</v>
          </cell>
          <cell r="G1166">
            <v>5702.7830000000004</v>
          </cell>
          <cell r="H1166">
            <v>35.97</v>
          </cell>
          <cell r="I1166">
            <v>0</v>
          </cell>
          <cell r="J1166">
            <v>35.97</v>
          </cell>
          <cell r="K1166">
            <v>-0.08</v>
          </cell>
        </row>
        <row r="1167">
          <cell r="A1167" t="str">
            <v>LU1882450056</v>
          </cell>
          <cell r="B1167" t="str">
            <v>AMUNDI FUNDS EMERGING MARKETS BOND</v>
          </cell>
          <cell r="C1167" t="str">
            <v>Class A EUR Hgd (C)</v>
          </cell>
          <cell r="D1167" t="str">
            <v>EUR</v>
          </cell>
          <cell r="E1167">
            <v>45747</v>
          </cell>
          <cell r="F1167">
            <v>3090314.6</v>
          </cell>
          <cell r="G1167">
            <v>57365.175000000003</v>
          </cell>
          <cell r="H1167">
            <v>53.87</v>
          </cell>
          <cell r="I1167">
            <v>0</v>
          </cell>
          <cell r="J1167">
            <v>56.02</v>
          </cell>
          <cell r="K1167">
            <v>-0.12</v>
          </cell>
        </row>
        <row r="1168">
          <cell r="A1168" t="str">
            <v>LU2401860049</v>
          </cell>
          <cell r="B1168" t="str">
            <v>AMUNDI FUNDS EMERGING MARKETS BOND</v>
          </cell>
          <cell r="C1168" t="str">
            <v>Class A2 RMB Hgd MTD3 (D)</v>
          </cell>
          <cell r="D1168" t="str">
            <v>CNH</v>
          </cell>
          <cell r="E1168">
            <v>45747</v>
          </cell>
          <cell r="F1168">
            <v>578418.18999999994</v>
          </cell>
          <cell r="G1168">
            <v>16000</v>
          </cell>
          <cell r="H1168">
            <v>36.15</v>
          </cell>
          <cell r="I1168">
            <v>0</v>
          </cell>
          <cell r="J1168">
            <v>36.15</v>
          </cell>
          <cell r="K1168">
            <v>-0.09</v>
          </cell>
        </row>
        <row r="1169">
          <cell r="A1169" t="str">
            <v>LU2237438622</v>
          </cell>
          <cell r="B1169" t="str">
            <v>AMUNDI FUNDS EMERGING MARKETS BOND</v>
          </cell>
          <cell r="C1169" t="str">
            <v>Class A2 SGD Hgd MGI (D)</v>
          </cell>
          <cell r="D1169" t="str">
            <v>SGD</v>
          </cell>
          <cell r="E1169">
            <v>45747</v>
          </cell>
          <cell r="F1169">
            <v>118437.9</v>
          </cell>
          <cell r="G1169">
            <v>3200</v>
          </cell>
          <cell r="H1169">
            <v>37.01</v>
          </cell>
          <cell r="I1169">
            <v>0</v>
          </cell>
          <cell r="J1169">
            <v>37.01</v>
          </cell>
          <cell r="K1169">
            <v>-0.09</v>
          </cell>
        </row>
        <row r="1170">
          <cell r="A1170" t="str">
            <v>LU1882449710</v>
          </cell>
          <cell r="B1170" t="str">
            <v>AMUNDI FUNDS EMERGING MARKETS BOND</v>
          </cell>
          <cell r="C1170" t="str">
            <v>Class A CZK Hgd (C)</v>
          </cell>
          <cell r="D1170" t="str">
            <v>CZK</v>
          </cell>
          <cell r="E1170">
            <v>45747</v>
          </cell>
          <cell r="F1170">
            <v>177997233</v>
          </cell>
          <cell r="G1170">
            <v>111423.804</v>
          </cell>
          <cell r="H1170">
            <v>1597.48</v>
          </cell>
          <cell r="I1170">
            <v>0</v>
          </cell>
          <cell r="J1170">
            <v>1661.38</v>
          </cell>
          <cell r="K1170">
            <v>-3.9</v>
          </cell>
        </row>
        <row r="1171">
          <cell r="A1171" t="str">
            <v>LU1882450304</v>
          </cell>
          <cell r="B1171" t="str">
            <v>AMUNDI FUNDS EMERGING MARKETS BOND</v>
          </cell>
          <cell r="C1171" t="str">
            <v>Class A USD (C)</v>
          </cell>
          <cell r="D1171" t="str">
            <v>USD</v>
          </cell>
          <cell r="E1171">
            <v>45747</v>
          </cell>
          <cell r="F1171">
            <v>60821204.039999999</v>
          </cell>
          <cell r="G1171">
            <v>2867401.423</v>
          </cell>
          <cell r="H1171">
            <v>21.21</v>
          </cell>
          <cell r="I1171">
            <v>0</v>
          </cell>
          <cell r="J1171">
            <v>22.06</v>
          </cell>
          <cell r="K1171">
            <v>-0.05</v>
          </cell>
        </row>
        <row r="1172">
          <cell r="A1172" t="str">
            <v>LU2110860504</v>
          </cell>
          <cell r="B1172" t="str">
            <v>AMUNDI FUNDS EMERGING MARKETS BOND</v>
          </cell>
          <cell r="C1172" t="str">
            <v>Class A2 USD (C)</v>
          </cell>
          <cell r="D1172" t="str">
            <v>USD</v>
          </cell>
          <cell r="E1172">
            <v>45747</v>
          </cell>
          <cell r="F1172">
            <v>311410.84000000003</v>
          </cell>
          <cell r="G1172">
            <v>6290.5320000000002</v>
          </cell>
          <cell r="H1172">
            <v>49.5</v>
          </cell>
          <cell r="I1172">
            <v>0</v>
          </cell>
          <cell r="J1172">
            <v>49.5</v>
          </cell>
          <cell r="K1172">
            <v>-0.12</v>
          </cell>
        </row>
        <row r="1173">
          <cell r="A1173" t="str">
            <v>LU1882451708</v>
          </cell>
          <cell r="B1173" t="str">
            <v>AMUNDI FUNDS EMERGING MARKETS BOND</v>
          </cell>
          <cell r="C1173" t="str">
            <v>Class B ZAR Hgd MTD3 (D)</v>
          </cell>
          <cell r="D1173" t="str">
            <v>ZAR</v>
          </cell>
          <cell r="E1173">
            <v>45747</v>
          </cell>
          <cell r="F1173">
            <v>838604120.08000004</v>
          </cell>
          <cell r="G1173">
            <v>3437943.199</v>
          </cell>
          <cell r="H1173">
            <v>243.93</v>
          </cell>
          <cell r="I1173">
            <v>0</v>
          </cell>
          <cell r="J1173">
            <v>243.93</v>
          </cell>
          <cell r="K1173">
            <v>-0.57999999999999996</v>
          </cell>
        </row>
        <row r="1174">
          <cell r="A1174" t="str">
            <v>LU1882451294</v>
          </cell>
          <cell r="B1174" t="str">
            <v>AMUNDI FUNDS EMERGING MARKETS BOND</v>
          </cell>
          <cell r="C1174" t="str">
            <v>Class B EUR (C)</v>
          </cell>
          <cell r="D1174" t="str">
            <v>EUR</v>
          </cell>
          <cell r="E1174">
            <v>45747</v>
          </cell>
          <cell r="F1174">
            <v>27051.91</v>
          </cell>
          <cell r="G1174">
            <v>1781.9739999999999</v>
          </cell>
          <cell r="H1174">
            <v>15.18</v>
          </cell>
          <cell r="I1174">
            <v>0</v>
          </cell>
          <cell r="J1174">
            <v>15.18</v>
          </cell>
          <cell r="K1174">
            <v>-0.01</v>
          </cell>
        </row>
        <row r="1175">
          <cell r="A1175" t="str">
            <v>LU1882451617</v>
          </cell>
          <cell r="B1175" t="str">
            <v>AMUNDI FUNDS EMERGING MARKETS BOND</v>
          </cell>
          <cell r="C1175" t="str">
            <v>Class B USD MGI (D)</v>
          </cell>
          <cell r="D1175" t="str">
            <v>USD</v>
          </cell>
          <cell r="E1175">
            <v>45747</v>
          </cell>
          <cell r="F1175">
            <v>4863585.59</v>
          </cell>
          <cell r="G1175">
            <v>132128.31700000001</v>
          </cell>
          <cell r="H1175">
            <v>36.81</v>
          </cell>
          <cell r="I1175">
            <v>0</v>
          </cell>
          <cell r="J1175">
            <v>36.81</v>
          </cell>
          <cell r="K1175">
            <v>-0.09</v>
          </cell>
        </row>
        <row r="1176">
          <cell r="A1176" t="str">
            <v>LU1882451534</v>
          </cell>
          <cell r="B1176" t="str">
            <v>AMUNDI FUNDS EMERGING MARKETS BOND</v>
          </cell>
          <cell r="C1176" t="str">
            <v>Class B USD MTD3 (D)</v>
          </cell>
          <cell r="D1176" t="str">
            <v>USD</v>
          </cell>
          <cell r="E1176">
            <v>45747</v>
          </cell>
          <cell r="F1176">
            <v>80638600.040000007</v>
          </cell>
          <cell r="G1176">
            <v>4001722.0329999998</v>
          </cell>
          <cell r="H1176">
            <v>20.149999999999999</v>
          </cell>
          <cell r="I1176">
            <v>0</v>
          </cell>
          <cell r="J1176">
            <v>20.149999999999999</v>
          </cell>
          <cell r="K1176">
            <v>-0.05</v>
          </cell>
        </row>
        <row r="1177">
          <cell r="A1177" t="str">
            <v>LU1882451021</v>
          </cell>
          <cell r="B1177" t="str">
            <v>AMUNDI FUNDS EMERGING MARKETS BOND</v>
          </cell>
          <cell r="C1177" t="str">
            <v>Class B AUD Hgd MTD3 (D)</v>
          </cell>
          <cell r="D1177" t="str">
            <v>AUD</v>
          </cell>
          <cell r="E1177">
            <v>45747</v>
          </cell>
          <cell r="F1177">
            <v>7679892.6200000001</v>
          </cell>
          <cell r="G1177">
            <v>478242.511</v>
          </cell>
          <cell r="H1177">
            <v>16.059999999999999</v>
          </cell>
          <cell r="I1177">
            <v>0</v>
          </cell>
          <cell r="J1177">
            <v>16.059999999999999</v>
          </cell>
          <cell r="K1177">
            <v>-0.04</v>
          </cell>
        </row>
        <row r="1178">
          <cell r="A1178" t="str">
            <v>LU1882454553</v>
          </cell>
          <cell r="B1178" t="str">
            <v>AMUNDI FUNDS EMERGING MARKETS BOND</v>
          </cell>
          <cell r="C1178" t="str">
            <v>Class M2 EUR (C)</v>
          </cell>
          <cell r="D1178" t="str">
            <v>EUR</v>
          </cell>
          <cell r="E1178">
            <v>45747</v>
          </cell>
          <cell r="F1178">
            <v>80877857.379999995</v>
          </cell>
          <cell r="G1178">
            <v>26734.378000000001</v>
          </cell>
          <cell r="H1178">
            <v>3025.24</v>
          </cell>
          <cell r="I1178">
            <v>0</v>
          </cell>
          <cell r="J1178">
            <v>3025.24</v>
          </cell>
          <cell r="K1178">
            <v>-1.19</v>
          </cell>
        </row>
        <row r="1179">
          <cell r="A1179" t="str">
            <v>LU1882454637</v>
          </cell>
          <cell r="B1179" t="str">
            <v>AMUNDI FUNDS EMERGING MARKETS BOND</v>
          </cell>
          <cell r="C1179" t="str">
            <v>Class M2 EUR AD (D)</v>
          </cell>
          <cell r="D1179" t="str">
            <v>EUR</v>
          </cell>
          <cell r="E1179">
            <v>45747</v>
          </cell>
          <cell r="F1179">
            <v>8129503.8200000003</v>
          </cell>
          <cell r="G1179">
            <v>7135.375</v>
          </cell>
          <cell r="H1179">
            <v>1139.32</v>
          </cell>
          <cell r="I1179">
            <v>0</v>
          </cell>
          <cell r="J1179">
            <v>1139.32</v>
          </cell>
          <cell r="K1179">
            <v>-0.45</v>
          </cell>
        </row>
        <row r="1180">
          <cell r="A1180" t="str">
            <v>LU1882454710</v>
          </cell>
          <cell r="B1180" t="str">
            <v>AMUNDI FUNDS EMERGING MARKETS BOND</v>
          </cell>
          <cell r="C1180" t="str">
            <v>Class M2 EUR Hgd (C)</v>
          </cell>
          <cell r="D1180" t="str">
            <v>EUR</v>
          </cell>
          <cell r="E1180">
            <v>45747</v>
          </cell>
          <cell r="F1180">
            <v>77744116.980000004</v>
          </cell>
          <cell r="G1180">
            <v>45186.262999999999</v>
          </cell>
          <cell r="H1180">
            <v>1720.53</v>
          </cell>
          <cell r="I1180">
            <v>0</v>
          </cell>
          <cell r="J1180">
            <v>1720.53</v>
          </cell>
          <cell r="K1180">
            <v>-4.12</v>
          </cell>
        </row>
        <row r="1181">
          <cell r="A1181" t="str">
            <v>LU1882451377</v>
          </cell>
          <cell r="B1181" t="str">
            <v>AMUNDI FUNDS EMERGING MARKETS BOND</v>
          </cell>
          <cell r="C1181" t="str">
            <v>Class B USD (C)</v>
          </cell>
          <cell r="D1181" t="str">
            <v>USD</v>
          </cell>
          <cell r="E1181">
            <v>45747</v>
          </cell>
          <cell r="F1181">
            <v>1664958.85</v>
          </cell>
          <cell r="G1181">
            <v>101556.976</v>
          </cell>
          <cell r="H1181">
            <v>16.39</v>
          </cell>
          <cell r="I1181">
            <v>0</v>
          </cell>
          <cell r="J1181">
            <v>16.39</v>
          </cell>
          <cell r="K1181">
            <v>-0.05</v>
          </cell>
        </row>
        <row r="1182">
          <cell r="A1182" t="str">
            <v>LU1882451880</v>
          </cell>
          <cell r="B1182" t="str">
            <v>AMUNDI FUNDS EMERGING MARKETS BOND</v>
          </cell>
          <cell r="C1182" t="str">
            <v>Class C EUR (C)</v>
          </cell>
          <cell r="D1182" t="str">
            <v>EUR</v>
          </cell>
          <cell r="E1182">
            <v>45747</v>
          </cell>
          <cell r="F1182">
            <v>1993022.27</v>
          </cell>
          <cell r="G1182">
            <v>120644.08100000001</v>
          </cell>
          <cell r="H1182">
            <v>16.52</v>
          </cell>
          <cell r="I1182">
            <v>0</v>
          </cell>
          <cell r="J1182">
            <v>16.52</v>
          </cell>
          <cell r="K1182">
            <v>-0.01</v>
          </cell>
        </row>
        <row r="1183">
          <cell r="A1183" t="str">
            <v>LU1882451963</v>
          </cell>
          <cell r="B1183" t="str">
            <v>AMUNDI FUNDS EMERGING MARKETS BOND</v>
          </cell>
          <cell r="C1183" t="str">
            <v>Class C EUR MTD (D)</v>
          </cell>
          <cell r="D1183" t="str">
            <v>EUR</v>
          </cell>
          <cell r="E1183">
            <v>45747</v>
          </cell>
          <cell r="F1183">
            <v>23404.46</v>
          </cell>
          <cell r="G1183">
            <v>4991</v>
          </cell>
          <cell r="H1183">
            <v>4.6900000000000004</v>
          </cell>
          <cell r="I1183">
            <v>0</v>
          </cell>
          <cell r="J1183">
            <v>4.6900000000000004</v>
          </cell>
          <cell r="K1183">
            <v>0</v>
          </cell>
        </row>
        <row r="1184">
          <cell r="A1184" t="str">
            <v>LU1882452003</v>
          </cell>
          <cell r="B1184" t="str">
            <v>AMUNDI FUNDS EMERGING MARKETS BOND</v>
          </cell>
          <cell r="C1184" t="str">
            <v>Class C USD (C)</v>
          </cell>
          <cell r="D1184" t="str">
            <v>USD</v>
          </cell>
          <cell r="E1184">
            <v>45747</v>
          </cell>
          <cell r="F1184">
            <v>5102406.26</v>
          </cell>
          <cell r="G1184">
            <v>285955.34600000002</v>
          </cell>
          <cell r="H1184">
            <v>17.84</v>
          </cell>
          <cell r="I1184">
            <v>0</v>
          </cell>
          <cell r="J1184">
            <v>17.84</v>
          </cell>
          <cell r="K1184">
            <v>-0.05</v>
          </cell>
        </row>
        <row r="1185">
          <cell r="A1185" t="str">
            <v>LU1882452185</v>
          </cell>
          <cell r="B1185" t="str">
            <v>AMUNDI FUNDS EMERGING MARKETS BOND</v>
          </cell>
          <cell r="C1185" t="str">
            <v>Class C USD MTD (D)</v>
          </cell>
          <cell r="D1185" t="str">
            <v>USD</v>
          </cell>
          <cell r="E1185">
            <v>45747</v>
          </cell>
          <cell r="F1185">
            <v>869802.53</v>
          </cell>
          <cell r="G1185">
            <v>173710.65299999999</v>
          </cell>
          <cell r="H1185">
            <v>5.01</v>
          </cell>
          <cell r="I1185">
            <v>0</v>
          </cell>
          <cell r="J1185">
            <v>5.01</v>
          </cell>
          <cell r="K1185">
            <v>-0.01</v>
          </cell>
        </row>
        <row r="1186">
          <cell r="A1186" t="str">
            <v>LU1882450999</v>
          </cell>
          <cell r="B1186" t="str">
            <v>AMUNDI FUNDS EMERGING MARKETS BOND</v>
          </cell>
          <cell r="C1186" t="str">
            <v>Class A ZAR Hgd MTD3 (D)</v>
          </cell>
          <cell r="D1186" t="str">
            <v>ZAR</v>
          </cell>
          <cell r="E1186">
            <v>45747</v>
          </cell>
          <cell r="F1186">
            <v>13988492310.84</v>
          </cell>
          <cell r="G1186">
            <v>55543034.295000002</v>
          </cell>
          <cell r="H1186">
            <v>251.85</v>
          </cell>
          <cell r="I1186">
            <v>0</v>
          </cell>
          <cell r="J1186">
            <v>261.92</v>
          </cell>
          <cell r="K1186">
            <v>-0.54</v>
          </cell>
        </row>
        <row r="1187">
          <cell r="A1187" t="str">
            <v>LU2070309963</v>
          </cell>
          <cell r="B1187" t="str">
            <v>AMUNDI FUNDS EMERGING MARKETS BOND</v>
          </cell>
          <cell r="C1187" t="str">
            <v>Class A2 EUR AD (D)</v>
          </cell>
          <cell r="D1187" t="str">
            <v>EUR</v>
          </cell>
          <cell r="E1187">
            <v>45747</v>
          </cell>
          <cell r="F1187">
            <v>374467.39</v>
          </cell>
          <cell r="G1187">
            <v>8832</v>
          </cell>
          <cell r="H1187">
            <v>42.4</v>
          </cell>
          <cell r="I1187">
            <v>0</v>
          </cell>
          <cell r="J1187">
            <v>44.1</v>
          </cell>
          <cell r="K1187">
            <v>-0.02</v>
          </cell>
        </row>
        <row r="1188">
          <cell r="A1188" t="str">
            <v>LU1882452268</v>
          </cell>
          <cell r="B1188" t="str">
            <v>AMUNDI FUNDS EMERGING MARKETS BOND</v>
          </cell>
          <cell r="C1188" t="str">
            <v>Class E2 EUR (C)</v>
          </cell>
          <cell r="D1188" t="str">
            <v>EUR</v>
          </cell>
          <cell r="E1188">
            <v>45747</v>
          </cell>
          <cell r="F1188">
            <v>260703042.90000001</v>
          </cell>
          <cell r="G1188">
            <v>12408339.021</v>
          </cell>
          <cell r="H1188">
            <v>21.01</v>
          </cell>
          <cell r="I1188">
            <v>0</v>
          </cell>
          <cell r="J1188">
            <v>21.01</v>
          </cell>
          <cell r="K1188">
            <v>-0.01</v>
          </cell>
        </row>
        <row r="1189">
          <cell r="A1189" t="str">
            <v>LU1882452854</v>
          </cell>
          <cell r="B1189" t="str">
            <v>AMUNDI FUNDS EMERGING MARKETS BOND</v>
          </cell>
          <cell r="C1189" t="str">
            <v>Class E2 USD AD (D)</v>
          </cell>
          <cell r="D1189" t="str">
            <v>USD</v>
          </cell>
          <cell r="E1189">
            <v>45747</v>
          </cell>
          <cell r="F1189">
            <v>115326.87</v>
          </cell>
          <cell r="G1189">
            <v>21954.401000000002</v>
          </cell>
          <cell r="H1189">
            <v>5.2530000000000001</v>
          </cell>
          <cell r="I1189">
            <v>0</v>
          </cell>
          <cell r="J1189">
            <v>5.2530000000000001</v>
          </cell>
          <cell r="K1189">
            <v>-1.2999999999999999E-2</v>
          </cell>
        </row>
        <row r="1190">
          <cell r="A1190" t="str">
            <v>LU1882452425</v>
          </cell>
          <cell r="B1190" t="str">
            <v>AMUNDI FUNDS EMERGING MARKETS BOND</v>
          </cell>
          <cell r="C1190" t="str">
            <v>Class E2 EUR Hgd (C)</v>
          </cell>
          <cell r="D1190" t="str">
            <v>EUR</v>
          </cell>
          <cell r="E1190">
            <v>45747</v>
          </cell>
          <cell r="F1190">
            <v>60148231.390000001</v>
          </cell>
          <cell r="G1190">
            <v>4589501.8760000002</v>
          </cell>
          <cell r="H1190">
            <v>13.106</v>
          </cell>
          <cell r="I1190">
            <v>0</v>
          </cell>
          <cell r="J1190">
            <v>13.106</v>
          </cell>
          <cell r="K1190">
            <v>-3.2000000000000001E-2</v>
          </cell>
        </row>
        <row r="1191">
          <cell r="A1191" t="str">
            <v>LU1882452938</v>
          </cell>
          <cell r="B1191" t="str">
            <v>AMUNDI FUNDS EMERGING MARKETS BOND</v>
          </cell>
          <cell r="C1191" t="str">
            <v>Class F EUR (C)</v>
          </cell>
          <cell r="D1191" t="str">
            <v>EUR</v>
          </cell>
          <cell r="E1191">
            <v>45747</v>
          </cell>
          <cell r="F1191">
            <v>27628426.539999999</v>
          </cell>
          <cell r="G1191">
            <v>1576389.382</v>
          </cell>
          <cell r="H1191">
            <v>17.526</v>
          </cell>
          <cell r="I1191">
            <v>0</v>
          </cell>
          <cell r="J1191">
            <v>17.526</v>
          </cell>
          <cell r="K1191">
            <v>-4.0000000000000001E-3</v>
          </cell>
        </row>
        <row r="1192">
          <cell r="A1192" t="str">
            <v>LU2995468613</v>
          </cell>
          <cell r="B1192" t="str">
            <v>AMUNDI FUNDS EMERGING MARKETS BOND</v>
          </cell>
          <cell r="C1192" t="str">
            <v>Class FA EUR (C)</v>
          </cell>
          <cell r="D1192" t="str">
            <v>EUR</v>
          </cell>
          <cell r="E1192">
            <v>45747</v>
          </cell>
          <cell r="F1192">
            <v>4792.3100000000004</v>
          </cell>
          <cell r="G1192">
            <v>100</v>
          </cell>
          <cell r="H1192">
            <v>47.92</v>
          </cell>
          <cell r="I1192">
            <v>0</v>
          </cell>
          <cell r="J1192">
            <v>47.92</v>
          </cell>
          <cell r="K1192">
            <v>-0.02</v>
          </cell>
        </row>
        <row r="1193">
          <cell r="A1193" t="str">
            <v>LU1882453076</v>
          </cell>
          <cell r="B1193" t="str">
            <v>AMUNDI FUNDS EMERGING MARKETS BOND</v>
          </cell>
          <cell r="C1193" t="str">
            <v>Class F EUR QTD (D)</v>
          </cell>
          <cell r="D1193" t="str">
            <v>EUR</v>
          </cell>
          <cell r="E1193">
            <v>45747</v>
          </cell>
          <cell r="F1193">
            <v>5707054.0999999996</v>
          </cell>
          <cell r="G1193">
            <v>1124322.0330000001</v>
          </cell>
          <cell r="H1193">
            <v>5.0759999999999996</v>
          </cell>
          <cell r="I1193">
            <v>0</v>
          </cell>
          <cell r="J1193">
            <v>5.0759999999999996</v>
          </cell>
          <cell r="K1193">
            <v>-1E-3</v>
          </cell>
        </row>
        <row r="1194">
          <cell r="A1194" t="str">
            <v>LU1998914052</v>
          </cell>
          <cell r="B1194" t="str">
            <v>AMUNDI FUNDS EMERGING MARKETS BOND</v>
          </cell>
          <cell r="C1194" t="str">
            <v>Class H EUR (C)</v>
          </cell>
          <cell r="D1194" t="str">
            <v>EUR</v>
          </cell>
          <cell r="E1194">
            <v>45747</v>
          </cell>
          <cell r="F1194">
            <v>70767346.469999999</v>
          </cell>
          <cell r="G1194">
            <v>59394.73</v>
          </cell>
          <cell r="H1194">
            <v>1191.48</v>
          </cell>
          <cell r="I1194">
            <v>0</v>
          </cell>
          <cell r="J1194">
            <v>1191.48</v>
          </cell>
          <cell r="K1194">
            <v>-0.45</v>
          </cell>
        </row>
        <row r="1195">
          <cell r="A1195" t="str">
            <v>LU1897302250</v>
          </cell>
          <cell r="B1195" t="str">
            <v>AMUNDI FUNDS EMERGING MARKETS BOND</v>
          </cell>
          <cell r="C1195" t="str">
            <v>Class I2 GBP (C)</v>
          </cell>
          <cell r="D1195" t="str">
            <v>GBP</v>
          </cell>
          <cell r="E1195">
            <v>45747</v>
          </cell>
          <cell r="F1195">
            <v>5657.08</v>
          </cell>
          <cell r="G1195">
            <v>5</v>
          </cell>
          <cell r="H1195">
            <v>1131.42</v>
          </cell>
          <cell r="I1195">
            <v>0</v>
          </cell>
          <cell r="J1195">
            <v>1131.42</v>
          </cell>
          <cell r="K1195">
            <v>0.31</v>
          </cell>
        </row>
        <row r="1196">
          <cell r="A1196" t="str">
            <v>LU1882453829</v>
          </cell>
          <cell r="B1196" t="str">
            <v>AMUNDI FUNDS EMERGING MARKETS BOND</v>
          </cell>
          <cell r="C1196" t="str">
            <v>Class I2 USD QTD (D)</v>
          </cell>
          <cell r="D1196" t="str">
            <v>USD</v>
          </cell>
          <cell r="E1196">
            <v>45747</v>
          </cell>
          <cell r="F1196">
            <v>8619981.7799999993</v>
          </cell>
          <cell r="G1196">
            <v>6941.3450000000003</v>
          </cell>
          <cell r="H1196">
            <v>1241.83</v>
          </cell>
          <cell r="I1196">
            <v>0</v>
          </cell>
          <cell r="J1196">
            <v>1241.83</v>
          </cell>
          <cell r="K1196">
            <v>-2.9</v>
          </cell>
        </row>
        <row r="1197">
          <cell r="A1197" t="str">
            <v>LU1882453746</v>
          </cell>
          <cell r="B1197" t="str">
            <v>AMUNDI FUNDS EMERGING MARKETS BOND</v>
          </cell>
          <cell r="C1197" t="str">
            <v>Class I2 USD QD (D)</v>
          </cell>
          <cell r="D1197" t="str">
            <v>USD</v>
          </cell>
          <cell r="E1197">
            <v>45747</v>
          </cell>
          <cell r="F1197">
            <v>1015481.22</v>
          </cell>
          <cell r="G1197">
            <v>1325.67</v>
          </cell>
          <cell r="H1197">
            <v>766.01</v>
          </cell>
          <cell r="I1197">
            <v>12.277950000000001</v>
          </cell>
          <cell r="J1197">
            <v>766.01</v>
          </cell>
          <cell r="K1197">
            <v>-14.1</v>
          </cell>
        </row>
        <row r="1198">
          <cell r="A1198" t="str">
            <v>LU1882453662</v>
          </cell>
          <cell r="B1198" t="str">
            <v>AMUNDI FUNDS EMERGING MARKETS BOND</v>
          </cell>
          <cell r="C1198" t="str">
            <v>Class I2 USD (C)</v>
          </cell>
          <cell r="D1198" t="str">
            <v>USD</v>
          </cell>
          <cell r="E1198">
            <v>45747</v>
          </cell>
          <cell r="F1198">
            <v>803165139.32000005</v>
          </cell>
          <cell r="G1198">
            <v>29329492.142999999</v>
          </cell>
          <cell r="H1198">
            <v>27.38</v>
          </cell>
          <cell r="I1198">
            <v>0</v>
          </cell>
          <cell r="J1198">
            <v>27.38</v>
          </cell>
          <cell r="K1198">
            <v>-7.0000000000000007E-2</v>
          </cell>
        </row>
        <row r="1199">
          <cell r="A1199" t="str">
            <v>LU1882453407</v>
          </cell>
          <cell r="B1199" t="str">
            <v>AMUNDI FUNDS EMERGING MARKETS BOND</v>
          </cell>
          <cell r="C1199" t="str">
            <v>Class I2 EUR QTD (D)</v>
          </cell>
          <cell r="D1199" t="str">
            <v>EUR</v>
          </cell>
          <cell r="E1199">
            <v>45747</v>
          </cell>
          <cell r="F1199">
            <v>19007485.899999999</v>
          </cell>
          <cell r="G1199">
            <v>16361.722</v>
          </cell>
          <cell r="H1199">
            <v>1161.7</v>
          </cell>
          <cell r="I1199">
            <v>0</v>
          </cell>
          <cell r="J1199">
            <v>1161.7</v>
          </cell>
          <cell r="K1199">
            <v>-0.46</v>
          </cell>
        </row>
        <row r="1200">
          <cell r="A1200" t="str">
            <v>LU1882453589</v>
          </cell>
          <cell r="B1200" t="str">
            <v>AMUNDI FUNDS EMERGING MARKETS BOND</v>
          </cell>
          <cell r="C1200" t="str">
            <v>Class I2 GBP Hgd QD (D)</v>
          </cell>
          <cell r="D1200" t="str">
            <v>GBP</v>
          </cell>
          <cell r="E1200">
            <v>45747</v>
          </cell>
          <cell r="F1200">
            <v>2736260.28</v>
          </cell>
          <cell r="G1200">
            <v>3785.2719999999999</v>
          </cell>
          <cell r="H1200">
            <v>722.87</v>
          </cell>
          <cell r="I1200">
            <v>11.285371</v>
          </cell>
          <cell r="J1200">
            <v>722.87</v>
          </cell>
          <cell r="K1200">
            <v>-13.01</v>
          </cell>
        </row>
        <row r="1201">
          <cell r="A1201" t="str">
            <v>LU1882452698</v>
          </cell>
          <cell r="B1201" t="str">
            <v>AMUNDI FUNDS EMERGING MARKETS BOND</v>
          </cell>
          <cell r="C1201" t="str">
            <v>Class E2 EUR QTD (D)</v>
          </cell>
          <cell r="D1201" t="str">
            <v>EUR</v>
          </cell>
          <cell r="E1201">
            <v>45747</v>
          </cell>
          <cell r="F1201">
            <v>39067187.020000003</v>
          </cell>
          <cell r="G1201">
            <v>7422507.2170000002</v>
          </cell>
          <cell r="H1201">
            <v>5.2629999999999999</v>
          </cell>
          <cell r="I1201">
            <v>0</v>
          </cell>
          <cell r="J1201">
            <v>5.2629999999999999</v>
          </cell>
          <cell r="K1201">
            <v>-3.0000000000000001E-3</v>
          </cell>
        </row>
        <row r="1202">
          <cell r="A1202" t="str">
            <v>LU1882453316</v>
          </cell>
          <cell r="B1202" t="str">
            <v>AMUNDI FUNDS EMERGING MARKETS BOND</v>
          </cell>
          <cell r="C1202" t="str">
            <v>Class I2 EUR Hgd AD (D)</v>
          </cell>
          <cell r="D1202" t="str">
            <v>EUR</v>
          </cell>
          <cell r="E1202">
            <v>45747</v>
          </cell>
          <cell r="F1202">
            <v>40971229.149999999</v>
          </cell>
          <cell r="G1202">
            <v>64906.817000000003</v>
          </cell>
          <cell r="H1202">
            <v>631.23</v>
          </cell>
          <cell r="I1202">
            <v>0</v>
          </cell>
          <cell r="J1202">
            <v>631.23</v>
          </cell>
          <cell r="K1202">
            <v>-1.51</v>
          </cell>
        </row>
        <row r="1203">
          <cell r="A1203" t="str">
            <v>LU1882453233</v>
          </cell>
          <cell r="B1203" t="str">
            <v>AMUNDI FUNDS EMERGING MARKETS BOND</v>
          </cell>
          <cell r="C1203" t="str">
            <v>Class I2 EUR Hgd (C)</v>
          </cell>
          <cell r="D1203" t="str">
            <v>EUR</v>
          </cell>
          <cell r="E1203">
            <v>45747</v>
          </cell>
          <cell r="F1203">
            <v>45158275.579999998</v>
          </cell>
          <cell r="G1203">
            <v>35900.296000000002</v>
          </cell>
          <cell r="H1203">
            <v>1257.8800000000001</v>
          </cell>
          <cell r="I1203">
            <v>0</v>
          </cell>
          <cell r="J1203">
            <v>1257.8800000000001</v>
          </cell>
          <cell r="K1203">
            <v>-3.01</v>
          </cell>
        </row>
        <row r="1204">
          <cell r="A1204" t="str">
            <v>LU1882453159</v>
          </cell>
          <cell r="B1204" t="str">
            <v>AMUNDI FUNDS EMERGING MARKETS BOND</v>
          </cell>
          <cell r="C1204" t="str">
            <v>Class I2 EUR (C)</v>
          </cell>
          <cell r="D1204" t="str">
            <v>EUR</v>
          </cell>
          <cell r="E1204">
            <v>45747</v>
          </cell>
          <cell r="F1204">
            <v>196838741.00999999</v>
          </cell>
          <cell r="G1204">
            <v>7765054.4390000002</v>
          </cell>
          <cell r="H1204">
            <v>25.35</v>
          </cell>
          <cell r="I1204">
            <v>0</v>
          </cell>
          <cell r="J1204">
            <v>25.35</v>
          </cell>
          <cell r="K1204">
            <v>-0.01</v>
          </cell>
        </row>
        <row r="1205">
          <cell r="A1205" t="str">
            <v>LU2110860843</v>
          </cell>
          <cell r="B1205" t="str">
            <v>AMUNDI FUNDS EMERGING MARKETS BOND</v>
          </cell>
          <cell r="C1205" t="str">
            <v>Class I2 CHF Hgd (C)</v>
          </cell>
          <cell r="D1205" t="str">
            <v>CHF</v>
          </cell>
          <cell r="E1205">
            <v>45747</v>
          </cell>
          <cell r="F1205">
            <v>19442240.629999999</v>
          </cell>
          <cell r="G1205">
            <v>18191.998</v>
          </cell>
          <cell r="H1205">
            <v>1068.72</v>
          </cell>
          <cell r="I1205">
            <v>0</v>
          </cell>
          <cell r="J1205">
            <v>1068.72</v>
          </cell>
          <cell r="K1205">
            <v>-2.65</v>
          </cell>
        </row>
        <row r="1206">
          <cell r="A1206" t="str">
            <v>LU1882455790</v>
          </cell>
          <cell r="B1206" t="str">
            <v>AMUNDI FUNDS EMERGING MARKETS BOND</v>
          </cell>
          <cell r="C1206" t="str">
            <v>Class R2 USD AD (D)</v>
          </cell>
          <cell r="D1206" t="str">
            <v>USD</v>
          </cell>
          <cell r="E1206">
            <v>45747</v>
          </cell>
          <cell r="F1206">
            <v>257057.59</v>
          </cell>
          <cell r="G1206">
            <v>6469.4350000000004</v>
          </cell>
          <cell r="H1206">
            <v>39.729999999999997</v>
          </cell>
          <cell r="I1206">
            <v>0</v>
          </cell>
          <cell r="J1206">
            <v>39.729999999999997</v>
          </cell>
          <cell r="K1206">
            <v>-0.1</v>
          </cell>
        </row>
        <row r="1207">
          <cell r="A1207" t="str">
            <v>LU2052287724</v>
          </cell>
          <cell r="B1207" t="str">
            <v>AMUNDI FUNDS EMERGING MARKETS BOND</v>
          </cell>
          <cell r="C1207" t="str">
            <v>Class J3 GBP (C)</v>
          </cell>
          <cell r="D1207" t="str">
            <v>GBP</v>
          </cell>
          <cell r="E1207">
            <v>45747</v>
          </cell>
          <cell r="F1207">
            <v>5389.95</v>
          </cell>
          <cell r="G1207">
            <v>5</v>
          </cell>
          <cell r="H1207">
            <v>1077.99</v>
          </cell>
          <cell r="I1207">
            <v>0</v>
          </cell>
          <cell r="J1207">
            <v>1077.99</v>
          </cell>
          <cell r="K1207">
            <v>0.28999999999999998</v>
          </cell>
        </row>
        <row r="1208">
          <cell r="A1208" t="str">
            <v>LU2052287997</v>
          </cell>
          <cell r="B1208" t="str">
            <v>AMUNDI FUNDS EMERGING MARKETS BOND</v>
          </cell>
          <cell r="C1208" t="str">
            <v>Class J3 GBP QD (D)</v>
          </cell>
          <cell r="D1208" t="str">
            <v>GBP</v>
          </cell>
          <cell r="E1208">
            <v>45747</v>
          </cell>
          <cell r="F1208">
            <v>3740.24</v>
          </cell>
          <cell r="G1208">
            <v>5</v>
          </cell>
          <cell r="H1208">
            <v>748.05</v>
          </cell>
          <cell r="I1208">
            <v>11.888</v>
          </cell>
          <cell r="J1208">
            <v>748.05</v>
          </cell>
          <cell r="K1208">
            <v>-11.69</v>
          </cell>
        </row>
        <row r="1209">
          <cell r="A1209" t="str">
            <v>LU1882454124</v>
          </cell>
          <cell r="B1209" t="str">
            <v>AMUNDI FUNDS EMERGING MARKETS BOND</v>
          </cell>
          <cell r="C1209" t="str">
            <v>Class J2 EUR Hgd (C)</v>
          </cell>
          <cell r="D1209" t="str">
            <v>EUR</v>
          </cell>
          <cell r="E1209">
            <v>45747</v>
          </cell>
          <cell r="F1209">
            <v>91335040.719999999</v>
          </cell>
          <cell r="G1209">
            <v>87107.252999999997</v>
          </cell>
          <cell r="H1209">
            <v>1048.54</v>
          </cell>
          <cell r="I1209">
            <v>0</v>
          </cell>
          <cell r="J1209">
            <v>1048.54</v>
          </cell>
          <cell r="K1209">
            <v>-2.5</v>
          </cell>
        </row>
        <row r="1210">
          <cell r="A1210" t="str">
            <v>LU1894676722</v>
          </cell>
          <cell r="B1210" t="str">
            <v>AMUNDI FUNDS EMERGING MARKETS BOND</v>
          </cell>
          <cell r="C1210" t="str">
            <v>Class G EUR Hgd AD (D)</v>
          </cell>
          <cell r="D1210" t="str">
            <v>EUR</v>
          </cell>
          <cell r="E1210">
            <v>45747</v>
          </cell>
          <cell r="F1210">
            <v>5393804.6500000004</v>
          </cell>
          <cell r="G1210">
            <v>1457851.1410000001</v>
          </cell>
          <cell r="H1210">
            <v>3.7</v>
          </cell>
          <cell r="I1210">
            <v>0</v>
          </cell>
          <cell r="J1210">
            <v>3.7</v>
          </cell>
          <cell r="K1210">
            <v>-8.0000000000000002E-3</v>
          </cell>
        </row>
        <row r="1211">
          <cell r="A1211" t="str">
            <v>LU2834370277</v>
          </cell>
          <cell r="B1211" t="str">
            <v>AMUNDI FUNDS EMERGING MARKETS BOND</v>
          </cell>
          <cell r="C1211" t="str">
            <v>Class G EUR Hgd (C)</v>
          </cell>
          <cell r="D1211" t="str">
            <v>EUR</v>
          </cell>
          <cell r="E1211">
            <v>45747</v>
          </cell>
          <cell r="F1211">
            <v>105101.89</v>
          </cell>
          <cell r="G1211">
            <v>20090.12</v>
          </cell>
          <cell r="H1211">
            <v>5.2320000000000002</v>
          </cell>
          <cell r="I1211">
            <v>0</v>
          </cell>
          <cell r="J1211">
            <v>5.2320000000000002</v>
          </cell>
          <cell r="K1211">
            <v>-1.0999999999999999E-2</v>
          </cell>
        </row>
        <row r="1212">
          <cell r="A1212" t="str">
            <v>LU1882456178</v>
          </cell>
          <cell r="B1212" t="str">
            <v>AMUNDI FUNDS EMERGING MARKETS BOND</v>
          </cell>
          <cell r="C1212" t="str">
            <v>Class T USD MTD3 (D)</v>
          </cell>
          <cell r="D1212" t="str">
            <v>USD</v>
          </cell>
          <cell r="E1212">
            <v>45747</v>
          </cell>
          <cell r="F1212">
            <v>9087455.8800000008</v>
          </cell>
          <cell r="G1212">
            <v>454046.62400000001</v>
          </cell>
          <cell r="H1212">
            <v>20.010000000000002</v>
          </cell>
          <cell r="I1212">
            <v>0</v>
          </cell>
          <cell r="J1212">
            <v>20.010000000000002</v>
          </cell>
          <cell r="K1212">
            <v>-0.05</v>
          </cell>
        </row>
        <row r="1213">
          <cell r="A1213" t="str">
            <v>LU1882456095</v>
          </cell>
          <cell r="B1213" t="str">
            <v>AMUNDI FUNDS EMERGING MARKETS BOND</v>
          </cell>
          <cell r="C1213" t="str">
            <v>Class T USD (C)</v>
          </cell>
          <cell r="D1213" t="str">
            <v>USD</v>
          </cell>
          <cell r="E1213">
            <v>45747</v>
          </cell>
          <cell r="F1213">
            <v>13283.44</v>
          </cell>
          <cell r="G1213">
            <v>217.172</v>
          </cell>
          <cell r="H1213">
            <v>61.17</v>
          </cell>
          <cell r="I1213">
            <v>0</v>
          </cell>
          <cell r="J1213">
            <v>61.17</v>
          </cell>
          <cell r="K1213">
            <v>-0.15</v>
          </cell>
        </row>
        <row r="1214">
          <cell r="A1214" t="str">
            <v>LU1882456251</v>
          </cell>
          <cell r="B1214" t="str">
            <v>AMUNDI FUNDS EMERGING MARKETS BOND</v>
          </cell>
          <cell r="C1214" t="str">
            <v>Class T USD MGI (D)</v>
          </cell>
          <cell r="D1214" t="str">
            <v>USD</v>
          </cell>
          <cell r="E1214">
            <v>45747</v>
          </cell>
          <cell r="F1214">
            <v>293289.2</v>
          </cell>
          <cell r="G1214">
            <v>9454.85</v>
          </cell>
          <cell r="H1214">
            <v>31.02</v>
          </cell>
          <cell r="I1214">
            <v>0</v>
          </cell>
          <cell r="J1214">
            <v>31.02</v>
          </cell>
          <cell r="K1214">
            <v>-0.08</v>
          </cell>
        </row>
        <row r="1215">
          <cell r="A1215" t="str">
            <v>LU1882455873</v>
          </cell>
          <cell r="B1215" t="str">
            <v>AMUNDI FUNDS EMERGING MARKETS BOND</v>
          </cell>
          <cell r="C1215" t="str">
            <v>Class T AUD Hgd MTD3 (D)</v>
          </cell>
          <cell r="D1215" t="str">
            <v>AUD</v>
          </cell>
          <cell r="E1215">
            <v>45747</v>
          </cell>
          <cell r="F1215">
            <v>754584.57</v>
          </cell>
          <cell r="G1215">
            <v>43313.131000000001</v>
          </cell>
          <cell r="H1215">
            <v>17.420000000000002</v>
          </cell>
          <cell r="I1215">
            <v>0</v>
          </cell>
          <cell r="J1215">
            <v>17.420000000000002</v>
          </cell>
          <cell r="K1215">
            <v>-0.05</v>
          </cell>
        </row>
        <row r="1216">
          <cell r="A1216" t="str">
            <v>LU1882455956</v>
          </cell>
          <cell r="B1216" t="str">
            <v>AMUNDI FUNDS EMERGING MARKETS BOND</v>
          </cell>
          <cell r="C1216" t="str">
            <v>Class T EUR (C)</v>
          </cell>
          <cell r="D1216" t="str">
            <v>EUR</v>
          </cell>
          <cell r="E1216">
            <v>45747</v>
          </cell>
          <cell r="F1216">
            <v>24043.86</v>
          </cell>
          <cell r="G1216">
            <v>416.029</v>
          </cell>
          <cell r="H1216">
            <v>57.79</v>
          </cell>
          <cell r="I1216">
            <v>0</v>
          </cell>
          <cell r="J1216">
            <v>57.79</v>
          </cell>
          <cell r="K1216">
            <v>-0.03</v>
          </cell>
        </row>
        <row r="1217">
          <cell r="A1217" t="str">
            <v>LU1882456335</v>
          </cell>
          <cell r="B1217" t="str">
            <v>AMUNDI FUNDS EMERGING MARKETS BOND</v>
          </cell>
          <cell r="C1217" t="str">
            <v>Class T ZAR Hgd MTD3 (D)</v>
          </cell>
          <cell r="D1217" t="str">
            <v>ZAR</v>
          </cell>
          <cell r="E1217">
            <v>45747</v>
          </cell>
          <cell r="F1217">
            <v>222350801.09</v>
          </cell>
          <cell r="G1217">
            <v>858029.01500000001</v>
          </cell>
          <cell r="H1217">
            <v>259.14</v>
          </cell>
          <cell r="I1217">
            <v>0</v>
          </cell>
          <cell r="J1217">
            <v>259.14</v>
          </cell>
          <cell r="K1217">
            <v>-0.62</v>
          </cell>
        </row>
        <row r="1218">
          <cell r="A1218" t="str">
            <v>LU1882455287</v>
          </cell>
          <cell r="B1218" t="str">
            <v>AMUNDI FUNDS EMERGING MARKETS BOND</v>
          </cell>
          <cell r="C1218" t="str">
            <v>Class R2 EUR (C)</v>
          </cell>
          <cell r="D1218" t="str">
            <v>EUR</v>
          </cell>
          <cell r="E1218">
            <v>45747</v>
          </cell>
          <cell r="F1218">
            <v>3019147.15</v>
          </cell>
          <cell r="G1218">
            <v>32006.202000000001</v>
          </cell>
          <cell r="H1218">
            <v>94.33</v>
          </cell>
          <cell r="I1218">
            <v>0</v>
          </cell>
          <cell r="J1218">
            <v>94.33</v>
          </cell>
          <cell r="K1218">
            <v>-0.04</v>
          </cell>
        </row>
        <row r="1219">
          <cell r="A1219" t="str">
            <v>LU1882455444</v>
          </cell>
          <cell r="B1219" t="str">
            <v>AMUNDI FUNDS EMERGING MARKETS BOND</v>
          </cell>
          <cell r="C1219" t="str">
            <v>Class R2 GBP (C)</v>
          </cell>
          <cell r="D1219" t="str">
            <v>GBP</v>
          </cell>
          <cell r="E1219">
            <v>45747</v>
          </cell>
          <cell r="F1219">
            <v>13281.24</v>
          </cell>
          <cell r="G1219">
            <v>131.31399999999999</v>
          </cell>
          <cell r="H1219">
            <v>101.14</v>
          </cell>
          <cell r="I1219">
            <v>0</v>
          </cell>
          <cell r="J1219">
            <v>101.14</v>
          </cell>
          <cell r="K1219">
            <v>0.02</v>
          </cell>
        </row>
        <row r="1220">
          <cell r="A1220" t="str">
            <v>LU1882455360</v>
          </cell>
          <cell r="B1220" t="str">
            <v>AMUNDI FUNDS EMERGING MARKETS BOND</v>
          </cell>
          <cell r="C1220" t="str">
            <v>Class R2 EUR Hgd (C)</v>
          </cell>
          <cell r="D1220" t="str">
            <v>EUR</v>
          </cell>
          <cell r="E1220">
            <v>45747</v>
          </cell>
          <cell r="F1220">
            <v>1957053.86</v>
          </cell>
          <cell r="G1220">
            <v>38467.599999999999</v>
          </cell>
          <cell r="H1220">
            <v>50.88</v>
          </cell>
          <cell r="I1220">
            <v>0</v>
          </cell>
          <cell r="J1220">
            <v>50.88</v>
          </cell>
          <cell r="K1220">
            <v>-0.12</v>
          </cell>
        </row>
        <row r="1221">
          <cell r="A1221" t="str">
            <v>LU1882454983</v>
          </cell>
          <cell r="B1221" t="str">
            <v>AMUNDI FUNDS EMERGING MARKETS BOND</v>
          </cell>
          <cell r="C1221" t="str">
            <v>Class P2 USD (C)</v>
          </cell>
          <cell r="D1221" t="str">
            <v>USD</v>
          </cell>
          <cell r="E1221">
            <v>45747</v>
          </cell>
          <cell r="F1221">
            <v>4449022.07</v>
          </cell>
          <cell r="G1221">
            <v>68778.625</v>
          </cell>
          <cell r="H1221">
            <v>64.69</v>
          </cell>
          <cell r="I1221">
            <v>0</v>
          </cell>
          <cell r="J1221">
            <v>64.69</v>
          </cell>
          <cell r="K1221">
            <v>-0.15</v>
          </cell>
        </row>
        <row r="1222">
          <cell r="A1222" t="str">
            <v>LU1882455014</v>
          </cell>
          <cell r="B1222" t="str">
            <v>AMUNDI FUNDS EMERGING MARKETS BOND</v>
          </cell>
          <cell r="C1222" t="str">
            <v>Class P2 USD MTD (D)</v>
          </cell>
          <cell r="D1222" t="str">
            <v>USD</v>
          </cell>
          <cell r="E1222">
            <v>45747</v>
          </cell>
          <cell r="F1222">
            <v>548505.81000000006</v>
          </cell>
          <cell r="G1222">
            <v>12909.509</v>
          </cell>
          <cell r="H1222">
            <v>42.49</v>
          </cell>
          <cell r="I1222">
            <v>0</v>
          </cell>
          <cell r="J1222">
            <v>42.49</v>
          </cell>
          <cell r="K1222">
            <v>-0.1</v>
          </cell>
        </row>
        <row r="1223">
          <cell r="A1223" t="str">
            <v>LU1882455105</v>
          </cell>
          <cell r="B1223" t="str">
            <v>AMUNDI FUNDS EMERGING MARKETS BOND</v>
          </cell>
          <cell r="C1223" t="str">
            <v>Class Q-D USD MTD (D)</v>
          </cell>
          <cell r="D1223" t="str">
            <v>USD</v>
          </cell>
          <cell r="E1223">
            <v>45747</v>
          </cell>
          <cell r="F1223">
            <v>254445.29</v>
          </cell>
          <cell r="G1223">
            <v>4881.7139999999999</v>
          </cell>
          <cell r="H1223">
            <v>52.12</v>
          </cell>
          <cell r="I1223">
            <v>0</v>
          </cell>
          <cell r="J1223">
            <v>53.68</v>
          </cell>
          <cell r="K1223">
            <v>-0.13</v>
          </cell>
        </row>
        <row r="1224">
          <cell r="A1224" t="str">
            <v>LU1882456681</v>
          </cell>
          <cell r="B1224" t="str">
            <v>AMUNDI FUNDS EMERGING MARKETS BOND</v>
          </cell>
          <cell r="C1224" t="str">
            <v>Class U USD (C)</v>
          </cell>
          <cell r="D1224" t="str">
            <v>USD</v>
          </cell>
          <cell r="E1224">
            <v>45747</v>
          </cell>
          <cell r="F1224">
            <v>2606340.77</v>
          </cell>
          <cell r="G1224">
            <v>38093.379000000001</v>
          </cell>
          <cell r="H1224">
            <v>68.42</v>
          </cell>
          <cell r="I1224">
            <v>0</v>
          </cell>
          <cell r="J1224">
            <v>68.42</v>
          </cell>
          <cell r="K1224">
            <v>-0.17</v>
          </cell>
        </row>
        <row r="1225">
          <cell r="A1225" t="str">
            <v>LU1882456418</v>
          </cell>
          <cell r="B1225" t="str">
            <v>AMUNDI FUNDS EMERGING MARKETS BOND</v>
          </cell>
          <cell r="C1225" t="str">
            <v>Class U AUD Hgd MTD3 (D)</v>
          </cell>
          <cell r="D1225" t="str">
            <v>AUD</v>
          </cell>
          <cell r="E1225">
            <v>45747</v>
          </cell>
          <cell r="F1225">
            <v>22433798.690000001</v>
          </cell>
          <cell r="G1225">
            <v>1235352.2379999999</v>
          </cell>
          <cell r="H1225">
            <v>18.16</v>
          </cell>
          <cell r="I1225">
            <v>0</v>
          </cell>
          <cell r="J1225">
            <v>18.16</v>
          </cell>
          <cell r="K1225">
            <v>-0.05</v>
          </cell>
        </row>
        <row r="1226">
          <cell r="A1226" t="str">
            <v>LU1882456848</v>
          </cell>
          <cell r="B1226" t="str">
            <v>AMUNDI FUNDS EMERGING MARKETS BOND</v>
          </cell>
          <cell r="C1226" t="str">
            <v>Class U USD MGI (D)</v>
          </cell>
          <cell r="D1226" t="str">
            <v>USD</v>
          </cell>
          <cell r="E1226">
            <v>45747</v>
          </cell>
          <cell r="F1226">
            <v>8518664.9900000002</v>
          </cell>
          <cell r="G1226">
            <v>275773.05200000003</v>
          </cell>
          <cell r="H1226">
            <v>30.89</v>
          </cell>
          <cell r="I1226">
            <v>0</v>
          </cell>
          <cell r="J1226">
            <v>30.89</v>
          </cell>
          <cell r="K1226">
            <v>-0.08</v>
          </cell>
        </row>
        <row r="1227">
          <cell r="A1227" t="str">
            <v>LU1882456921</v>
          </cell>
          <cell r="B1227" t="str">
            <v>AMUNDI FUNDS EMERGING MARKETS BOND</v>
          </cell>
          <cell r="C1227" t="str">
            <v>Class U ZAR Hgd MTD3 (D)</v>
          </cell>
          <cell r="D1227" t="str">
            <v>ZAR</v>
          </cell>
          <cell r="E1227">
            <v>45747</v>
          </cell>
          <cell r="F1227">
            <v>3093931611.8800001</v>
          </cell>
          <cell r="G1227">
            <v>11309668.941</v>
          </cell>
          <cell r="H1227">
            <v>273.57</v>
          </cell>
          <cell r="I1227">
            <v>0</v>
          </cell>
          <cell r="J1227">
            <v>273.57</v>
          </cell>
          <cell r="K1227">
            <v>-0.65</v>
          </cell>
        </row>
        <row r="1228">
          <cell r="A1228" t="str">
            <v>LU1882456764</v>
          </cell>
          <cell r="B1228" t="str">
            <v>AMUNDI FUNDS EMERGING MARKETS BOND</v>
          </cell>
          <cell r="C1228" t="str">
            <v>Class U USD MTD3 (D)</v>
          </cell>
          <cell r="D1228" t="str">
            <v>USD</v>
          </cell>
          <cell r="E1228">
            <v>45747</v>
          </cell>
          <cell r="F1228">
            <v>127053840.45999999</v>
          </cell>
          <cell r="G1228">
            <v>6352450.301</v>
          </cell>
          <cell r="H1228">
            <v>20</v>
          </cell>
          <cell r="I1228">
            <v>0</v>
          </cell>
          <cell r="J1228">
            <v>20</v>
          </cell>
          <cell r="K1228">
            <v>-0.05</v>
          </cell>
        </row>
        <row r="1229">
          <cell r="A1229" t="str">
            <v>LU1882456509</v>
          </cell>
          <cell r="B1229" t="str">
            <v>AMUNDI FUNDS EMERGING MARKETS BOND</v>
          </cell>
          <cell r="C1229" t="str">
            <v>Class U EUR (C)</v>
          </cell>
          <cell r="D1229" t="str">
            <v>EUR</v>
          </cell>
          <cell r="E1229">
            <v>45747</v>
          </cell>
          <cell r="F1229">
            <v>248572.74</v>
          </cell>
          <cell r="G1229">
            <v>3923.9340000000002</v>
          </cell>
          <cell r="H1229">
            <v>63.35</v>
          </cell>
          <cell r="I1229">
            <v>0</v>
          </cell>
          <cell r="J1229">
            <v>63.35</v>
          </cell>
          <cell r="K1229">
            <v>-0.03</v>
          </cell>
        </row>
        <row r="1230">
          <cell r="A1230" t="str">
            <v>LU1882455527</v>
          </cell>
          <cell r="B1230" t="str">
            <v>AMUNDI FUNDS EMERGING MARKETS BOND</v>
          </cell>
          <cell r="C1230" t="str">
            <v>Class R2 USD (C)</v>
          </cell>
          <cell r="D1230" t="str">
            <v>USD</v>
          </cell>
          <cell r="E1230">
            <v>45747</v>
          </cell>
          <cell r="F1230">
            <v>2084983.35</v>
          </cell>
          <cell r="G1230">
            <v>20466.358</v>
          </cell>
          <cell r="H1230">
            <v>101.87</v>
          </cell>
          <cell r="I1230">
            <v>0</v>
          </cell>
          <cell r="J1230">
            <v>101.87</v>
          </cell>
          <cell r="K1230">
            <v>-0.24</v>
          </cell>
        </row>
        <row r="1231">
          <cell r="A1231" t="str">
            <v>LU2036673023</v>
          </cell>
          <cell r="B1231" t="str">
            <v>AMUNDI FUNDS EMERGING MARKETS BOND</v>
          </cell>
          <cell r="C1231" t="str">
            <v>Class G EUR (C)</v>
          </cell>
          <cell r="D1231" t="str">
            <v>EUR</v>
          </cell>
          <cell r="E1231">
            <v>45747</v>
          </cell>
          <cell r="F1231">
            <v>17615948.32</v>
          </cell>
          <cell r="G1231">
            <v>3288769.355</v>
          </cell>
          <cell r="H1231">
            <v>5.3559999999999999</v>
          </cell>
          <cell r="I1231">
            <v>0</v>
          </cell>
          <cell r="J1231">
            <v>5.3559999999999999</v>
          </cell>
          <cell r="K1231">
            <v>-2E-3</v>
          </cell>
        </row>
        <row r="1232">
          <cell r="A1232" t="str">
            <v>LU2036673296</v>
          </cell>
          <cell r="B1232" t="str">
            <v>AMUNDI FUNDS EMERGING MARKETS BOND</v>
          </cell>
          <cell r="C1232" t="str">
            <v>Class G EUR QTD (D)</v>
          </cell>
          <cell r="D1232" t="str">
            <v>EUR</v>
          </cell>
          <cell r="E1232">
            <v>45747</v>
          </cell>
          <cell r="F1232">
            <v>6657325.4900000002</v>
          </cell>
          <cell r="G1232">
            <v>1660545.2579999999</v>
          </cell>
          <cell r="H1232">
            <v>4.0090000000000003</v>
          </cell>
          <cell r="I1232">
            <v>0</v>
          </cell>
          <cell r="J1232">
            <v>4.0090000000000003</v>
          </cell>
          <cell r="K1232">
            <v>-1E-3</v>
          </cell>
        </row>
        <row r="1233">
          <cell r="A1233" t="str">
            <v>LU2237438895</v>
          </cell>
          <cell r="B1233" t="str">
            <v>AMUNDI FUNDS EMERGING MARKETS BOND</v>
          </cell>
          <cell r="C1233" t="str">
            <v>Class A2 USD MGI (D)</v>
          </cell>
          <cell r="D1233" t="str">
            <v>USD</v>
          </cell>
          <cell r="E1233">
            <v>45747</v>
          </cell>
          <cell r="F1233">
            <v>3857.53</v>
          </cell>
          <cell r="G1233">
            <v>100</v>
          </cell>
          <cell r="H1233">
            <v>38.58</v>
          </cell>
          <cell r="I1233">
            <v>0</v>
          </cell>
          <cell r="J1233">
            <v>38.58</v>
          </cell>
          <cell r="K1233">
            <v>-0.09</v>
          </cell>
        </row>
        <row r="1234">
          <cell r="A1234" t="str">
            <v>LU1882457069</v>
          </cell>
          <cell r="B1234" t="str">
            <v>AMUNDI FUNDS EMERGING MARKETS BOND</v>
          </cell>
          <cell r="C1234" t="str">
            <v>Class X EUR (C)</v>
          </cell>
          <cell r="D1234" t="str">
            <v>EUR</v>
          </cell>
          <cell r="E1234">
            <v>45747</v>
          </cell>
          <cell r="F1234">
            <v>176514.07</v>
          </cell>
          <cell r="G1234">
            <v>130</v>
          </cell>
          <cell r="H1234">
            <v>1357.8</v>
          </cell>
          <cell r="I1234">
            <v>0</v>
          </cell>
          <cell r="J1234">
            <v>1357.8</v>
          </cell>
          <cell r="K1234">
            <v>-0.47</v>
          </cell>
        </row>
        <row r="1235">
          <cell r="A1235" t="str">
            <v>LU2085674625</v>
          </cell>
          <cell r="B1235" t="str">
            <v>AMUNDI FUNDS EMERGING MARKETS BOND</v>
          </cell>
          <cell r="C1235" t="str">
            <v>Class Z EUR Hgd AD (D)</v>
          </cell>
          <cell r="D1235" t="str">
            <v>EUR</v>
          </cell>
          <cell r="E1235">
            <v>45747</v>
          </cell>
          <cell r="F1235">
            <v>3547515.67</v>
          </cell>
          <cell r="G1235">
            <v>4936.2529999999997</v>
          </cell>
          <cell r="H1235">
            <v>718.67</v>
          </cell>
          <cell r="I1235">
            <v>0</v>
          </cell>
          <cell r="J1235">
            <v>718.67</v>
          </cell>
          <cell r="K1235">
            <v>-1.56</v>
          </cell>
        </row>
        <row r="1236">
          <cell r="A1236" t="str">
            <v>LU2040440153</v>
          </cell>
          <cell r="B1236" t="str">
            <v>AMUNDI FUNDS EMERGING MARKETS BOND</v>
          </cell>
          <cell r="C1236" t="str">
            <v>Class Z USD (C)</v>
          </cell>
          <cell r="D1236" t="str">
            <v>USD</v>
          </cell>
          <cell r="E1236">
            <v>45747</v>
          </cell>
          <cell r="F1236">
            <v>4951703.59</v>
          </cell>
          <cell r="G1236">
            <v>4431.1360000000004</v>
          </cell>
          <cell r="H1236">
            <v>1117.48</v>
          </cell>
          <cell r="I1236">
            <v>0</v>
          </cell>
          <cell r="J1236">
            <v>1117.48</v>
          </cell>
          <cell r="K1236">
            <v>-2.31</v>
          </cell>
        </row>
        <row r="1237">
          <cell r="A1237" t="str">
            <v>LU2976322722</v>
          </cell>
          <cell r="B1237" t="str">
            <v>AMUNDI FUNDS PIONEER GLOBAL HIGH YIELD BOND</v>
          </cell>
          <cell r="C1237" t="str">
            <v>Class A2 USD (C)</v>
          </cell>
          <cell r="D1237" t="str">
            <v>USD</v>
          </cell>
          <cell r="E1237">
            <v>45747</v>
          </cell>
          <cell r="F1237">
            <v>5036.16</v>
          </cell>
          <cell r="G1237">
            <v>100</v>
          </cell>
          <cell r="H1237">
            <v>50.36</v>
          </cell>
          <cell r="I1237">
            <v>0</v>
          </cell>
          <cell r="J1237">
            <v>50.36</v>
          </cell>
          <cell r="K1237">
            <v>-0.11</v>
          </cell>
        </row>
        <row r="1238">
          <cell r="A1238" t="str">
            <v>LU1883834910</v>
          </cell>
          <cell r="B1238" t="str">
            <v>AMUNDI FUNDS PIONEER GLOBAL HIGH YIELD BOND</v>
          </cell>
          <cell r="C1238" t="str">
            <v>Class A EUR AD (D)</v>
          </cell>
          <cell r="D1238" t="str">
            <v>EUR</v>
          </cell>
          <cell r="E1238">
            <v>45747</v>
          </cell>
          <cell r="F1238">
            <v>218924.79999999999</v>
          </cell>
          <cell r="G1238">
            <v>4172.4399999999996</v>
          </cell>
          <cell r="H1238">
            <v>52.47</v>
          </cell>
          <cell r="I1238">
            <v>0</v>
          </cell>
          <cell r="J1238">
            <v>54.57</v>
          </cell>
          <cell r="K1238">
            <v>-0.01</v>
          </cell>
        </row>
        <row r="1239">
          <cell r="A1239" t="str">
            <v>LU1883834837</v>
          </cell>
          <cell r="B1239" t="str">
            <v>AMUNDI FUNDS PIONEER GLOBAL HIGH YIELD BOND</v>
          </cell>
          <cell r="C1239" t="str">
            <v>Class A EUR (C)</v>
          </cell>
          <cell r="D1239" t="str">
            <v>EUR</v>
          </cell>
          <cell r="E1239">
            <v>45747</v>
          </cell>
          <cell r="F1239">
            <v>2961339.76</v>
          </cell>
          <cell r="G1239">
            <v>21736.841</v>
          </cell>
          <cell r="H1239">
            <v>136.24</v>
          </cell>
          <cell r="I1239">
            <v>0</v>
          </cell>
          <cell r="J1239">
            <v>141.69</v>
          </cell>
          <cell r="K1239">
            <v>-0.02</v>
          </cell>
        </row>
        <row r="1240">
          <cell r="A1240" t="str">
            <v>LU2976323373</v>
          </cell>
          <cell r="B1240" t="str">
            <v>AMUNDI FUNDS PIONEER GLOBAL HIGH YIELD BOND</v>
          </cell>
          <cell r="C1240" t="str">
            <v>Class A2 USD MD (D)</v>
          </cell>
          <cell r="D1240" t="str">
            <v>USD</v>
          </cell>
          <cell r="E1240">
            <v>45747</v>
          </cell>
          <cell r="F1240">
            <v>4990.1400000000003</v>
          </cell>
          <cell r="G1240">
            <v>100</v>
          </cell>
          <cell r="H1240">
            <v>49.9</v>
          </cell>
          <cell r="I1240">
            <v>0.2225</v>
          </cell>
          <cell r="J1240">
            <v>49.9</v>
          </cell>
          <cell r="K1240">
            <v>-0.33</v>
          </cell>
        </row>
        <row r="1241">
          <cell r="A1241" t="str">
            <v>LU1883834670</v>
          </cell>
          <cell r="B1241" t="str">
            <v>AMUNDI FUNDS PIONEER GLOBAL HIGH YIELD BOND</v>
          </cell>
          <cell r="C1241" t="str">
            <v>Class A AUD Hgd MTD3 (D)</v>
          </cell>
          <cell r="D1241" t="str">
            <v>AUD</v>
          </cell>
          <cell r="E1241">
            <v>45747</v>
          </cell>
          <cell r="F1241">
            <v>3971025.6</v>
          </cell>
          <cell r="G1241">
            <v>240921.18599999999</v>
          </cell>
          <cell r="H1241">
            <v>16.48</v>
          </cell>
          <cell r="I1241">
            <v>0</v>
          </cell>
          <cell r="J1241">
            <v>17.14</v>
          </cell>
          <cell r="K1241">
            <v>-0.04</v>
          </cell>
        </row>
        <row r="1242">
          <cell r="A1242" t="str">
            <v>LU1883835131</v>
          </cell>
          <cell r="B1242" t="str">
            <v>AMUNDI FUNDS PIONEER GLOBAL HIGH YIELD BOND</v>
          </cell>
          <cell r="C1242" t="str">
            <v>Class A USD MTD (D)</v>
          </cell>
          <cell r="D1242" t="str">
            <v>USD</v>
          </cell>
          <cell r="E1242">
            <v>45747</v>
          </cell>
          <cell r="F1242">
            <v>6170960.6799999997</v>
          </cell>
          <cell r="G1242">
            <v>145960.50700000001</v>
          </cell>
          <cell r="H1242">
            <v>42.28</v>
          </cell>
          <cell r="I1242">
            <v>0</v>
          </cell>
          <cell r="J1242">
            <v>43.97</v>
          </cell>
          <cell r="K1242">
            <v>-0.09</v>
          </cell>
        </row>
        <row r="1243">
          <cell r="A1243" t="str">
            <v>LU1883835214</v>
          </cell>
          <cell r="B1243" t="str">
            <v>AMUNDI FUNDS PIONEER GLOBAL HIGH YIELD BOND</v>
          </cell>
          <cell r="C1243" t="str">
            <v>Class A USD MTD3 (D)</v>
          </cell>
          <cell r="D1243" t="str">
            <v>USD</v>
          </cell>
          <cell r="E1243">
            <v>45747</v>
          </cell>
          <cell r="F1243">
            <v>1804362.82</v>
          </cell>
          <cell r="G1243">
            <v>80548.759999999995</v>
          </cell>
          <cell r="H1243">
            <v>22.4</v>
          </cell>
          <cell r="I1243">
            <v>0</v>
          </cell>
          <cell r="J1243">
            <v>23.07</v>
          </cell>
          <cell r="K1243">
            <v>-0.05</v>
          </cell>
        </row>
        <row r="1244">
          <cell r="A1244" t="str">
            <v>LU1883835305</v>
          </cell>
          <cell r="B1244" t="str">
            <v>AMUNDI FUNDS PIONEER GLOBAL HIGH YIELD BOND</v>
          </cell>
          <cell r="C1244" t="str">
            <v>Class A USD MGI (D)</v>
          </cell>
          <cell r="D1244" t="str">
            <v>USD</v>
          </cell>
          <cell r="E1244">
            <v>45747</v>
          </cell>
          <cell r="F1244">
            <v>118972579.89</v>
          </cell>
          <cell r="G1244">
            <v>3821154.639</v>
          </cell>
          <cell r="H1244">
            <v>31.14</v>
          </cell>
          <cell r="I1244">
            <v>0</v>
          </cell>
          <cell r="J1244">
            <v>32.39</v>
          </cell>
          <cell r="K1244">
            <v>-0.06</v>
          </cell>
        </row>
        <row r="1245">
          <cell r="A1245" t="str">
            <v>LU1883834753</v>
          </cell>
          <cell r="B1245" t="str">
            <v>AMUNDI FUNDS PIONEER GLOBAL HIGH YIELD BOND</v>
          </cell>
          <cell r="C1245" t="str">
            <v>Class A CZK Hgd (C)</v>
          </cell>
          <cell r="D1245" t="str">
            <v>CZK</v>
          </cell>
          <cell r="E1245">
            <v>45747</v>
          </cell>
          <cell r="F1245">
            <v>199195957.05000001</v>
          </cell>
          <cell r="G1245">
            <v>124370.90399999999</v>
          </cell>
          <cell r="H1245">
            <v>1601.63</v>
          </cell>
          <cell r="I1245">
            <v>0</v>
          </cell>
          <cell r="J1245">
            <v>1665.7</v>
          </cell>
          <cell r="K1245">
            <v>-3.4</v>
          </cell>
        </row>
        <row r="1246">
          <cell r="A1246" t="str">
            <v>LU1883835057</v>
          </cell>
          <cell r="B1246" t="str">
            <v>AMUNDI FUNDS PIONEER GLOBAL HIGH YIELD BOND</v>
          </cell>
          <cell r="C1246" t="str">
            <v>Class A USD (C)</v>
          </cell>
          <cell r="D1246" t="str">
            <v>USD</v>
          </cell>
          <cell r="E1246">
            <v>45747</v>
          </cell>
          <cell r="F1246">
            <v>6712979.3300000001</v>
          </cell>
          <cell r="G1246">
            <v>45614.392</v>
          </cell>
          <cell r="H1246">
            <v>147.16999999999999</v>
          </cell>
          <cell r="I1246">
            <v>0</v>
          </cell>
          <cell r="J1246">
            <v>153.06</v>
          </cell>
          <cell r="K1246">
            <v>-0.31</v>
          </cell>
        </row>
        <row r="1247">
          <cell r="A1247" t="str">
            <v>LU1883836295</v>
          </cell>
          <cell r="B1247" t="str">
            <v>AMUNDI FUNDS PIONEER GLOBAL HIGH YIELD BOND</v>
          </cell>
          <cell r="C1247" t="str">
            <v>Class B ZAR Hgd MTD3 (D)</v>
          </cell>
          <cell r="D1247" t="str">
            <v>ZAR</v>
          </cell>
          <cell r="E1247">
            <v>45747</v>
          </cell>
          <cell r="F1247">
            <v>5988707.1200000001</v>
          </cell>
          <cell r="G1247">
            <v>7660.06</v>
          </cell>
          <cell r="H1247">
            <v>781.81</v>
          </cell>
          <cell r="I1247">
            <v>0</v>
          </cell>
          <cell r="J1247">
            <v>781.81</v>
          </cell>
          <cell r="K1247">
            <v>-1.63</v>
          </cell>
        </row>
        <row r="1248">
          <cell r="A1248" t="str">
            <v>LU1883836022</v>
          </cell>
          <cell r="B1248" t="str">
            <v>AMUNDI FUNDS PIONEER GLOBAL HIGH YIELD BOND</v>
          </cell>
          <cell r="C1248" t="str">
            <v>Class B USD MGI (D)</v>
          </cell>
          <cell r="D1248" t="str">
            <v>USD</v>
          </cell>
          <cell r="E1248">
            <v>45747</v>
          </cell>
          <cell r="F1248">
            <v>125202.76</v>
          </cell>
          <cell r="G1248">
            <v>2489.5320000000002</v>
          </cell>
          <cell r="H1248">
            <v>50.29</v>
          </cell>
          <cell r="I1248">
            <v>0</v>
          </cell>
          <cell r="J1248">
            <v>50.29</v>
          </cell>
          <cell r="K1248">
            <v>-0.11</v>
          </cell>
        </row>
        <row r="1249">
          <cell r="A1249" t="str">
            <v>LU1883835990</v>
          </cell>
          <cell r="B1249" t="str">
            <v>AMUNDI FUNDS PIONEER GLOBAL HIGH YIELD BOND</v>
          </cell>
          <cell r="C1249" t="str">
            <v>Class B USD MTD3 (D)</v>
          </cell>
          <cell r="D1249" t="str">
            <v>USD</v>
          </cell>
          <cell r="E1249">
            <v>45747</v>
          </cell>
          <cell r="F1249">
            <v>142827.46</v>
          </cell>
          <cell r="G1249">
            <v>6549.07</v>
          </cell>
          <cell r="H1249">
            <v>21.81</v>
          </cell>
          <cell r="I1249">
            <v>0</v>
          </cell>
          <cell r="J1249">
            <v>21.81</v>
          </cell>
          <cell r="K1249">
            <v>-0.05</v>
          </cell>
        </row>
        <row r="1250">
          <cell r="A1250" t="str">
            <v>LU1883835560</v>
          </cell>
          <cell r="B1250" t="str">
            <v>AMUNDI FUNDS PIONEER GLOBAL HIGH YIELD BOND</v>
          </cell>
          <cell r="C1250" t="str">
            <v>Class B AUD Hgd MTD3 (D)</v>
          </cell>
          <cell r="D1250" t="str">
            <v>AUD</v>
          </cell>
          <cell r="E1250">
            <v>45747</v>
          </cell>
          <cell r="F1250">
            <v>2790.91</v>
          </cell>
          <cell r="G1250">
            <v>60.895000000000003</v>
          </cell>
          <cell r="H1250">
            <v>45.83</v>
          </cell>
          <cell r="I1250">
            <v>0</v>
          </cell>
          <cell r="J1250">
            <v>45.83</v>
          </cell>
          <cell r="K1250">
            <v>-0.11</v>
          </cell>
        </row>
        <row r="1251">
          <cell r="A1251" t="str">
            <v>LU1883837426</v>
          </cell>
          <cell r="B1251" t="str">
            <v>AMUNDI FUNDS PIONEER GLOBAL HIGH YIELD BOND</v>
          </cell>
          <cell r="C1251" t="str">
            <v>Class M2 EUR (C)</v>
          </cell>
          <cell r="D1251" t="str">
            <v>EUR</v>
          </cell>
          <cell r="E1251">
            <v>45747</v>
          </cell>
          <cell r="F1251">
            <v>96180.5</v>
          </cell>
          <cell r="G1251">
            <v>34.061999999999998</v>
          </cell>
          <cell r="H1251">
            <v>2823.69</v>
          </cell>
          <cell r="I1251">
            <v>0</v>
          </cell>
          <cell r="J1251">
            <v>2823.69</v>
          </cell>
          <cell r="K1251">
            <v>-0.24</v>
          </cell>
        </row>
        <row r="1252">
          <cell r="A1252" t="str">
            <v>LU1883837699</v>
          </cell>
          <cell r="B1252" t="str">
            <v>AMUNDI FUNDS PIONEER GLOBAL HIGH YIELD BOND</v>
          </cell>
          <cell r="C1252" t="str">
            <v>Class M2 EUR AD (D)</v>
          </cell>
          <cell r="D1252" t="str">
            <v>EUR</v>
          </cell>
          <cell r="E1252">
            <v>45747</v>
          </cell>
          <cell r="F1252">
            <v>44773.19</v>
          </cell>
          <cell r="G1252">
            <v>48.348999999999997</v>
          </cell>
          <cell r="H1252">
            <v>926.04</v>
          </cell>
          <cell r="I1252">
            <v>0</v>
          </cell>
          <cell r="J1252">
            <v>926.04</v>
          </cell>
          <cell r="K1252">
            <v>-0.08</v>
          </cell>
        </row>
        <row r="1253">
          <cell r="A1253" t="str">
            <v>LU1883837772</v>
          </cell>
          <cell r="B1253" t="str">
            <v>AMUNDI FUNDS PIONEER GLOBAL HIGH YIELD BOND</v>
          </cell>
          <cell r="C1253" t="str">
            <v>Class M2 EUR Hgd (C)</v>
          </cell>
          <cell r="D1253" t="str">
            <v>EUR</v>
          </cell>
          <cell r="E1253">
            <v>45747</v>
          </cell>
          <cell r="F1253">
            <v>4476.76</v>
          </cell>
          <cell r="G1253">
            <v>2.6859999999999999</v>
          </cell>
          <cell r="H1253">
            <v>1666.7</v>
          </cell>
          <cell r="I1253">
            <v>0</v>
          </cell>
          <cell r="J1253">
            <v>1666.7</v>
          </cell>
          <cell r="K1253">
            <v>-3.46</v>
          </cell>
        </row>
        <row r="1254">
          <cell r="A1254" t="str">
            <v>LU1883836378</v>
          </cell>
          <cell r="B1254" t="str">
            <v>AMUNDI FUNDS PIONEER GLOBAL HIGH YIELD BOND</v>
          </cell>
          <cell r="C1254" t="str">
            <v>Class C EUR (C)</v>
          </cell>
          <cell r="D1254" t="str">
            <v>EUR</v>
          </cell>
          <cell r="E1254">
            <v>45747</v>
          </cell>
          <cell r="F1254">
            <v>242040.29</v>
          </cell>
          <cell r="G1254">
            <v>2079.8850000000002</v>
          </cell>
          <cell r="H1254">
            <v>116.37</v>
          </cell>
          <cell r="I1254">
            <v>0</v>
          </cell>
          <cell r="J1254">
            <v>116.37</v>
          </cell>
          <cell r="K1254">
            <v>-0.03</v>
          </cell>
        </row>
        <row r="1255">
          <cell r="A1255" t="str">
            <v>LU1883836451</v>
          </cell>
          <cell r="B1255" t="str">
            <v>AMUNDI FUNDS PIONEER GLOBAL HIGH YIELD BOND</v>
          </cell>
          <cell r="C1255" t="str">
            <v>Class C USD (C)</v>
          </cell>
          <cell r="D1255" t="str">
            <v>USD</v>
          </cell>
          <cell r="E1255">
            <v>45747</v>
          </cell>
          <cell r="F1255">
            <v>3268264.45</v>
          </cell>
          <cell r="G1255">
            <v>26002.744999999999</v>
          </cell>
          <cell r="H1255">
            <v>125.69</v>
          </cell>
          <cell r="I1255">
            <v>0</v>
          </cell>
          <cell r="J1255">
            <v>125.69</v>
          </cell>
          <cell r="K1255">
            <v>-0.27</v>
          </cell>
        </row>
        <row r="1256">
          <cell r="A1256" t="str">
            <v>LU1883836535</v>
          </cell>
          <cell r="B1256" t="str">
            <v>AMUNDI FUNDS PIONEER GLOBAL HIGH YIELD BOND</v>
          </cell>
          <cell r="C1256" t="str">
            <v>Class C USD MTD (D)</v>
          </cell>
          <cell r="D1256" t="str">
            <v>USD</v>
          </cell>
          <cell r="E1256">
            <v>45747</v>
          </cell>
          <cell r="F1256">
            <v>1322026.1100000001</v>
          </cell>
          <cell r="G1256">
            <v>32333.835999999999</v>
          </cell>
          <cell r="H1256">
            <v>40.89</v>
          </cell>
          <cell r="I1256">
            <v>0</v>
          </cell>
          <cell r="J1256">
            <v>40.89</v>
          </cell>
          <cell r="K1256">
            <v>-0.09</v>
          </cell>
        </row>
        <row r="1257">
          <cell r="A1257" t="str">
            <v>LU1883835487</v>
          </cell>
          <cell r="B1257" t="str">
            <v>AMUNDI FUNDS PIONEER GLOBAL HIGH YIELD BOND</v>
          </cell>
          <cell r="C1257" t="str">
            <v>Class A ZAR Hgd MTD3 (D)</v>
          </cell>
          <cell r="D1257" t="str">
            <v>ZAR</v>
          </cell>
          <cell r="E1257">
            <v>45747</v>
          </cell>
          <cell r="F1257">
            <v>131620704.28</v>
          </cell>
          <cell r="G1257">
            <v>545466.24800000002</v>
          </cell>
          <cell r="H1257">
            <v>241.3</v>
          </cell>
          <cell r="I1257">
            <v>0</v>
          </cell>
          <cell r="J1257">
            <v>250.95</v>
          </cell>
          <cell r="K1257">
            <v>-0.49</v>
          </cell>
        </row>
        <row r="1258">
          <cell r="A1258" t="str">
            <v>LU1883836618</v>
          </cell>
          <cell r="B1258" t="str">
            <v>AMUNDI FUNDS PIONEER GLOBAL HIGH YIELD BOND</v>
          </cell>
          <cell r="C1258" t="str">
            <v>Class E2 EUR (C)</v>
          </cell>
          <cell r="D1258" t="str">
            <v>EUR</v>
          </cell>
          <cell r="E1258">
            <v>45747</v>
          </cell>
          <cell r="F1258">
            <v>5762525.1200000001</v>
          </cell>
          <cell r="G1258">
            <v>403572.34299999999</v>
          </cell>
          <cell r="H1258">
            <v>14.279</v>
          </cell>
          <cell r="I1258">
            <v>0</v>
          </cell>
          <cell r="J1258">
            <v>14.279</v>
          </cell>
          <cell r="K1258">
            <v>-2E-3</v>
          </cell>
        </row>
        <row r="1259">
          <cell r="A1259" t="str">
            <v>LU1883836881</v>
          </cell>
          <cell r="B1259" t="str">
            <v>AMUNDI FUNDS PIONEER GLOBAL HIGH YIELD BOND</v>
          </cell>
          <cell r="C1259" t="str">
            <v>Class F EUR (C)</v>
          </cell>
          <cell r="D1259" t="str">
            <v>EUR</v>
          </cell>
          <cell r="E1259">
            <v>45747</v>
          </cell>
          <cell r="F1259">
            <v>4575576.37</v>
          </cell>
          <cell r="G1259">
            <v>389927.99400000001</v>
          </cell>
          <cell r="H1259">
            <v>11.734</v>
          </cell>
          <cell r="I1259">
            <v>0</v>
          </cell>
          <cell r="J1259">
            <v>11.734</v>
          </cell>
          <cell r="K1259">
            <v>-3.0000000000000001E-3</v>
          </cell>
        </row>
        <row r="1260">
          <cell r="A1260" t="str">
            <v>LU1883836964</v>
          </cell>
          <cell r="B1260" t="str">
            <v>AMUNDI FUNDS PIONEER GLOBAL HIGH YIELD BOND</v>
          </cell>
          <cell r="C1260" t="str">
            <v>Class F EUR QTD (D)</v>
          </cell>
          <cell r="D1260" t="str">
            <v>EUR</v>
          </cell>
          <cell r="E1260">
            <v>45747</v>
          </cell>
          <cell r="F1260">
            <v>3555966.29</v>
          </cell>
          <cell r="G1260">
            <v>731200.87300000002</v>
          </cell>
          <cell r="H1260">
            <v>4.8630000000000004</v>
          </cell>
          <cell r="I1260">
            <v>0</v>
          </cell>
          <cell r="J1260">
            <v>4.8630000000000004</v>
          </cell>
          <cell r="K1260">
            <v>-1E-3</v>
          </cell>
        </row>
        <row r="1261">
          <cell r="A1261" t="str">
            <v>LU1883837343</v>
          </cell>
          <cell r="B1261" t="str">
            <v>AMUNDI FUNDS PIONEER GLOBAL HIGH YIELD BOND</v>
          </cell>
          <cell r="C1261" t="str">
            <v>Class I2 USD (C)</v>
          </cell>
          <cell r="D1261" t="str">
            <v>USD</v>
          </cell>
          <cell r="E1261">
            <v>45747</v>
          </cell>
          <cell r="F1261">
            <v>6054016.1799999997</v>
          </cell>
          <cell r="G1261">
            <v>2086.2579999999998</v>
          </cell>
          <cell r="H1261">
            <v>2901.85</v>
          </cell>
          <cell r="I1261">
            <v>0</v>
          </cell>
          <cell r="J1261">
            <v>2901.85</v>
          </cell>
          <cell r="K1261">
            <v>-5.88</v>
          </cell>
        </row>
        <row r="1262">
          <cell r="A1262" t="str">
            <v>LU1883836709</v>
          </cell>
          <cell r="B1262" t="str">
            <v>AMUNDI FUNDS PIONEER GLOBAL HIGH YIELD BOND</v>
          </cell>
          <cell r="C1262" t="str">
            <v>Class E2 EUR QTD (D)</v>
          </cell>
          <cell r="D1262" t="str">
            <v>EUR</v>
          </cell>
          <cell r="E1262">
            <v>45747</v>
          </cell>
          <cell r="F1262">
            <v>17923517.100000001</v>
          </cell>
          <cell r="G1262">
            <v>3374569.0389999999</v>
          </cell>
          <cell r="H1262">
            <v>5.3109999999999999</v>
          </cell>
          <cell r="I1262">
            <v>0</v>
          </cell>
          <cell r="J1262">
            <v>5.3109999999999999</v>
          </cell>
          <cell r="K1262">
            <v>-1E-3</v>
          </cell>
        </row>
        <row r="1263">
          <cell r="A1263" t="str">
            <v>LU1883837186</v>
          </cell>
          <cell r="B1263" t="str">
            <v>AMUNDI FUNDS PIONEER GLOBAL HIGH YIELD BOND</v>
          </cell>
          <cell r="C1263" t="str">
            <v>Class I2 EUR Hgd (C)</v>
          </cell>
          <cell r="D1263" t="str">
            <v>EUR</v>
          </cell>
          <cell r="E1263">
            <v>45747</v>
          </cell>
          <cell r="F1263">
            <v>7637840.6399999997</v>
          </cell>
          <cell r="G1263">
            <v>6580.5860000000002</v>
          </cell>
          <cell r="H1263">
            <v>1160.6600000000001</v>
          </cell>
          <cell r="I1263">
            <v>0</v>
          </cell>
          <cell r="J1263">
            <v>1160.6600000000001</v>
          </cell>
          <cell r="K1263">
            <v>-2.41</v>
          </cell>
        </row>
        <row r="1264">
          <cell r="A1264" t="str">
            <v>LU1883837004</v>
          </cell>
          <cell r="B1264" t="str">
            <v>AMUNDI FUNDS PIONEER GLOBAL HIGH YIELD BOND</v>
          </cell>
          <cell r="C1264" t="str">
            <v>Class I2 EUR (C)</v>
          </cell>
          <cell r="D1264" t="str">
            <v>EUR</v>
          </cell>
          <cell r="E1264">
            <v>45747</v>
          </cell>
          <cell r="F1264">
            <v>1281685.19</v>
          </cell>
          <cell r="G1264">
            <v>477</v>
          </cell>
          <cell r="H1264">
            <v>2686.97</v>
          </cell>
          <cell r="I1264">
            <v>0</v>
          </cell>
          <cell r="J1264">
            <v>2686.97</v>
          </cell>
          <cell r="K1264">
            <v>-0.22</v>
          </cell>
        </row>
        <row r="1265">
          <cell r="A1265" t="str">
            <v>LU1894680674</v>
          </cell>
          <cell r="B1265" t="str">
            <v>AMUNDI FUNDS PIONEER GLOBAL HIGH YIELD BOND</v>
          </cell>
          <cell r="C1265" t="str">
            <v>Class G EUR Hgd AD (D)</v>
          </cell>
          <cell r="D1265" t="str">
            <v>EUR</v>
          </cell>
          <cell r="E1265">
            <v>45747</v>
          </cell>
          <cell r="F1265">
            <v>104450.22</v>
          </cell>
          <cell r="G1265">
            <v>27259.582999999999</v>
          </cell>
          <cell r="H1265">
            <v>3.8319999999999999</v>
          </cell>
          <cell r="I1265">
            <v>0</v>
          </cell>
          <cell r="J1265">
            <v>3.8319999999999999</v>
          </cell>
          <cell r="K1265">
            <v>-8.0000000000000002E-3</v>
          </cell>
        </row>
        <row r="1266">
          <cell r="A1266" t="str">
            <v>LU1883838747</v>
          </cell>
          <cell r="B1266" t="str">
            <v>AMUNDI FUNDS PIONEER GLOBAL HIGH YIELD BOND</v>
          </cell>
          <cell r="C1266" t="str">
            <v>Class T ZAR Hgd MTD3 (D)</v>
          </cell>
          <cell r="D1266" t="str">
            <v>ZAR</v>
          </cell>
          <cell r="E1266">
            <v>45747</v>
          </cell>
          <cell r="F1266">
            <v>2924799.47</v>
          </cell>
          <cell r="G1266">
            <v>11860.942999999999</v>
          </cell>
          <cell r="H1266">
            <v>246.59</v>
          </cell>
          <cell r="I1266">
            <v>0</v>
          </cell>
          <cell r="J1266">
            <v>246.59</v>
          </cell>
          <cell r="K1266">
            <v>-0.52</v>
          </cell>
        </row>
        <row r="1267">
          <cell r="A1267" t="str">
            <v>LU1883838317</v>
          </cell>
          <cell r="B1267" t="str">
            <v>AMUNDI FUNDS PIONEER GLOBAL HIGH YIELD BOND</v>
          </cell>
          <cell r="C1267" t="str">
            <v>Class R2 GBP (C)</v>
          </cell>
          <cell r="D1267" t="str">
            <v>GBP</v>
          </cell>
          <cell r="E1267">
            <v>45747</v>
          </cell>
          <cell r="F1267">
            <v>13444.2</v>
          </cell>
          <cell r="G1267">
            <v>136.322</v>
          </cell>
          <cell r="H1267">
            <v>98.62</v>
          </cell>
          <cell r="I1267">
            <v>0</v>
          </cell>
          <cell r="J1267">
            <v>98.62</v>
          </cell>
          <cell r="K1267">
            <v>0.05</v>
          </cell>
        </row>
        <row r="1268">
          <cell r="A1268" t="str">
            <v>LU1883837939</v>
          </cell>
          <cell r="B1268" t="str">
            <v>AMUNDI FUNDS PIONEER GLOBAL HIGH YIELD BOND</v>
          </cell>
          <cell r="C1268" t="str">
            <v>Class P2 USD (C)</v>
          </cell>
          <cell r="D1268" t="str">
            <v>USD</v>
          </cell>
          <cell r="E1268">
            <v>45747</v>
          </cell>
          <cell r="F1268">
            <v>268525.81</v>
          </cell>
          <cell r="G1268">
            <v>5348.3140000000003</v>
          </cell>
          <cell r="H1268">
            <v>50.21</v>
          </cell>
          <cell r="I1268">
            <v>0</v>
          </cell>
          <cell r="J1268">
            <v>50.21</v>
          </cell>
          <cell r="K1268">
            <v>-0.1</v>
          </cell>
        </row>
        <row r="1269">
          <cell r="A1269" t="str">
            <v>LU1883838150</v>
          </cell>
          <cell r="B1269" t="str">
            <v>AMUNDI FUNDS PIONEER GLOBAL HIGH YIELD BOND</v>
          </cell>
          <cell r="C1269" t="str">
            <v>Class Q-D USD MTD (D)</v>
          </cell>
          <cell r="D1269" t="str">
            <v>USD</v>
          </cell>
          <cell r="E1269">
            <v>45747</v>
          </cell>
          <cell r="F1269">
            <v>43366.27</v>
          </cell>
          <cell r="G1269">
            <v>912.70100000000002</v>
          </cell>
          <cell r="H1269">
            <v>47.51</v>
          </cell>
          <cell r="I1269">
            <v>0</v>
          </cell>
          <cell r="J1269">
            <v>48.94</v>
          </cell>
          <cell r="K1269">
            <v>-0.11</v>
          </cell>
        </row>
        <row r="1270">
          <cell r="A1270" t="str">
            <v>LU1883839042</v>
          </cell>
          <cell r="B1270" t="str">
            <v>AMUNDI FUNDS PIONEER GLOBAL HIGH YIELD BOND</v>
          </cell>
          <cell r="C1270" t="str">
            <v>Class U USD MTD3 (D)</v>
          </cell>
          <cell r="D1270" t="str">
            <v>USD</v>
          </cell>
          <cell r="E1270">
            <v>45747</v>
          </cell>
          <cell r="F1270">
            <v>54420.62</v>
          </cell>
          <cell r="G1270">
            <v>1167.6020000000001</v>
          </cell>
          <cell r="H1270">
            <v>46.61</v>
          </cell>
          <cell r="I1270">
            <v>0</v>
          </cell>
          <cell r="J1270">
            <v>46.61</v>
          </cell>
          <cell r="K1270">
            <v>-0.1</v>
          </cell>
        </row>
        <row r="1271">
          <cell r="A1271" t="str">
            <v>LU1883838408</v>
          </cell>
          <cell r="B1271" t="str">
            <v>AMUNDI FUNDS PIONEER GLOBAL HIGH YIELD BOND</v>
          </cell>
          <cell r="C1271" t="str">
            <v>Class R2 USD (C)</v>
          </cell>
          <cell r="D1271" t="str">
            <v>USD</v>
          </cell>
          <cell r="E1271">
            <v>45747</v>
          </cell>
          <cell r="F1271">
            <v>12933.02</v>
          </cell>
          <cell r="G1271">
            <v>189.53899999999999</v>
          </cell>
          <cell r="H1271">
            <v>68.23</v>
          </cell>
          <cell r="I1271">
            <v>0</v>
          </cell>
          <cell r="J1271">
            <v>68.23</v>
          </cell>
          <cell r="K1271">
            <v>-0.14000000000000001</v>
          </cell>
        </row>
        <row r="1272">
          <cell r="A1272" t="str">
            <v>LU2031986123</v>
          </cell>
          <cell r="B1272" t="str">
            <v>AMUNDI FUNDS PIONEER GLOBAL HIGH YIELD BOND</v>
          </cell>
          <cell r="C1272" t="str">
            <v>Class Z USD (C)</v>
          </cell>
          <cell r="D1272" t="str">
            <v>USD</v>
          </cell>
          <cell r="E1272">
            <v>45747</v>
          </cell>
          <cell r="F1272">
            <v>2398665.63</v>
          </cell>
          <cell r="G1272">
            <v>1813.6310000000001</v>
          </cell>
          <cell r="H1272">
            <v>1322.58</v>
          </cell>
          <cell r="I1272">
            <v>0</v>
          </cell>
          <cell r="J1272">
            <v>1322.58</v>
          </cell>
          <cell r="K1272">
            <v>-2.66</v>
          </cell>
        </row>
        <row r="1273">
          <cell r="A1273" t="str">
            <v>LU2976322995</v>
          </cell>
          <cell r="B1273" t="str">
            <v>AMUNDI FUNDS STRATEGIC INCOME</v>
          </cell>
          <cell r="C1273" t="str">
            <v>Class A2 USD (C)</v>
          </cell>
          <cell r="D1273" t="str">
            <v>USD</v>
          </cell>
          <cell r="E1273">
            <v>45747</v>
          </cell>
          <cell r="F1273">
            <v>5136.3100000000004</v>
          </cell>
          <cell r="G1273">
            <v>100</v>
          </cell>
          <cell r="H1273">
            <v>51.36</v>
          </cell>
          <cell r="I1273">
            <v>0</v>
          </cell>
          <cell r="J1273">
            <v>51.36</v>
          </cell>
          <cell r="K1273">
            <v>0</v>
          </cell>
        </row>
        <row r="1274">
          <cell r="A1274" t="str">
            <v>LU1883841022</v>
          </cell>
          <cell r="B1274" t="str">
            <v>AMUNDI FUNDS STRATEGIC INCOME</v>
          </cell>
          <cell r="C1274" t="str">
            <v>Class A EUR (C)</v>
          </cell>
          <cell r="D1274" t="str">
            <v>EUR</v>
          </cell>
          <cell r="E1274">
            <v>45747</v>
          </cell>
          <cell r="F1274">
            <v>134497648.93000001</v>
          </cell>
          <cell r="G1274">
            <v>11379674.698000001</v>
          </cell>
          <cell r="H1274">
            <v>11.82</v>
          </cell>
          <cell r="I1274">
            <v>0</v>
          </cell>
          <cell r="J1274">
            <v>12.17</v>
          </cell>
          <cell r="K1274">
            <v>0.03</v>
          </cell>
        </row>
        <row r="1275">
          <cell r="A1275" t="str">
            <v>LU2070309294</v>
          </cell>
          <cell r="B1275" t="str">
            <v>AMUNDI FUNDS STRATEGIC INCOME</v>
          </cell>
          <cell r="C1275" t="str">
            <v>Class A2 EUR (C)</v>
          </cell>
          <cell r="D1275" t="str">
            <v>EUR</v>
          </cell>
          <cell r="E1275">
            <v>45747</v>
          </cell>
          <cell r="F1275">
            <v>5402.2</v>
          </cell>
          <cell r="G1275">
            <v>100</v>
          </cell>
          <cell r="H1275">
            <v>54.02</v>
          </cell>
          <cell r="I1275">
            <v>0</v>
          </cell>
          <cell r="J1275">
            <v>55.64</v>
          </cell>
          <cell r="K1275">
            <v>0.11</v>
          </cell>
        </row>
        <row r="1276">
          <cell r="A1276" t="str">
            <v>LU1883840644</v>
          </cell>
          <cell r="B1276" t="str">
            <v>AMUNDI FUNDS STRATEGIC INCOME</v>
          </cell>
          <cell r="C1276" t="str">
            <v>Class A AUD Hgd MTD3 (D)</v>
          </cell>
          <cell r="D1276" t="str">
            <v>AUD</v>
          </cell>
          <cell r="E1276">
            <v>45747</v>
          </cell>
          <cell r="F1276">
            <v>80877891.319999993</v>
          </cell>
          <cell r="G1276">
            <v>3349136.625</v>
          </cell>
          <cell r="H1276">
            <v>24.15</v>
          </cell>
          <cell r="I1276">
            <v>0</v>
          </cell>
          <cell r="J1276">
            <v>24.87</v>
          </cell>
          <cell r="K1276">
            <v>0.01</v>
          </cell>
        </row>
        <row r="1277">
          <cell r="A1277" t="str">
            <v>LU2032056512</v>
          </cell>
          <cell r="B1277" t="str">
            <v>AMUNDI FUNDS STRATEGIC INCOME</v>
          </cell>
          <cell r="C1277" t="str">
            <v>Class A5 EUR (C)</v>
          </cell>
          <cell r="D1277" t="str">
            <v>EUR</v>
          </cell>
          <cell r="E1277">
            <v>45747</v>
          </cell>
          <cell r="F1277">
            <v>113621489.58</v>
          </cell>
          <cell r="G1277">
            <v>2041976.9509999999</v>
          </cell>
          <cell r="H1277">
            <v>55.64</v>
          </cell>
          <cell r="I1277">
            <v>0</v>
          </cell>
          <cell r="J1277">
            <v>55.64</v>
          </cell>
          <cell r="K1277">
            <v>0.12</v>
          </cell>
        </row>
        <row r="1278">
          <cell r="A1278" t="str">
            <v>LU2574252404</v>
          </cell>
          <cell r="B1278" t="str">
            <v>AMUNDI FUNDS STRATEGIC INCOME</v>
          </cell>
          <cell r="C1278" t="str">
            <v>Class A2 USD MD (D)</v>
          </cell>
          <cell r="D1278" t="str">
            <v>USD</v>
          </cell>
          <cell r="E1278">
            <v>45747</v>
          </cell>
          <cell r="F1278">
            <v>4960.08</v>
          </cell>
          <cell r="G1278">
            <v>100</v>
          </cell>
          <cell r="H1278">
            <v>49.6</v>
          </cell>
          <cell r="I1278">
            <v>0.17349999999999999</v>
          </cell>
          <cell r="J1278">
            <v>49.6</v>
          </cell>
          <cell r="K1278">
            <v>-0.17</v>
          </cell>
        </row>
        <row r="1279">
          <cell r="A1279" t="str">
            <v>LU1883841618</v>
          </cell>
          <cell r="B1279" t="str">
            <v>AMUNDI FUNDS STRATEGIC INCOME</v>
          </cell>
          <cell r="C1279" t="str">
            <v>Class A USD MTD (D)</v>
          </cell>
          <cell r="D1279" t="str">
            <v>USD</v>
          </cell>
          <cell r="E1279">
            <v>45747</v>
          </cell>
          <cell r="F1279">
            <v>16002134.93</v>
          </cell>
          <cell r="G1279">
            <v>2836656.94</v>
          </cell>
          <cell r="H1279">
            <v>5.64</v>
          </cell>
          <cell r="I1279">
            <v>0</v>
          </cell>
          <cell r="J1279">
            <v>5.81</v>
          </cell>
          <cell r="K1279">
            <v>0</v>
          </cell>
        </row>
        <row r="1280">
          <cell r="A1280" t="str">
            <v>LU1883841709</v>
          </cell>
          <cell r="B1280" t="str">
            <v>AMUNDI FUNDS STRATEGIC INCOME</v>
          </cell>
          <cell r="C1280" t="str">
            <v>Class A USD MTD3 (D)</v>
          </cell>
          <cell r="D1280" t="str">
            <v>USD</v>
          </cell>
          <cell r="E1280">
            <v>45747</v>
          </cell>
          <cell r="F1280">
            <v>231771750.5</v>
          </cell>
          <cell r="G1280">
            <v>7845557.9009999996</v>
          </cell>
          <cell r="H1280">
            <v>29.54</v>
          </cell>
          <cell r="I1280">
            <v>0</v>
          </cell>
          <cell r="J1280">
            <v>30.43</v>
          </cell>
          <cell r="K1280">
            <v>0</v>
          </cell>
        </row>
        <row r="1281">
          <cell r="A1281" t="str">
            <v>LU1883841881</v>
          </cell>
          <cell r="B1281" t="str">
            <v>AMUNDI FUNDS STRATEGIC INCOME</v>
          </cell>
          <cell r="C1281" t="str">
            <v>Class A USD MGI (D)</v>
          </cell>
          <cell r="D1281" t="str">
            <v>USD</v>
          </cell>
          <cell r="E1281">
            <v>45747</v>
          </cell>
          <cell r="F1281">
            <v>170660521.75</v>
          </cell>
          <cell r="G1281">
            <v>3952278.122</v>
          </cell>
          <cell r="H1281">
            <v>43.18</v>
          </cell>
          <cell r="I1281">
            <v>0</v>
          </cell>
          <cell r="J1281">
            <v>44.48</v>
          </cell>
          <cell r="K1281">
            <v>0.01</v>
          </cell>
        </row>
        <row r="1282">
          <cell r="A1282" t="str">
            <v>LU1883841378</v>
          </cell>
          <cell r="B1282" t="str">
            <v>AMUNDI FUNDS STRATEGIC INCOME</v>
          </cell>
          <cell r="C1282" t="str">
            <v>Class A EUR Hgd AD (D)</v>
          </cell>
          <cell r="D1282" t="str">
            <v>EUR</v>
          </cell>
          <cell r="E1282">
            <v>45747</v>
          </cell>
          <cell r="F1282">
            <v>2265911.15</v>
          </cell>
          <cell r="G1282">
            <v>57866.413999999997</v>
          </cell>
          <cell r="H1282">
            <v>39.159999999999997</v>
          </cell>
          <cell r="I1282">
            <v>0</v>
          </cell>
          <cell r="J1282">
            <v>40.33</v>
          </cell>
          <cell r="K1282">
            <v>0.01</v>
          </cell>
        </row>
        <row r="1283">
          <cell r="A1283" t="str">
            <v>LU1883841451</v>
          </cell>
          <cell r="B1283" t="str">
            <v>AMUNDI FUNDS STRATEGIC INCOME</v>
          </cell>
          <cell r="C1283" t="str">
            <v>Class A EUR Hgd MGI (D)</v>
          </cell>
          <cell r="D1283" t="str">
            <v>EUR</v>
          </cell>
          <cell r="E1283">
            <v>45747</v>
          </cell>
          <cell r="F1283">
            <v>31516983.16</v>
          </cell>
          <cell r="G1283">
            <v>1184310.581</v>
          </cell>
          <cell r="H1283">
            <v>26.61</v>
          </cell>
          <cell r="I1283">
            <v>0</v>
          </cell>
          <cell r="J1283">
            <v>27.41</v>
          </cell>
          <cell r="K1283">
            <v>0</v>
          </cell>
        </row>
        <row r="1284">
          <cell r="A1284" t="str">
            <v>LU1883840727</v>
          </cell>
          <cell r="B1284" t="str">
            <v>AMUNDI FUNDS STRATEGIC INCOME</v>
          </cell>
          <cell r="C1284" t="str">
            <v>Class A CHF Hgd (C)</v>
          </cell>
          <cell r="D1284" t="str">
            <v>CHF</v>
          </cell>
          <cell r="E1284">
            <v>45747</v>
          </cell>
          <cell r="F1284">
            <v>273981.37</v>
          </cell>
          <cell r="G1284">
            <v>5938.8519999999999</v>
          </cell>
          <cell r="H1284">
            <v>46.13</v>
          </cell>
          <cell r="I1284">
            <v>0</v>
          </cell>
          <cell r="J1284">
            <v>47.51</v>
          </cell>
          <cell r="K1284">
            <v>0</v>
          </cell>
        </row>
        <row r="1285">
          <cell r="A1285" t="str">
            <v>LU1883841295</v>
          </cell>
          <cell r="B1285" t="str">
            <v>AMUNDI FUNDS STRATEGIC INCOME</v>
          </cell>
          <cell r="C1285" t="str">
            <v>Class A EUR Hgd (C)</v>
          </cell>
          <cell r="D1285" t="str">
            <v>EUR</v>
          </cell>
          <cell r="E1285">
            <v>45747</v>
          </cell>
          <cell r="F1285">
            <v>25060234.27</v>
          </cell>
          <cell r="G1285">
            <v>304539.54399999999</v>
          </cell>
          <cell r="H1285">
            <v>82.29</v>
          </cell>
          <cell r="I1285">
            <v>0</v>
          </cell>
          <cell r="J1285">
            <v>84.76</v>
          </cell>
          <cell r="K1285">
            <v>0.01</v>
          </cell>
        </row>
        <row r="1286">
          <cell r="A1286" t="str">
            <v>LU1883840990</v>
          </cell>
          <cell r="B1286" t="str">
            <v>AMUNDI FUNDS STRATEGIC INCOME</v>
          </cell>
          <cell r="C1286" t="str">
            <v>Class A CZK Hgd (C)</v>
          </cell>
          <cell r="D1286" t="str">
            <v>CZK</v>
          </cell>
          <cell r="E1286">
            <v>45747</v>
          </cell>
          <cell r="F1286">
            <v>1288863106.79</v>
          </cell>
          <cell r="G1286">
            <v>832090.11600000004</v>
          </cell>
          <cell r="H1286">
            <v>1548.95</v>
          </cell>
          <cell r="I1286">
            <v>0</v>
          </cell>
          <cell r="J1286">
            <v>1595.42</v>
          </cell>
          <cell r="K1286">
            <v>0.22</v>
          </cell>
        </row>
        <row r="1287">
          <cell r="A1287" t="str">
            <v>LU1883841535</v>
          </cell>
          <cell r="B1287" t="str">
            <v>AMUNDI FUNDS STRATEGIC INCOME</v>
          </cell>
          <cell r="C1287" t="str">
            <v>Class A USD (C)</v>
          </cell>
          <cell r="D1287" t="str">
            <v>USD</v>
          </cell>
          <cell r="E1287">
            <v>45747</v>
          </cell>
          <cell r="F1287">
            <v>126334720.48</v>
          </cell>
          <cell r="G1287">
            <v>9889519.909</v>
          </cell>
          <cell r="H1287">
            <v>12.77</v>
          </cell>
          <cell r="I1287">
            <v>0</v>
          </cell>
          <cell r="J1287">
            <v>13.15</v>
          </cell>
          <cell r="K1287">
            <v>0</v>
          </cell>
        </row>
        <row r="1288">
          <cell r="A1288" t="str">
            <v>LU1883842699</v>
          </cell>
          <cell r="B1288" t="str">
            <v>AMUNDI FUNDS STRATEGIC INCOME</v>
          </cell>
          <cell r="C1288" t="str">
            <v>Class B ZAR Hgd MTD3 (D)</v>
          </cell>
          <cell r="D1288" t="str">
            <v>ZAR</v>
          </cell>
          <cell r="E1288">
            <v>45747</v>
          </cell>
          <cell r="F1288">
            <v>368864337.10000002</v>
          </cell>
          <cell r="G1288">
            <v>978171.56400000001</v>
          </cell>
          <cell r="H1288">
            <v>377.1</v>
          </cell>
          <cell r="I1288">
            <v>0</v>
          </cell>
          <cell r="J1288">
            <v>377.1</v>
          </cell>
          <cell r="K1288">
            <v>0.04</v>
          </cell>
        </row>
        <row r="1289">
          <cell r="A1289" t="str">
            <v>LU1883842426</v>
          </cell>
          <cell r="B1289" t="str">
            <v>AMUNDI FUNDS STRATEGIC INCOME</v>
          </cell>
          <cell r="C1289" t="str">
            <v>Class B USD MGI (D)</v>
          </cell>
          <cell r="D1289" t="str">
            <v>USD</v>
          </cell>
          <cell r="E1289">
            <v>45747</v>
          </cell>
          <cell r="F1289">
            <v>24100692.239999998</v>
          </cell>
          <cell r="G1289">
            <v>630563.65</v>
          </cell>
          <cell r="H1289">
            <v>38.22</v>
          </cell>
          <cell r="I1289">
            <v>0</v>
          </cell>
          <cell r="J1289">
            <v>38.22</v>
          </cell>
          <cell r="K1289">
            <v>0</v>
          </cell>
        </row>
        <row r="1290">
          <cell r="A1290" t="str">
            <v>LU1883842343</v>
          </cell>
          <cell r="B1290" t="str">
            <v>AMUNDI FUNDS STRATEGIC INCOME</v>
          </cell>
          <cell r="C1290" t="str">
            <v>Class B USD MTD3 (D)</v>
          </cell>
          <cell r="D1290" t="str">
            <v>USD</v>
          </cell>
          <cell r="E1290">
            <v>45747</v>
          </cell>
          <cell r="F1290">
            <v>177675399.96000001</v>
          </cell>
          <cell r="G1290">
            <v>5978270.5360000003</v>
          </cell>
          <cell r="H1290">
            <v>29.72</v>
          </cell>
          <cell r="I1290">
            <v>0</v>
          </cell>
          <cell r="J1290">
            <v>29.72</v>
          </cell>
          <cell r="K1290">
            <v>0</v>
          </cell>
        </row>
        <row r="1291">
          <cell r="A1291" t="str">
            <v>LU1883842004</v>
          </cell>
          <cell r="B1291" t="str">
            <v>AMUNDI FUNDS STRATEGIC INCOME</v>
          </cell>
          <cell r="C1291" t="str">
            <v>Class B AUD Hgd MTD3 (D)</v>
          </cell>
          <cell r="D1291" t="str">
            <v>AUD</v>
          </cell>
          <cell r="E1291">
            <v>45747</v>
          </cell>
          <cell r="F1291">
            <v>24190807.309999999</v>
          </cell>
          <cell r="G1291">
            <v>1056387.9669999999</v>
          </cell>
          <cell r="H1291">
            <v>22.9</v>
          </cell>
          <cell r="I1291">
            <v>0</v>
          </cell>
          <cell r="J1291">
            <v>22.9</v>
          </cell>
          <cell r="K1291">
            <v>0</v>
          </cell>
        </row>
        <row r="1292">
          <cell r="A1292" t="str">
            <v>LU1883845361</v>
          </cell>
          <cell r="B1292" t="str">
            <v>AMUNDI FUNDS STRATEGIC INCOME</v>
          </cell>
          <cell r="C1292" t="str">
            <v>Class M2 EUR (C)</v>
          </cell>
          <cell r="D1292" t="str">
            <v>EUR</v>
          </cell>
          <cell r="E1292">
            <v>45747</v>
          </cell>
          <cell r="F1292">
            <v>66862434.259999998</v>
          </cell>
          <cell r="G1292">
            <v>23801.653999999999</v>
          </cell>
          <cell r="H1292">
            <v>2809.15</v>
          </cell>
          <cell r="I1292">
            <v>0</v>
          </cell>
          <cell r="J1292">
            <v>2809.15</v>
          </cell>
          <cell r="K1292">
            <v>5.9</v>
          </cell>
        </row>
        <row r="1293">
          <cell r="A1293" t="str">
            <v>LU2002723232</v>
          </cell>
          <cell r="B1293" t="str">
            <v>AMUNDI FUNDS STRATEGIC INCOME</v>
          </cell>
          <cell r="C1293" t="str">
            <v>Class M2 EUR Hgd (C)</v>
          </cell>
          <cell r="D1293" t="str">
            <v>EUR</v>
          </cell>
          <cell r="E1293">
            <v>45747</v>
          </cell>
          <cell r="F1293">
            <v>269370.11</v>
          </cell>
          <cell r="G1293">
            <v>261.49799999999999</v>
          </cell>
          <cell r="H1293">
            <v>1030.0999999999999</v>
          </cell>
          <cell r="I1293">
            <v>0</v>
          </cell>
          <cell r="J1293">
            <v>1030.0999999999999</v>
          </cell>
          <cell r="K1293">
            <v>0.11</v>
          </cell>
        </row>
        <row r="1294">
          <cell r="A1294" t="str">
            <v>LU1883842186</v>
          </cell>
          <cell r="B1294" t="str">
            <v>AMUNDI FUNDS STRATEGIC INCOME</v>
          </cell>
          <cell r="C1294" t="str">
            <v>Class B USD (C)</v>
          </cell>
          <cell r="D1294" t="str">
            <v>USD</v>
          </cell>
          <cell r="E1294">
            <v>45747</v>
          </cell>
          <cell r="F1294">
            <v>8545307.1999999993</v>
          </cell>
          <cell r="G1294">
            <v>791377.76199999999</v>
          </cell>
          <cell r="H1294">
            <v>10.8</v>
          </cell>
          <cell r="I1294">
            <v>0</v>
          </cell>
          <cell r="J1294">
            <v>10.8</v>
          </cell>
          <cell r="K1294">
            <v>0</v>
          </cell>
        </row>
        <row r="1295">
          <cell r="A1295" t="str">
            <v>LU1883842772</v>
          </cell>
          <cell r="B1295" t="str">
            <v>AMUNDI FUNDS STRATEGIC INCOME</v>
          </cell>
          <cell r="C1295" t="str">
            <v>Class C EUR (C)</v>
          </cell>
          <cell r="D1295" t="str">
            <v>EUR</v>
          </cell>
          <cell r="E1295">
            <v>45747</v>
          </cell>
          <cell r="F1295">
            <v>1060383.17</v>
          </cell>
          <cell r="G1295">
            <v>98373.842000000004</v>
          </cell>
          <cell r="H1295">
            <v>10.78</v>
          </cell>
          <cell r="I1295">
            <v>0</v>
          </cell>
          <cell r="J1295">
            <v>10.78</v>
          </cell>
          <cell r="K1295">
            <v>0.02</v>
          </cell>
        </row>
        <row r="1296">
          <cell r="A1296" t="str">
            <v>LU1883843077</v>
          </cell>
          <cell r="B1296" t="str">
            <v>AMUNDI FUNDS STRATEGIC INCOME</v>
          </cell>
          <cell r="C1296" t="str">
            <v>Class C USD (C)</v>
          </cell>
          <cell r="D1296" t="str">
            <v>USD</v>
          </cell>
          <cell r="E1296">
            <v>45747</v>
          </cell>
          <cell r="F1296">
            <v>36879720.409999996</v>
          </cell>
          <cell r="G1296">
            <v>3168004.7420000001</v>
          </cell>
          <cell r="H1296">
            <v>11.64</v>
          </cell>
          <cell r="I1296">
            <v>0</v>
          </cell>
          <cell r="J1296">
            <v>11.64</v>
          </cell>
          <cell r="K1296">
            <v>0</v>
          </cell>
        </row>
        <row r="1297">
          <cell r="A1297" t="str">
            <v>LU1883843150</v>
          </cell>
          <cell r="B1297" t="str">
            <v>AMUNDI FUNDS STRATEGIC INCOME</v>
          </cell>
          <cell r="C1297" t="str">
            <v>Class C USD MTD (D)</v>
          </cell>
          <cell r="D1297" t="str">
            <v>USD</v>
          </cell>
          <cell r="E1297">
            <v>45747</v>
          </cell>
          <cell r="F1297">
            <v>7543981.1600000001</v>
          </cell>
          <cell r="G1297">
            <v>1345061.7949999999</v>
          </cell>
          <cell r="H1297">
            <v>5.61</v>
          </cell>
          <cell r="I1297">
            <v>0</v>
          </cell>
          <cell r="J1297">
            <v>5.61</v>
          </cell>
          <cell r="K1297">
            <v>0</v>
          </cell>
        </row>
        <row r="1298">
          <cell r="A1298" t="str">
            <v>LU1883842855</v>
          </cell>
          <cell r="B1298" t="str">
            <v>AMUNDI FUNDS STRATEGIC INCOME</v>
          </cell>
          <cell r="C1298" t="str">
            <v>Class C EUR Hgd (C)</v>
          </cell>
          <cell r="D1298" t="str">
            <v>EUR</v>
          </cell>
          <cell r="E1298">
            <v>45747</v>
          </cell>
          <cell r="F1298">
            <v>192765.2</v>
          </cell>
          <cell r="G1298">
            <v>4064.259</v>
          </cell>
          <cell r="H1298">
            <v>47.43</v>
          </cell>
          <cell r="I1298">
            <v>0</v>
          </cell>
          <cell r="J1298">
            <v>47.43</v>
          </cell>
          <cell r="K1298">
            <v>0</v>
          </cell>
        </row>
        <row r="1299">
          <cell r="A1299" t="str">
            <v>LU1883842939</v>
          </cell>
          <cell r="B1299" t="str">
            <v>AMUNDI FUNDS STRATEGIC INCOME</v>
          </cell>
          <cell r="C1299" t="str">
            <v>Class C EUR Hgd MGI (D)</v>
          </cell>
          <cell r="D1299" t="str">
            <v>EUR</v>
          </cell>
          <cell r="E1299">
            <v>45747</v>
          </cell>
          <cell r="F1299">
            <v>360041.58</v>
          </cell>
          <cell r="G1299">
            <v>12552.496999999999</v>
          </cell>
          <cell r="H1299">
            <v>28.68</v>
          </cell>
          <cell r="I1299">
            <v>0</v>
          </cell>
          <cell r="J1299">
            <v>28.68</v>
          </cell>
          <cell r="K1299">
            <v>0</v>
          </cell>
        </row>
        <row r="1300">
          <cell r="A1300" t="str">
            <v>LU1883841964</v>
          </cell>
          <cell r="B1300" t="str">
            <v>AMUNDI FUNDS STRATEGIC INCOME</v>
          </cell>
          <cell r="C1300" t="str">
            <v>Class A ZAR Hgd MTD3 (D)</v>
          </cell>
          <cell r="D1300" t="str">
            <v>ZAR</v>
          </cell>
          <cell r="E1300">
            <v>45747</v>
          </cell>
          <cell r="F1300">
            <v>5963250422.6000004</v>
          </cell>
          <cell r="G1300">
            <v>15938696.786</v>
          </cell>
          <cell r="H1300">
            <v>374.14</v>
          </cell>
          <cell r="I1300">
            <v>0</v>
          </cell>
          <cell r="J1300">
            <v>385.36</v>
          </cell>
          <cell r="K1300">
            <v>0.08</v>
          </cell>
        </row>
        <row r="1301">
          <cell r="A1301" t="str">
            <v>LU1883843234</v>
          </cell>
          <cell r="B1301" t="str">
            <v>AMUNDI FUNDS STRATEGIC INCOME</v>
          </cell>
          <cell r="C1301" t="str">
            <v>Class E2 EUR (C)</v>
          </cell>
          <cell r="D1301" t="str">
            <v>EUR</v>
          </cell>
          <cell r="E1301">
            <v>45747</v>
          </cell>
          <cell r="F1301">
            <v>64602989.420000002</v>
          </cell>
          <cell r="G1301">
            <v>4820838.8789999997</v>
          </cell>
          <cell r="H1301">
            <v>13.401</v>
          </cell>
          <cell r="I1301">
            <v>0</v>
          </cell>
          <cell r="J1301">
            <v>13.401</v>
          </cell>
          <cell r="K1301">
            <v>2.8000000000000001E-2</v>
          </cell>
        </row>
        <row r="1302">
          <cell r="A1302" t="str">
            <v>LU1883843317</v>
          </cell>
          <cell r="B1302" t="str">
            <v>AMUNDI FUNDS STRATEGIC INCOME</v>
          </cell>
          <cell r="C1302" t="str">
            <v>Class E2 EUR AD (D)</v>
          </cell>
          <cell r="D1302" t="str">
            <v>EUR</v>
          </cell>
          <cell r="E1302">
            <v>45747</v>
          </cell>
          <cell r="F1302">
            <v>10894349.189999999</v>
          </cell>
          <cell r="G1302">
            <v>1852477.8389999999</v>
          </cell>
          <cell r="H1302">
            <v>5.8810000000000002</v>
          </cell>
          <cell r="I1302">
            <v>0</v>
          </cell>
          <cell r="J1302">
            <v>5.8810000000000002</v>
          </cell>
          <cell r="K1302">
            <v>1.2E-2</v>
          </cell>
        </row>
        <row r="1303">
          <cell r="A1303" t="str">
            <v>LU1883843408</v>
          </cell>
          <cell r="B1303" t="str">
            <v>AMUNDI FUNDS STRATEGIC INCOME</v>
          </cell>
          <cell r="C1303" t="str">
            <v>Class E2 EUR Hgd (C)</v>
          </cell>
          <cell r="D1303" t="str">
            <v>EUR</v>
          </cell>
          <cell r="E1303">
            <v>45747</v>
          </cell>
          <cell r="F1303">
            <v>50150783.420000002</v>
          </cell>
          <cell r="G1303">
            <v>5266301.9160000002</v>
          </cell>
          <cell r="H1303">
            <v>9.5229999999999997</v>
          </cell>
          <cell r="I1303">
            <v>0</v>
          </cell>
          <cell r="J1303">
            <v>9.5229999999999997</v>
          </cell>
          <cell r="K1303">
            <v>1E-3</v>
          </cell>
        </row>
        <row r="1304">
          <cell r="A1304" t="str">
            <v>LU1883843580</v>
          </cell>
          <cell r="B1304" t="str">
            <v>AMUNDI FUNDS STRATEGIC INCOME</v>
          </cell>
          <cell r="C1304" t="str">
            <v>Class E2 EUR Hgd AD (D)</v>
          </cell>
          <cell r="D1304" t="str">
            <v>EUR</v>
          </cell>
          <cell r="E1304">
            <v>45747</v>
          </cell>
          <cell r="F1304">
            <v>39998049.5</v>
          </cell>
          <cell r="G1304">
            <v>9783630.2440000009</v>
          </cell>
          <cell r="H1304">
            <v>4.0880000000000001</v>
          </cell>
          <cell r="I1304">
            <v>0</v>
          </cell>
          <cell r="J1304">
            <v>4.0880000000000001</v>
          </cell>
          <cell r="K1304">
            <v>0</v>
          </cell>
        </row>
        <row r="1305">
          <cell r="A1305" t="str">
            <v>LU1883843663</v>
          </cell>
          <cell r="B1305" t="str">
            <v>AMUNDI FUNDS STRATEGIC INCOME</v>
          </cell>
          <cell r="C1305" t="str">
            <v>Class E2 EUR Hgd QTD (D)</v>
          </cell>
          <cell r="D1305" t="str">
            <v>EUR</v>
          </cell>
          <cell r="E1305">
            <v>45747</v>
          </cell>
          <cell r="F1305">
            <v>9117470.4100000001</v>
          </cell>
          <cell r="G1305">
            <v>2302212.4380000001</v>
          </cell>
          <cell r="H1305">
            <v>3.96</v>
          </cell>
          <cell r="I1305">
            <v>0</v>
          </cell>
          <cell r="J1305">
            <v>3.96</v>
          </cell>
          <cell r="K1305">
            <v>0</v>
          </cell>
        </row>
        <row r="1306">
          <cell r="A1306" t="str">
            <v>LU1883844042</v>
          </cell>
          <cell r="B1306" t="str">
            <v>AMUNDI FUNDS STRATEGIC INCOME</v>
          </cell>
          <cell r="C1306" t="str">
            <v>Class F EUR AD (D)</v>
          </cell>
          <cell r="D1306" t="str">
            <v>EUR</v>
          </cell>
          <cell r="E1306">
            <v>45747</v>
          </cell>
          <cell r="F1306">
            <v>968394.08</v>
          </cell>
          <cell r="G1306">
            <v>162854.88699999999</v>
          </cell>
          <cell r="H1306">
            <v>5.9459999999999997</v>
          </cell>
          <cell r="I1306">
            <v>0</v>
          </cell>
          <cell r="J1306">
            <v>5.9459999999999997</v>
          </cell>
          <cell r="K1306">
            <v>1.2E-2</v>
          </cell>
        </row>
        <row r="1307">
          <cell r="A1307" t="str">
            <v>LU1883843820</v>
          </cell>
          <cell r="B1307" t="str">
            <v>AMUNDI FUNDS STRATEGIC INCOME</v>
          </cell>
          <cell r="C1307" t="str">
            <v>Class F EUR (C)</v>
          </cell>
          <cell r="D1307" t="str">
            <v>EUR</v>
          </cell>
          <cell r="E1307">
            <v>45747</v>
          </cell>
          <cell r="F1307">
            <v>9786733.4800000004</v>
          </cell>
          <cell r="G1307">
            <v>855051.84299999999</v>
          </cell>
          <cell r="H1307">
            <v>11.446</v>
          </cell>
          <cell r="I1307">
            <v>0</v>
          </cell>
          <cell r="J1307">
            <v>11.446</v>
          </cell>
          <cell r="K1307">
            <v>2.4E-2</v>
          </cell>
        </row>
        <row r="1308">
          <cell r="A1308" t="str">
            <v>LU1883844471</v>
          </cell>
          <cell r="B1308" t="str">
            <v>AMUNDI FUNDS STRATEGIC INCOME</v>
          </cell>
          <cell r="C1308" t="str">
            <v>Class F EUR QTD (D)</v>
          </cell>
          <cell r="D1308" t="str">
            <v>EUR</v>
          </cell>
          <cell r="E1308">
            <v>45747</v>
          </cell>
          <cell r="F1308">
            <v>6063382.8099999996</v>
          </cell>
          <cell r="G1308">
            <v>1058806.871</v>
          </cell>
          <cell r="H1308">
            <v>5.7270000000000003</v>
          </cell>
          <cell r="I1308">
            <v>0</v>
          </cell>
          <cell r="J1308">
            <v>5.7270000000000003</v>
          </cell>
          <cell r="K1308">
            <v>1.2E-2</v>
          </cell>
        </row>
        <row r="1309">
          <cell r="A1309" t="str">
            <v>LU1883844398</v>
          </cell>
          <cell r="B1309" t="str">
            <v>AMUNDI FUNDS STRATEGIC INCOME</v>
          </cell>
          <cell r="C1309" t="str">
            <v>Class F EUR Hgd AD (D)</v>
          </cell>
          <cell r="D1309" t="str">
            <v>EUR</v>
          </cell>
          <cell r="E1309">
            <v>45747</v>
          </cell>
          <cell r="F1309">
            <v>1836699.98</v>
          </cell>
          <cell r="G1309">
            <v>469007.20299999998</v>
          </cell>
          <cell r="H1309">
            <v>3.9159999999999999</v>
          </cell>
          <cell r="I1309">
            <v>0</v>
          </cell>
          <cell r="J1309">
            <v>3.9159999999999999</v>
          </cell>
          <cell r="K1309">
            <v>0</v>
          </cell>
        </row>
        <row r="1310">
          <cell r="A1310" t="str">
            <v>LU1883844125</v>
          </cell>
          <cell r="B1310" t="str">
            <v>AMUNDI FUNDS STRATEGIC INCOME</v>
          </cell>
          <cell r="C1310" t="str">
            <v>Class F EUR Hgd (C)</v>
          </cell>
          <cell r="D1310" t="str">
            <v>EUR</v>
          </cell>
          <cell r="E1310">
            <v>45747</v>
          </cell>
          <cell r="F1310">
            <v>6416912.4500000002</v>
          </cell>
          <cell r="G1310">
            <v>764087.76800000004</v>
          </cell>
          <cell r="H1310">
            <v>8.3979999999999997</v>
          </cell>
          <cell r="I1310">
            <v>0</v>
          </cell>
          <cell r="J1310">
            <v>8.3979999999999997</v>
          </cell>
          <cell r="K1310">
            <v>0</v>
          </cell>
        </row>
        <row r="1311">
          <cell r="A1311" t="str">
            <v>LU1883845288</v>
          </cell>
          <cell r="B1311" t="str">
            <v>AMUNDI FUNDS STRATEGIC INCOME</v>
          </cell>
          <cell r="C1311" t="str">
            <v>Class I2 USD QD (D)</v>
          </cell>
          <cell r="D1311" t="str">
            <v>USD</v>
          </cell>
          <cell r="E1311">
            <v>45747</v>
          </cell>
          <cell r="F1311">
            <v>17821804.969999999</v>
          </cell>
          <cell r="G1311">
            <v>16271.869000000001</v>
          </cell>
          <cell r="H1311">
            <v>1095.25</v>
          </cell>
          <cell r="I1311">
            <v>13.791456</v>
          </cell>
          <cell r="J1311">
            <v>1095.25</v>
          </cell>
          <cell r="K1311">
            <v>-13.62</v>
          </cell>
        </row>
        <row r="1312">
          <cell r="A1312" t="str">
            <v>LU1883845106</v>
          </cell>
          <cell r="B1312" t="str">
            <v>AMUNDI FUNDS STRATEGIC INCOME</v>
          </cell>
          <cell r="C1312" t="str">
            <v>Class I2 USD (C)</v>
          </cell>
          <cell r="D1312" t="str">
            <v>USD</v>
          </cell>
          <cell r="E1312">
            <v>45747</v>
          </cell>
          <cell r="F1312">
            <v>143816809.03999999</v>
          </cell>
          <cell r="G1312">
            <v>900635.66299999994</v>
          </cell>
          <cell r="H1312">
            <v>159.68</v>
          </cell>
          <cell r="I1312">
            <v>0</v>
          </cell>
          <cell r="J1312">
            <v>159.68</v>
          </cell>
          <cell r="K1312">
            <v>0.02</v>
          </cell>
        </row>
        <row r="1313">
          <cell r="A1313" t="str">
            <v>LU1883844802</v>
          </cell>
          <cell r="B1313" t="str">
            <v>AMUNDI FUNDS STRATEGIC INCOME</v>
          </cell>
          <cell r="C1313" t="str">
            <v>Class I2 EUR QD (D)</v>
          </cell>
          <cell r="D1313" t="str">
            <v>EUR</v>
          </cell>
          <cell r="E1313">
            <v>45747</v>
          </cell>
          <cell r="F1313">
            <v>100394.92</v>
          </cell>
          <cell r="G1313">
            <v>99</v>
          </cell>
          <cell r="H1313">
            <v>1014.09</v>
          </cell>
          <cell r="I1313">
            <v>12.769292999999999</v>
          </cell>
          <cell r="J1313">
            <v>1014.09</v>
          </cell>
          <cell r="K1313">
            <v>-10.62</v>
          </cell>
        </row>
        <row r="1314">
          <cell r="A1314" t="str">
            <v>LU1883843747</v>
          </cell>
          <cell r="B1314" t="str">
            <v>AMUNDI FUNDS STRATEGIC INCOME</v>
          </cell>
          <cell r="C1314" t="str">
            <v>Class E2 EUR QTD (D)</v>
          </cell>
          <cell r="D1314" t="str">
            <v>EUR</v>
          </cell>
          <cell r="E1314">
            <v>45747</v>
          </cell>
          <cell r="F1314">
            <v>24766618.629999999</v>
          </cell>
          <cell r="G1314">
            <v>4044537.7740000002</v>
          </cell>
          <cell r="H1314">
            <v>6.1230000000000002</v>
          </cell>
          <cell r="I1314">
            <v>0</v>
          </cell>
          <cell r="J1314">
            <v>6.1230000000000002</v>
          </cell>
          <cell r="K1314">
            <v>1.2E-2</v>
          </cell>
        </row>
        <row r="1315">
          <cell r="A1315" t="str">
            <v>LU2347634748</v>
          </cell>
          <cell r="B1315" t="str">
            <v>AMUNDI FUNDS STRATEGIC INCOME</v>
          </cell>
          <cell r="C1315" t="str">
            <v>Class I4 USD QTD (D)</v>
          </cell>
          <cell r="D1315" t="str">
            <v>USD</v>
          </cell>
          <cell r="E1315">
            <v>45747</v>
          </cell>
          <cell r="F1315">
            <v>14439206.560000001</v>
          </cell>
          <cell r="G1315">
            <v>16447.748</v>
          </cell>
          <cell r="H1315">
            <v>877.88</v>
          </cell>
          <cell r="I1315">
            <v>0</v>
          </cell>
          <cell r="J1315">
            <v>877.88</v>
          </cell>
          <cell r="K1315">
            <v>0.15</v>
          </cell>
        </row>
        <row r="1316">
          <cell r="A1316" t="str">
            <v>LU1883844638</v>
          </cell>
          <cell r="B1316" t="str">
            <v>AMUNDI FUNDS STRATEGIC INCOME</v>
          </cell>
          <cell r="C1316" t="str">
            <v>Class I2 EUR Hgd (C)</v>
          </cell>
          <cell r="D1316" t="str">
            <v>EUR</v>
          </cell>
          <cell r="E1316">
            <v>45747</v>
          </cell>
          <cell r="F1316">
            <v>2430068.75</v>
          </cell>
          <cell r="G1316">
            <v>2070.9070000000002</v>
          </cell>
          <cell r="H1316">
            <v>1173.43</v>
          </cell>
          <cell r="I1316">
            <v>0</v>
          </cell>
          <cell r="J1316">
            <v>1173.43</v>
          </cell>
          <cell r="K1316">
            <v>0.13</v>
          </cell>
        </row>
        <row r="1317">
          <cell r="A1317" t="str">
            <v>LU1883844554</v>
          </cell>
          <cell r="B1317" t="str">
            <v>AMUNDI FUNDS STRATEGIC INCOME</v>
          </cell>
          <cell r="C1317" t="str">
            <v>Class I2 EUR (C)</v>
          </cell>
          <cell r="D1317" t="str">
            <v>EUR</v>
          </cell>
          <cell r="E1317">
            <v>45747</v>
          </cell>
          <cell r="F1317">
            <v>570339.35</v>
          </cell>
          <cell r="G1317">
            <v>3858</v>
          </cell>
          <cell r="H1317">
            <v>147.83000000000001</v>
          </cell>
          <cell r="I1317">
            <v>0</v>
          </cell>
          <cell r="J1317">
            <v>147.83000000000001</v>
          </cell>
          <cell r="K1317">
            <v>0.31</v>
          </cell>
        </row>
        <row r="1318">
          <cell r="A1318" t="str">
            <v>LU1883844984</v>
          </cell>
          <cell r="B1318" t="str">
            <v>AMUNDI FUNDS STRATEGIC INCOME</v>
          </cell>
          <cell r="C1318" t="str">
            <v>Class I2 GBP Hgd (C)</v>
          </cell>
          <cell r="D1318" t="str">
            <v>GBP</v>
          </cell>
          <cell r="E1318">
            <v>45747</v>
          </cell>
          <cell r="F1318">
            <v>964040.15</v>
          </cell>
          <cell r="G1318">
            <v>765.67100000000005</v>
          </cell>
          <cell r="H1318">
            <v>1259.08</v>
          </cell>
          <cell r="I1318">
            <v>0</v>
          </cell>
          <cell r="J1318">
            <v>1259.08</v>
          </cell>
          <cell r="K1318">
            <v>0.52</v>
          </cell>
        </row>
        <row r="1319">
          <cell r="A1319" t="str">
            <v>LU1883846849</v>
          </cell>
          <cell r="B1319" t="str">
            <v>AMUNDI FUNDS STRATEGIC INCOME</v>
          </cell>
          <cell r="C1319" t="str">
            <v>Class R2 USD AD (D)</v>
          </cell>
          <cell r="D1319" t="str">
            <v>USD</v>
          </cell>
          <cell r="E1319">
            <v>45747</v>
          </cell>
          <cell r="F1319">
            <v>2765012.54</v>
          </cell>
          <cell r="G1319">
            <v>47810.451999999997</v>
          </cell>
          <cell r="H1319">
            <v>57.83</v>
          </cell>
          <cell r="I1319">
            <v>0</v>
          </cell>
          <cell r="J1319">
            <v>57.83</v>
          </cell>
          <cell r="K1319">
            <v>0.01</v>
          </cell>
        </row>
        <row r="1320">
          <cell r="A1320" t="str">
            <v>LU1894682456</v>
          </cell>
          <cell r="B1320" t="str">
            <v>AMUNDI FUNDS STRATEGIC INCOME</v>
          </cell>
          <cell r="C1320" t="str">
            <v>Class G EUR Hgd AD (D)</v>
          </cell>
          <cell r="D1320" t="str">
            <v>EUR</v>
          </cell>
          <cell r="E1320">
            <v>45747</v>
          </cell>
          <cell r="F1320">
            <v>8191241.8399999999</v>
          </cell>
          <cell r="G1320">
            <v>1954782.3130000001</v>
          </cell>
          <cell r="H1320">
            <v>4.1900000000000004</v>
          </cell>
          <cell r="I1320">
            <v>0</v>
          </cell>
          <cell r="J1320">
            <v>4.1900000000000004</v>
          </cell>
          <cell r="K1320">
            <v>0</v>
          </cell>
        </row>
        <row r="1321">
          <cell r="A1321" t="str">
            <v>LU1894682530</v>
          </cell>
          <cell r="B1321" t="str">
            <v>AMUNDI FUNDS STRATEGIC INCOME</v>
          </cell>
          <cell r="C1321" t="str">
            <v>Class G EUR Hgd QD (D)</v>
          </cell>
          <cell r="D1321" t="str">
            <v>EUR</v>
          </cell>
          <cell r="E1321">
            <v>45747</v>
          </cell>
          <cell r="F1321">
            <v>13411563.949999999</v>
          </cell>
          <cell r="G1321">
            <v>3308123.1889999998</v>
          </cell>
          <cell r="H1321">
            <v>4.0540000000000003</v>
          </cell>
          <cell r="I1321">
            <v>4.1111000000000002E-2</v>
          </cell>
          <cell r="J1321">
            <v>4.0540000000000003</v>
          </cell>
          <cell r="K1321">
            <v>-4.1000000000000002E-2</v>
          </cell>
        </row>
        <row r="1322">
          <cell r="A1322" t="str">
            <v>LU1883847227</v>
          </cell>
          <cell r="B1322" t="str">
            <v>AMUNDI FUNDS STRATEGIC INCOME</v>
          </cell>
          <cell r="C1322" t="str">
            <v>Class T USD MTD3 (D)</v>
          </cell>
          <cell r="D1322" t="str">
            <v>USD</v>
          </cell>
          <cell r="E1322">
            <v>45747</v>
          </cell>
          <cell r="F1322">
            <v>5259708.04</v>
          </cell>
          <cell r="G1322">
            <v>182528.90400000001</v>
          </cell>
          <cell r="H1322">
            <v>28.82</v>
          </cell>
          <cell r="I1322">
            <v>0</v>
          </cell>
          <cell r="J1322">
            <v>28.82</v>
          </cell>
          <cell r="K1322">
            <v>0.01</v>
          </cell>
        </row>
        <row r="1323">
          <cell r="A1323" t="str">
            <v>LU1883847144</v>
          </cell>
          <cell r="B1323" t="str">
            <v>AMUNDI FUNDS STRATEGIC INCOME</v>
          </cell>
          <cell r="C1323" t="str">
            <v>Class T USD (C)</v>
          </cell>
          <cell r="D1323" t="str">
            <v>USD</v>
          </cell>
          <cell r="E1323">
            <v>45747</v>
          </cell>
          <cell r="F1323">
            <v>242301.55</v>
          </cell>
          <cell r="G1323">
            <v>4278.4639999999999</v>
          </cell>
          <cell r="H1323">
            <v>56.63</v>
          </cell>
          <cell r="I1323">
            <v>0</v>
          </cell>
          <cell r="J1323">
            <v>56.63</v>
          </cell>
          <cell r="K1323">
            <v>0</v>
          </cell>
        </row>
        <row r="1324">
          <cell r="A1324" t="str">
            <v>LU1883847490</v>
          </cell>
          <cell r="B1324" t="str">
            <v>AMUNDI FUNDS STRATEGIC INCOME</v>
          </cell>
          <cell r="C1324" t="str">
            <v>Class T USD MGI (D)</v>
          </cell>
          <cell r="D1324" t="str">
            <v>USD</v>
          </cell>
          <cell r="E1324">
            <v>45747</v>
          </cell>
          <cell r="F1324">
            <v>2190882.15</v>
          </cell>
          <cell r="G1324">
            <v>61035.245000000003</v>
          </cell>
          <cell r="H1324">
            <v>35.9</v>
          </cell>
          <cell r="I1324">
            <v>0</v>
          </cell>
          <cell r="J1324">
            <v>35.9</v>
          </cell>
          <cell r="K1324">
            <v>0.01</v>
          </cell>
        </row>
        <row r="1325">
          <cell r="A1325" t="str">
            <v>LU1883847060</v>
          </cell>
          <cell r="B1325" t="str">
            <v>AMUNDI FUNDS STRATEGIC INCOME</v>
          </cell>
          <cell r="C1325" t="str">
            <v>Class T AUD Hgd MTD3 (D)</v>
          </cell>
          <cell r="D1325" t="str">
            <v>AUD</v>
          </cell>
          <cell r="E1325">
            <v>45747</v>
          </cell>
          <cell r="F1325">
            <v>1826960.98</v>
          </cell>
          <cell r="G1325">
            <v>75009.13</v>
          </cell>
          <cell r="H1325">
            <v>24.36</v>
          </cell>
          <cell r="I1325">
            <v>0</v>
          </cell>
          <cell r="J1325">
            <v>24.36</v>
          </cell>
          <cell r="K1325">
            <v>0</v>
          </cell>
        </row>
        <row r="1326">
          <cell r="A1326" t="str">
            <v>LU1883847573</v>
          </cell>
          <cell r="B1326" t="str">
            <v>AMUNDI FUNDS STRATEGIC INCOME</v>
          </cell>
          <cell r="C1326" t="str">
            <v>Class T ZAR Hgd MTD3 (D)</v>
          </cell>
          <cell r="D1326" t="str">
            <v>ZAR</v>
          </cell>
          <cell r="E1326">
            <v>45747</v>
          </cell>
          <cell r="F1326">
            <v>22145289.640000001</v>
          </cell>
          <cell r="G1326">
            <v>56539.82</v>
          </cell>
          <cell r="H1326">
            <v>391.68</v>
          </cell>
          <cell r="I1326">
            <v>0</v>
          </cell>
          <cell r="J1326">
            <v>391.68</v>
          </cell>
          <cell r="K1326">
            <v>0.05</v>
          </cell>
        </row>
        <row r="1327">
          <cell r="A1327" t="str">
            <v>LU1883846419</v>
          </cell>
          <cell r="B1327" t="str">
            <v>AMUNDI FUNDS STRATEGIC INCOME</v>
          </cell>
          <cell r="C1327" t="str">
            <v>Class R2 EUR Hgd MGI (D)</v>
          </cell>
          <cell r="D1327" t="str">
            <v>EUR</v>
          </cell>
          <cell r="E1327">
            <v>45747</v>
          </cell>
          <cell r="F1327">
            <v>195071.34</v>
          </cell>
          <cell r="G1327">
            <v>5430.4780000000001</v>
          </cell>
          <cell r="H1327">
            <v>35.92</v>
          </cell>
          <cell r="I1327">
            <v>0</v>
          </cell>
          <cell r="J1327">
            <v>35.92</v>
          </cell>
          <cell r="K1327">
            <v>0</v>
          </cell>
        </row>
        <row r="1328">
          <cell r="A1328" t="str">
            <v>LU1883846179</v>
          </cell>
          <cell r="B1328" t="str">
            <v>AMUNDI FUNDS STRATEGIC INCOME</v>
          </cell>
          <cell r="C1328" t="str">
            <v>Class R2 EUR AD (D)</v>
          </cell>
          <cell r="D1328" t="str">
            <v>EUR</v>
          </cell>
          <cell r="E1328">
            <v>45747</v>
          </cell>
          <cell r="F1328">
            <v>1050730.99</v>
          </cell>
          <cell r="G1328">
            <v>19622.398000000001</v>
          </cell>
          <cell r="H1328">
            <v>53.55</v>
          </cell>
          <cell r="I1328">
            <v>0</v>
          </cell>
          <cell r="J1328">
            <v>53.55</v>
          </cell>
          <cell r="K1328">
            <v>0.11</v>
          </cell>
        </row>
        <row r="1329">
          <cell r="A1329" t="str">
            <v>LU1883846096</v>
          </cell>
          <cell r="B1329" t="str">
            <v>AMUNDI FUNDS STRATEGIC INCOME</v>
          </cell>
          <cell r="C1329" t="str">
            <v>Class R2 EUR (C)</v>
          </cell>
          <cell r="D1329" t="str">
            <v>EUR</v>
          </cell>
          <cell r="E1329">
            <v>45747</v>
          </cell>
          <cell r="F1329">
            <v>1561064.72</v>
          </cell>
          <cell r="G1329">
            <v>18401.556</v>
          </cell>
          <cell r="H1329">
            <v>84.83</v>
          </cell>
          <cell r="I1329">
            <v>0</v>
          </cell>
          <cell r="J1329">
            <v>84.83</v>
          </cell>
          <cell r="K1329">
            <v>0.17</v>
          </cell>
        </row>
        <row r="1330">
          <cell r="A1330" t="str">
            <v>LU1883846682</v>
          </cell>
          <cell r="B1330" t="str">
            <v>AMUNDI FUNDS STRATEGIC INCOME</v>
          </cell>
          <cell r="C1330" t="str">
            <v>Class R2 GBP AD (D)</v>
          </cell>
          <cell r="D1330" t="str">
            <v>GBP</v>
          </cell>
          <cell r="E1330">
            <v>45747</v>
          </cell>
          <cell r="F1330">
            <v>106147.79</v>
          </cell>
          <cell r="G1330">
            <v>2366.5360000000001</v>
          </cell>
          <cell r="H1330">
            <v>44.85</v>
          </cell>
          <cell r="I1330">
            <v>0</v>
          </cell>
          <cell r="J1330">
            <v>44.85</v>
          </cell>
          <cell r="K1330">
            <v>0.12</v>
          </cell>
        </row>
        <row r="1331">
          <cell r="A1331" t="str">
            <v>LU1883846336</v>
          </cell>
          <cell r="B1331" t="str">
            <v>AMUNDI FUNDS STRATEGIC INCOME</v>
          </cell>
          <cell r="C1331" t="str">
            <v>Class R2 EUR Hgd AD (D)</v>
          </cell>
          <cell r="D1331" t="str">
            <v>EUR</v>
          </cell>
          <cell r="E1331">
            <v>45747</v>
          </cell>
          <cell r="F1331">
            <v>833737.32</v>
          </cell>
          <cell r="G1331">
            <v>21012.913</v>
          </cell>
          <cell r="H1331">
            <v>39.68</v>
          </cell>
          <cell r="I1331">
            <v>0</v>
          </cell>
          <cell r="J1331">
            <v>39.68</v>
          </cell>
          <cell r="K1331">
            <v>0.01</v>
          </cell>
        </row>
        <row r="1332">
          <cell r="A1332" t="str">
            <v>LU1883846252</v>
          </cell>
          <cell r="B1332" t="str">
            <v>AMUNDI FUNDS STRATEGIC INCOME</v>
          </cell>
          <cell r="C1332" t="str">
            <v>Class R2 EUR Hgd (C)</v>
          </cell>
          <cell r="D1332" t="str">
            <v>EUR</v>
          </cell>
          <cell r="E1332">
            <v>45747</v>
          </cell>
          <cell r="F1332">
            <v>81698692.709999993</v>
          </cell>
          <cell r="G1332">
            <v>1481869.0870000001</v>
          </cell>
          <cell r="H1332">
            <v>55.13</v>
          </cell>
          <cell r="I1332">
            <v>0</v>
          </cell>
          <cell r="J1332">
            <v>55.13</v>
          </cell>
          <cell r="K1332">
            <v>0</v>
          </cell>
        </row>
        <row r="1333">
          <cell r="A1333" t="str">
            <v>LU1883845528</v>
          </cell>
          <cell r="B1333" t="str">
            <v>AMUNDI FUNDS STRATEGIC INCOME</v>
          </cell>
          <cell r="C1333" t="str">
            <v>Class P2 USD (C)</v>
          </cell>
          <cell r="D1333" t="str">
            <v>USD</v>
          </cell>
          <cell r="E1333">
            <v>45747</v>
          </cell>
          <cell r="F1333">
            <v>17097393.84</v>
          </cell>
          <cell r="G1333">
            <v>278622.80200000003</v>
          </cell>
          <cell r="H1333">
            <v>61.36</v>
          </cell>
          <cell r="I1333">
            <v>0</v>
          </cell>
          <cell r="J1333">
            <v>61.36</v>
          </cell>
          <cell r="K1333">
            <v>0</v>
          </cell>
        </row>
        <row r="1334">
          <cell r="A1334" t="str">
            <v>LU1883845791</v>
          </cell>
          <cell r="B1334" t="str">
            <v>AMUNDI FUNDS STRATEGIC INCOME</v>
          </cell>
          <cell r="C1334" t="str">
            <v>Class P2 USD MTD (D)</v>
          </cell>
          <cell r="D1334" t="str">
            <v>USD</v>
          </cell>
          <cell r="E1334">
            <v>45747</v>
          </cell>
          <cell r="F1334">
            <v>31251.99</v>
          </cell>
          <cell r="G1334">
            <v>664.14700000000005</v>
          </cell>
          <cell r="H1334">
            <v>47.06</v>
          </cell>
          <cell r="I1334">
            <v>0</v>
          </cell>
          <cell r="J1334">
            <v>47.06</v>
          </cell>
          <cell r="K1334">
            <v>0.01</v>
          </cell>
        </row>
        <row r="1335">
          <cell r="A1335" t="str">
            <v>LU1883845874</v>
          </cell>
          <cell r="B1335" t="str">
            <v>AMUNDI FUNDS STRATEGIC INCOME</v>
          </cell>
          <cell r="C1335" t="str">
            <v>Class Q-D USD MTD (D)</v>
          </cell>
          <cell r="D1335" t="str">
            <v>USD</v>
          </cell>
          <cell r="E1335">
            <v>45747</v>
          </cell>
          <cell r="F1335">
            <v>1180735.8999999999</v>
          </cell>
          <cell r="G1335">
            <v>19918.742999999999</v>
          </cell>
          <cell r="H1335">
            <v>59.28</v>
          </cell>
          <cell r="I1335">
            <v>0</v>
          </cell>
          <cell r="J1335">
            <v>61.06</v>
          </cell>
          <cell r="K1335">
            <v>0</v>
          </cell>
        </row>
        <row r="1336">
          <cell r="A1336" t="str">
            <v>LU1883847730</v>
          </cell>
          <cell r="B1336" t="str">
            <v>AMUNDI FUNDS STRATEGIC INCOME</v>
          </cell>
          <cell r="C1336" t="str">
            <v>Class U USD (C)</v>
          </cell>
          <cell r="D1336" t="str">
            <v>USD</v>
          </cell>
          <cell r="E1336">
            <v>45747</v>
          </cell>
          <cell r="F1336">
            <v>4275101.09</v>
          </cell>
          <cell r="G1336">
            <v>75953.119000000006</v>
          </cell>
          <cell r="H1336">
            <v>56.29</v>
          </cell>
          <cell r="I1336">
            <v>0</v>
          </cell>
          <cell r="J1336">
            <v>56.29</v>
          </cell>
          <cell r="K1336">
            <v>0.01</v>
          </cell>
        </row>
        <row r="1337">
          <cell r="A1337" t="str">
            <v>LU1883847656</v>
          </cell>
          <cell r="B1337" t="str">
            <v>AMUNDI FUNDS STRATEGIC INCOME</v>
          </cell>
          <cell r="C1337" t="str">
            <v>Class U AUD Hgd MTD3 (D)</v>
          </cell>
          <cell r="D1337" t="str">
            <v>AUD</v>
          </cell>
          <cell r="E1337">
            <v>45747</v>
          </cell>
          <cell r="F1337">
            <v>22313876.16</v>
          </cell>
          <cell r="G1337">
            <v>871800.94299999997</v>
          </cell>
          <cell r="H1337">
            <v>25.6</v>
          </cell>
          <cell r="I1337">
            <v>0</v>
          </cell>
          <cell r="J1337">
            <v>25.6</v>
          </cell>
          <cell r="K1337">
            <v>0.01</v>
          </cell>
        </row>
        <row r="1338">
          <cell r="A1338" t="str">
            <v>LU1883847904</v>
          </cell>
          <cell r="B1338" t="str">
            <v>AMUNDI FUNDS STRATEGIC INCOME</v>
          </cell>
          <cell r="C1338" t="str">
            <v>Class U USD MGI (D)</v>
          </cell>
          <cell r="D1338" t="str">
            <v>USD</v>
          </cell>
          <cell r="E1338">
            <v>45747</v>
          </cell>
          <cell r="F1338">
            <v>12225812.779999999</v>
          </cell>
          <cell r="G1338">
            <v>343442.533</v>
          </cell>
          <cell r="H1338">
            <v>35.6</v>
          </cell>
          <cell r="I1338">
            <v>0</v>
          </cell>
          <cell r="J1338">
            <v>35.6</v>
          </cell>
          <cell r="K1338">
            <v>0</v>
          </cell>
        </row>
        <row r="1339">
          <cell r="A1339" t="str">
            <v>LU1883848035</v>
          </cell>
          <cell r="B1339" t="str">
            <v>AMUNDI FUNDS STRATEGIC INCOME</v>
          </cell>
          <cell r="C1339" t="str">
            <v>Class U ZAR Hgd MTD3 (D)</v>
          </cell>
          <cell r="D1339" t="str">
            <v>ZAR</v>
          </cell>
          <cell r="E1339">
            <v>45747</v>
          </cell>
          <cell r="F1339">
            <v>347625082.30000001</v>
          </cell>
          <cell r="G1339">
            <v>829860.18700000003</v>
          </cell>
          <cell r="H1339">
            <v>418.9</v>
          </cell>
          <cell r="I1339">
            <v>0</v>
          </cell>
          <cell r="J1339">
            <v>418.9</v>
          </cell>
          <cell r="K1339">
            <v>0.05</v>
          </cell>
        </row>
        <row r="1340">
          <cell r="A1340" t="str">
            <v>LU1883847813</v>
          </cell>
          <cell r="B1340" t="str">
            <v>AMUNDI FUNDS STRATEGIC INCOME</v>
          </cell>
          <cell r="C1340" t="str">
            <v>Class U USD MTD3 (D)</v>
          </cell>
          <cell r="D1340" t="str">
            <v>USD</v>
          </cell>
          <cell r="E1340">
            <v>45747</v>
          </cell>
          <cell r="F1340">
            <v>81355385.030000001</v>
          </cell>
          <cell r="G1340">
            <v>2822174.0019999999</v>
          </cell>
          <cell r="H1340">
            <v>28.83</v>
          </cell>
          <cell r="I1340">
            <v>0</v>
          </cell>
          <cell r="J1340">
            <v>28.83</v>
          </cell>
          <cell r="K1340">
            <v>0</v>
          </cell>
        </row>
        <row r="1341">
          <cell r="A1341" t="str">
            <v>LU1883846765</v>
          </cell>
          <cell r="B1341" t="str">
            <v>AMUNDI FUNDS STRATEGIC INCOME</v>
          </cell>
          <cell r="C1341" t="str">
            <v>Class R2 USD (C)</v>
          </cell>
          <cell r="D1341" t="str">
            <v>USD</v>
          </cell>
          <cell r="E1341">
            <v>45747</v>
          </cell>
          <cell r="F1341">
            <v>3591231.48</v>
          </cell>
          <cell r="G1341">
            <v>39201.071000000004</v>
          </cell>
          <cell r="H1341">
            <v>91.61</v>
          </cell>
          <cell r="I1341">
            <v>0</v>
          </cell>
          <cell r="J1341">
            <v>91.61</v>
          </cell>
          <cell r="K1341">
            <v>0.01</v>
          </cell>
        </row>
        <row r="1342">
          <cell r="A1342" t="str">
            <v>LU2036673379</v>
          </cell>
          <cell r="B1342" t="str">
            <v>AMUNDI FUNDS STRATEGIC INCOME</v>
          </cell>
          <cell r="C1342" t="str">
            <v>Class G EUR (C)</v>
          </cell>
          <cell r="D1342" t="str">
            <v>EUR</v>
          </cell>
          <cell r="E1342">
            <v>45747</v>
          </cell>
          <cell r="F1342">
            <v>4141679.27</v>
          </cell>
          <cell r="G1342">
            <v>765704.13899999997</v>
          </cell>
          <cell r="H1342">
            <v>5.4089999999999998</v>
          </cell>
          <cell r="I1342">
            <v>0</v>
          </cell>
          <cell r="J1342">
            <v>5.4089999999999998</v>
          </cell>
          <cell r="K1342">
            <v>1.2E-2</v>
          </cell>
        </row>
        <row r="1343">
          <cell r="A1343" t="str">
            <v>LU2036673452</v>
          </cell>
          <cell r="B1343" t="str">
            <v>AMUNDI FUNDS STRATEGIC INCOME</v>
          </cell>
          <cell r="C1343" t="str">
            <v>Class G EUR QTD (D)</v>
          </cell>
          <cell r="D1343" t="str">
            <v>EUR</v>
          </cell>
          <cell r="E1343">
            <v>45747</v>
          </cell>
          <cell r="F1343">
            <v>35345600.770000003</v>
          </cell>
          <cell r="G1343">
            <v>7772953.6859999998</v>
          </cell>
          <cell r="H1343">
            <v>4.5469999999999997</v>
          </cell>
          <cell r="I1343">
            <v>0</v>
          </cell>
          <cell r="J1343">
            <v>4.5469999999999997</v>
          </cell>
          <cell r="K1343">
            <v>8.9999999999999993E-3</v>
          </cell>
        </row>
        <row r="1344">
          <cell r="A1344" t="str">
            <v>LU2036673619</v>
          </cell>
          <cell r="B1344" t="str">
            <v>AMUNDI FUNDS STRATEGIC INCOME</v>
          </cell>
          <cell r="C1344" t="str">
            <v>Class G EUR Hgd (C)</v>
          </cell>
          <cell r="D1344" t="str">
            <v>EUR</v>
          </cell>
          <cell r="E1344">
            <v>45747</v>
          </cell>
          <cell r="F1344">
            <v>36966474.509999998</v>
          </cell>
          <cell r="G1344">
            <v>7675804.0710000005</v>
          </cell>
          <cell r="H1344">
            <v>4.8159999999999998</v>
          </cell>
          <cell r="I1344">
            <v>0</v>
          </cell>
          <cell r="J1344">
            <v>4.8159999999999998</v>
          </cell>
          <cell r="K1344">
            <v>1E-3</v>
          </cell>
        </row>
        <row r="1345">
          <cell r="A1345" t="str">
            <v>LU2085675515</v>
          </cell>
          <cell r="B1345" t="str">
            <v>AMUNDI FUNDS STRATEGIC INCOME</v>
          </cell>
          <cell r="C1345" t="str">
            <v>Class Z EUR HGD QTD (D)</v>
          </cell>
          <cell r="D1345" t="str">
            <v>EUR</v>
          </cell>
          <cell r="E1345">
            <v>45747</v>
          </cell>
          <cell r="F1345">
            <v>1137814.3999999999</v>
          </cell>
          <cell r="G1345">
            <v>1385.2729999999999</v>
          </cell>
          <cell r="H1345">
            <v>821.36</v>
          </cell>
          <cell r="I1345">
            <v>0</v>
          </cell>
          <cell r="J1345">
            <v>821.36</v>
          </cell>
          <cell r="K1345">
            <v>0.15</v>
          </cell>
        </row>
        <row r="1346">
          <cell r="A1346" t="str">
            <v>LU2574252586</v>
          </cell>
          <cell r="B1346" t="str">
            <v>AMUNDI FUNDS US BOND</v>
          </cell>
          <cell r="C1346" t="str">
            <v>Class A2 USD MD (D)</v>
          </cell>
          <cell r="D1346" t="str">
            <v>USD</v>
          </cell>
          <cell r="E1346">
            <v>45747</v>
          </cell>
          <cell r="F1346">
            <v>53277.81</v>
          </cell>
          <cell r="G1346">
            <v>1084.672</v>
          </cell>
          <cell r="H1346">
            <v>49.12</v>
          </cell>
          <cell r="I1346">
            <v>0.16039900000000001</v>
          </cell>
          <cell r="J1346">
            <v>49.12</v>
          </cell>
          <cell r="K1346">
            <v>-0.1</v>
          </cell>
        </row>
        <row r="1347">
          <cell r="A1347" t="str">
            <v>LU1880401283</v>
          </cell>
          <cell r="B1347" t="str">
            <v>AMUNDI FUNDS US BOND</v>
          </cell>
          <cell r="C1347" t="str">
            <v>Class A EUR AD (D)</v>
          </cell>
          <cell r="D1347" t="str">
            <v>EUR</v>
          </cell>
          <cell r="E1347">
            <v>45747</v>
          </cell>
          <cell r="F1347">
            <v>1040777.85</v>
          </cell>
          <cell r="G1347">
            <v>22326.508000000002</v>
          </cell>
          <cell r="H1347">
            <v>46.62</v>
          </cell>
          <cell r="I1347">
            <v>0</v>
          </cell>
          <cell r="J1347">
            <v>48.02</v>
          </cell>
          <cell r="K1347">
            <v>0.15</v>
          </cell>
        </row>
        <row r="1348">
          <cell r="A1348" t="str">
            <v>LU1880401101</v>
          </cell>
          <cell r="B1348" t="str">
            <v>AMUNDI FUNDS US BOND</v>
          </cell>
          <cell r="C1348" t="str">
            <v>Class A EUR (C)</v>
          </cell>
          <cell r="D1348" t="str">
            <v>EUR</v>
          </cell>
          <cell r="E1348">
            <v>45747</v>
          </cell>
          <cell r="F1348">
            <v>16328191.279999999</v>
          </cell>
          <cell r="G1348">
            <v>299191.58100000001</v>
          </cell>
          <cell r="H1348">
            <v>54.57</v>
          </cell>
          <cell r="I1348">
            <v>0</v>
          </cell>
          <cell r="J1348">
            <v>56.21</v>
          </cell>
          <cell r="K1348">
            <v>0.16</v>
          </cell>
        </row>
        <row r="1349">
          <cell r="A1349" t="str">
            <v>LU2070305110</v>
          </cell>
          <cell r="B1349" t="str">
            <v>AMUNDI FUNDS US BOND</v>
          </cell>
          <cell r="C1349" t="str">
            <v>Class A2 AUD Hgd MTD3 (D)</v>
          </cell>
          <cell r="D1349" t="str">
            <v>AUD</v>
          </cell>
          <cell r="E1349">
            <v>45747</v>
          </cell>
          <cell r="F1349">
            <v>3180204.1</v>
          </cell>
          <cell r="G1349">
            <v>89132.947</v>
          </cell>
          <cell r="H1349">
            <v>35.68</v>
          </cell>
          <cell r="I1349">
            <v>0</v>
          </cell>
          <cell r="J1349">
            <v>35.68</v>
          </cell>
          <cell r="K1349">
            <v>0.04</v>
          </cell>
        </row>
        <row r="1350">
          <cell r="A1350" t="str">
            <v>LU2002723406</v>
          </cell>
          <cell r="B1350" t="str">
            <v>AMUNDI FUNDS US BOND</v>
          </cell>
          <cell r="C1350" t="str">
            <v>Class M2 USD (C)</v>
          </cell>
          <cell r="D1350" t="str">
            <v>USD</v>
          </cell>
          <cell r="E1350">
            <v>45747</v>
          </cell>
          <cell r="F1350">
            <v>198114.22</v>
          </cell>
          <cell r="G1350">
            <v>187.31700000000001</v>
          </cell>
          <cell r="H1350">
            <v>1057.6400000000001</v>
          </cell>
          <cell r="I1350">
            <v>0</v>
          </cell>
          <cell r="J1350">
            <v>1057.6400000000001</v>
          </cell>
          <cell r="K1350">
            <v>1.25</v>
          </cell>
        </row>
        <row r="1351">
          <cell r="A1351" t="str">
            <v>LU2070309021</v>
          </cell>
          <cell r="B1351" t="str">
            <v>AMUNDI FUNDS US BOND</v>
          </cell>
          <cell r="C1351" t="str">
            <v>Class A2 EUR AD (D)</v>
          </cell>
          <cell r="D1351" t="str">
            <v>EUR</v>
          </cell>
          <cell r="E1351">
            <v>45747</v>
          </cell>
          <cell r="F1351">
            <v>558894.32999999996</v>
          </cell>
          <cell r="G1351">
            <v>12045.993</v>
          </cell>
          <cell r="H1351">
            <v>46.4</v>
          </cell>
          <cell r="I1351">
            <v>0</v>
          </cell>
          <cell r="J1351">
            <v>47.79</v>
          </cell>
          <cell r="K1351">
            <v>0.15</v>
          </cell>
        </row>
        <row r="1352">
          <cell r="A1352" t="str">
            <v>LU1880401796</v>
          </cell>
          <cell r="B1352" t="str">
            <v>AMUNDI FUNDS US BOND</v>
          </cell>
          <cell r="C1352" t="str">
            <v>Class A USD AD (D)</v>
          </cell>
          <cell r="D1352" t="str">
            <v>USD</v>
          </cell>
          <cell r="E1352">
            <v>45747</v>
          </cell>
          <cell r="F1352">
            <v>4156999.15</v>
          </cell>
          <cell r="G1352">
            <v>93492.546000000002</v>
          </cell>
          <cell r="H1352">
            <v>44.46</v>
          </cell>
          <cell r="I1352">
            <v>0</v>
          </cell>
          <cell r="J1352">
            <v>45.79</v>
          </cell>
          <cell r="K1352">
            <v>0.05</v>
          </cell>
        </row>
        <row r="1353">
          <cell r="A1353" t="str">
            <v>LU2347634235</v>
          </cell>
          <cell r="B1353" t="str">
            <v>AMUNDI FUNDS US BOND</v>
          </cell>
          <cell r="C1353" t="str">
            <v>Class A2-7 USD (C)</v>
          </cell>
          <cell r="D1353" t="str">
            <v>USD</v>
          </cell>
          <cell r="E1353">
            <v>45747</v>
          </cell>
          <cell r="F1353">
            <v>42145.91</v>
          </cell>
          <cell r="G1353">
            <v>894.553</v>
          </cell>
          <cell r="H1353">
            <v>47.11</v>
          </cell>
          <cell r="I1353">
            <v>0</v>
          </cell>
          <cell r="J1353">
            <v>47.11</v>
          </cell>
          <cell r="K1353">
            <v>0.05</v>
          </cell>
        </row>
        <row r="1354">
          <cell r="A1354" t="str">
            <v>LU1880401366</v>
          </cell>
          <cell r="B1354" t="str">
            <v>AMUNDI FUNDS US BOND</v>
          </cell>
          <cell r="C1354" t="str">
            <v>Class A EUR Hgd (C)</v>
          </cell>
          <cell r="D1354" t="str">
            <v>EUR</v>
          </cell>
          <cell r="E1354">
            <v>45747</v>
          </cell>
          <cell r="F1354">
            <v>46336606.25</v>
          </cell>
          <cell r="G1354">
            <v>999486.28799999994</v>
          </cell>
          <cell r="H1354">
            <v>46.36</v>
          </cell>
          <cell r="I1354">
            <v>0</v>
          </cell>
          <cell r="J1354">
            <v>47.75</v>
          </cell>
          <cell r="K1354">
            <v>0.05</v>
          </cell>
        </row>
        <row r="1355">
          <cell r="A1355" t="str">
            <v>LU1883849199</v>
          </cell>
          <cell r="B1355" t="str">
            <v>AMUNDI FUNDS US BOND</v>
          </cell>
          <cell r="C1355" t="str">
            <v>Class A2 EUR Hgd (C)</v>
          </cell>
          <cell r="D1355" t="str">
            <v>EUR</v>
          </cell>
          <cell r="E1355">
            <v>45747</v>
          </cell>
          <cell r="F1355">
            <v>30741317.620000001</v>
          </cell>
          <cell r="G1355">
            <v>635792.71100000001</v>
          </cell>
          <cell r="H1355">
            <v>48.35</v>
          </cell>
          <cell r="I1355">
            <v>0</v>
          </cell>
          <cell r="J1355">
            <v>49.8</v>
          </cell>
          <cell r="K1355">
            <v>0.05</v>
          </cell>
        </row>
        <row r="1356">
          <cell r="A1356" t="str">
            <v>LU2237438549</v>
          </cell>
          <cell r="B1356" t="str">
            <v>AMUNDI FUNDS US BOND</v>
          </cell>
          <cell r="C1356" t="str">
            <v>Class A2 SGD Hgd MGI (D)</v>
          </cell>
          <cell r="D1356" t="str">
            <v>SGD</v>
          </cell>
          <cell r="E1356">
            <v>45747</v>
          </cell>
          <cell r="F1356">
            <v>401191.07</v>
          </cell>
          <cell r="G1356">
            <v>10319.716</v>
          </cell>
          <cell r="H1356">
            <v>38.880000000000003</v>
          </cell>
          <cell r="I1356">
            <v>0</v>
          </cell>
          <cell r="J1356">
            <v>38.880000000000003</v>
          </cell>
          <cell r="K1356">
            <v>0.05</v>
          </cell>
        </row>
        <row r="1357">
          <cell r="A1357" t="str">
            <v>LU1880401523</v>
          </cell>
          <cell r="B1357" t="str">
            <v>AMUNDI FUNDS US BOND</v>
          </cell>
          <cell r="C1357" t="str">
            <v>Class A USD (C)</v>
          </cell>
          <cell r="D1357" t="str">
            <v>USD</v>
          </cell>
          <cell r="E1357">
            <v>45747</v>
          </cell>
          <cell r="F1357">
            <v>55631360.68</v>
          </cell>
          <cell r="G1357">
            <v>1067765.9680000001</v>
          </cell>
          <cell r="H1357">
            <v>52.1</v>
          </cell>
          <cell r="I1357">
            <v>0</v>
          </cell>
          <cell r="J1357">
            <v>53.66</v>
          </cell>
          <cell r="K1357">
            <v>0.06</v>
          </cell>
        </row>
        <row r="1358">
          <cell r="A1358" t="str">
            <v>LU1883849439</v>
          </cell>
          <cell r="B1358" t="str">
            <v>AMUNDI FUNDS US BOND</v>
          </cell>
          <cell r="C1358" t="str">
            <v>Class A2 GBP Hgd QD (D)</v>
          </cell>
          <cell r="D1358" t="str">
            <v>GBP</v>
          </cell>
          <cell r="E1358">
            <v>45747</v>
          </cell>
          <cell r="F1358">
            <v>25813.34</v>
          </cell>
          <cell r="G1358">
            <v>620</v>
          </cell>
          <cell r="H1358">
            <v>41.63</v>
          </cell>
          <cell r="I1358">
            <v>0.35779</v>
          </cell>
          <cell r="J1358">
            <v>42.88</v>
          </cell>
          <cell r="K1358">
            <v>-0.31</v>
          </cell>
        </row>
        <row r="1359">
          <cell r="A1359" t="str">
            <v>LU2070305201</v>
          </cell>
          <cell r="B1359" t="str">
            <v>AMUNDI FUNDS US BOND</v>
          </cell>
          <cell r="C1359" t="str">
            <v>Class B AUD Hgd MTD3 (D)</v>
          </cell>
          <cell r="D1359" t="str">
            <v>AUD</v>
          </cell>
          <cell r="E1359">
            <v>45747</v>
          </cell>
          <cell r="F1359">
            <v>8283446.7999999998</v>
          </cell>
          <cell r="G1359">
            <v>244590.62599999999</v>
          </cell>
          <cell r="H1359">
            <v>33.869999999999997</v>
          </cell>
          <cell r="I1359">
            <v>0</v>
          </cell>
          <cell r="J1359">
            <v>33.869999999999997</v>
          </cell>
          <cell r="K1359">
            <v>0.04</v>
          </cell>
        </row>
        <row r="1360">
          <cell r="A1360" t="str">
            <v>LU2070305383</v>
          </cell>
          <cell r="B1360" t="str">
            <v>AMUNDI FUNDS US BOND</v>
          </cell>
          <cell r="C1360" t="str">
            <v>Class B ZAR Hgd MTD3 (D)</v>
          </cell>
          <cell r="D1360" t="str">
            <v>ZAR</v>
          </cell>
          <cell r="E1360">
            <v>45747</v>
          </cell>
          <cell r="F1360">
            <v>93218002.969999999</v>
          </cell>
          <cell r="G1360">
            <v>3155743.6129999999</v>
          </cell>
          <cell r="H1360">
            <v>29.54</v>
          </cell>
          <cell r="I1360">
            <v>0</v>
          </cell>
          <cell r="J1360">
            <v>29.54</v>
          </cell>
          <cell r="K1360">
            <v>0.03</v>
          </cell>
        </row>
        <row r="1361">
          <cell r="A1361" t="str">
            <v>LU1883850791</v>
          </cell>
          <cell r="B1361" t="str">
            <v>AMUNDI FUNDS US BOND</v>
          </cell>
          <cell r="C1361" t="str">
            <v>Class B USD MGI (D)</v>
          </cell>
          <cell r="D1361" t="str">
            <v>USD</v>
          </cell>
          <cell r="E1361">
            <v>45747</v>
          </cell>
          <cell r="F1361">
            <v>22602979.34</v>
          </cell>
          <cell r="G1361">
            <v>499833.90500000003</v>
          </cell>
          <cell r="H1361">
            <v>45.22</v>
          </cell>
          <cell r="I1361">
            <v>0</v>
          </cell>
          <cell r="J1361">
            <v>45.22</v>
          </cell>
          <cell r="K1361">
            <v>0.05</v>
          </cell>
        </row>
        <row r="1362">
          <cell r="A1362" t="str">
            <v>LU1883850528</v>
          </cell>
          <cell r="B1362" t="str">
            <v>AMUNDI FUNDS US BOND</v>
          </cell>
          <cell r="C1362" t="str">
            <v>Class B USD MTD3 (D)</v>
          </cell>
          <cell r="D1362" t="str">
            <v>USD</v>
          </cell>
          <cell r="E1362">
            <v>45747</v>
          </cell>
          <cell r="F1362">
            <v>116713213.84999999</v>
          </cell>
          <cell r="G1362">
            <v>3449332.8050000002</v>
          </cell>
          <cell r="H1362">
            <v>33.840000000000003</v>
          </cell>
          <cell r="I1362">
            <v>0</v>
          </cell>
          <cell r="J1362">
            <v>33.840000000000003</v>
          </cell>
          <cell r="K1362">
            <v>0.04</v>
          </cell>
        </row>
        <row r="1363">
          <cell r="A1363" t="str">
            <v>LU1883851922</v>
          </cell>
          <cell r="B1363" t="str">
            <v>AMUNDI FUNDS US BOND</v>
          </cell>
          <cell r="C1363" t="str">
            <v>Class M2 EUR (C)</v>
          </cell>
          <cell r="D1363" t="str">
            <v>EUR</v>
          </cell>
          <cell r="E1363">
            <v>45747</v>
          </cell>
          <cell r="F1363">
            <v>89057804.439999998</v>
          </cell>
          <cell r="G1363">
            <v>35014.961000000003</v>
          </cell>
          <cell r="H1363">
            <v>2543.42</v>
          </cell>
          <cell r="I1363">
            <v>0</v>
          </cell>
          <cell r="J1363">
            <v>2543.42</v>
          </cell>
          <cell r="K1363">
            <v>7.94</v>
          </cell>
        </row>
        <row r="1364">
          <cell r="A1364" t="str">
            <v>LU1883850361</v>
          </cell>
          <cell r="B1364" t="str">
            <v>AMUNDI FUNDS US BOND</v>
          </cell>
          <cell r="C1364" t="str">
            <v>Class B USD (C)</v>
          </cell>
          <cell r="D1364" t="str">
            <v>USD</v>
          </cell>
          <cell r="E1364">
            <v>45747</v>
          </cell>
          <cell r="F1364">
            <v>13081596.220000001</v>
          </cell>
          <cell r="G1364">
            <v>164137.253</v>
          </cell>
          <cell r="H1364">
            <v>79.7</v>
          </cell>
          <cell r="I1364">
            <v>0</v>
          </cell>
          <cell r="J1364">
            <v>79.7</v>
          </cell>
          <cell r="K1364">
            <v>0.08</v>
          </cell>
        </row>
        <row r="1365">
          <cell r="A1365" t="str">
            <v>LU1883850874</v>
          </cell>
          <cell r="B1365" t="str">
            <v>AMUNDI FUNDS US BOND</v>
          </cell>
          <cell r="C1365" t="str">
            <v>Class C USD (C)</v>
          </cell>
          <cell r="D1365" t="str">
            <v>USD</v>
          </cell>
          <cell r="E1365">
            <v>45747</v>
          </cell>
          <cell r="F1365">
            <v>30326147.48</v>
          </cell>
          <cell r="G1365">
            <v>406543.79100000003</v>
          </cell>
          <cell r="H1365">
            <v>74.599999999999994</v>
          </cell>
          <cell r="I1365">
            <v>0</v>
          </cell>
          <cell r="J1365">
            <v>74.599999999999994</v>
          </cell>
          <cell r="K1365">
            <v>0.08</v>
          </cell>
        </row>
        <row r="1366">
          <cell r="A1366" t="str">
            <v>LU1883850957</v>
          </cell>
          <cell r="B1366" t="str">
            <v>AMUNDI FUNDS US BOND</v>
          </cell>
          <cell r="C1366" t="str">
            <v>Class C USD MTD (D)</v>
          </cell>
          <cell r="D1366" t="str">
            <v>USD</v>
          </cell>
          <cell r="E1366">
            <v>45747</v>
          </cell>
          <cell r="F1366">
            <v>2278660.16</v>
          </cell>
          <cell r="G1366">
            <v>40836.940999999999</v>
          </cell>
          <cell r="H1366">
            <v>55.8</v>
          </cell>
          <cell r="I1366">
            <v>0</v>
          </cell>
          <cell r="J1366">
            <v>55.8</v>
          </cell>
          <cell r="K1366">
            <v>0.06</v>
          </cell>
        </row>
        <row r="1367">
          <cell r="A1367" t="str">
            <v>LU1883849512</v>
          </cell>
          <cell r="B1367" t="str">
            <v>AMUNDI FUNDS US BOND</v>
          </cell>
          <cell r="C1367" t="str">
            <v>Class A2 SGD Hgd (C)</v>
          </cell>
          <cell r="D1367" t="str">
            <v>SGD</v>
          </cell>
          <cell r="E1367">
            <v>45747</v>
          </cell>
          <cell r="F1367">
            <v>1356361.81</v>
          </cell>
          <cell r="G1367">
            <v>23715.225999999999</v>
          </cell>
          <cell r="H1367">
            <v>57.19</v>
          </cell>
          <cell r="I1367">
            <v>0</v>
          </cell>
          <cell r="J1367">
            <v>58.91</v>
          </cell>
          <cell r="K1367">
            <v>0.06</v>
          </cell>
        </row>
        <row r="1368">
          <cell r="A1368" t="str">
            <v>LU1883849868</v>
          </cell>
          <cell r="B1368" t="str">
            <v>AMUNDI FUNDS US BOND</v>
          </cell>
          <cell r="C1368" t="str">
            <v>Class A2 USD MTD (D)</v>
          </cell>
          <cell r="D1368" t="str">
            <v>USD</v>
          </cell>
          <cell r="E1368">
            <v>45747</v>
          </cell>
          <cell r="F1368">
            <v>8092584.5700000003</v>
          </cell>
          <cell r="G1368">
            <v>146284.80300000001</v>
          </cell>
          <cell r="H1368">
            <v>55.32</v>
          </cell>
          <cell r="I1368">
            <v>0</v>
          </cell>
          <cell r="J1368">
            <v>56.98</v>
          </cell>
          <cell r="K1368">
            <v>0.06</v>
          </cell>
        </row>
        <row r="1369">
          <cell r="A1369" t="str">
            <v>LU1883848977</v>
          </cell>
          <cell r="B1369" t="str">
            <v>AMUNDI FUNDS US BOND</v>
          </cell>
          <cell r="C1369" t="str">
            <v>Class A2 EUR (C)</v>
          </cell>
          <cell r="D1369" t="str">
            <v>EUR</v>
          </cell>
          <cell r="E1369">
            <v>45747</v>
          </cell>
          <cell r="F1369">
            <v>9264738.5500000007</v>
          </cell>
          <cell r="G1369">
            <v>93785.014999999999</v>
          </cell>
          <cell r="H1369">
            <v>98.79</v>
          </cell>
          <cell r="I1369">
            <v>0</v>
          </cell>
          <cell r="J1369">
            <v>101.75</v>
          </cell>
          <cell r="K1369">
            <v>0.31</v>
          </cell>
        </row>
        <row r="1370">
          <cell r="A1370" t="str">
            <v>LU1883849355</v>
          </cell>
          <cell r="B1370" t="str">
            <v>AMUNDI FUNDS US BOND</v>
          </cell>
          <cell r="C1370" t="str">
            <v>Class A2 EUR QD (D)</v>
          </cell>
          <cell r="D1370" t="str">
            <v>EUR</v>
          </cell>
          <cell r="E1370">
            <v>45747</v>
          </cell>
          <cell r="F1370">
            <v>62098</v>
          </cell>
          <cell r="G1370">
            <v>1204.3009999999999</v>
          </cell>
          <cell r="H1370">
            <v>51.56</v>
          </cell>
          <cell r="I1370">
            <v>0.45370700000000003</v>
          </cell>
          <cell r="J1370">
            <v>53.11</v>
          </cell>
          <cell r="K1370">
            <v>-0.3</v>
          </cell>
        </row>
        <row r="1371">
          <cell r="A1371" t="str">
            <v>LU1883851179</v>
          </cell>
          <cell r="B1371" t="str">
            <v>AMUNDI FUNDS US BOND</v>
          </cell>
          <cell r="C1371" t="str">
            <v>Class E2 EUR (C)</v>
          </cell>
          <cell r="D1371" t="str">
            <v>EUR</v>
          </cell>
          <cell r="E1371">
            <v>45747</v>
          </cell>
          <cell r="F1371">
            <v>78399772.109999999</v>
          </cell>
          <cell r="G1371">
            <v>7803303.1270000003</v>
          </cell>
          <cell r="H1371">
            <v>10.047000000000001</v>
          </cell>
          <cell r="I1371">
            <v>0</v>
          </cell>
          <cell r="J1371">
            <v>10.047000000000001</v>
          </cell>
          <cell r="K1371">
            <v>3.1E-2</v>
          </cell>
        </row>
        <row r="1372">
          <cell r="A1372" t="str">
            <v>LU1883851336</v>
          </cell>
          <cell r="B1372" t="str">
            <v>AMUNDI FUNDS US BOND</v>
          </cell>
          <cell r="C1372" t="str">
            <v>Class E2 USD (C)</v>
          </cell>
          <cell r="D1372" t="str">
            <v>USD</v>
          </cell>
          <cell r="E1372">
            <v>45747</v>
          </cell>
          <cell r="F1372">
            <v>1090085.53</v>
          </cell>
          <cell r="G1372">
            <v>100465.74</v>
          </cell>
          <cell r="H1372">
            <v>10.85</v>
          </cell>
          <cell r="I1372">
            <v>0</v>
          </cell>
          <cell r="J1372">
            <v>10.85</v>
          </cell>
          <cell r="K1372">
            <v>1.2E-2</v>
          </cell>
        </row>
        <row r="1373">
          <cell r="A1373" t="str">
            <v>LU1883851096</v>
          </cell>
          <cell r="B1373" t="str">
            <v>AMUNDI FUNDS US BOND</v>
          </cell>
          <cell r="C1373" t="str">
            <v>Class E2 CHF Hgd (C)</v>
          </cell>
          <cell r="D1373" t="str">
            <v>CHF</v>
          </cell>
          <cell r="E1373">
            <v>45747</v>
          </cell>
          <cell r="F1373">
            <v>192040.6</v>
          </cell>
          <cell r="G1373">
            <v>43434.582999999999</v>
          </cell>
          <cell r="H1373">
            <v>4.4210000000000003</v>
          </cell>
          <cell r="I1373">
            <v>0</v>
          </cell>
          <cell r="J1373">
            <v>4.4210000000000003</v>
          </cell>
          <cell r="K1373">
            <v>4.0000000000000001E-3</v>
          </cell>
        </row>
        <row r="1374">
          <cell r="A1374" t="str">
            <v>LU1883851252</v>
          </cell>
          <cell r="B1374" t="str">
            <v>AMUNDI FUNDS US BOND</v>
          </cell>
          <cell r="C1374" t="str">
            <v>Class E2 EUR Hgd (C)</v>
          </cell>
          <cell r="D1374" t="str">
            <v>EUR</v>
          </cell>
          <cell r="E1374">
            <v>45747</v>
          </cell>
          <cell r="F1374">
            <v>5214376.76</v>
          </cell>
          <cell r="G1374">
            <v>1065931.5090000001</v>
          </cell>
          <cell r="H1374">
            <v>4.8920000000000003</v>
          </cell>
          <cell r="I1374">
            <v>0</v>
          </cell>
          <cell r="J1374">
            <v>4.8920000000000003</v>
          </cell>
          <cell r="K1374">
            <v>6.0000000000000001E-3</v>
          </cell>
        </row>
        <row r="1375">
          <cell r="A1375" t="str">
            <v>LU2018722947</v>
          </cell>
          <cell r="B1375" t="str">
            <v>AMUNDI FUNDS US BOND</v>
          </cell>
          <cell r="C1375" t="str">
            <v>Class F EUR Hgd QTD (D)</v>
          </cell>
          <cell r="D1375" t="str">
            <v>EUR</v>
          </cell>
          <cell r="E1375">
            <v>45747</v>
          </cell>
          <cell r="F1375">
            <v>78289.89</v>
          </cell>
          <cell r="G1375">
            <v>20410.789000000001</v>
          </cell>
          <cell r="H1375">
            <v>3.8359999999999999</v>
          </cell>
          <cell r="I1375">
            <v>0</v>
          </cell>
          <cell r="J1375">
            <v>3.8359999999999999</v>
          </cell>
          <cell r="K1375">
            <v>4.0000000000000001E-3</v>
          </cell>
        </row>
        <row r="1376">
          <cell r="A1376" t="str">
            <v>LU1883851419</v>
          </cell>
          <cell r="B1376" t="str">
            <v>AMUNDI FUNDS US BOND</v>
          </cell>
          <cell r="C1376" t="str">
            <v>Class F EUR (C)</v>
          </cell>
          <cell r="D1376" t="str">
            <v>EUR</v>
          </cell>
          <cell r="E1376">
            <v>45747</v>
          </cell>
          <cell r="F1376">
            <v>7492282.04</v>
          </cell>
          <cell r="G1376">
            <v>826096.31499999994</v>
          </cell>
          <cell r="H1376">
            <v>9.07</v>
          </cell>
          <cell r="I1376">
            <v>0</v>
          </cell>
          <cell r="J1376">
            <v>9.07</v>
          </cell>
          <cell r="K1376">
            <v>2.8000000000000001E-2</v>
          </cell>
        </row>
        <row r="1377">
          <cell r="A1377" t="str">
            <v>LU1880402257</v>
          </cell>
          <cell r="B1377" t="str">
            <v>AMUNDI FUNDS US BOND</v>
          </cell>
          <cell r="C1377" t="str">
            <v>Class F2 USD (C)</v>
          </cell>
          <cell r="D1377" t="str">
            <v>USD</v>
          </cell>
          <cell r="E1377">
            <v>45747</v>
          </cell>
          <cell r="F1377">
            <v>1122019.1200000001</v>
          </cell>
          <cell r="G1377">
            <v>222971.82500000001</v>
          </cell>
          <cell r="H1377">
            <v>5.032</v>
          </cell>
          <cell r="I1377">
            <v>0</v>
          </cell>
          <cell r="J1377">
            <v>5.032</v>
          </cell>
          <cell r="K1377">
            <v>5.0000000000000001E-3</v>
          </cell>
        </row>
        <row r="1378">
          <cell r="A1378" t="str">
            <v>LU2208987094</v>
          </cell>
          <cell r="B1378" t="str">
            <v>AMUNDI FUNDS US BOND</v>
          </cell>
          <cell r="C1378" t="str">
            <v>Class F USD (C)</v>
          </cell>
          <cell r="D1378" t="str">
            <v>USD</v>
          </cell>
          <cell r="E1378">
            <v>45747</v>
          </cell>
          <cell r="F1378">
            <v>89308.800000000003</v>
          </cell>
          <cell r="G1378">
            <v>19097.482</v>
          </cell>
          <cell r="H1378">
            <v>4.6760000000000002</v>
          </cell>
          <cell r="I1378">
            <v>0</v>
          </cell>
          <cell r="J1378">
            <v>4.6760000000000002</v>
          </cell>
          <cell r="K1378">
            <v>5.0000000000000001E-3</v>
          </cell>
        </row>
        <row r="1379">
          <cell r="A1379" t="str">
            <v>LU1880402091</v>
          </cell>
          <cell r="B1379" t="str">
            <v>AMUNDI FUNDS US BOND</v>
          </cell>
          <cell r="C1379" t="str">
            <v>Class F2 EUR Hgd (C)</v>
          </cell>
          <cell r="D1379" t="str">
            <v>EUR</v>
          </cell>
          <cell r="E1379">
            <v>45747</v>
          </cell>
          <cell r="F1379">
            <v>1071001.56</v>
          </cell>
          <cell r="G1379">
            <v>236182.83199999999</v>
          </cell>
          <cell r="H1379">
            <v>4.5350000000000001</v>
          </cell>
          <cell r="I1379">
            <v>0</v>
          </cell>
          <cell r="J1379">
            <v>4.5350000000000001</v>
          </cell>
          <cell r="K1379">
            <v>5.0000000000000001E-3</v>
          </cell>
        </row>
        <row r="1380">
          <cell r="A1380" t="str">
            <v>LU1880402174</v>
          </cell>
          <cell r="B1380" t="str">
            <v>AMUNDI FUNDS US BOND</v>
          </cell>
          <cell r="C1380" t="str">
            <v>Class F2 EUR Hgd QTD (D)</v>
          </cell>
          <cell r="D1380" t="str">
            <v>EUR</v>
          </cell>
          <cell r="E1380">
            <v>45747</v>
          </cell>
          <cell r="F1380">
            <v>114669.93</v>
          </cell>
          <cell r="G1380">
            <v>29991.83</v>
          </cell>
          <cell r="H1380">
            <v>3.823</v>
          </cell>
          <cell r="I1380">
            <v>0</v>
          </cell>
          <cell r="J1380">
            <v>3.823</v>
          </cell>
          <cell r="K1380">
            <v>4.0000000000000001E-3</v>
          </cell>
        </row>
        <row r="1381">
          <cell r="A1381" t="str">
            <v>LU1883850288</v>
          </cell>
          <cell r="B1381" t="str">
            <v>AMUNDI FUNDS US BOND</v>
          </cell>
          <cell r="C1381" t="str">
            <v>Class A2 ZAR Hgd MTD3 (D)</v>
          </cell>
          <cell r="D1381" t="str">
            <v>ZAR</v>
          </cell>
          <cell r="E1381">
            <v>45747</v>
          </cell>
          <cell r="F1381">
            <v>699922871.44000006</v>
          </cell>
          <cell r="G1381">
            <v>1241277.8019999999</v>
          </cell>
          <cell r="H1381">
            <v>563.87</v>
          </cell>
          <cell r="I1381">
            <v>0</v>
          </cell>
          <cell r="J1381">
            <v>580.79</v>
          </cell>
          <cell r="K1381">
            <v>0.67</v>
          </cell>
        </row>
        <row r="1382">
          <cell r="A1382" t="str">
            <v>LU1897310782</v>
          </cell>
          <cell r="B1382" t="str">
            <v>AMUNDI FUNDS US BOND</v>
          </cell>
          <cell r="C1382" t="str">
            <v>Class I2 GBP (C)</v>
          </cell>
          <cell r="D1382" t="str">
            <v>GBP</v>
          </cell>
          <cell r="E1382">
            <v>45747</v>
          </cell>
          <cell r="F1382">
            <v>4959</v>
          </cell>
          <cell r="G1382">
            <v>5</v>
          </cell>
          <cell r="H1382">
            <v>991.8</v>
          </cell>
          <cell r="I1382">
            <v>0</v>
          </cell>
          <cell r="J1382">
            <v>991.8</v>
          </cell>
          <cell r="K1382">
            <v>3.75</v>
          </cell>
        </row>
        <row r="1383">
          <cell r="A1383" t="str">
            <v>LU1883851765</v>
          </cell>
          <cell r="B1383" t="str">
            <v>AMUNDI FUNDS US BOND</v>
          </cell>
          <cell r="C1383" t="str">
            <v>Class I2 USD (C)</v>
          </cell>
          <cell r="D1383" t="str">
            <v>USD</v>
          </cell>
          <cell r="E1383">
            <v>45747</v>
          </cell>
          <cell r="F1383">
            <v>205856049.44</v>
          </cell>
          <cell r="G1383">
            <v>74882.370999999999</v>
          </cell>
          <cell r="H1383">
            <v>2749.06</v>
          </cell>
          <cell r="I1383">
            <v>0</v>
          </cell>
          <cell r="J1383">
            <v>2749.06</v>
          </cell>
          <cell r="K1383">
            <v>3.27</v>
          </cell>
        </row>
        <row r="1384">
          <cell r="A1384" t="str">
            <v>LU1883851849</v>
          </cell>
          <cell r="B1384" t="str">
            <v>AMUNDI FUNDS US BOND</v>
          </cell>
          <cell r="C1384" t="str">
            <v>Class I2 USD AD (D)</v>
          </cell>
          <cell r="D1384" t="str">
            <v>USD</v>
          </cell>
          <cell r="E1384">
            <v>45747</v>
          </cell>
          <cell r="F1384">
            <v>30479521.559999999</v>
          </cell>
          <cell r="G1384">
            <v>23665.022000000001</v>
          </cell>
          <cell r="H1384">
            <v>1287.96</v>
          </cell>
          <cell r="I1384">
            <v>0</v>
          </cell>
          <cell r="J1384">
            <v>1287.96</v>
          </cell>
          <cell r="K1384">
            <v>1.53</v>
          </cell>
        </row>
        <row r="1385">
          <cell r="A1385" t="str">
            <v>LU2031984185</v>
          </cell>
          <cell r="B1385" t="str">
            <v>AMUNDI FUNDS US BOND</v>
          </cell>
          <cell r="C1385" t="str">
            <v>Class I2 GBP QD (D)</v>
          </cell>
          <cell r="D1385" t="str">
            <v>GBP</v>
          </cell>
          <cell r="E1385">
            <v>45747</v>
          </cell>
          <cell r="F1385">
            <v>4221.7299999999996</v>
          </cell>
          <cell r="G1385">
            <v>5</v>
          </cell>
          <cell r="H1385">
            <v>844.35</v>
          </cell>
          <cell r="I1385">
            <v>9.0500000000000007</v>
          </cell>
          <cell r="J1385">
            <v>844.35</v>
          </cell>
          <cell r="K1385">
            <v>-5.82</v>
          </cell>
        </row>
        <row r="1386">
          <cell r="A1386" t="str">
            <v>LU1883851682</v>
          </cell>
          <cell r="B1386" t="str">
            <v>AMUNDI FUNDS US BOND</v>
          </cell>
          <cell r="C1386" t="str">
            <v>Class I2 EUR Hgd (C)</v>
          </cell>
          <cell r="D1386" t="str">
            <v>EUR</v>
          </cell>
          <cell r="E1386">
            <v>45747</v>
          </cell>
          <cell r="F1386">
            <v>50930538.969999999</v>
          </cell>
          <cell r="G1386">
            <v>48816.01</v>
          </cell>
          <cell r="H1386">
            <v>1043.32</v>
          </cell>
          <cell r="I1386">
            <v>0</v>
          </cell>
          <cell r="J1386">
            <v>1043.32</v>
          </cell>
          <cell r="K1386">
            <v>1.19</v>
          </cell>
        </row>
        <row r="1387">
          <cell r="A1387" t="str">
            <v>LU1883851500</v>
          </cell>
          <cell r="B1387" t="str">
            <v>AMUNDI FUNDS US BOND</v>
          </cell>
          <cell r="C1387" t="str">
            <v>Class I2 EUR (C)</v>
          </cell>
          <cell r="D1387" t="str">
            <v>EUR</v>
          </cell>
          <cell r="E1387">
            <v>45747</v>
          </cell>
          <cell r="F1387">
            <v>2601045.89</v>
          </cell>
          <cell r="G1387">
            <v>1022</v>
          </cell>
          <cell r="H1387">
            <v>2545.0500000000002</v>
          </cell>
          <cell r="I1387">
            <v>0</v>
          </cell>
          <cell r="J1387">
            <v>2545.0500000000002</v>
          </cell>
          <cell r="K1387">
            <v>7.95</v>
          </cell>
        </row>
        <row r="1388">
          <cell r="A1388" t="str">
            <v>LU2162036151</v>
          </cell>
          <cell r="B1388" t="str">
            <v>AMUNDI FUNDS US BOND</v>
          </cell>
          <cell r="C1388" t="str">
            <v>Class I2 CHF Hgd (C)</v>
          </cell>
          <cell r="D1388" t="str">
            <v>CHF</v>
          </cell>
          <cell r="E1388">
            <v>45747</v>
          </cell>
          <cell r="F1388">
            <v>97248.74</v>
          </cell>
          <cell r="G1388">
            <v>107</v>
          </cell>
          <cell r="H1388">
            <v>908.87</v>
          </cell>
          <cell r="I1388">
            <v>0</v>
          </cell>
          <cell r="J1388">
            <v>908.87</v>
          </cell>
          <cell r="K1388">
            <v>0.99</v>
          </cell>
        </row>
        <row r="1389">
          <cell r="A1389" t="str">
            <v>LU2176990534</v>
          </cell>
          <cell r="B1389" t="str">
            <v>AMUNDI FUNDS US BOND</v>
          </cell>
          <cell r="C1389" t="str">
            <v>Class J2 USD (C)</v>
          </cell>
          <cell r="D1389" t="str">
            <v>USD</v>
          </cell>
          <cell r="E1389">
            <v>45747</v>
          </cell>
          <cell r="F1389">
            <v>302702778.42000002</v>
          </cell>
          <cell r="G1389">
            <v>305214.62400000001</v>
          </cell>
          <cell r="H1389">
            <v>991.77</v>
          </cell>
          <cell r="I1389">
            <v>0</v>
          </cell>
          <cell r="J1389">
            <v>991.77</v>
          </cell>
          <cell r="K1389">
            <v>1.18</v>
          </cell>
        </row>
        <row r="1390">
          <cell r="A1390" t="str">
            <v>LU1883852490</v>
          </cell>
          <cell r="B1390" t="str">
            <v>AMUNDI FUNDS US BOND</v>
          </cell>
          <cell r="C1390" t="str">
            <v>Class R2 CHF Hgd (C)</v>
          </cell>
          <cell r="D1390" t="str">
            <v>CHF</v>
          </cell>
          <cell r="E1390">
            <v>45747</v>
          </cell>
          <cell r="F1390">
            <v>2088.13</v>
          </cell>
          <cell r="G1390">
            <v>41</v>
          </cell>
          <cell r="H1390">
            <v>50.93</v>
          </cell>
          <cell r="I1390">
            <v>0</v>
          </cell>
          <cell r="J1390">
            <v>50.93</v>
          </cell>
          <cell r="K1390">
            <v>0.05</v>
          </cell>
        </row>
        <row r="1391">
          <cell r="A1391" t="str">
            <v>LU1880402687</v>
          </cell>
          <cell r="B1391" t="str">
            <v>AMUNDI FUNDS US BOND</v>
          </cell>
          <cell r="C1391" t="str">
            <v>Class G USD (C)</v>
          </cell>
          <cell r="D1391" t="str">
            <v>USD</v>
          </cell>
          <cell r="E1391">
            <v>45747</v>
          </cell>
          <cell r="F1391">
            <v>17269493.030000001</v>
          </cell>
          <cell r="G1391">
            <v>3358106.2480000001</v>
          </cell>
          <cell r="H1391">
            <v>5.1429999999999998</v>
          </cell>
          <cell r="I1391">
            <v>0</v>
          </cell>
          <cell r="J1391">
            <v>5.2969999999999997</v>
          </cell>
          <cell r="K1391">
            <v>6.0000000000000001E-3</v>
          </cell>
        </row>
        <row r="1392">
          <cell r="A1392" t="str">
            <v>LU1880402505</v>
          </cell>
          <cell r="B1392" t="str">
            <v>AMUNDI FUNDS US BOND</v>
          </cell>
          <cell r="C1392" t="str">
            <v>Class G EUR Hgd QTD (D)</v>
          </cell>
          <cell r="D1392" t="str">
            <v>EUR</v>
          </cell>
          <cell r="E1392">
            <v>45747</v>
          </cell>
          <cell r="F1392">
            <v>22864596.350000001</v>
          </cell>
          <cell r="G1392">
            <v>5840047.5870000003</v>
          </cell>
          <cell r="H1392">
            <v>3.915</v>
          </cell>
          <cell r="I1392">
            <v>0</v>
          </cell>
          <cell r="J1392">
            <v>4.032</v>
          </cell>
          <cell r="K1392">
            <v>4.0000000000000001E-3</v>
          </cell>
        </row>
        <row r="1393">
          <cell r="A1393" t="str">
            <v>LU1880402331</v>
          </cell>
          <cell r="B1393" t="str">
            <v>AMUNDI FUNDS US BOND</v>
          </cell>
          <cell r="C1393" t="str">
            <v>Class G EUR Hgd (C)</v>
          </cell>
          <cell r="D1393" t="str">
            <v>EUR</v>
          </cell>
          <cell r="E1393">
            <v>45747</v>
          </cell>
          <cell r="F1393">
            <v>12058144.939999999</v>
          </cell>
          <cell r="G1393">
            <v>2603646.608</v>
          </cell>
          <cell r="H1393">
            <v>4.6310000000000002</v>
          </cell>
          <cell r="I1393">
            <v>0</v>
          </cell>
          <cell r="J1393">
            <v>4.7699999999999996</v>
          </cell>
          <cell r="K1393">
            <v>5.0000000000000001E-3</v>
          </cell>
        </row>
        <row r="1394">
          <cell r="A1394" t="str">
            <v>LU1880402414</v>
          </cell>
          <cell r="B1394" t="str">
            <v>AMUNDI FUNDS US BOND</v>
          </cell>
          <cell r="C1394" t="str">
            <v>Class G EUR Hgd MTD (D)</v>
          </cell>
          <cell r="D1394" t="str">
            <v>EUR</v>
          </cell>
          <cell r="E1394">
            <v>45747</v>
          </cell>
          <cell r="F1394">
            <v>463801.5</v>
          </cell>
          <cell r="G1394">
            <v>118341.908</v>
          </cell>
          <cell r="H1394">
            <v>3.919</v>
          </cell>
          <cell r="I1394">
            <v>0</v>
          </cell>
          <cell r="J1394">
            <v>3.919</v>
          </cell>
          <cell r="K1394">
            <v>4.0000000000000001E-3</v>
          </cell>
        </row>
        <row r="1395">
          <cell r="A1395" t="str">
            <v>LU1883853209</v>
          </cell>
          <cell r="B1395" t="str">
            <v>AMUNDI FUNDS US BOND</v>
          </cell>
          <cell r="C1395" t="str">
            <v>Class T USD MTD3 (D)</v>
          </cell>
          <cell r="D1395" t="str">
            <v>USD</v>
          </cell>
          <cell r="E1395">
            <v>45747</v>
          </cell>
          <cell r="F1395">
            <v>2932205.38</v>
          </cell>
          <cell r="G1395">
            <v>88385.513000000006</v>
          </cell>
          <cell r="H1395">
            <v>33.18</v>
          </cell>
          <cell r="I1395">
            <v>0</v>
          </cell>
          <cell r="J1395">
            <v>33.18</v>
          </cell>
          <cell r="K1395">
            <v>0.04</v>
          </cell>
        </row>
        <row r="1396">
          <cell r="A1396" t="str">
            <v>LU1883853118</v>
          </cell>
          <cell r="B1396" t="str">
            <v>AMUNDI FUNDS US BOND</v>
          </cell>
          <cell r="C1396" t="str">
            <v>Class T USD (C)</v>
          </cell>
          <cell r="D1396" t="str">
            <v>USD</v>
          </cell>
          <cell r="E1396">
            <v>45747</v>
          </cell>
          <cell r="F1396">
            <v>319243.21999999997</v>
          </cell>
          <cell r="G1396">
            <v>6157.57</v>
          </cell>
          <cell r="H1396">
            <v>51.85</v>
          </cell>
          <cell r="I1396">
            <v>0</v>
          </cell>
          <cell r="J1396">
            <v>51.85</v>
          </cell>
          <cell r="K1396">
            <v>0.06</v>
          </cell>
        </row>
        <row r="1397">
          <cell r="A1397" t="str">
            <v>LU1883853381</v>
          </cell>
          <cell r="B1397" t="str">
            <v>AMUNDI FUNDS US BOND</v>
          </cell>
          <cell r="C1397" t="str">
            <v>Class T USD MGI (D)</v>
          </cell>
          <cell r="D1397" t="str">
            <v>USD</v>
          </cell>
          <cell r="E1397">
            <v>45747</v>
          </cell>
          <cell r="F1397">
            <v>1622956.92</v>
          </cell>
          <cell r="G1397">
            <v>45049.351000000002</v>
          </cell>
          <cell r="H1397">
            <v>36.03</v>
          </cell>
          <cell r="I1397">
            <v>0</v>
          </cell>
          <cell r="J1397">
            <v>36.03</v>
          </cell>
          <cell r="K1397">
            <v>0.04</v>
          </cell>
        </row>
        <row r="1398">
          <cell r="A1398" t="str">
            <v>LU1883853464</v>
          </cell>
          <cell r="B1398" t="str">
            <v>AMUNDI FUNDS US BOND</v>
          </cell>
          <cell r="C1398" t="str">
            <v>Class T ZAR Hgd MTD3 (D)</v>
          </cell>
          <cell r="D1398" t="str">
            <v>ZAR</v>
          </cell>
          <cell r="E1398">
            <v>45747</v>
          </cell>
          <cell r="F1398">
            <v>8776187.0199999996</v>
          </cell>
          <cell r="G1398">
            <v>16841.329000000002</v>
          </cell>
          <cell r="H1398">
            <v>521.11</v>
          </cell>
          <cell r="I1398">
            <v>0</v>
          </cell>
          <cell r="J1398">
            <v>521.11</v>
          </cell>
          <cell r="K1398">
            <v>0.59</v>
          </cell>
        </row>
        <row r="1399">
          <cell r="A1399" t="str">
            <v>LU1880403065</v>
          </cell>
          <cell r="B1399" t="str">
            <v>AMUNDI FUNDS US BOND</v>
          </cell>
          <cell r="C1399" t="str">
            <v>Class M EUR Hgd (C)</v>
          </cell>
          <cell r="D1399" t="str">
            <v>EUR</v>
          </cell>
          <cell r="E1399">
            <v>45747</v>
          </cell>
          <cell r="F1399">
            <v>17779392.640000001</v>
          </cell>
          <cell r="G1399">
            <v>18584.024000000001</v>
          </cell>
          <cell r="H1399">
            <v>956.7</v>
          </cell>
          <cell r="I1399">
            <v>0</v>
          </cell>
          <cell r="J1399">
            <v>956.7</v>
          </cell>
          <cell r="K1399">
            <v>1</v>
          </cell>
        </row>
        <row r="1400">
          <cell r="A1400" t="str">
            <v>LU1883852730</v>
          </cell>
          <cell r="B1400" t="str">
            <v>AMUNDI FUNDS US BOND</v>
          </cell>
          <cell r="C1400" t="str">
            <v>Class R2 EUR QD (D)</v>
          </cell>
          <cell r="D1400" t="str">
            <v>EUR</v>
          </cell>
          <cell r="E1400">
            <v>45747</v>
          </cell>
          <cell r="F1400">
            <v>4680.9799999999996</v>
          </cell>
          <cell r="G1400">
            <v>100</v>
          </cell>
          <cell r="H1400">
            <v>46.81</v>
          </cell>
          <cell r="I1400">
            <v>0.48309999999999997</v>
          </cell>
          <cell r="J1400">
            <v>46.81</v>
          </cell>
          <cell r="K1400">
            <v>-0.34</v>
          </cell>
        </row>
        <row r="1401">
          <cell r="A1401" t="str">
            <v>LU1883852573</v>
          </cell>
          <cell r="B1401" t="str">
            <v>AMUNDI FUNDS US BOND</v>
          </cell>
          <cell r="C1401" t="str">
            <v>Class R2 EUR (C)</v>
          </cell>
          <cell r="D1401" t="str">
            <v>EUR</v>
          </cell>
          <cell r="E1401">
            <v>45747</v>
          </cell>
          <cell r="F1401">
            <v>33206241.600000001</v>
          </cell>
          <cell r="G1401">
            <v>430942.84100000001</v>
          </cell>
          <cell r="H1401">
            <v>77.05</v>
          </cell>
          <cell r="I1401">
            <v>0</v>
          </cell>
          <cell r="J1401">
            <v>77.05</v>
          </cell>
          <cell r="K1401">
            <v>0.23</v>
          </cell>
        </row>
        <row r="1402">
          <cell r="A1402" t="str">
            <v>LU1883852656</v>
          </cell>
          <cell r="B1402" t="str">
            <v>AMUNDI FUNDS US BOND</v>
          </cell>
          <cell r="C1402" t="str">
            <v>Class R2 EUR Hgd (C)</v>
          </cell>
          <cell r="D1402" t="str">
            <v>EUR</v>
          </cell>
          <cell r="E1402">
            <v>45747</v>
          </cell>
          <cell r="F1402">
            <v>42608097.659999996</v>
          </cell>
          <cell r="G1402">
            <v>834705.95799999998</v>
          </cell>
          <cell r="H1402">
            <v>51.05</v>
          </cell>
          <cell r="I1402">
            <v>0</v>
          </cell>
          <cell r="J1402">
            <v>51.05</v>
          </cell>
          <cell r="K1402">
            <v>0.06</v>
          </cell>
        </row>
        <row r="1403">
          <cell r="A1403" t="str">
            <v>LU1880403222</v>
          </cell>
          <cell r="B1403" t="str">
            <v>AMUNDI FUNDS US BOND</v>
          </cell>
          <cell r="C1403" t="str">
            <v>Class O USD (C)</v>
          </cell>
          <cell r="D1403" t="str">
            <v>USD</v>
          </cell>
          <cell r="E1403">
            <v>45747</v>
          </cell>
          <cell r="F1403">
            <v>2153741.02</v>
          </cell>
          <cell r="G1403">
            <v>1948.0930000000001</v>
          </cell>
          <cell r="H1403">
            <v>1105.56</v>
          </cell>
          <cell r="I1403">
            <v>0</v>
          </cell>
          <cell r="J1403">
            <v>1105.56</v>
          </cell>
          <cell r="K1403">
            <v>1.35</v>
          </cell>
        </row>
        <row r="1404">
          <cell r="A1404" t="str">
            <v>LU1883849603</v>
          </cell>
          <cell r="B1404" t="str">
            <v>AMUNDI FUNDS US BOND</v>
          </cell>
          <cell r="C1404" t="str">
            <v>Class A2 USD (C)</v>
          </cell>
          <cell r="D1404" t="str">
            <v>USD</v>
          </cell>
          <cell r="E1404">
            <v>45747</v>
          </cell>
          <cell r="F1404">
            <v>152799121</v>
          </cell>
          <cell r="G1404">
            <v>1431848.936</v>
          </cell>
          <cell r="H1404">
            <v>106.71</v>
          </cell>
          <cell r="I1404">
            <v>0</v>
          </cell>
          <cell r="J1404">
            <v>109.91</v>
          </cell>
          <cell r="K1404">
            <v>0.12</v>
          </cell>
        </row>
        <row r="1405">
          <cell r="A1405" t="str">
            <v>LU1883849785</v>
          </cell>
          <cell r="B1405" t="str">
            <v>AMUNDI FUNDS US BOND</v>
          </cell>
          <cell r="C1405" t="str">
            <v>Class A2 USD AD (D)</v>
          </cell>
          <cell r="D1405" t="str">
            <v>USD</v>
          </cell>
          <cell r="E1405">
            <v>45747</v>
          </cell>
          <cell r="F1405">
            <v>12380254.630000001</v>
          </cell>
          <cell r="G1405">
            <v>180362.03099999999</v>
          </cell>
          <cell r="H1405">
            <v>68.64</v>
          </cell>
          <cell r="I1405">
            <v>0</v>
          </cell>
          <cell r="J1405">
            <v>70.7</v>
          </cell>
          <cell r="K1405">
            <v>0.08</v>
          </cell>
        </row>
        <row r="1406">
          <cell r="A1406" t="str">
            <v>LU1883852060</v>
          </cell>
          <cell r="B1406" t="str">
            <v>AMUNDI FUNDS US BOND</v>
          </cell>
          <cell r="C1406" t="str">
            <v>Class P2 USD (C)</v>
          </cell>
          <cell r="D1406" t="str">
            <v>USD</v>
          </cell>
          <cell r="E1406">
            <v>45747</v>
          </cell>
          <cell r="F1406">
            <v>8199215.54</v>
          </cell>
          <cell r="G1406">
            <v>142801.46599999999</v>
          </cell>
          <cell r="H1406">
            <v>57.42</v>
          </cell>
          <cell r="I1406">
            <v>0</v>
          </cell>
          <cell r="J1406">
            <v>57.42</v>
          </cell>
          <cell r="K1406">
            <v>7.0000000000000007E-2</v>
          </cell>
        </row>
        <row r="1407">
          <cell r="A1407" t="str">
            <v>LU1883852144</v>
          </cell>
          <cell r="B1407" t="str">
            <v>AMUNDI FUNDS US BOND</v>
          </cell>
          <cell r="C1407" t="str">
            <v>Class P2 USD MTD (D)</v>
          </cell>
          <cell r="D1407" t="str">
            <v>USD</v>
          </cell>
          <cell r="E1407">
            <v>45747</v>
          </cell>
          <cell r="F1407">
            <v>358652.3</v>
          </cell>
          <cell r="G1407">
            <v>7892.4750000000004</v>
          </cell>
          <cell r="H1407">
            <v>45.44</v>
          </cell>
          <cell r="I1407">
            <v>0</v>
          </cell>
          <cell r="J1407">
            <v>45.44</v>
          </cell>
          <cell r="K1407">
            <v>0.05</v>
          </cell>
        </row>
        <row r="1408">
          <cell r="A1408" t="str">
            <v>LU1883852227</v>
          </cell>
          <cell r="B1408" t="str">
            <v>AMUNDI FUNDS US BOND</v>
          </cell>
          <cell r="C1408" t="str">
            <v>Class Q-D USD MTD (D)</v>
          </cell>
          <cell r="D1408" t="str">
            <v>USD</v>
          </cell>
          <cell r="E1408">
            <v>45747</v>
          </cell>
          <cell r="F1408">
            <v>4183143.22</v>
          </cell>
          <cell r="G1408">
            <v>72894.546000000002</v>
          </cell>
          <cell r="H1408">
            <v>57.39</v>
          </cell>
          <cell r="I1408">
            <v>0</v>
          </cell>
          <cell r="J1408">
            <v>59.11</v>
          </cell>
          <cell r="K1408">
            <v>0.06</v>
          </cell>
        </row>
        <row r="1409">
          <cell r="A1409" t="str">
            <v>LU1883853548</v>
          </cell>
          <cell r="B1409" t="str">
            <v>AMUNDI FUNDS US BOND</v>
          </cell>
          <cell r="C1409" t="str">
            <v>Class U USD (C)</v>
          </cell>
          <cell r="D1409" t="str">
            <v>USD</v>
          </cell>
          <cell r="E1409">
            <v>45747</v>
          </cell>
          <cell r="F1409">
            <v>4851681.7699999996</v>
          </cell>
          <cell r="G1409">
            <v>94209.827999999994</v>
          </cell>
          <cell r="H1409">
            <v>51.5</v>
          </cell>
          <cell r="I1409">
            <v>0</v>
          </cell>
          <cell r="J1409">
            <v>51.5</v>
          </cell>
          <cell r="K1409">
            <v>0.06</v>
          </cell>
        </row>
        <row r="1410">
          <cell r="A1410" t="str">
            <v>LU1883853894</v>
          </cell>
          <cell r="B1410" t="str">
            <v>AMUNDI FUNDS US BOND</v>
          </cell>
          <cell r="C1410" t="str">
            <v>Class U USD MGI (D)</v>
          </cell>
          <cell r="D1410" t="str">
            <v>USD</v>
          </cell>
          <cell r="E1410">
            <v>45747</v>
          </cell>
          <cell r="F1410">
            <v>6575117.2800000003</v>
          </cell>
          <cell r="G1410">
            <v>183876.87700000001</v>
          </cell>
          <cell r="H1410">
            <v>35.76</v>
          </cell>
          <cell r="I1410">
            <v>0</v>
          </cell>
          <cell r="J1410">
            <v>35.76</v>
          </cell>
          <cell r="K1410">
            <v>0.04</v>
          </cell>
        </row>
        <row r="1411">
          <cell r="A1411" t="str">
            <v>LU1883853977</v>
          </cell>
          <cell r="B1411" t="str">
            <v>AMUNDI FUNDS US BOND</v>
          </cell>
          <cell r="C1411" t="str">
            <v>Class U ZAR Hgd MTD3 (D)</v>
          </cell>
          <cell r="D1411" t="str">
            <v>ZAR</v>
          </cell>
          <cell r="E1411">
            <v>45747</v>
          </cell>
          <cell r="F1411">
            <v>68274369.390000001</v>
          </cell>
          <cell r="G1411">
            <v>131542.981</v>
          </cell>
          <cell r="H1411">
            <v>519.03</v>
          </cell>
          <cell r="I1411">
            <v>0</v>
          </cell>
          <cell r="J1411">
            <v>519.03</v>
          </cell>
          <cell r="K1411">
            <v>0.57999999999999996</v>
          </cell>
        </row>
        <row r="1412">
          <cell r="A1412" t="str">
            <v>LU1883853621</v>
          </cell>
          <cell r="B1412" t="str">
            <v>AMUNDI FUNDS US BOND</v>
          </cell>
          <cell r="C1412" t="str">
            <v>Class U USD MTD3 (D)</v>
          </cell>
          <cell r="D1412" t="str">
            <v>USD</v>
          </cell>
          <cell r="E1412">
            <v>45747</v>
          </cell>
          <cell r="F1412">
            <v>30856744.960000001</v>
          </cell>
          <cell r="G1412">
            <v>934596.30299999996</v>
          </cell>
          <cell r="H1412">
            <v>33.020000000000003</v>
          </cell>
          <cell r="I1412">
            <v>0</v>
          </cell>
          <cell r="J1412">
            <v>33.020000000000003</v>
          </cell>
          <cell r="K1412">
            <v>0.04</v>
          </cell>
        </row>
        <row r="1413">
          <cell r="A1413" t="str">
            <v>LU2070305466</v>
          </cell>
          <cell r="B1413" t="str">
            <v>AMUNDI FUNDS US BOND</v>
          </cell>
          <cell r="C1413" t="str">
            <v>Class U AUD Hgd MTD3 (D)</v>
          </cell>
          <cell r="D1413" t="str">
            <v>AUD</v>
          </cell>
          <cell r="E1413">
            <v>45747</v>
          </cell>
          <cell r="F1413">
            <v>1416225.77</v>
          </cell>
          <cell r="G1413">
            <v>41849.483</v>
          </cell>
          <cell r="H1413">
            <v>33.840000000000003</v>
          </cell>
          <cell r="I1413">
            <v>0</v>
          </cell>
          <cell r="J1413">
            <v>33.840000000000003</v>
          </cell>
          <cell r="K1413">
            <v>0.04</v>
          </cell>
        </row>
        <row r="1414">
          <cell r="A1414" t="str">
            <v>LU2183144067</v>
          </cell>
          <cell r="B1414" t="str">
            <v>AMUNDI FUNDS US BOND</v>
          </cell>
          <cell r="C1414" t="str">
            <v>Class R EUR (C)</v>
          </cell>
          <cell r="D1414" t="str">
            <v>EUR</v>
          </cell>
          <cell r="E1414">
            <v>45747</v>
          </cell>
          <cell r="F1414">
            <v>2163264.2400000002</v>
          </cell>
          <cell r="G1414">
            <v>41932.906999999999</v>
          </cell>
          <cell r="H1414">
            <v>51.59</v>
          </cell>
          <cell r="I1414">
            <v>0</v>
          </cell>
          <cell r="J1414">
            <v>51.59</v>
          </cell>
          <cell r="K1414">
            <v>0.16</v>
          </cell>
        </row>
        <row r="1415">
          <cell r="A1415" t="str">
            <v>LU1880405276</v>
          </cell>
          <cell r="B1415" t="str">
            <v>AMUNDI FUNDS US BOND</v>
          </cell>
          <cell r="C1415" t="str">
            <v>Class R USD (C)</v>
          </cell>
          <cell r="D1415" t="str">
            <v>USD</v>
          </cell>
          <cell r="E1415">
            <v>45747</v>
          </cell>
          <cell r="F1415">
            <v>7471392.1600000001</v>
          </cell>
          <cell r="G1415">
            <v>140825.56599999999</v>
          </cell>
          <cell r="H1415">
            <v>53.05</v>
          </cell>
          <cell r="I1415">
            <v>0</v>
          </cell>
          <cell r="J1415">
            <v>53.05</v>
          </cell>
          <cell r="K1415">
            <v>0.06</v>
          </cell>
        </row>
        <row r="1416">
          <cell r="A1416" t="str">
            <v>LU1880404626</v>
          </cell>
          <cell r="B1416" t="str">
            <v>AMUNDI FUNDS US BOND</v>
          </cell>
          <cell r="C1416" t="str">
            <v>Class R EUR Hgd (C)</v>
          </cell>
          <cell r="D1416" t="str">
            <v>EUR</v>
          </cell>
          <cell r="E1416">
            <v>45747</v>
          </cell>
          <cell r="F1416">
            <v>1799685.65</v>
          </cell>
          <cell r="G1416">
            <v>40263.995000000003</v>
          </cell>
          <cell r="H1416">
            <v>44.7</v>
          </cell>
          <cell r="I1416">
            <v>0</v>
          </cell>
          <cell r="J1416">
            <v>44.7</v>
          </cell>
          <cell r="K1416">
            <v>0.05</v>
          </cell>
        </row>
        <row r="1417">
          <cell r="A1417" t="str">
            <v>LU1883852904</v>
          </cell>
          <cell r="B1417" t="str">
            <v>AMUNDI FUNDS US BOND</v>
          </cell>
          <cell r="C1417" t="str">
            <v>Class R2 USD (C)</v>
          </cell>
          <cell r="D1417" t="str">
            <v>USD</v>
          </cell>
          <cell r="E1417">
            <v>45747</v>
          </cell>
          <cell r="F1417">
            <v>20875356.629999999</v>
          </cell>
          <cell r="G1417">
            <v>250887.538</v>
          </cell>
          <cell r="H1417">
            <v>83.21</v>
          </cell>
          <cell r="I1417">
            <v>0</v>
          </cell>
          <cell r="J1417">
            <v>83.21</v>
          </cell>
          <cell r="K1417">
            <v>0.1</v>
          </cell>
        </row>
        <row r="1418">
          <cell r="A1418" t="str">
            <v>LU1880404204</v>
          </cell>
          <cell r="B1418" t="str">
            <v>AMUNDI FUNDS US BOND</v>
          </cell>
          <cell r="C1418" t="str">
            <v>Class Q-OF EUR (C)</v>
          </cell>
          <cell r="D1418" t="str">
            <v>EUR</v>
          </cell>
          <cell r="E1418">
            <v>45747</v>
          </cell>
          <cell r="F1418">
            <v>5622544.5599999996</v>
          </cell>
          <cell r="G1418">
            <v>4888.3829999999998</v>
          </cell>
          <cell r="H1418">
            <v>1150.18</v>
          </cell>
          <cell r="I1418">
            <v>0</v>
          </cell>
          <cell r="J1418">
            <v>1150.18</v>
          </cell>
          <cell r="K1418">
            <v>3.62</v>
          </cell>
        </row>
        <row r="1419">
          <cell r="A1419" t="str">
            <v>LU1883850015</v>
          </cell>
          <cell r="B1419" t="str">
            <v>AMUNDI FUNDS US BOND</v>
          </cell>
          <cell r="C1419" t="str">
            <v>Class A2 USD MGI (D)</v>
          </cell>
          <cell r="D1419" t="str">
            <v>USD</v>
          </cell>
          <cell r="E1419">
            <v>45747</v>
          </cell>
          <cell r="F1419">
            <v>29379036.48</v>
          </cell>
          <cell r="G1419">
            <v>546489.60800000001</v>
          </cell>
          <cell r="H1419">
            <v>53.76</v>
          </cell>
          <cell r="I1419">
            <v>0</v>
          </cell>
          <cell r="J1419">
            <v>55.37</v>
          </cell>
          <cell r="K1419">
            <v>0.06</v>
          </cell>
        </row>
        <row r="1420">
          <cell r="A1420" t="str">
            <v>LU1883849942</v>
          </cell>
          <cell r="B1420" t="str">
            <v>AMUNDI FUNDS US BOND</v>
          </cell>
          <cell r="C1420" t="str">
            <v>Class A2 USD MTD3 (D)</v>
          </cell>
          <cell r="D1420" t="str">
            <v>USD</v>
          </cell>
          <cell r="E1420">
            <v>45747</v>
          </cell>
          <cell r="F1420">
            <v>53939065.060000002</v>
          </cell>
          <cell r="G1420">
            <v>1504425.5090000001</v>
          </cell>
          <cell r="H1420">
            <v>35.85</v>
          </cell>
          <cell r="I1420">
            <v>0</v>
          </cell>
          <cell r="J1420">
            <v>36.93</v>
          </cell>
          <cell r="K1420">
            <v>0.04</v>
          </cell>
        </row>
        <row r="1421">
          <cell r="A1421" t="str">
            <v>LU1998917311</v>
          </cell>
          <cell r="B1421" t="str">
            <v>AMUNDI FUNDS US BOND</v>
          </cell>
          <cell r="C1421" t="str">
            <v>Class X USD (C)</v>
          </cell>
          <cell r="D1421" t="str">
            <v>USD</v>
          </cell>
          <cell r="E1421">
            <v>45747</v>
          </cell>
          <cell r="F1421">
            <v>9621331</v>
          </cell>
          <cell r="G1421">
            <v>9000</v>
          </cell>
          <cell r="H1421">
            <v>1069.04</v>
          </cell>
          <cell r="I1421">
            <v>0</v>
          </cell>
          <cell r="J1421">
            <v>1069.04</v>
          </cell>
          <cell r="K1421">
            <v>1.31</v>
          </cell>
        </row>
        <row r="1422">
          <cell r="A1422" t="str">
            <v>LU1880402760</v>
          </cell>
          <cell r="B1422" t="str">
            <v>AMUNDI FUNDS US BOND</v>
          </cell>
          <cell r="C1422" t="str">
            <v>Class I EUR Hgd (C)</v>
          </cell>
          <cell r="D1422" t="str">
            <v>EUR</v>
          </cell>
          <cell r="E1422">
            <v>45747</v>
          </cell>
          <cell r="F1422">
            <v>183238000.65000001</v>
          </cell>
          <cell r="G1422">
            <v>190023.391</v>
          </cell>
          <cell r="H1422">
            <v>964.29</v>
          </cell>
          <cell r="I1422">
            <v>0</v>
          </cell>
          <cell r="J1422">
            <v>964.29</v>
          </cell>
          <cell r="K1422">
            <v>1.01</v>
          </cell>
        </row>
        <row r="1423">
          <cell r="A1423" t="str">
            <v>LU1880402844</v>
          </cell>
          <cell r="B1423" t="str">
            <v>AMUNDI FUNDS US BOND</v>
          </cell>
          <cell r="C1423" t="str">
            <v>Class I USD (C)</v>
          </cell>
          <cell r="D1423" t="str">
            <v>USD</v>
          </cell>
          <cell r="E1423">
            <v>45747</v>
          </cell>
          <cell r="F1423">
            <v>245408766.83000001</v>
          </cell>
          <cell r="G1423">
            <v>229101.152</v>
          </cell>
          <cell r="H1423">
            <v>1071.18</v>
          </cell>
          <cell r="I1423">
            <v>0</v>
          </cell>
          <cell r="J1423">
            <v>1071.18</v>
          </cell>
          <cell r="K1423">
            <v>1.21</v>
          </cell>
        </row>
        <row r="1424">
          <cell r="A1424" t="str">
            <v>LU1880402927</v>
          </cell>
          <cell r="B1424" t="str">
            <v>AMUNDI FUNDS US BOND</v>
          </cell>
          <cell r="C1424" t="str">
            <v>Class I USD AD (D)</v>
          </cell>
          <cell r="D1424" t="str">
            <v>USD</v>
          </cell>
          <cell r="E1424">
            <v>45747</v>
          </cell>
          <cell r="F1424">
            <v>2138718.2999999998</v>
          </cell>
          <cell r="G1424">
            <v>2432.3409999999999</v>
          </cell>
          <cell r="H1424">
            <v>879.28</v>
          </cell>
          <cell r="I1424">
            <v>0</v>
          </cell>
          <cell r="J1424">
            <v>879.28</v>
          </cell>
          <cell r="K1424">
            <v>0.98</v>
          </cell>
        </row>
        <row r="1425">
          <cell r="A1425" t="str">
            <v>LU2031986479</v>
          </cell>
          <cell r="B1425" t="str">
            <v>AMUNDI FUNDS US BOND</v>
          </cell>
          <cell r="C1425" t="str">
            <v>Class Z USD (C)</v>
          </cell>
          <cell r="D1425" t="str">
            <v>USD</v>
          </cell>
          <cell r="E1425">
            <v>45747</v>
          </cell>
          <cell r="F1425">
            <v>1188988.53</v>
          </cell>
          <cell r="G1425">
            <v>1120.0309999999999</v>
          </cell>
          <cell r="H1425">
            <v>1061.57</v>
          </cell>
          <cell r="I1425">
            <v>0</v>
          </cell>
          <cell r="J1425">
            <v>1061.57</v>
          </cell>
          <cell r="K1425">
            <v>1.21</v>
          </cell>
        </row>
        <row r="1426">
          <cell r="A1426" t="str">
            <v>LU2596443726</v>
          </cell>
          <cell r="B1426" t="str">
            <v>AMUNDI FUNDS GLOBAL EQUITY INCOME ESG</v>
          </cell>
          <cell r="C1426" t="str">
            <v>Class A2 USD MTD3 (D)</v>
          </cell>
          <cell r="D1426" t="str">
            <v>USD</v>
          </cell>
          <cell r="E1426">
            <v>45747</v>
          </cell>
          <cell r="F1426">
            <v>9290424.5199999996</v>
          </cell>
          <cell r="G1426">
            <v>184377.291</v>
          </cell>
          <cell r="H1426">
            <v>50.39</v>
          </cell>
          <cell r="I1426">
            <v>0</v>
          </cell>
          <cell r="J1426">
            <v>50.39</v>
          </cell>
          <cell r="K1426">
            <v>-0.13</v>
          </cell>
        </row>
        <row r="1427">
          <cell r="A1427" t="str">
            <v>LU1883321454</v>
          </cell>
          <cell r="B1427" t="str">
            <v>AMUNDI FUNDS GLOBAL EQUITY INCOME ESG</v>
          </cell>
          <cell r="C1427" t="str">
            <v>Class A2 USD MTI (D)</v>
          </cell>
          <cell r="D1427" t="str">
            <v>USD</v>
          </cell>
          <cell r="E1427">
            <v>45747</v>
          </cell>
          <cell r="F1427">
            <v>9781.1</v>
          </cell>
          <cell r="G1427">
            <v>158</v>
          </cell>
          <cell r="H1427">
            <v>61.91</v>
          </cell>
          <cell r="I1427">
            <v>0</v>
          </cell>
          <cell r="J1427">
            <v>64.7</v>
          </cell>
          <cell r="K1427">
            <v>-0.16</v>
          </cell>
        </row>
        <row r="1428">
          <cell r="A1428" t="str">
            <v>LU1883320720</v>
          </cell>
          <cell r="B1428" t="str">
            <v>AMUNDI FUNDS GLOBAL EQUITY INCOME ESG</v>
          </cell>
          <cell r="C1428" t="str">
            <v>Class A2 CZK Hgd QTI (D)</v>
          </cell>
          <cell r="D1428" t="str">
            <v>CZK</v>
          </cell>
          <cell r="E1428">
            <v>45747</v>
          </cell>
          <cell r="F1428">
            <v>1457565549.29</v>
          </cell>
          <cell r="G1428">
            <v>1096383.8430000001</v>
          </cell>
          <cell r="H1428">
            <v>1329.43</v>
          </cell>
          <cell r="I1428">
            <v>0</v>
          </cell>
          <cell r="J1428">
            <v>1389.25</v>
          </cell>
          <cell r="K1428">
            <v>-3.14</v>
          </cell>
        </row>
        <row r="1429">
          <cell r="A1429" t="str">
            <v>LU1883321538</v>
          </cell>
          <cell r="B1429" t="str">
            <v>AMUNDI FUNDS GLOBAL EQUITY INCOME ESG</v>
          </cell>
          <cell r="C1429" t="str">
            <v>Class A2 USD QTI (D)</v>
          </cell>
          <cell r="D1429" t="str">
            <v>USD</v>
          </cell>
          <cell r="E1429">
            <v>45747</v>
          </cell>
          <cell r="F1429">
            <v>39158776.149999999</v>
          </cell>
          <cell r="G1429">
            <v>506750.88199999998</v>
          </cell>
          <cell r="H1429">
            <v>77.27</v>
          </cell>
          <cell r="I1429">
            <v>0</v>
          </cell>
          <cell r="J1429">
            <v>80.75</v>
          </cell>
          <cell r="K1429">
            <v>-0.2</v>
          </cell>
        </row>
        <row r="1430">
          <cell r="A1430" t="str">
            <v>LU2002722341</v>
          </cell>
          <cell r="B1430" t="str">
            <v>AMUNDI FUNDS GLOBAL EQUITY INCOME ESG</v>
          </cell>
          <cell r="C1430" t="str">
            <v>Class M2 EUR ( C )</v>
          </cell>
          <cell r="D1430" t="str">
            <v>EUR</v>
          </cell>
          <cell r="E1430">
            <v>45747</v>
          </cell>
          <cell r="F1430">
            <v>278926819.38999999</v>
          </cell>
          <cell r="G1430">
            <v>148059.49299999999</v>
          </cell>
          <cell r="H1430">
            <v>1883.88</v>
          </cell>
          <cell r="I1430">
            <v>0</v>
          </cell>
          <cell r="J1430">
            <v>1883.88</v>
          </cell>
          <cell r="K1430">
            <v>-1.08</v>
          </cell>
        </row>
        <row r="1431">
          <cell r="A1431" t="str">
            <v>LU1883323310</v>
          </cell>
          <cell r="B1431" t="str">
            <v>AMUNDI FUNDS GLOBAL EQUITY INCOME ESG</v>
          </cell>
          <cell r="C1431" t="str">
            <v>Class M2 EUR Hgd QTI (D)</v>
          </cell>
          <cell r="D1431" t="str">
            <v>EUR</v>
          </cell>
          <cell r="E1431">
            <v>45747</v>
          </cell>
          <cell r="F1431">
            <v>1972912.08</v>
          </cell>
          <cell r="G1431">
            <v>1829.664</v>
          </cell>
          <cell r="H1431">
            <v>1078.29</v>
          </cell>
          <cell r="I1431">
            <v>0</v>
          </cell>
          <cell r="J1431">
            <v>1078.29</v>
          </cell>
          <cell r="K1431">
            <v>-2.48</v>
          </cell>
        </row>
        <row r="1432">
          <cell r="A1432" t="str">
            <v>LU1883321611</v>
          </cell>
          <cell r="B1432" t="str">
            <v>AMUNDI FUNDS GLOBAL EQUITY INCOME ESG</v>
          </cell>
          <cell r="C1432" t="str">
            <v>Class C USD (C)</v>
          </cell>
          <cell r="D1432" t="str">
            <v>USD</v>
          </cell>
          <cell r="E1432">
            <v>45747</v>
          </cell>
          <cell r="F1432">
            <v>2650624.4</v>
          </cell>
          <cell r="G1432">
            <v>18862.633999999998</v>
          </cell>
          <cell r="H1432">
            <v>140.52000000000001</v>
          </cell>
          <cell r="I1432">
            <v>0</v>
          </cell>
          <cell r="J1432">
            <v>140.52000000000001</v>
          </cell>
          <cell r="K1432">
            <v>-0.38</v>
          </cell>
        </row>
        <row r="1433">
          <cell r="A1433" t="str">
            <v>LU1883321702</v>
          </cell>
          <cell r="B1433" t="str">
            <v>AMUNDI FUNDS GLOBAL EQUITY INCOME ESG</v>
          </cell>
          <cell r="C1433" t="str">
            <v>Class C USD QTI (D)</v>
          </cell>
          <cell r="D1433" t="str">
            <v>USD</v>
          </cell>
          <cell r="E1433">
            <v>45747</v>
          </cell>
          <cell r="F1433">
            <v>2648465.23</v>
          </cell>
          <cell r="G1433">
            <v>40036.023000000001</v>
          </cell>
          <cell r="H1433">
            <v>66.150000000000006</v>
          </cell>
          <cell r="I1433">
            <v>0</v>
          </cell>
          <cell r="J1433">
            <v>66.150000000000006</v>
          </cell>
          <cell r="K1433">
            <v>-0.18</v>
          </cell>
        </row>
        <row r="1434">
          <cell r="A1434" t="str">
            <v>LU1883320993</v>
          </cell>
          <cell r="B1434" t="str">
            <v>AMUNDI FUNDS GLOBAL EQUITY INCOME ESG</v>
          </cell>
          <cell r="C1434" t="str">
            <v>Class A2 EUR (C)</v>
          </cell>
          <cell r="D1434" t="str">
            <v>EUR</v>
          </cell>
          <cell r="E1434">
            <v>45747</v>
          </cell>
          <cell r="F1434">
            <v>361259206.32999998</v>
          </cell>
          <cell r="G1434">
            <v>2438765.6490000002</v>
          </cell>
          <cell r="H1434">
            <v>148.13</v>
          </cell>
          <cell r="I1434">
            <v>0</v>
          </cell>
          <cell r="J1434">
            <v>154.80000000000001</v>
          </cell>
          <cell r="K1434">
            <v>-0.1</v>
          </cell>
        </row>
        <row r="1435">
          <cell r="A1435" t="str">
            <v>LU1883321025</v>
          </cell>
          <cell r="B1435" t="str">
            <v>AMUNDI FUNDS GLOBAL EQUITY INCOME ESG</v>
          </cell>
          <cell r="C1435" t="str">
            <v>Class A2 EUR MTI (D)</v>
          </cell>
          <cell r="D1435" t="str">
            <v>EUR</v>
          </cell>
          <cell r="E1435">
            <v>45747</v>
          </cell>
          <cell r="F1435">
            <v>31865011.27</v>
          </cell>
          <cell r="G1435">
            <v>459343.40500000003</v>
          </cell>
          <cell r="H1435">
            <v>69.37</v>
          </cell>
          <cell r="I1435">
            <v>0</v>
          </cell>
          <cell r="J1435">
            <v>72.489999999999995</v>
          </cell>
          <cell r="K1435">
            <v>-0.05</v>
          </cell>
        </row>
        <row r="1436">
          <cell r="A1436" t="str">
            <v>LU1883321884</v>
          </cell>
          <cell r="B1436" t="str">
            <v>AMUNDI FUNDS GLOBAL EQUITY INCOME ESG</v>
          </cell>
          <cell r="C1436" t="str">
            <v>Class E2 EUR (C)</v>
          </cell>
          <cell r="D1436" t="str">
            <v>EUR</v>
          </cell>
          <cell r="E1436">
            <v>45747</v>
          </cell>
          <cell r="F1436">
            <v>604013944.55999994</v>
          </cell>
          <cell r="G1436">
            <v>40791435.664999999</v>
          </cell>
          <cell r="H1436">
            <v>14.807</v>
          </cell>
          <cell r="I1436">
            <v>0</v>
          </cell>
          <cell r="J1436">
            <v>14.807</v>
          </cell>
          <cell r="K1436">
            <v>-0.01</v>
          </cell>
        </row>
        <row r="1437">
          <cell r="A1437" t="str">
            <v>LU1883321967</v>
          </cell>
          <cell r="B1437" t="str">
            <v>AMUNDI FUNDS GLOBAL EQUITY INCOME ESG</v>
          </cell>
          <cell r="C1437" t="str">
            <v>Class E2 EUR QTI (D)</v>
          </cell>
          <cell r="D1437" t="str">
            <v>EUR</v>
          </cell>
          <cell r="E1437">
            <v>45747</v>
          </cell>
          <cell r="F1437">
            <v>74473209.379999995</v>
          </cell>
          <cell r="G1437">
            <v>12990861.323999999</v>
          </cell>
          <cell r="H1437">
            <v>5.7329999999999997</v>
          </cell>
          <cell r="I1437">
            <v>0</v>
          </cell>
          <cell r="J1437">
            <v>5.7329999999999997</v>
          </cell>
          <cell r="K1437">
            <v>-3.0000000000000001E-3</v>
          </cell>
        </row>
        <row r="1438">
          <cell r="A1438" t="str">
            <v>LU1883322007</v>
          </cell>
          <cell r="B1438" t="str">
            <v>AMUNDI FUNDS GLOBAL EQUITY INCOME ESG</v>
          </cell>
          <cell r="C1438" t="str">
            <v>Class E2 EUR SATI (D)</v>
          </cell>
          <cell r="D1438" t="str">
            <v>EUR</v>
          </cell>
          <cell r="E1438">
            <v>45747</v>
          </cell>
          <cell r="F1438">
            <v>51264827.969999999</v>
          </cell>
          <cell r="G1438">
            <v>8017300.233</v>
          </cell>
          <cell r="H1438">
            <v>6.3940000000000001</v>
          </cell>
          <cell r="I1438">
            <v>0</v>
          </cell>
          <cell r="J1438">
            <v>6.3940000000000001</v>
          </cell>
          <cell r="K1438">
            <v>-4.0000000000000001E-3</v>
          </cell>
        </row>
        <row r="1439">
          <cell r="A1439" t="str">
            <v>LU1883322429</v>
          </cell>
          <cell r="B1439" t="str">
            <v>AMUNDI FUNDS GLOBAL EQUITY INCOME ESG</v>
          </cell>
          <cell r="C1439" t="str">
            <v>Class F2 EUR (C)</v>
          </cell>
          <cell r="D1439" t="str">
            <v>EUR</v>
          </cell>
          <cell r="E1439">
            <v>45747</v>
          </cell>
          <cell r="F1439">
            <v>4889125.08</v>
          </cell>
          <cell r="G1439">
            <v>376406.62800000003</v>
          </cell>
          <cell r="H1439">
            <v>12.989000000000001</v>
          </cell>
          <cell r="I1439">
            <v>0</v>
          </cell>
          <cell r="J1439">
            <v>12.989000000000001</v>
          </cell>
          <cell r="K1439">
            <v>-8.9999999999999993E-3</v>
          </cell>
        </row>
        <row r="1440">
          <cell r="A1440" t="str">
            <v>LU3015123501</v>
          </cell>
          <cell r="B1440" t="str">
            <v>AMUNDI FUNDS GLOBAL EQUITY INCOME ESG</v>
          </cell>
          <cell r="C1440" t="str">
            <v>Class F EUR SATI (D)</v>
          </cell>
          <cell r="D1440" t="str">
            <v>EUR</v>
          </cell>
          <cell r="E1440">
            <v>45747</v>
          </cell>
          <cell r="F1440">
            <v>4994.58</v>
          </cell>
          <cell r="G1440">
            <v>1000</v>
          </cell>
          <cell r="H1440">
            <v>4.9950000000000001</v>
          </cell>
          <cell r="I1440">
            <v>0</v>
          </cell>
          <cell r="J1440">
            <v>4.9950000000000001</v>
          </cell>
          <cell r="K1440">
            <v>-3.0000000000000001E-3</v>
          </cell>
        </row>
        <row r="1441">
          <cell r="A1441" t="str">
            <v>LU2002722424</v>
          </cell>
          <cell r="B1441" t="str">
            <v>AMUNDI FUNDS GLOBAL EQUITY INCOME ESG</v>
          </cell>
          <cell r="C1441" t="str">
            <v>Class M2 EUR SATI ( D )</v>
          </cell>
          <cell r="D1441" t="str">
            <v>EUR</v>
          </cell>
          <cell r="E1441">
            <v>45747</v>
          </cell>
          <cell r="F1441">
            <v>26456157.329999998</v>
          </cell>
          <cell r="G1441">
            <v>17164.388999999999</v>
          </cell>
          <cell r="H1441">
            <v>1541.34</v>
          </cell>
          <cell r="I1441">
            <v>0</v>
          </cell>
          <cell r="J1441">
            <v>1541.34</v>
          </cell>
          <cell r="K1441">
            <v>-0.88</v>
          </cell>
        </row>
        <row r="1442">
          <cell r="A1442" t="str">
            <v>LU1883323153</v>
          </cell>
          <cell r="B1442" t="str">
            <v>AMUNDI FUNDS GLOBAL EQUITY INCOME ESG</v>
          </cell>
          <cell r="C1442" t="str">
            <v>Class I2 USD (C)</v>
          </cell>
          <cell r="D1442" t="str">
            <v>USD</v>
          </cell>
          <cell r="E1442">
            <v>45747</v>
          </cell>
          <cell r="F1442">
            <v>6842443.9400000004</v>
          </cell>
          <cell r="G1442">
            <v>1791.1679999999999</v>
          </cell>
          <cell r="H1442">
            <v>3820.1</v>
          </cell>
          <cell r="I1442">
            <v>0</v>
          </cell>
          <cell r="J1442">
            <v>3820.1</v>
          </cell>
          <cell r="K1442">
            <v>-9.58</v>
          </cell>
        </row>
        <row r="1443">
          <cell r="A1443" t="str">
            <v>LU1883323070</v>
          </cell>
          <cell r="B1443" t="str">
            <v>AMUNDI FUNDS GLOBAL EQUITY INCOME ESG</v>
          </cell>
          <cell r="C1443" t="str">
            <v>Class I2 EUR QTI (D)</v>
          </cell>
          <cell r="D1443" t="str">
            <v>EUR</v>
          </cell>
          <cell r="E1443">
            <v>45747</v>
          </cell>
          <cell r="F1443">
            <v>16658095.619999999</v>
          </cell>
          <cell r="G1443">
            <v>11437.183000000001</v>
          </cell>
          <cell r="H1443">
            <v>1456.49</v>
          </cell>
          <cell r="I1443">
            <v>0</v>
          </cell>
          <cell r="J1443">
            <v>1456.49</v>
          </cell>
          <cell r="K1443">
            <v>-0.82</v>
          </cell>
        </row>
        <row r="1444">
          <cell r="A1444" t="str">
            <v>LU2696143077</v>
          </cell>
          <cell r="B1444" t="str">
            <v>AMUNDI FUNDS GLOBAL EQUITY INCOME ESG</v>
          </cell>
          <cell r="C1444" t="str">
            <v>Class I19 EUR (C)</v>
          </cell>
          <cell r="D1444" t="str">
            <v>EUR</v>
          </cell>
          <cell r="E1444">
            <v>45747</v>
          </cell>
          <cell r="F1444">
            <v>84778101.760000005</v>
          </cell>
          <cell r="G1444">
            <v>68345.001999999993</v>
          </cell>
          <cell r="H1444">
            <v>1240.44</v>
          </cell>
          <cell r="I1444">
            <v>0</v>
          </cell>
          <cell r="J1444">
            <v>1240.44</v>
          </cell>
          <cell r="K1444">
            <v>-0.67</v>
          </cell>
        </row>
        <row r="1445">
          <cell r="A1445" t="str">
            <v>LU2574252743</v>
          </cell>
          <cell r="B1445" t="str">
            <v>AMUNDI FUNDS GLOBAL EQUITY INCOME ESG</v>
          </cell>
          <cell r="C1445" t="str">
            <v>Class I2 GBP (C)</v>
          </cell>
          <cell r="D1445" t="str">
            <v>GBP</v>
          </cell>
          <cell r="E1445">
            <v>45747</v>
          </cell>
          <cell r="F1445">
            <v>6458.91</v>
          </cell>
          <cell r="G1445">
            <v>5</v>
          </cell>
          <cell r="H1445">
            <v>1291.78</v>
          </cell>
          <cell r="I1445">
            <v>0</v>
          </cell>
          <cell r="J1445">
            <v>1291.78</v>
          </cell>
          <cell r="K1445">
            <v>0.12</v>
          </cell>
        </row>
        <row r="1446">
          <cell r="A1446" t="str">
            <v>LU1883322932</v>
          </cell>
          <cell r="B1446" t="str">
            <v>AMUNDI FUNDS GLOBAL EQUITY INCOME ESG</v>
          </cell>
          <cell r="C1446" t="str">
            <v>Class I2 EUR (C)</v>
          </cell>
          <cell r="D1446" t="str">
            <v>EUR</v>
          </cell>
          <cell r="E1446">
            <v>45747</v>
          </cell>
          <cell r="F1446">
            <v>289746374.94</v>
          </cell>
          <cell r="G1446">
            <v>81907.843999999997</v>
          </cell>
          <cell r="H1446">
            <v>3537.47</v>
          </cell>
          <cell r="I1446">
            <v>0</v>
          </cell>
          <cell r="J1446">
            <v>3537.47</v>
          </cell>
          <cell r="K1446">
            <v>-1.99</v>
          </cell>
        </row>
        <row r="1447">
          <cell r="A1447" t="str">
            <v>LU1883322775</v>
          </cell>
          <cell r="B1447" t="str">
            <v>AMUNDI FUNDS GLOBAL EQUITY INCOME ESG</v>
          </cell>
          <cell r="C1447" t="str">
            <v>Class G2 EUR SATI (D)</v>
          </cell>
          <cell r="D1447" t="str">
            <v>EUR</v>
          </cell>
          <cell r="E1447">
            <v>45747</v>
          </cell>
          <cell r="F1447">
            <v>81399081.239999995</v>
          </cell>
          <cell r="G1447">
            <v>12571231.954</v>
          </cell>
          <cell r="H1447">
            <v>6.4749999999999996</v>
          </cell>
          <cell r="I1447">
            <v>0</v>
          </cell>
          <cell r="J1447">
            <v>6.4749999999999996</v>
          </cell>
          <cell r="K1447">
            <v>-4.0000000000000001E-3</v>
          </cell>
        </row>
        <row r="1448">
          <cell r="A1448" t="str">
            <v>LU1883324631</v>
          </cell>
          <cell r="B1448" t="str">
            <v>AMUNDI FUNDS GLOBAL EQUITY INCOME ESG</v>
          </cell>
          <cell r="C1448" t="str">
            <v>Class R2 USD MTI (D)</v>
          </cell>
          <cell r="D1448" t="str">
            <v>USD</v>
          </cell>
          <cell r="E1448">
            <v>45747</v>
          </cell>
          <cell r="F1448">
            <v>658449.25</v>
          </cell>
          <cell r="G1448">
            <v>8210.4920000000002</v>
          </cell>
          <cell r="H1448">
            <v>80.2</v>
          </cell>
          <cell r="I1448">
            <v>0</v>
          </cell>
          <cell r="J1448">
            <v>80.2</v>
          </cell>
          <cell r="K1448">
            <v>-0.2</v>
          </cell>
        </row>
        <row r="1449">
          <cell r="A1449" t="str">
            <v>LU1883324714</v>
          </cell>
          <cell r="B1449" t="str">
            <v>AMUNDI FUNDS GLOBAL EQUITY INCOME ESG</v>
          </cell>
          <cell r="C1449" t="str">
            <v>Class R2 USD QTI (D)</v>
          </cell>
          <cell r="D1449" t="str">
            <v>USD</v>
          </cell>
          <cell r="E1449">
            <v>45747</v>
          </cell>
          <cell r="F1449">
            <v>6972.02</v>
          </cell>
          <cell r="G1449">
            <v>100.002</v>
          </cell>
          <cell r="H1449">
            <v>69.72</v>
          </cell>
          <cell r="I1449">
            <v>0</v>
          </cell>
          <cell r="J1449">
            <v>69.72</v>
          </cell>
          <cell r="K1449">
            <v>-0.18</v>
          </cell>
        </row>
        <row r="1450">
          <cell r="A1450" t="str">
            <v>LU1883324474</v>
          </cell>
          <cell r="B1450" t="str">
            <v>AMUNDI FUNDS GLOBAL EQUITY INCOME ESG</v>
          </cell>
          <cell r="C1450" t="str">
            <v>Class R2 EUR QTI (D)</v>
          </cell>
          <cell r="D1450" t="str">
            <v>EUR</v>
          </cell>
          <cell r="E1450">
            <v>45747</v>
          </cell>
          <cell r="F1450">
            <v>1141861.1399999999</v>
          </cell>
          <cell r="G1450">
            <v>16109.602999999999</v>
          </cell>
          <cell r="H1450">
            <v>70.88</v>
          </cell>
          <cell r="I1450">
            <v>0</v>
          </cell>
          <cell r="J1450">
            <v>70.88</v>
          </cell>
          <cell r="K1450">
            <v>-0.04</v>
          </cell>
        </row>
        <row r="1451">
          <cell r="A1451" t="str">
            <v>LU1883324128</v>
          </cell>
          <cell r="B1451" t="str">
            <v>AMUNDI FUNDS GLOBAL EQUITY INCOME ESG</v>
          </cell>
          <cell r="C1451" t="str">
            <v>Class R2 EUR (C)</v>
          </cell>
          <cell r="D1451" t="str">
            <v>EUR</v>
          </cell>
          <cell r="E1451">
            <v>45747</v>
          </cell>
          <cell r="F1451">
            <v>3354330.15</v>
          </cell>
          <cell r="G1451">
            <v>35196.400999999998</v>
          </cell>
          <cell r="H1451">
            <v>95.3</v>
          </cell>
          <cell r="I1451">
            <v>0</v>
          </cell>
          <cell r="J1451">
            <v>95.3</v>
          </cell>
          <cell r="K1451">
            <v>-0.06</v>
          </cell>
        </row>
        <row r="1452">
          <cell r="A1452" t="str">
            <v>LU1883324391</v>
          </cell>
          <cell r="B1452" t="str">
            <v>AMUNDI FUNDS GLOBAL EQUITY INCOME ESG</v>
          </cell>
          <cell r="C1452" t="str">
            <v>Class R2 EUR MTI (D)</v>
          </cell>
          <cell r="D1452" t="str">
            <v>EUR</v>
          </cell>
          <cell r="E1452">
            <v>45747</v>
          </cell>
          <cell r="F1452">
            <v>737802.34</v>
          </cell>
          <cell r="G1452">
            <v>9898.4130000000005</v>
          </cell>
          <cell r="H1452">
            <v>74.540000000000006</v>
          </cell>
          <cell r="I1452">
            <v>0</v>
          </cell>
          <cell r="J1452">
            <v>74.540000000000006</v>
          </cell>
          <cell r="K1452">
            <v>-0.04</v>
          </cell>
        </row>
        <row r="1453">
          <cell r="A1453" t="str">
            <v>LU2995469348</v>
          </cell>
          <cell r="B1453" t="str">
            <v>AMUNDI FUNDS GLOBAL EQUITY INCOME ESG</v>
          </cell>
          <cell r="C1453" t="str">
            <v>Class OR EUR (C)</v>
          </cell>
          <cell r="D1453" t="str">
            <v>EUR</v>
          </cell>
          <cell r="E1453">
            <v>45747</v>
          </cell>
          <cell r="F1453">
            <v>4717.05</v>
          </cell>
          <cell r="G1453">
            <v>5</v>
          </cell>
          <cell r="H1453">
            <v>943.41</v>
          </cell>
          <cell r="I1453">
            <v>0</v>
          </cell>
          <cell r="J1453">
            <v>943.41</v>
          </cell>
          <cell r="K1453">
            <v>-0.48</v>
          </cell>
        </row>
        <row r="1454">
          <cell r="A1454" t="str">
            <v>LU1883321298</v>
          </cell>
          <cell r="B1454" t="str">
            <v>AMUNDI FUNDS GLOBAL EQUITY INCOME ESG</v>
          </cell>
          <cell r="C1454" t="str">
            <v>Class A2 EUR QTI (D)</v>
          </cell>
          <cell r="D1454" t="str">
            <v>EUR</v>
          </cell>
          <cell r="E1454">
            <v>45747</v>
          </cell>
          <cell r="F1454">
            <v>502990829.88</v>
          </cell>
          <cell r="G1454">
            <v>7009212.1660000002</v>
          </cell>
          <cell r="H1454">
            <v>71.760000000000005</v>
          </cell>
          <cell r="I1454">
            <v>0</v>
          </cell>
          <cell r="J1454">
            <v>74.989999999999995</v>
          </cell>
          <cell r="K1454">
            <v>-0.05</v>
          </cell>
        </row>
        <row r="1455">
          <cell r="A1455" t="str">
            <v>LU1883321371</v>
          </cell>
          <cell r="B1455" t="str">
            <v>AMUNDI FUNDS GLOBAL EQUITY INCOME ESG</v>
          </cell>
          <cell r="C1455" t="str">
            <v>Class A2 USD (C)</v>
          </cell>
          <cell r="D1455" t="str">
            <v>USD</v>
          </cell>
          <cell r="E1455">
            <v>45747</v>
          </cell>
          <cell r="F1455">
            <v>12563183.810000001</v>
          </cell>
          <cell r="G1455">
            <v>78512.785999999993</v>
          </cell>
          <cell r="H1455">
            <v>160.01</v>
          </cell>
          <cell r="I1455">
            <v>0</v>
          </cell>
          <cell r="J1455">
            <v>167.21</v>
          </cell>
          <cell r="K1455">
            <v>-0.42</v>
          </cell>
        </row>
        <row r="1456">
          <cell r="A1456" t="str">
            <v>LU1883323666</v>
          </cell>
          <cell r="B1456" t="str">
            <v>AMUNDI FUNDS GLOBAL EQUITY INCOME ESG</v>
          </cell>
          <cell r="C1456" t="str">
            <v>Class P2 USD (C)</v>
          </cell>
          <cell r="D1456" t="str">
            <v>USD</v>
          </cell>
          <cell r="E1456">
            <v>45747</v>
          </cell>
          <cell r="F1456">
            <v>1931626.81</v>
          </cell>
          <cell r="G1456">
            <v>18820.350999999999</v>
          </cell>
          <cell r="H1456">
            <v>102.64</v>
          </cell>
          <cell r="I1456">
            <v>0</v>
          </cell>
          <cell r="J1456">
            <v>102.64</v>
          </cell>
          <cell r="K1456">
            <v>-0.26</v>
          </cell>
        </row>
        <row r="1457">
          <cell r="A1457" t="str">
            <v>LU2870883613</v>
          </cell>
          <cell r="B1457" t="str">
            <v>AMUNDI FUNDS GLOBAL EQUITY INCOME ESG</v>
          </cell>
          <cell r="C1457" t="str">
            <v>Class R13 EUR (C)</v>
          </cell>
          <cell r="D1457" t="str">
            <v>EUR</v>
          </cell>
          <cell r="E1457">
            <v>45747</v>
          </cell>
          <cell r="F1457">
            <v>4447799.62</v>
          </cell>
          <cell r="G1457">
            <v>93386.392999999996</v>
          </cell>
          <cell r="H1457">
            <v>47.63</v>
          </cell>
          <cell r="I1457">
            <v>0</v>
          </cell>
          <cell r="J1457">
            <v>47.63</v>
          </cell>
          <cell r="K1457">
            <v>-0.03</v>
          </cell>
        </row>
        <row r="1458">
          <cell r="A1458" t="str">
            <v>LU2870883704</v>
          </cell>
          <cell r="B1458" t="str">
            <v>AMUNDI FUNDS GLOBAL EQUITY INCOME ESG</v>
          </cell>
          <cell r="C1458" t="str">
            <v>Class R13 EUR AD (D)</v>
          </cell>
          <cell r="D1458" t="str">
            <v>EUR</v>
          </cell>
          <cell r="E1458">
            <v>45747</v>
          </cell>
          <cell r="F1458">
            <v>113629.8</v>
          </cell>
          <cell r="G1458">
            <v>2363.7289999999998</v>
          </cell>
          <cell r="H1458">
            <v>48.07</v>
          </cell>
          <cell r="I1458">
            <v>0</v>
          </cell>
          <cell r="J1458">
            <v>48.07</v>
          </cell>
          <cell r="K1458">
            <v>-0.03</v>
          </cell>
        </row>
        <row r="1459">
          <cell r="A1459" t="str">
            <v>LU2596443569</v>
          </cell>
          <cell r="B1459" t="str">
            <v>AMUNDI FUNDS GLOBAL EQUITY INCOME ESG</v>
          </cell>
          <cell r="C1459" t="str">
            <v>Class U USD MTD3 (D)</v>
          </cell>
          <cell r="D1459" t="str">
            <v>USD</v>
          </cell>
          <cell r="E1459">
            <v>45747</v>
          </cell>
          <cell r="F1459">
            <v>4739.4399999999996</v>
          </cell>
          <cell r="G1459">
            <v>100</v>
          </cell>
          <cell r="H1459">
            <v>47.39</v>
          </cell>
          <cell r="I1459">
            <v>0</v>
          </cell>
          <cell r="J1459">
            <v>47.39</v>
          </cell>
          <cell r="K1459">
            <v>-0.13</v>
          </cell>
        </row>
        <row r="1460">
          <cell r="A1460" t="str">
            <v>LU1883324557</v>
          </cell>
          <cell r="B1460" t="str">
            <v>AMUNDI FUNDS GLOBAL EQUITY INCOME ESG</v>
          </cell>
          <cell r="C1460" t="str">
            <v>Class R2 GBP MTI (D)</v>
          </cell>
          <cell r="D1460" t="str">
            <v>GBP</v>
          </cell>
          <cell r="E1460">
            <v>45747</v>
          </cell>
          <cell r="F1460">
            <v>8779903.0399999991</v>
          </cell>
          <cell r="G1460">
            <v>140724.361</v>
          </cell>
          <cell r="H1460">
            <v>62.39</v>
          </cell>
          <cell r="I1460">
            <v>0</v>
          </cell>
          <cell r="J1460">
            <v>62.39</v>
          </cell>
          <cell r="K1460">
            <v>0</v>
          </cell>
        </row>
        <row r="1461">
          <cell r="A1461" t="str">
            <v>LU2538405528</v>
          </cell>
          <cell r="B1461" t="str">
            <v>AMUNDI FUNDS GLOBAL EQUITY INCOME ESG</v>
          </cell>
          <cell r="C1461" t="str">
            <v>Class G2 EUR (C)</v>
          </cell>
          <cell r="D1461" t="str">
            <v>EUR</v>
          </cell>
          <cell r="E1461">
            <v>45747</v>
          </cell>
          <cell r="F1461">
            <v>27250.89</v>
          </cell>
          <cell r="G1461">
            <v>4060.5189999999998</v>
          </cell>
          <cell r="H1461">
            <v>6.7110000000000003</v>
          </cell>
          <cell r="I1461">
            <v>0</v>
          </cell>
          <cell r="J1461">
            <v>6.7110000000000003</v>
          </cell>
          <cell r="K1461">
            <v>-5.0000000000000001E-3</v>
          </cell>
        </row>
        <row r="1462">
          <cell r="A1462" t="str">
            <v>LU1883324045</v>
          </cell>
          <cell r="B1462" t="str">
            <v>AMUNDI FUNDS GLOBAL EQUITY INCOME ESG</v>
          </cell>
          <cell r="C1462" t="str">
            <v>Class Q-D USD QTI (D)</v>
          </cell>
          <cell r="D1462" t="str">
            <v>USD</v>
          </cell>
          <cell r="E1462">
            <v>45747</v>
          </cell>
          <cell r="F1462">
            <v>490266.97</v>
          </cell>
          <cell r="G1462">
            <v>7819.8829999999998</v>
          </cell>
          <cell r="H1462">
            <v>62.69</v>
          </cell>
          <cell r="I1462">
            <v>0</v>
          </cell>
          <cell r="J1462">
            <v>62.69</v>
          </cell>
          <cell r="K1462">
            <v>-0.17</v>
          </cell>
        </row>
        <row r="1463">
          <cell r="A1463" t="str">
            <v>LU2538405791</v>
          </cell>
          <cell r="B1463" t="str">
            <v>AMUNDI FUNDS GLOBAL EQUITY INCOME ESG</v>
          </cell>
          <cell r="C1463" t="str">
            <v>Class X3 EUR QD (D)</v>
          </cell>
          <cell r="D1463" t="str">
            <v>EUR</v>
          </cell>
          <cell r="E1463">
            <v>45747</v>
          </cell>
          <cell r="F1463">
            <v>125410151.48999999</v>
          </cell>
          <cell r="G1463">
            <v>98874.33</v>
          </cell>
          <cell r="H1463">
            <v>1268.3800000000001</v>
          </cell>
          <cell r="I1463">
            <v>5.9812560000000001</v>
          </cell>
          <cell r="J1463">
            <v>1268.3800000000001</v>
          </cell>
          <cell r="K1463">
            <v>-6.64</v>
          </cell>
        </row>
        <row r="1464">
          <cell r="A1464" t="str">
            <v>LU1883314327</v>
          </cell>
          <cell r="B1464" t="str">
            <v>AMUNDI FUNDS EUROPEAN EQUITY VALUE</v>
          </cell>
          <cell r="C1464" t="str">
            <v>Class A EUR AD (D)</v>
          </cell>
          <cell r="D1464" t="str">
            <v>EUR</v>
          </cell>
          <cell r="E1464">
            <v>45747</v>
          </cell>
          <cell r="F1464">
            <v>7287598.46</v>
          </cell>
          <cell r="G1464">
            <v>95327.582999999999</v>
          </cell>
          <cell r="H1464">
            <v>76.45</v>
          </cell>
          <cell r="I1464">
            <v>0</v>
          </cell>
          <cell r="J1464">
            <v>79.89</v>
          </cell>
          <cell r="K1464">
            <v>-1.35</v>
          </cell>
        </row>
        <row r="1465">
          <cell r="A1465" t="str">
            <v>LU1883314244</v>
          </cell>
          <cell r="B1465" t="str">
            <v>AMUNDI FUNDS EUROPEAN EQUITY VALUE</v>
          </cell>
          <cell r="C1465" t="str">
            <v>Class A EUR (C)</v>
          </cell>
          <cell r="D1465" t="str">
            <v>EUR</v>
          </cell>
          <cell r="E1465">
            <v>45747</v>
          </cell>
          <cell r="F1465">
            <v>610140867.99000001</v>
          </cell>
          <cell r="G1465">
            <v>3568615.4569999999</v>
          </cell>
          <cell r="H1465">
            <v>170.97</v>
          </cell>
          <cell r="I1465">
            <v>0</v>
          </cell>
          <cell r="J1465">
            <v>178.66</v>
          </cell>
          <cell r="K1465">
            <v>-3.03</v>
          </cell>
        </row>
        <row r="1466">
          <cell r="A1466" t="str">
            <v>LU2339089836</v>
          </cell>
          <cell r="B1466" t="str">
            <v>AMUNDI FUNDS EUROPEAN EQUITY VALUE</v>
          </cell>
          <cell r="C1466" t="str">
            <v>Class A2 EUR (C)</v>
          </cell>
          <cell r="D1466" t="str">
            <v>EUR</v>
          </cell>
          <cell r="E1466">
            <v>45747</v>
          </cell>
          <cell r="F1466">
            <v>6529496.4400000004</v>
          </cell>
          <cell r="G1466">
            <v>102495.482</v>
          </cell>
          <cell r="H1466">
            <v>63.71</v>
          </cell>
          <cell r="I1466">
            <v>0</v>
          </cell>
          <cell r="J1466">
            <v>66.58</v>
          </cell>
          <cell r="K1466">
            <v>-1.1200000000000001</v>
          </cell>
        </row>
        <row r="1467">
          <cell r="A1467" t="str">
            <v>LU2032056272</v>
          </cell>
          <cell r="B1467" t="str">
            <v>AMUNDI FUNDS EUROPEAN EQUITY VALUE</v>
          </cell>
          <cell r="C1467" t="str">
            <v>Class A5 EUR (C)</v>
          </cell>
          <cell r="D1467" t="str">
            <v>EUR</v>
          </cell>
          <cell r="E1467">
            <v>45747</v>
          </cell>
          <cell r="F1467">
            <v>367219</v>
          </cell>
          <cell r="G1467">
            <v>5037.4740000000002</v>
          </cell>
          <cell r="H1467">
            <v>72.900000000000006</v>
          </cell>
          <cell r="I1467">
            <v>0</v>
          </cell>
          <cell r="J1467">
            <v>72.900000000000006</v>
          </cell>
          <cell r="K1467">
            <v>-1.29</v>
          </cell>
        </row>
        <row r="1468">
          <cell r="A1468" t="str">
            <v>LU1883314673</v>
          </cell>
          <cell r="B1468" t="str">
            <v>AMUNDI FUNDS EUROPEAN EQUITY VALUE</v>
          </cell>
          <cell r="C1468" t="str">
            <v>Class A EUR QD (D)</v>
          </cell>
          <cell r="D1468" t="str">
            <v>EUR</v>
          </cell>
          <cell r="E1468">
            <v>45747</v>
          </cell>
          <cell r="F1468">
            <v>6019689.25</v>
          </cell>
          <cell r="G1468">
            <v>99948.726999999999</v>
          </cell>
          <cell r="H1468">
            <v>60.23</v>
          </cell>
          <cell r="I1468">
            <v>0.148428</v>
          </cell>
          <cell r="J1468">
            <v>62.94</v>
          </cell>
          <cell r="K1468">
            <v>-1.22</v>
          </cell>
        </row>
        <row r="1469">
          <cell r="A1469" t="str">
            <v>LU2032056199</v>
          </cell>
          <cell r="B1469" t="str">
            <v>AMUNDI FUNDS EUROPEAN EQUITY VALUE</v>
          </cell>
          <cell r="C1469" t="str">
            <v>Class A6 EUR (C)</v>
          </cell>
          <cell r="D1469" t="str">
            <v>EUR</v>
          </cell>
          <cell r="E1469">
            <v>45747</v>
          </cell>
          <cell r="F1469">
            <v>839239.12</v>
          </cell>
          <cell r="G1469">
            <v>11676.656000000001</v>
          </cell>
          <cell r="H1469">
            <v>71.87</v>
          </cell>
          <cell r="I1469">
            <v>0</v>
          </cell>
          <cell r="J1469">
            <v>71.87</v>
          </cell>
          <cell r="K1469">
            <v>-1.28</v>
          </cell>
        </row>
        <row r="1470">
          <cell r="A1470" t="str">
            <v>LU2339090099</v>
          </cell>
          <cell r="B1470" t="str">
            <v>AMUNDI FUNDS EUROPEAN EQUITY VALUE</v>
          </cell>
          <cell r="C1470" t="str">
            <v>Class A2 USD (C)</v>
          </cell>
          <cell r="D1470" t="str">
            <v>USD</v>
          </cell>
          <cell r="E1470">
            <v>45747</v>
          </cell>
          <cell r="F1470">
            <v>109235.27</v>
          </cell>
          <cell r="G1470">
            <v>2000</v>
          </cell>
          <cell r="H1470">
            <v>54.62</v>
          </cell>
          <cell r="I1470">
            <v>0</v>
          </cell>
          <cell r="J1470">
            <v>57.08</v>
          </cell>
          <cell r="K1470">
            <v>-1.07</v>
          </cell>
        </row>
        <row r="1471">
          <cell r="A1471" t="str">
            <v>LU1883314830</v>
          </cell>
          <cell r="B1471" t="str">
            <v>AMUNDI FUNDS EUROPEAN EQUITY VALUE</v>
          </cell>
          <cell r="C1471" t="str">
            <v>Class A USD Hgd (C)</v>
          </cell>
          <cell r="D1471" t="str">
            <v>USD</v>
          </cell>
          <cell r="E1471">
            <v>45747</v>
          </cell>
          <cell r="F1471">
            <v>963704.26</v>
          </cell>
          <cell r="G1471">
            <v>12808.205</v>
          </cell>
          <cell r="H1471">
            <v>75.239999999999995</v>
          </cell>
          <cell r="I1471">
            <v>0</v>
          </cell>
          <cell r="J1471">
            <v>78.63</v>
          </cell>
          <cell r="K1471">
            <v>-1.28</v>
          </cell>
        </row>
        <row r="1472">
          <cell r="A1472" t="str">
            <v>LU2176991771</v>
          </cell>
          <cell r="B1472" t="str">
            <v>AMUNDI FUNDS EUROPEAN EQUITY VALUE</v>
          </cell>
          <cell r="C1472" t="str">
            <v>Class A CZK Hgd (C)</v>
          </cell>
          <cell r="D1472" t="str">
            <v>CZK</v>
          </cell>
          <cell r="E1472">
            <v>45747</v>
          </cell>
          <cell r="F1472">
            <v>52924359.93</v>
          </cell>
          <cell r="G1472">
            <v>28716.718000000001</v>
          </cell>
          <cell r="H1472">
            <v>1842.98</v>
          </cell>
          <cell r="I1472">
            <v>0</v>
          </cell>
          <cell r="J1472">
            <v>1842.98</v>
          </cell>
          <cell r="K1472">
            <v>-31.44</v>
          </cell>
        </row>
        <row r="1473">
          <cell r="A1473" t="str">
            <v>LU1883314756</v>
          </cell>
          <cell r="B1473" t="str">
            <v>AMUNDI FUNDS EUROPEAN EQUITY VALUE</v>
          </cell>
          <cell r="C1473" t="str">
            <v>Class A USD (C)</v>
          </cell>
          <cell r="D1473" t="str">
            <v>USD</v>
          </cell>
          <cell r="E1473">
            <v>45747</v>
          </cell>
          <cell r="F1473">
            <v>4381048.78</v>
          </cell>
          <cell r="G1473">
            <v>23688.545999999998</v>
          </cell>
          <cell r="H1473">
            <v>184.94</v>
          </cell>
          <cell r="I1473">
            <v>0</v>
          </cell>
          <cell r="J1473">
            <v>193.26</v>
          </cell>
          <cell r="K1473">
            <v>-3.65</v>
          </cell>
        </row>
        <row r="1474">
          <cell r="A1474" t="str">
            <v>LU1883315993</v>
          </cell>
          <cell r="B1474" t="str">
            <v>AMUNDI FUNDS EUROPEAN EQUITY VALUE</v>
          </cell>
          <cell r="C1474" t="str">
            <v>Class M2 EUR (C)</v>
          </cell>
          <cell r="D1474" t="str">
            <v>EUR</v>
          </cell>
          <cell r="E1474">
            <v>45747</v>
          </cell>
          <cell r="F1474">
            <v>177759100.96000001</v>
          </cell>
          <cell r="G1474">
            <v>69782.837</v>
          </cell>
          <cell r="H1474">
            <v>2547.3200000000002</v>
          </cell>
          <cell r="I1474">
            <v>0</v>
          </cell>
          <cell r="J1474">
            <v>2547.3200000000002</v>
          </cell>
          <cell r="K1474">
            <v>-44.95</v>
          </cell>
        </row>
        <row r="1475">
          <cell r="A1475" t="str">
            <v>LU1883314913</v>
          </cell>
          <cell r="B1475" t="str">
            <v>AMUNDI FUNDS EUROPEAN EQUITY VALUE</v>
          </cell>
          <cell r="C1475" t="str">
            <v>Class C EUR (C)</v>
          </cell>
          <cell r="D1475" t="str">
            <v>EUR</v>
          </cell>
          <cell r="E1475">
            <v>45747</v>
          </cell>
          <cell r="F1475">
            <v>3605829.48</v>
          </cell>
          <cell r="G1475">
            <v>33071.211000000003</v>
          </cell>
          <cell r="H1475">
            <v>109.03</v>
          </cell>
          <cell r="I1475">
            <v>0</v>
          </cell>
          <cell r="J1475">
            <v>109.03</v>
          </cell>
          <cell r="K1475">
            <v>-1.94</v>
          </cell>
        </row>
        <row r="1476">
          <cell r="A1476" t="str">
            <v>LU1883315134</v>
          </cell>
          <cell r="B1476" t="str">
            <v>AMUNDI FUNDS EUROPEAN EQUITY VALUE</v>
          </cell>
          <cell r="C1476" t="str">
            <v>Class E2 EUR (C)</v>
          </cell>
          <cell r="D1476" t="str">
            <v>EUR</v>
          </cell>
          <cell r="E1476">
            <v>45747</v>
          </cell>
          <cell r="F1476">
            <v>68621287.299999997</v>
          </cell>
          <cell r="G1476">
            <v>6131753.5930000003</v>
          </cell>
          <cell r="H1476">
            <v>11.191000000000001</v>
          </cell>
          <cell r="I1476">
            <v>0</v>
          </cell>
          <cell r="J1476">
            <v>11.191000000000001</v>
          </cell>
          <cell r="K1476">
            <v>-0.19800000000000001</v>
          </cell>
        </row>
        <row r="1477">
          <cell r="A1477" t="str">
            <v>LU1883315217</v>
          </cell>
          <cell r="B1477" t="str">
            <v>AMUNDI FUNDS EUROPEAN EQUITY VALUE</v>
          </cell>
          <cell r="C1477" t="str">
            <v>Class F EUR (C)</v>
          </cell>
          <cell r="D1477" t="str">
            <v>EUR</v>
          </cell>
          <cell r="E1477">
            <v>45747</v>
          </cell>
          <cell r="F1477">
            <v>10252845.68</v>
          </cell>
          <cell r="G1477">
            <v>660325.77300000004</v>
          </cell>
          <cell r="H1477">
            <v>15.526999999999999</v>
          </cell>
          <cell r="I1477">
            <v>0</v>
          </cell>
          <cell r="J1477">
            <v>15.526999999999999</v>
          </cell>
          <cell r="K1477">
            <v>-0.27600000000000002</v>
          </cell>
        </row>
        <row r="1478">
          <cell r="A1478" t="str">
            <v>LU1998915455</v>
          </cell>
          <cell r="B1478" t="str">
            <v>AMUNDI FUNDS EUROPEAN EQUITY VALUE</v>
          </cell>
          <cell r="C1478" t="str">
            <v>Class H EUR (C)</v>
          </cell>
          <cell r="D1478" t="str">
            <v>EUR</v>
          </cell>
          <cell r="E1478">
            <v>45747</v>
          </cell>
          <cell r="F1478">
            <v>3299980.62</v>
          </cell>
          <cell r="G1478">
            <v>1975.664</v>
          </cell>
          <cell r="H1478">
            <v>1670.31</v>
          </cell>
          <cell r="I1478">
            <v>0</v>
          </cell>
          <cell r="J1478">
            <v>1670.31</v>
          </cell>
          <cell r="K1478">
            <v>-29.42</v>
          </cell>
        </row>
        <row r="1479">
          <cell r="A1479" t="str">
            <v>LU1897305436</v>
          </cell>
          <cell r="B1479" t="str">
            <v>AMUNDI FUNDS EUROPEAN EQUITY VALUE</v>
          </cell>
          <cell r="C1479" t="str">
            <v>Class I2 GBP (C)</v>
          </cell>
          <cell r="D1479" t="str">
            <v>GBP</v>
          </cell>
          <cell r="E1479">
            <v>45747</v>
          </cell>
          <cell r="F1479">
            <v>39109.78</v>
          </cell>
          <cell r="G1479">
            <v>26.707999999999998</v>
          </cell>
          <cell r="H1479">
            <v>1464.35</v>
          </cell>
          <cell r="I1479">
            <v>0</v>
          </cell>
          <cell r="J1479">
            <v>1464.35</v>
          </cell>
          <cell r="K1479">
            <v>-24.86</v>
          </cell>
        </row>
        <row r="1480">
          <cell r="A1480" t="str">
            <v>LU2477811371</v>
          </cell>
          <cell r="B1480" t="str">
            <v>AMUNDI FUNDS EUROPEAN EQUITY VALUE</v>
          </cell>
          <cell r="C1480" t="str">
            <v>Class I17 EUR (C)</v>
          </cell>
          <cell r="D1480" t="str">
            <v>EUR</v>
          </cell>
          <cell r="E1480">
            <v>45747</v>
          </cell>
          <cell r="F1480">
            <v>38476189.369999997</v>
          </cell>
          <cell r="G1480">
            <v>27300</v>
          </cell>
          <cell r="H1480">
            <v>1409.38</v>
          </cell>
          <cell r="I1480">
            <v>0</v>
          </cell>
          <cell r="J1480">
            <v>1409.38</v>
          </cell>
          <cell r="K1480">
            <v>-24.87</v>
          </cell>
        </row>
        <row r="1481">
          <cell r="A1481" t="str">
            <v>LU2359308116</v>
          </cell>
          <cell r="B1481" t="str">
            <v>AMUNDI FUNDS EUROPEAN EQUITY VALUE</v>
          </cell>
          <cell r="C1481" t="str">
            <v>Class I2 USD (C)</v>
          </cell>
          <cell r="D1481" t="str">
            <v>USD</v>
          </cell>
          <cell r="E1481">
            <v>45747</v>
          </cell>
          <cell r="F1481">
            <v>71198096.980000004</v>
          </cell>
          <cell r="G1481">
            <v>59403.847999999998</v>
          </cell>
          <cell r="H1481">
            <v>1198.54</v>
          </cell>
          <cell r="I1481">
            <v>0</v>
          </cell>
          <cell r="J1481">
            <v>1198.54</v>
          </cell>
          <cell r="K1481">
            <v>-23.52</v>
          </cell>
        </row>
        <row r="1482">
          <cell r="A1482" t="str">
            <v>LU2490079600</v>
          </cell>
          <cell r="B1482" t="str">
            <v>AMUNDI FUNDS EUROPEAN EQUITY VALUE</v>
          </cell>
          <cell r="C1482" t="str">
            <v>Class I2 EUR AD (D)</v>
          </cell>
          <cell r="D1482" t="str">
            <v>EUR</v>
          </cell>
          <cell r="E1482">
            <v>45747</v>
          </cell>
          <cell r="F1482">
            <v>6640.65</v>
          </cell>
          <cell r="G1482">
            <v>5</v>
          </cell>
          <cell r="H1482">
            <v>1328.13</v>
          </cell>
          <cell r="I1482">
            <v>0</v>
          </cell>
          <cell r="J1482">
            <v>1328.13</v>
          </cell>
          <cell r="K1482">
            <v>-23.43</v>
          </cell>
        </row>
        <row r="1483">
          <cell r="A1483" t="str">
            <v>LU1883315480</v>
          </cell>
          <cell r="B1483" t="str">
            <v>AMUNDI FUNDS EUROPEAN EQUITY VALUE</v>
          </cell>
          <cell r="C1483" t="str">
            <v>Class I2 EUR (C)</v>
          </cell>
          <cell r="D1483" t="str">
            <v>EUR</v>
          </cell>
          <cell r="E1483">
            <v>45747</v>
          </cell>
          <cell r="F1483">
            <v>819504497.59000003</v>
          </cell>
          <cell r="G1483">
            <v>275910.23599999998</v>
          </cell>
          <cell r="H1483">
            <v>2970.19</v>
          </cell>
          <cell r="I1483">
            <v>0</v>
          </cell>
          <cell r="J1483">
            <v>2970.19</v>
          </cell>
          <cell r="K1483">
            <v>-52.4</v>
          </cell>
        </row>
        <row r="1484">
          <cell r="A1484" t="str">
            <v>LU1883315647</v>
          </cell>
          <cell r="B1484" t="str">
            <v>AMUNDI FUNDS EUROPEAN EQUITY VALUE</v>
          </cell>
          <cell r="C1484" t="str">
            <v>Class J2 EUR (C)</v>
          </cell>
          <cell r="D1484" t="str">
            <v>EUR</v>
          </cell>
          <cell r="E1484">
            <v>45747</v>
          </cell>
          <cell r="F1484">
            <v>389779214.11000001</v>
          </cell>
          <cell r="G1484">
            <v>266348.777</v>
          </cell>
          <cell r="H1484">
            <v>1463.42</v>
          </cell>
          <cell r="I1484">
            <v>0</v>
          </cell>
          <cell r="J1484">
            <v>1463.42</v>
          </cell>
          <cell r="K1484">
            <v>-25.79</v>
          </cell>
        </row>
        <row r="1485">
          <cell r="A1485" t="str">
            <v>LU2819203832</v>
          </cell>
          <cell r="B1485" t="str">
            <v>AMUNDI FUNDS EUROPEAN EQUITY VALUE</v>
          </cell>
          <cell r="C1485" t="str">
            <v>Class J2 USD (C)</v>
          </cell>
          <cell r="D1485" t="str">
            <v>USD</v>
          </cell>
          <cell r="E1485">
            <v>45747</v>
          </cell>
          <cell r="F1485">
            <v>16703955.439999999</v>
          </cell>
          <cell r="G1485">
            <v>15962.444</v>
          </cell>
          <cell r="H1485">
            <v>1046.45</v>
          </cell>
          <cell r="I1485">
            <v>0</v>
          </cell>
          <cell r="J1485">
            <v>1046.45</v>
          </cell>
          <cell r="K1485">
            <v>-20.52</v>
          </cell>
        </row>
        <row r="1486">
          <cell r="A1486" t="str">
            <v>LU1883315720</v>
          </cell>
          <cell r="B1486" t="str">
            <v>AMUNDI FUNDS EUROPEAN EQUITY VALUE</v>
          </cell>
          <cell r="C1486" t="str">
            <v>Class J2 EUR AD (D)</v>
          </cell>
          <cell r="D1486" t="str">
            <v>EUR</v>
          </cell>
          <cell r="E1486">
            <v>45747</v>
          </cell>
          <cell r="F1486">
            <v>2684782.61</v>
          </cell>
          <cell r="G1486">
            <v>2171.5230000000001</v>
          </cell>
          <cell r="H1486">
            <v>1236.3599999999999</v>
          </cell>
          <cell r="I1486">
            <v>0</v>
          </cell>
          <cell r="J1486">
            <v>1236.3599999999999</v>
          </cell>
          <cell r="K1486">
            <v>-21.79</v>
          </cell>
        </row>
        <row r="1487">
          <cell r="A1487" t="str">
            <v>LU2052286916</v>
          </cell>
          <cell r="B1487" t="str">
            <v>AMUNDI FUNDS EUROPEAN EQUITY VALUE</v>
          </cell>
          <cell r="C1487" t="str">
            <v>Class J3 GBP (C)</v>
          </cell>
          <cell r="D1487" t="str">
            <v>GBP</v>
          </cell>
          <cell r="E1487">
            <v>45747</v>
          </cell>
          <cell r="F1487">
            <v>11280.57</v>
          </cell>
          <cell r="G1487">
            <v>7.9459999999999997</v>
          </cell>
          <cell r="H1487">
            <v>1419.65</v>
          </cell>
          <cell r="I1487">
            <v>0</v>
          </cell>
          <cell r="J1487">
            <v>1419.65</v>
          </cell>
          <cell r="K1487">
            <v>-24.1</v>
          </cell>
        </row>
        <row r="1488">
          <cell r="A1488" t="str">
            <v>LU2052287054</v>
          </cell>
          <cell r="B1488" t="str">
            <v>AMUNDI FUNDS EUROPEAN EQUITY VALUE</v>
          </cell>
          <cell r="C1488" t="str">
            <v>Class J3 GBP AD (D)</v>
          </cell>
          <cell r="D1488" t="str">
            <v>GBP</v>
          </cell>
          <cell r="E1488">
            <v>45747</v>
          </cell>
          <cell r="F1488">
            <v>6206.31</v>
          </cell>
          <cell r="G1488">
            <v>5</v>
          </cell>
          <cell r="H1488">
            <v>1241.26</v>
          </cell>
          <cell r="I1488">
            <v>0</v>
          </cell>
          <cell r="J1488">
            <v>1241.26</v>
          </cell>
          <cell r="K1488">
            <v>-21.07</v>
          </cell>
        </row>
        <row r="1489">
          <cell r="A1489" t="str">
            <v>LU2819203915</v>
          </cell>
          <cell r="B1489" t="str">
            <v>AMUNDI FUNDS EUROPEAN EQUITY VALUE</v>
          </cell>
          <cell r="C1489" t="str">
            <v>Class J2 USD QD (D)</v>
          </cell>
          <cell r="D1489" t="str">
            <v>USD</v>
          </cell>
          <cell r="E1489">
            <v>45747</v>
          </cell>
          <cell r="F1489">
            <v>6244714.0999999996</v>
          </cell>
          <cell r="G1489">
            <v>6045</v>
          </cell>
          <cell r="H1489">
            <v>1033.04</v>
          </cell>
          <cell r="I1489">
            <v>5.9563129999999997</v>
          </cell>
          <cell r="J1489">
            <v>1033.04</v>
          </cell>
          <cell r="K1489">
            <v>-26.33</v>
          </cell>
        </row>
        <row r="1490">
          <cell r="A1490" t="str">
            <v>LU1883315308</v>
          </cell>
          <cell r="B1490" t="str">
            <v>AMUNDI FUNDS EUROPEAN EQUITY VALUE</v>
          </cell>
          <cell r="C1490" t="str">
            <v>Class G EUR (C)</v>
          </cell>
          <cell r="D1490" t="str">
            <v>EUR</v>
          </cell>
          <cell r="E1490">
            <v>45747</v>
          </cell>
          <cell r="F1490">
            <v>22619330.289999999</v>
          </cell>
          <cell r="G1490">
            <v>3461384.8689999999</v>
          </cell>
          <cell r="H1490">
            <v>6.5350000000000001</v>
          </cell>
          <cell r="I1490">
            <v>0</v>
          </cell>
          <cell r="J1490">
            <v>6.5350000000000001</v>
          </cell>
          <cell r="K1490">
            <v>-0.11600000000000001</v>
          </cell>
        </row>
        <row r="1491">
          <cell r="A1491" t="str">
            <v>LU1883316298</v>
          </cell>
          <cell r="B1491" t="str">
            <v>AMUNDI FUNDS EUROPEAN EQUITY VALUE</v>
          </cell>
          <cell r="C1491" t="str">
            <v>Class R2 EUR (C)</v>
          </cell>
          <cell r="D1491" t="str">
            <v>EUR</v>
          </cell>
          <cell r="E1491">
            <v>45747</v>
          </cell>
          <cell r="F1491">
            <v>96256583.569999993</v>
          </cell>
          <cell r="G1491">
            <v>1218371.7139999999</v>
          </cell>
          <cell r="H1491">
            <v>79</v>
          </cell>
          <cell r="I1491">
            <v>0</v>
          </cell>
          <cell r="J1491">
            <v>79</v>
          </cell>
          <cell r="K1491">
            <v>-1.4</v>
          </cell>
        </row>
        <row r="1492">
          <cell r="A1492" t="str">
            <v>LU1883316025</v>
          </cell>
          <cell r="B1492" t="str">
            <v>AMUNDI FUNDS EUROPEAN EQUITY VALUE</v>
          </cell>
          <cell r="C1492" t="str">
            <v>Class P2 USD (C)</v>
          </cell>
          <cell r="D1492" t="str">
            <v>USD</v>
          </cell>
          <cell r="E1492">
            <v>45747</v>
          </cell>
          <cell r="F1492">
            <v>6246.08</v>
          </cell>
          <cell r="G1492">
            <v>100</v>
          </cell>
          <cell r="H1492">
            <v>62.46</v>
          </cell>
          <cell r="I1492">
            <v>0</v>
          </cell>
          <cell r="J1492">
            <v>62.46</v>
          </cell>
          <cell r="K1492">
            <v>-1.23</v>
          </cell>
        </row>
        <row r="1493">
          <cell r="A1493" t="str">
            <v>LU2259108558</v>
          </cell>
          <cell r="B1493" t="str">
            <v>AMUNDI FUNDS EUROPEAN EQUITY VALUE</v>
          </cell>
          <cell r="C1493" t="str">
            <v>Class R3 GBP AD (D)</v>
          </cell>
          <cell r="D1493" t="str">
            <v>GBP</v>
          </cell>
          <cell r="E1493">
            <v>45747</v>
          </cell>
          <cell r="F1493">
            <v>386506.11</v>
          </cell>
          <cell r="G1493">
            <v>30280</v>
          </cell>
          <cell r="H1493">
            <v>12.76</v>
          </cell>
          <cell r="I1493">
            <v>0</v>
          </cell>
          <cell r="J1493">
            <v>12.76</v>
          </cell>
          <cell r="K1493">
            <v>-0.22</v>
          </cell>
        </row>
        <row r="1494">
          <cell r="A1494" t="str">
            <v>LU2183143846</v>
          </cell>
          <cell r="B1494" t="str">
            <v>AMUNDI FUNDS EUROPEAN EQUITY VALUE</v>
          </cell>
          <cell r="C1494" t="str">
            <v>Class R EUR (C)</v>
          </cell>
          <cell r="D1494" t="str">
            <v>EUR</v>
          </cell>
          <cell r="E1494">
            <v>45747</v>
          </cell>
          <cell r="F1494">
            <v>110151650.52</v>
          </cell>
          <cell r="G1494">
            <v>1256040.5519999999</v>
          </cell>
          <cell r="H1494">
            <v>87.7</v>
          </cell>
          <cell r="I1494">
            <v>0</v>
          </cell>
          <cell r="J1494">
            <v>87.7</v>
          </cell>
          <cell r="K1494">
            <v>-1.55</v>
          </cell>
        </row>
        <row r="1495">
          <cell r="A1495" t="str">
            <v>LU2259108475</v>
          </cell>
          <cell r="B1495" t="str">
            <v>AMUNDI FUNDS EUROPEAN EQUITY VALUE</v>
          </cell>
          <cell r="C1495" t="str">
            <v>Class R3 GBP (C)</v>
          </cell>
          <cell r="D1495" t="str">
            <v>GBP</v>
          </cell>
          <cell r="E1495">
            <v>45747</v>
          </cell>
          <cell r="F1495">
            <v>319458.37</v>
          </cell>
          <cell r="G1495">
            <v>22205.697</v>
          </cell>
          <cell r="H1495">
            <v>14.39</v>
          </cell>
          <cell r="I1495">
            <v>0</v>
          </cell>
          <cell r="J1495">
            <v>14.39</v>
          </cell>
          <cell r="K1495">
            <v>-0.24</v>
          </cell>
        </row>
        <row r="1496">
          <cell r="A1496" t="str">
            <v>LU1894679239</v>
          </cell>
          <cell r="B1496" t="str">
            <v>AMUNDI FUNDS EUROPEAN EQUITY VALUE</v>
          </cell>
          <cell r="C1496" t="str">
            <v>Class X EUR (C)</v>
          </cell>
          <cell r="D1496" t="str">
            <v>EUR</v>
          </cell>
          <cell r="E1496">
            <v>45747</v>
          </cell>
          <cell r="F1496">
            <v>8374.01</v>
          </cell>
          <cell r="G1496">
            <v>5</v>
          </cell>
          <cell r="H1496">
            <v>1674.8</v>
          </cell>
          <cell r="I1496">
            <v>0</v>
          </cell>
          <cell r="J1496">
            <v>1674.8</v>
          </cell>
          <cell r="K1496">
            <v>-29.45</v>
          </cell>
        </row>
        <row r="1497">
          <cell r="A1497" t="str">
            <v>LU2040440310</v>
          </cell>
          <cell r="B1497" t="str">
            <v>AMUNDI FUNDS EUROPEAN EQUITY VALUE</v>
          </cell>
          <cell r="C1497" t="str">
            <v>Class Z EUR (C)</v>
          </cell>
          <cell r="D1497" t="str">
            <v>EUR</v>
          </cell>
          <cell r="E1497">
            <v>45747</v>
          </cell>
          <cell r="F1497">
            <v>113638.35</v>
          </cell>
          <cell r="G1497">
            <v>75.055999999999997</v>
          </cell>
          <cell r="H1497">
            <v>1514.05</v>
          </cell>
          <cell r="I1497">
            <v>0</v>
          </cell>
          <cell r="J1497">
            <v>1514.05</v>
          </cell>
          <cell r="K1497">
            <v>-26.69</v>
          </cell>
        </row>
        <row r="1498">
          <cell r="A1498" t="str">
            <v>LU1883335249</v>
          </cell>
          <cell r="B1498" t="str">
            <v>AMUNDI FUNDS MULTI-STRATEGY GROWTH</v>
          </cell>
          <cell r="C1498" t="str">
            <v>Class A EUR AD (D)</v>
          </cell>
          <cell r="D1498" t="str">
            <v>EUR</v>
          </cell>
          <cell r="E1498">
            <v>45747</v>
          </cell>
          <cell r="F1498">
            <v>7023348.0700000003</v>
          </cell>
          <cell r="G1498">
            <v>147997.09299999999</v>
          </cell>
          <cell r="H1498">
            <v>47.46</v>
          </cell>
          <cell r="I1498">
            <v>0</v>
          </cell>
          <cell r="J1498">
            <v>49.6</v>
          </cell>
          <cell r="K1498">
            <v>-0.26</v>
          </cell>
        </row>
        <row r="1499">
          <cell r="A1499" t="str">
            <v>LU1883335165</v>
          </cell>
          <cell r="B1499" t="str">
            <v>AMUNDI FUNDS MULTI-STRATEGY GROWTH</v>
          </cell>
          <cell r="C1499" t="str">
            <v>Class A EUR (C)</v>
          </cell>
          <cell r="D1499" t="str">
            <v>EUR</v>
          </cell>
          <cell r="E1499">
            <v>45747</v>
          </cell>
          <cell r="F1499">
            <v>6228237.6100000003</v>
          </cell>
          <cell r="G1499">
            <v>91225.38</v>
          </cell>
          <cell r="H1499">
            <v>68.27</v>
          </cell>
          <cell r="I1499">
            <v>0</v>
          </cell>
          <cell r="J1499">
            <v>71.34</v>
          </cell>
          <cell r="K1499">
            <v>-0.38</v>
          </cell>
        </row>
        <row r="1500">
          <cell r="A1500" t="str">
            <v>LU1883335322</v>
          </cell>
          <cell r="B1500" t="str">
            <v>AMUNDI FUNDS MULTI-STRATEGY GROWTH</v>
          </cell>
          <cell r="C1500" t="str">
            <v>Class A USD Hgd (C)</v>
          </cell>
          <cell r="D1500" t="str">
            <v>USD</v>
          </cell>
          <cell r="E1500">
            <v>45747</v>
          </cell>
          <cell r="F1500">
            <v>1050618.02</v>
          </cell>
          <cell r="G1500">
            <v>16963.691999999999</v>
          </cell>
          <cell r="H1500">
            <v>61.93</v>
          </cell>
          <cell r="I1500">
            <v>0</v>
          </cell>
          <cell r="J1500">
            <v>64.72</v>
          </cell>
          <cell r="K1500">
            <v>-0.34</v>
          </cell>
        </row>
        <row r="1501">
          <cell r="A1501" t="str">
            <v>LU1883336213</v>
          </cell>
          <cell r="B1501" t="str">
            <v>AMUNDI FUNDS MULTI-STRATEGY GROWTH</v>
          </cell>
          <cell r="C1501" t="str">
            <v>Class M2 EUR (C)</v>
          </cell>
          <cell r="D1501" t="str">
            <v>EUR</v>
          </cell>
          <cell r="E1501">
            <v>45747</v>
          </cell>
          <cell r="F1501">
            <v>104552954.73999999</v>
          </cell>
          <cell r="G1501">
            <v>62749.254999999997</v>
          </cell>
          <cell r="H1501">
            <v>1666.2</v>
          </cell>
          <cell r="I1501">
            <v>0</v>
          </cell>
          <cell r="J1501">
            <v>1666.2</v>
          </cell>
          <cell r="K1501">
            <v>-9.18</v>
          </cell>
        </row>
        <row r="1502">
          <cell r="A1502" t="str">
            <v>LU1883336304</v>
          </cell>
          <cell r="B1502" t="str">
            <v>AMUNDI FUNDS MULTI-STRATEGY GROWTH</v>
          </cell>
          <cell r="C1502" t="str">
            <v>Class M2 EUR AD (D)</v>
          </cell>
          <cell r="D1502" t="str">
            <v>EUR</v>
          </cell>
          <cell r="E1502">
            <v>45747</v>
          </cell>
          <cell r="F1502">
            <v>56510.01</v>
          </cell>
          <cell r="G1502">
            <v>40.92</v>
          </cell>
          <cell r="H1502">
            <v>1380.99</v>
          </cell>
          <cell r="I1502">
            <v>0</v>
          </cell>
          <cell r="J1502">
            <v>1380.99</v>
          </cell>
          <cell r="K1502">
            <v>-7.6</v>
          </cell>
        </row>
        <row r="1503">
          <cell r="A1503" t="str">
            <v>LU1883335678</v>
          </cell>
          <cell r="B1503" t="str">
            <v>AMUNDI FUNDS MULTI-STRATEGY GROWTH</v>
          </cell>
          <cell r="C1503" t="str">
            <v>Class E2 EUR (C)</v>
          </cell>
          <cell r="D1503" t="str">
            <v>EUR</v>
          </cell>
          <cell r="E1503">
            <v>45747</v>
          </cell>
          <cell r="F1503">
            <v>15981956.34</v>
          </cell>
          <cell r="G1503">
            <v>2224413.0929999999</v>
          </cell>
          <cell r="H1503">
            <v>7.1849999999999996</v>
          </cell>
          <cell r="I1503">
            <v>0</v>
          </cell>
          <cell r="J1503">
            <v>7.1849999999999996</v>
          </cell>
          <cell r="K1503">
            <v>-0.04</v>
          </cell>
        </row>
        <row r="1504">
          <cell r="A1504" t="str">
            <v>LU1998915968</v>
          </cell>
          <cell r="B1504" t="str">
            <v>AMUNDI FUNDS MULTI-STRATEGY GROWTH</v>
          </cell>
          <cell r="C1504" t="str">
            <v>Class H EUR (C)</v>
          </cell>
          <cell r="D1504" t="str">
            <v>EUR</v>
          </cell>
          <cell r="E1504">
            <v>45747</v>
          </cell>
          <cell r="F1504">
            <v>53196268.630000003</v>
          </cell>
          <cell r="G1504">
            <v>46088.353999999999</v>
          </cell>
          <cell r="H1504">
            <v>1154.22</v>
          </cell>
          <cell r="I1504">
            <v>0</v>
          </cell>
          <cell r="J1504">
            <v>1154.22</v>
          </cell>
          <cell r="K1504">
            <v>-6.32</v>
          </cell>
        </row>
        <row r="1505">
          <cell r="A1505" t="str">
            <v>LU1897309008</v>
          </cell>
          <cell r="B1505" t="str">
            <v>AMUNDI FUNDS MULTI-STRATEGY GROWTH</v>
          </cell>
          <cell r="C1505" t="str">
            <v>Class I2 GBP (C)</v>
          </cell>
          <cell r="D1505" t="str">
            <v>GBP</v>
          </cell>
          <cell r="E1505">
            <v>45747</v>
          </cell>
          <cell r="F1505">
            <v>5135.79</v>
          </cell>
          <cell r="G1505">
            <v>5</v>
          </cell>
          <cell r="H1505">
            <v>1027.1600000000001</v>
          </cell>
          <cell r="I1505">
            <v>0</v>
          </cell>
          <cell r="J1505">
            <v>1027.1600000000001</v>
          </cell>
          <cell r="K1505">
            <v>-4.9800000000000004</v>
          </cell>
        </row>
        <row r="1506">
          <cell r="A1506" t="str">
            <v>LU2049412971</v>
          </cell>
          <cell r="B1506" t="str">
            <v>AMUNDI FUNDS MULTI-STRATEGY GROWTH</v>
          </cell>
          <cell r="C1506" t="str">
            <v>Class I2 GBP Hgd (C)</v>
          </cell>
          <cell r="D1506" t="str">
            <v>GBP</v>
          </cell>
          <cell r="E1506">
            <v>45747</v>
          </cell>
          <cell r="F1506">
            <v>212463036.71000001</v>
          </cell>
          <cell r="G1506">
            <v>183571.891</v>
          </cell>
          <cell r="H1506">
            <v>1157.3800000000001</v>
          </cell>
          <cell r="I1506">
            <v>0</v>
          </cell>
          <cell r="J1506">
            <v>1157.3800000000001</v>
          </cell>
          <cell r="K1506">
            <v>-6.32</v>
          </cell>
        </row>
        <row r="1507">
          <cell r="A1507" t="str">
            <v>LU1894679742</v>
          </cell>
          <cell r="B1507" t="str">
            <v>AMUNDI FUNDS MULTI-STRATEGY GROWTH</v>
          </cell>
          <cell r="C1507" t="str">
            <v>Class I2 NOK Hgd (C)</v>
          </cell>
          <cell r="D1507" t="str">
            <v>NOK</v>
          </cell>
          <cell r="E1507">
            <v>45747</v>
          </cell>
          <cell r="F1507">
            <v>552610123.98000002</v>
          </cell>
          <cell r="G1507">
            <v>47345.324999999997</v>
          </cell>
          <cell r="H1507">
            <v>11671.9</v>
          </cell>
          <cell r="I1507">
            <v>0</v>
          </cell>
          <cell r="J1507">
            <v>11671.9</v>
          </cell>
          <cell r="K1507">
            <v>-64.56</v>
          </cell>
        </row>
        <row r="1508">
          <cell r="A1508" t="str">
            <v>LU1883336130</v>
          </cell>
          <cell r="B1508" t="str">
            <v>AMUNDI FUNDS MULTI-STRATEGY GROWTH</v>
          </cell>
          <cell r="C1508" t="str">
            <v>Class I2 EUR (C)</v>
          </cell>
          <cell r="D1508" t="str">
            <v>EUR</v>
          </cell>
          <cell r="E1508">
            <v>45747</v>
          </cell>
          <cell r="F1508">
            <v>21950337.460000001</v>
          </cell>
          <cell r="G1508">
            <v>18675.698</v>
          </cell>
          <cell r="H1508">
            <v>1175.3399999999999</v>
          </cell>
          <cell r="I1508">
            <v>0</v>
          </cell>
          <cell r="J1508">
            <v>1175.3399999999999</v>
          </cell>
          <cell r="K1508">
            <v>-6.48</v>
          </cell>
        </row>
        <row r="1509">
          <cell r="A1509" t="str">
            <v>LU2359308207</v>
          </cell>
          <cell r="B1509" t="str">
            <v>AMUNDI FUNDS MULTI-STRATEGY GROWTH</v>
          </cell>
          <cell r="C1509" t="str">
            <v>Class I2 CHF Hgd (C)</v>
          </cell>
          <cell r="D1509" t="str">
            <v>CHF</v>
          </cell>
          <cell r="E1509">
            <v>45747</v>
          </cell>
          <cell r="F1509">
            <v>16960.560000000001</v>
          </cell>
          <cell r="G1509">
            <v>19.809999999999999</v>
          </cell>
          <cell r="H1509">
            <v>856.16</v>
          </cell>
          <cell r="I1509">
            <v>0</v>
          </cell>
          <cell r="J1509">
            <v>856.16</v>
          </cell>
          <cell r="K1509">
            <v>-4.79</v>
          </cell>
        </row>
        <row r="1510">
          <cell r="A1510" t="str">
            <v>LU2052287302</v>
          </cell>
          <cell r="B1510" t="str">
            <v>AMUNDI FUNDS MULTI-STRATEGY GROWTH</v>
          </cell>
          <cell r="C1510" t="str">
            <v>Class J3 GBP (C)</v>
          </cell>
          <cell r="D1510" t="str">
            <v>GBP</v>
          </cell>
          <cell r="E1510">
            <v>45747</v>
          </cell>
          <cell r="F1510">
            <v>5236.07</v>
          </cell>
          <cell r="G1510">
            <v>5</v>
          </cell>
          <cell r="H1510">
            <v>1047.21</v>
          </cell>
          <cell r="I1510">
            <v>0</v>
          </cell>
          <cell r="J1510">
            <v>1047.21</v>
          </cell>
          <cell r="K1510">
            <v>-5.07</v>
          </cell>
        </row>
        <row r="1511">
          <cell r="A1511" t="str">
            <v>LU1883335751</v>
          </cell>
          <cell r="B1511" t="str">
            <v>AMUNDI FUNDS MULTI-STRATEGY GROWTH</v>
          </cell>
          <cell r="C1511" t="str">
            <v>Class G EUR (C)</v>
          </cell>
          <cell r="D1511" t="str">
            <v>EUR</v>
          </cell>
          <cell r="E1511">
            <v>45747</v>
          </cell>
          <cell r="F1511">
            <v>1884568.84</v>
          </cell>
          <cell r="G1511">
            <v>386191.45</v>
          </cell>
          <cell r="H1511">
            <v>4.88</v>
          </cell>
          <cell r="I1511">
            <v>0</v>
          </cell>
          <cell r="J1511">
            <v>4.88</v>
          </cell>
          <cell r="K1511">
            <v>-2.7E-2</v>
          </cell>
        </row>
        <row r="1512">
          <cell r="A1512" t="str">
            <v>LU1837136479</v>
          </cell>
          <cell r="B1512" t="str">
            <v>AMUNDI FUNDS MULTI-STRATEGY GROWTH</v>
          </cell>
          <cell r="C1512" t="str">
            <v>Class R EUR (C)</v>
          </cell>
          <cell r="D1512" t="str">
            <v>EUR</v>
          </cell>
          <cell r="E1512">
            <v>45747</v>
          </cell>
          <cell r="F1512">
            <v>353101.06</v>
          </cell>
          <cell r="G1512">
            <v>6759.68</v>
          </cell>
          <cell r="H1512">
            <v>52.24</v>
          </cell>
          <cell r="I1512">
            <v>0</v>
          </cell>
          <cell r="J1512">
            <v>52.24</v>
          </cell>
          <cell r="K1512">
            <v>-0.28999999999999998</v>
          </cell>
        </row>
        <row r="1513">
          <cell r="A1513" t="str">
            <v>LU2330498242</v>
          </cell>
          <cell r="B1513" t="str">
            <v>AMUNDI FUNDS MULTI-STRATEGY GROWTH</v>
          </cell>
          <cell r="C1513" t="str">
            <v>Class R3 GBP Hgd (C)</v>
          </cell>
          <cell r="D1513" t="str">
            <v>GBP</v>
          </cell>
          <cell r="E1513">
            <v>45747</v>
          </cell>
          <cell r="F1513">
            <v>5233815.32</v>
          </cell>
          <cell r="G1513">
            <v>534390.81299999997</v>
          </cell>
          <cell r="H1513">
            <v>9.7899999999999991</v>
          </cell>
          <cell r="I1513">
            <v>0</v>
          </cell>
          <cell r="J1513">
            <v>9.7899999999999991</v>
          </cell>
          <cell r="K1513">
            <v>-0.06</v>
          </cell>
        </row>
        <row r="1514">
          <cell r="A1514" t="str">
            <v>LU2224462288</v>
          </cell>
          <cell r="B1514" t="str">
            <v>AMUNDI FUNDS MULTI-STRATEGY GROWTH</v>
          </cell>
          <cell r="C1514" t="str">
            <v>Class X USD Hgd (C)</v>
          </cell>
          <cell r="D1514" t="str">
            <v>USD</v>
          </cell>
          <cell r="E1514">
            <v>45747</v>
          </cell>
          <cell r="F1514">
            <v>29580920.620000001</v>
          </cell>
          <cell r="G1514">
            <v>30000</v>
          </cell>
          <cell r="H1514">
            <v>986.03</v>
          </cell>
          <cell r="I1514">
            <v>0</v>
          </cell>
          <cell r="J1514">
            <v>986.03</v>
          </cell>
          <cell r="K1514">
            <v>-5.31</v>
          </cell>
        </row>
        <row r="1515">
          <cell r="A1515" t="str">
            <v>LU1894679825</v>
          </cell>
          <cell r="B1515" t="str">
            <v>AMUNDI FUNDS MULTI-STRATEGY GROWTH</v>
          </cell>
          <cell r="C1515" t="str">
            <v>Class X EUR (C)</v>
          </cell>
          <cell r="D1515" t="str">
            <v>EUR</v>
          </cell>
          <cell r="E1515">
            <v>45747</v>
          </cell>
          <cell r="F1515">
            <v>1188.03</v>
          </cell>
          <cell r="G1515">
            <v>1</v>
          </cell>
          <cell r="H1515">
            <v>1188.03</v>
          </cell>
          <cell r="I1515">
            <v>0</v>
          </cell>
          <cell r="J1515">
            <v>1188.03</v>
          </cell>
          <cell r="K1515">
            <v>-6.48</v>
          </cell>
        </row>
        <row r="1516">
          <cell r="A1516" t="str">
            <v>LU1883335835</v>
          </cell>
          <cell r="B1516" t="str">
            <v>AMUNDI FUNDS MULTI-STRATEGY GROWTH</v>
          </cell>
          <cell r="C1516" t="str">
            <v>Class I EUR (C)</v>
          </cell>
          <cell r="D1516" t="str">
            <v>EUR</v>
          </cell>
          <cell r="E1516">
            <v>45747</v>
          </cell>
          <cell r="F1516">
            <v>2667897.16</v>
          </cell>
          <cell r="G1516">
            <v>1695.7080000000001</v>
          </cell>
          <cell r="H1516">
            <v>1573.32</v>
          </cell>
          <cell r="I1516">
            <v>0</v>
          </cell>
          <cell r="J1516">
            <v>1573.32</v>
          </cell>
          <cell r="K1516">
            <v>-8.66</v>
          </cell>
        </row>
        <row r="1517">
          <cell r="A1517" t="str">
            <v>LU1883335918</v>
          </cell>
          <cell r="B1517" t="str">
            <v>AMUNDI FUNDS MULTI-STRATEGY GROWTH</v>
          </cell>
          <cell r="C1517" t="str">
            <v>Class I EUR AD (D)</v>
          </cell>
          <cell r="D1517" t="str">
            <v>EUR</v>
          </cell>
          <cell r="E1517">
            <v>45747</v>
          </cell>
          <cell r="F1517">
            <v>9070161.5999999996</v>
          </cell>
          <cell r="G1517">
            <v>6599.3789999999999</v>
          </cell>
          <cell r="H1517">
            <v>1374.4</v>
          </cell>
          <cell r="I1517">
            <v>0</v>
          </cell>
          <cell r="J1517">
            <v>1374.4</v>
          </cell>
          <cell r="K1517">
            <v>-7.56</v>
          </cell>
        </row>
        <row r="1518">
          <cell r="A1518" t="str">
            <v>LU1894679403</v>
          </cell>
          <cell r="B1518" t="str">
            <v>AMUNDI FUNDS MULTI-STRATEGY GROWTH</v>
          </cell>
          <cell r="C1518" t="str">
            <v>Class I GBP Hgd (C)</v>
          </cell>
          <cell r="D1518" t="str">
            <v>GBP</v>
          </cell>
          <cell r="E1518">
            <v>45747</v>
          </cell>
          <cell r="F1518">
            <v>113459.6</v>
          </cell>
          <cell r="G1518">
            <v>100</v>
          </cell>
          <cell r="H1518">
            <v>1134.5999999999999</v>
          </cell>
          <cell r="I1518">
            <v>0</v>
          </cell>
          <cell r="J1518">
            <v>1134.5999999999999</v>
          </cell>
          <cell r="K1518">
            <v>-6.17</v>
          </cell>
        </row>
        <row r="1519">
          <cell r="A1519" t="str">
            <v>LU1894679312</v>
          </cell>
          <cell r="B1519" t="str">
            <v>AMUNDI FUNDS MULTI-STRATEGY GROWTH</v>
          </cell>
          <cell r="C1519" t="str">
            <v>Class I GBP (C)</v>
          </cell>
          <cell r="D1519" t="str">
            <v>GBP</v>
          </cell>
          <cell r="E1519">
            <v>45747</v>
          </cell>
          <cell r="F1519">
            <v>5310.31</v>
          </cell>
          <cell r="G1519">
            <v>4.0129999999999999</v>
          </cell>
          <cell r="H1519">
            <v>1323.28</v>
          </cell>
          <cell r="I1519">
            <v>0</v>
          </cell>
          <cell r="J1519">
            <v>1323.28</v>
          </cell>
          <cell r="K1519">
            <v>-6.41</v>
          </cell>
        </row>
        <row r="1520">
          <cell r="A1520" t="str">
            <v>LU1882439323</v>
          </cell>
          <cell r="B1520" t="str">
            <v>AMUNDI FUNDS ABSOLUTE RETURN MULTI-STRATEGY</v>
          </cell>
          <cell r="C1520" t="str">
            <v>Class A EUR (C)</v>
          </cell>
          <cell r="D1520" t="str">
            <v>EUR</v>
          </cell>
          <cell r="E1520">
            <v>45747</v>
          </cell>
          <cell r="F1520">
            <v>37198915.789999999</v>
          </cell>
          <cell r="G1520">
            <v>607043.67200000002</v>
          </cell>
          <cell r="H1520">
            <v>61.28</v>
          </cell>
          <cell r="I1520">
            <v>0</v>
          </cell>
          <cell r="J1520">
            <v>64.040000000000006</v>
          </cell>
          <cell r="K1520">
            <v>-0.24</v>
          </cell>
        </row>
        <row r="1521">
          <cell r="A1521" t="str">
            <v>LU2070310201</v>
          </cell>
          <cell r="B1521" t="str">
            <v>AMUNDI FUNDS ABSOLUTE RETURN MULTI-STRATEGY</v>
          </cell>
          <cell r="C1521" t="str">
            <v>Class A2 EUR (C)</v>
          </cell>
          <cell r="D1521" t="str">
            <v>EUR</v>
          </cell>
          <cell r="E1521">
            <v>45747</v>
          </cell>
          <cell r="F1521">
            <v>5108.08</v>
          </cell>
          <cell r="G1521">
            <v>100</v>
          </cell>
          <cell r="H1521">
            <v>51.08</v>
          </cell>
          <cell r="I1521">
            <v>0</v>
          </cell>
          <cell r="J1521">
            <v>53.38</v>
          </cell>
          <cell r="K1521">
            <v>-0.21</v>
          </cell>
        </row>
        <row r="1522">
          <cell r="A1522" t="str">
            <v>LU2032054905</v>
          </cell>
          <cell r="B1522" t="str">
            <v>AMUNDI FUNDS ABSOLUTE RETURN MULTI-STRATEGY</v>
          </cell>
          <cell r="C1522" t="str">
            <v>Class A5 EUR (C)</v>
          </cell>
          <cell r="D1522" t="str">
            <v>EUR</v>
          </cell>
          <cell r="E1522">
            <v>45747</v>
          </cell>
          <cell r="F1522">
            <v>364826.49</v>
          </cell>
          <cell r="G1522">
            <v>7118.2839999999997</v>
          </cell>
          <cell r="H1522">
            <v>51.25</v>
          </cell>
          <cell r="I1522">
            <v>0</v>
          </cell>
          <cell r="J1522">
            <v>51.25</v>
          </cell>
          <cell r="K1522">
            <v>-0.21</v>
          </cell>
        </row>
        <row r="1523">
          <cell r="A1523" t="str">
            <v>LU1882439679</v>
          </cell>
          <cell r="B1523" t="str">
            <v>AMUNDI FUNDS ABSOLUTE RETURN MULTI-STRATEGY</v>
          </cell>
          <cell r="C1523" t="str">
            <v>Class A USD Hgd (C)</v>
          </cell>
          <cell r="D1523" t="str">
            <v>USD</v>
          </cell>
          <cell r="E1523">
            <v>45747</v>
          </cell>
          <cell r="F1523">
            <v>361066.81</v>
          </cell>
          <cell r="G1523">
            <v>6116.5050000000001</v>
          </cell>
          <cell r="H1523">
            <v>59.03</v>
          </cell>
          <cell r="I1523">
            <v>0</v>
          </cell>
          <cell r="J1523">
            <v>61.69</v>
          </cell>
          <cell r="K1523">
            <v>-0.23</v>
          </cell>
        </row>
        <row r="1524">
          <cell r="A1524" t="str">
            <v>LU1882439240</v>
          </cell>
          <cell r="B1524" t="str">
            <v>AMUNDI FUNDS ABSOLUTE RETURN MULTI-STRATEGY</v>
          </cell>
          <cell r="C1524" t="str">
            <v>Class A CZK Hgd (C)</v>
          </cell>
          <cell r="D1524" t="str">
            <v>CZK</v>
          </cell>
          <cell r="E1524">
            <v>45747</v>
          </cell>
          <cell r="F1524">
            <v>574672219.5</v>
          </cell>
          <cell r="G1524">
            <v>492000.01299999998</v>
          </cell>
          <cell r="H1524">
            <v>1168.03</v>
          </cell>
          <cell r="I1524">
            <v>0</v>
          </cell>
          <cell r="J1524">
            <v>1214.75</v>
          </cell>
          <cell r="K1524">
            <v>-4.6500000000000004</v>
          </cell>
        </row>
        <row r="1525">
          <cell r="A1525" t="str">
            <v>LU1882441147</v>
          </cell>
          <cell r="B1525" t="str">
            <v>AMUNDI FUNDS ABSOLUTE RETURN MULTI-STRATEGY</v>
          </cell>
          <cell r="C1525" t="str">
            <v>Class M2 EUR (C)</v>
          </cell>
          <cell r="D1525" t="str">
            <v>EUR</v>
          </cell>
          <cell r="E1525">
            <v>45747</v>
          </cell>
          <cell r="F1525">
            <v>123065769.68000001</v>
          </cell>
          <cell r="G1525">
            <v>85090.592999999993</v>
          </cell>
          <cell r="H1525">
            <v>1446.29</v>
          </cell>
          <cell r="I1525">
            <v>0</v>
          </cell>
          <cell r="J1525">
            <v>1446.29</v>
          </cell>
          <cell r="K1525">
            <v>-5.68</v>
          </cell>
        </row>
        <row r="1526">
          <cell r="A1526" t="str">
            <v>LU1882439752</v>
          </cell>
          <cell r="B1526" t="str">
            <v>AMUNDI FUNDS ABSOLUTE RETURN MULTI-STRATEGY</v>
          </cell>
          <cell r="C1526" t="str">
            <v>Class C EUR (C)</v>
          </cell>
          <cell r="D1526" t="str">
            <v>EUR</v>
          </cell>
          <cell r="E1526">
            <v>45747</v>
          </cell>
          <cell r="F1526">
            <v>64832.32</v>
          </cell>
          <cell r="G1526">
            <v>1391.288</v>
          </cell>
          <cell r="H1526">
            <v>46.6</v>
          </cell>
          <cell r="I1526">
            <v>0</v>
          </cell>
          <cell r="J1526">
            <v>46.6</v>
          </cell>
          <cell r="K1526">
            <v>-0.19</v>
          </cell>
        </row>
        <row r="1527">
          <cell r="A1527" t="str">
            <v>LU1882439919</v>
          </cell>
          <cell r="B1527" t="str">
            <v>AMUNDI FUNDS ABSOLUTE RETURN MULTI-STRATEGY</v>
          </cell>
          <cell r="C1527" t="str">
            <v>Class C USD Hgd (C)</v>
          </cell>
          <cell r="D1527" t="str">
            <v>USD</v>
          </cell>
          <cell r="E1527">
            <v>45747</v>
          </cell>
          <cell r="F1527">
            <v>91051.82</v>
          </cell>
          <cell r="G1527">
            <v>1683.8520000000001</v>
          </cell>
          <cell r="H1527">
            <v>54.07</v>
          </cell>
          <cell r="I1527">
            <v>0</v>
          </cell>
          <cell r="J1527">
            <v>54.07</v>
          </cell>
          <cell r="K1527">
            <v>-0.22</v>
          </cell>
        </row>
        <row r="1528">
          <cell r="A1528" t="str">
            <v>LU1882440099</v>
          </cell>
          <cell r="B1528" t="str">
            <v>AMUNDI FUNDS ABSOLUTE RETURN MULTI-STRATEGY</v>
          </cell>
          <cell r="C1528" t="str">
            <v>Class E2 EUR (C)</v>
          </cell>
          <cell r="D1528" t="str">
            <v>EUR</v>
          </cell>
          <cell r="E1528">
            <v>45747</v>
          </cell>
          <cell r="F1528">
            <v>152422179.94999999</v>
          </cell>
          <cell r="G1528">
            <v>23924511.660999998</v>
          </cell>
          <cell r="H1528">
            <v>6.3710000000000004</v>
          </cell>
          <cell r="I1528">
            <v>0</v>
          </cell>
          <cell r="J1528">
            <v>6.3710000000000004</v>
          </cell>
          <cell r="K1528">
            <v>-2.5000000000000001E-2</v>
          </cell>
        </row>
        <row r="1529">
          <cell r="A1529" t="str">
            <v>LU1882440255</v>
          </cell>
          <cell r="B1529" t="str">
            <v>AMUNDI FUNDS ABSOLUTE RETURN MULTI-STRATEGY</v>
          </cell>
          <cell r="C1529" t="str">
            <v>Class F EUR (C)</v>
          </cell>
          <cell r="D1529" t="str">
            <v>EUR</v>
          </cell>
          <cell r="E1529">
            <v>45747</v>
          </cell>
          <cell r="F1529">
            <v>8634275.3100000005</v>
          </cell>
          <cell r="G1529">
            <v>1638934.798</v>
          </cell>
          <cell r="H1529">
            <v>5.2679999999999998</v>
          </cell>
          <cell r="I1529">
            <v>0</v>
          </cell>
          <cell r="J1529">
            <v>5.2679999999999998</v>
          </cell>
          <cell r="K1529">
            <v>-2.1000000000000001E-2</v>
          </cell>
        </row>
        <row r="1530">
          <cell r="A1530" t="str">
            <v>LU1998913914</v>
          </cell>
          <cell r="B1530" t="str">
            <v>AMUNDI FUNDS ABSOLUTE RETURN MULTI-STRATEGY</v>
          </cell>
          <cell r="C1530" t="str">
            <v>Class H EUR (C)</v>
          </cell>
          <cell r="D1530" t="str">
            <v>EUR</v>
          </cell>
          <cell r="E1530">
            <v>45747</v>
          </cell>
          <cell r="F1530">
            <v>512796.32</v>
          </cell>
          <cell r="G1530">
            <v>500</v>
          </cell>
          <cell r="H1530">
            <v>1025.5899999999999</v>
          </cell>
          <cell r="I1530">
            <v>0</v>
          </cell>
          <cell r="J1530">
            <v>1025.5899999999999</v>
          </cell>
          <cell r="K1530">
            <v>-4</v>
          </cell>
        </row>
        <row r="1531">
          <cell r="A1531" t="str">
            <v>LU2047618173</v>
          </cell>
          <cell r="B1531" t="str">
            <v>AMUNDI FUNDS ABSOLUTE RETURN MULTI-STRATEGY</v>
          </cell>
          <cell r="C1531" t="str">
            <v>Class I2 GBP Hgd (C)</v>
          </cell>
          <cell r="D1531" t="str">
            <v>GBP</v>
          </cell>
          <cell r="E1531">
            <v>45747</v>
          </cell>
          <cell r="F1531">
            <v>113549.15</v>
          </cell>
          <cell r="G1531">
            <v>100</v>
          </cell>
          <cell r="H1531">
            <v>1135.49</v>
          </cell>
          <cell r="I1531">
            <v>0</v>
          </cell>
          <cell r="J1531">
            <v>1135.49</v>
          </cell>
          <cell r="K1531">
            <v>-4.42</v>
          </cell>
        </row>
        <row r="1532">
          <cell r="A1532" t="str">
            <v>LU1897298045</v>
          </cell>
          <cell r="B1532" t="str">
            <v>AMUNDI FUNDS ABSOLUTE RETURN MULTI-STRATEGY</v>
          </cell>
          <cell r="C1532" t="str">
            <v>Class I2 GBP (C)</v>
          </cell>
          <cell r="D1532" t="str">
            <v>GBP</v>
          </cell>
          <cell r="E1532">
            <v>45747</v>
          </cell>
          <cell r="F1532">
            <v>4959.5200000000004</v>
          </cell>
          <cell r="G1532">
            <v>5</v>
          </cell>
          <cell r="H1532">
            <v>991.9</v>
          </cell>
          <cell r="I1532">
            <v>0</v>
          </cell>
          <cell r="J1532">
            <v>991.9</v>
          </cell>
          <cell r="K1532">
            <v>-3.26</v>
          </cell>
        </row>
        <row r="1533">
          <cell r="A1533" t="str">
            <v>LU1894676565</v>
          </cell>
          <cell r="B1533" t="str">
            <v>AMUNDI FUNDS ABSOLUTE RETURN MULTI-STRATEGY</v>
          </cell>
          <cell r="C1533" t="str">
            <v>Class Q-I22 EUR QTD (D)</v>
          </cell>
          <cell r="D1533" t="str">
            <v>EUR</v>
          </cell>
          <cell r="E1533">
            <v>45747</v>
          </cell>
          <cell r="F1533">
            <v>98165018.609999999</v>
          </cell>
          <cell r="G1533">
            <v>90375.290999999997</v>
          </cell>
          <cell r="H1533">
            <v>1086.19</v>
          </cell>
          <cell r="I1533">
            <v>0</v>
          </cell>
          <cell r="J1533">
            <v>1086.19</v>
          </cell>
          <cell r="K1533">
            <v>-4.26</v>
          </cell>
        </row>
        <row r="1534">
          <cell r="A1534" t="str">
            <v>LU1882440685</v>
          </cell>
          <cell r="B1534" t="str">
            <v>AMUNDI FUNDS ABSOLUTE RETURN MULTI-STRATEGY</v>
          </cell>
          <cell r="C1534" t="str">
            <v>Class I2 EUR (C)</v>
          </cell>
          <cell r="D1534" t="str">
            <v>EUR</v>
          </cell>
          <cell r="E1534">
            <v>45747</v>
          </cell>
          <cell r="F1534">
            <v>35889109.590000004</v>
          </cell>
          <cell r="G1534">
            <v>32517.286</v>
          </cell>
          <cell r="H1534">
            <v>1103.69</v>
          </cell>
          <cell r="I1534">
            <v>0</v>
          </cell>
          <cell r="J1534">
            <v>1103.69</v>
          </cell>
          <cell r="K1534">
            <v>-4.3499999999999996</v>
          </cell>
        </row>
        <row r="1535">
          <cell r="A1535" t="str">
            <v>LU2052286833</v>
          </cell>
          <cell r="B1535" t="str">
            <v>AMUNDI FUNDS ABSOLUTE RETURN MULTI-STRATEGY</v>
          </cell>
          <cell r="C1535" t="str">
            <v>Class J3 GBP (C)</v>
          </cell>
          <cell r="D1535" t="str">
            <v>GBP</v>
          </cell>
          <cell r="E1535">
            <v>45747</v>
          </cell>
          <cell r="F1535">
            <v>5087.9399999999996</v>
          </cell>
          <cell r="G1535">
            <v>5</v>
          </cell>
          <cell r="H1535">
            <v>1017.59</v>
          </cell>
          <cell r="I1535">
            <v>0</v>
          </cell>
          <cell r="J1535">
            <v>1017.59</v>
          </cell>
          <cell r="K1535">
            <v>-3.32</v>
          </cell>
        </row>
        <row r="1536">
          <cell r="A1536" t="str">
            <v>LU1882440925</v>
          </cell>
          <cell r="B1536" t="str">
            <v>AMUNDI FUNDS ABSOLUTE RETURN MULTI-STRATEGY</v>
          </cell>
          <cell r="C1536" t="str">
            <v>Class J EUR (C)</v>
          </cell>
          <cell r="D1536" t="str">
            <v>EUR</v>
          </cell>
          <cell r="E1536">
            <v>45747</v>
          </cell>
          <cell r="F1536">
            <v>53118714.039999999</v>
          </cell>
          <cell r="G1536">
            <v>51146.161999999997</v>
          </cell>
          <cell r="H1536">
            <v>1038.57</v>
          </cell>
          <cell r="I1536">
            <v>0</v>
          </cell>
          <cell r="J1536">
            <v>1038.57</v>
          </cell>
          <cell r="K1536">
            <v>-4.07</v>
          </cell>
        </row>
        <row r="1537">
          <cell r="A1537" t="str">
            <v>LU2713448723</v>
          </cell>
          <cell r="B1537" t="str">
            <v>AMUNDI FUNDS ABSOLUTE RETURN MULTI-STRATEGY</v>
          </cell>
          <cell r="C1537" t="str">
            <v>Class J6 JPY Hgd (C)</v>
          </cell>
          <cell r="D1537" t="str">
            <v>JPY</v>
          </cell>
          <cell r="E1537">
            <v>45747</v>
          </cell>
          <cell r="F1537">
            <v>8086946887</v>
          </cell>
          <cell r="G1537">
            <v>80626.337</v>
          </cell>
          <cell r="H1537">
            <v>100302</v>
          </cell>
          <cell r="I1537">
            <v>0</v>
          </cell>
          <cell r="J1537">
            <v>100302</v>
          </cell>
          <cell r="K1537">
            <v>-392</v>
          </cell>
        </row>
        <row r="1538">
          <cell r="A1538" t="str">
            <v>LU1882440339</v>
          </cell>
          <cell r="B1538" t="str">
            <v>AMUNDI FUNDS ABSOLUTE RETURN MULTI-STRATEGY</v>
          </cell>
          <cell r="C1538" t="str">
            <v>Class G EUR (C)</v>
          </cell>
          <cell r="D1538" t="str">
            <v>EUR</v>
          </cell>
          <cell r="E1538">
            <v>45747</v>
          </cell>
          <cell r="F1538">
            <v>7773824.4199999999</v>
          </cell>
          <cell r="G1538">
            <v>1601154.547</v>
          </cell>
          <cell r="H1538">
            <v>4.8550000000000004</v>
          </cell>
          <cell r="I1538">
            <v>0</v>
          </cell>
          <cell r="J1538">
            <v>4.8550000000000004</v>
          </cell>
          <cell r="K1538">
            <v>-0.02</v>
          </cell>
        </row>
        <row r="1539">
          <cell r="A1539" t="str">
            <v>LU2259108392</v>
          </cell>
          <cell r="B1539" t="str">
            <v>AMUNDI FUNDS ABSOLUTE RETURN MULTI-STRATEGY</v>
          </cell>
          <cell r="C1539" t="str">
            <v>Class R3 GBP (C)</v>
          </cell>
          <cell r="D1539" t="str">
            <v>GBP</v>
          </cell>
          <cell r="E1539">
            <v>45747</v>
          </cell>
          <cell r="F1539">
            <v>4598.97</v>
          </cell>
          <cell r="G1539">
            <v>500</v>
          </cell>
          <cell r="H1539">
            <v>9.1999999999999993</v>
          </cell>
          <cell r="I1539">
            <v>0</v>
          </cell>
          <cell r="J1539">
            <v>9.1999999999999993</v>
          </cell>
          <cell r="K1539">
            <v>-0.03</v>
          </cell>
        </row>
        <row r="1540">
          <cell r="A1540" t="str">
            <v>LU1882441220</v>
          </cell>
          <cell r="B1540" t="str">
            <v>AMUNDI FUNDS ABSOLUTE RETURN MULTI-STRATEGY</v>
          </cell>
          <cell r="C1540" t="str">
            <v>Class R EUR (C)</v>
          </cell>
          <cell r="D1540" t="str">
            <v>EUR</v>
          </cell>
          <cell r="E1540">
            <v>45747</v>
          </cell>
          <cell r="F1540">
            <v>811400.75</v>
          </cell>
          <cell r="G1540">
            <v>15779.178</v>
          </cell>
          <cell r="H1540">
            <v>51.42</v>
          </cell>
          <cell r="I1540">
            <v>0</v>
          </cell>
          <cell r="J1540">
            <v>51.42</v>
          </cell>
          <cell r="K1540">
            <v>-0.21</v>
          </cell>
        </row>
        <row r="1541">
          <cell r="A1541" t="str">
            <v>LU1882441576</v>
          </cell>
          <cell r="B1541" t="str">
            <v>AMUNDI FUNDS ABSOLUTE RETURN MULTI-STRATEGY</v>
          </cell>
          <cell r="C1541" t="str">
            <v>Class R GBP Hgd (C)</v>
          </cell>
          <cell r="D1541" t="str">
            <v>GBP</v>
          </cell>
          <cell r="E1541">
            <v>45747</v>
          </cell>
          <cell r="F1541">
            <v>95977.3</v>
          </cell>
          <cell r="G1541">
            <v>1708.4639999999999</v>
          </cell>
          <cell r="H1541">
            <v>56.18</v>
          </cell>
          <cell r="I1541">
            <v>0</v>
          </cell>
          <cell r="J1541">
            <v>56.18</v>
          </cell>
          <cell r="K1541">
            <v>-0.22</v>
          </cell>
        </row>
        <row r="1542">
          <cell r="A1542" t="str">
            <v>LU1882441659</v>
          </cell>
          <cell r="B1542" t="str">
            <v>AMUNDI FUNDS ABSOLUTE RETURN MULTI-STRATEGY</v>
          </cell>
          <cell r="C1542" t="str">
            <v>Class R USD Hgd (C)</v>
          </cell>
          <cell r="D1542" t="str">
            <v>USD</v>
          </cell>
          <cell r="E1542">
            <v>45747</v>
          </cell>
          <cell r="F1542">
            <v>631555.77</v>
          </cell>
          <cell r="G1542">
            <v>10750.334999999999</v>
          </cell>
          <cell r="H1542">
            <v>58.75</v>
          </cell>
          <cell r="I1542">
            <v>0</v>
          </cell>
          <cell r="J1542">
            <v>58.75</v>
          </cell>
          <cell r="K1542">
            <v>-0.23</v>
          </cell>
        </row>
        <row r="1543">
          <cell r="A1543" t="str">
            <v>LU1894676649</v>
          </cell>
          <cell r="B1543" t="str">
            <v>AMUNDI FUNDS ABSOLUTE RETURN MULTI-STRATEGY</v>
          </cell>
          <cell r="C1543" t="str">
            <v>Class X EUR (C)</v>
          </cell>
          <cell r="D1543" t="str">
            <v>EUR</v>
          </cell>
          <cell r="E1543">
            <v>45747</v>
          </cell>
          <cell r="F1543">
            <v>1142.9000000000001</v>
          </cell>
          <cell r="G1543">
            <v>1</v>
          </cell>
          <cell r="H1543">
            <v>1142.9000000000001</v>
          </cell>
          <cell r="I1543">
            <v>0</v>
          </cell>
          <cell r="J1543">
            <v>1142.9000000000001</v>
          </cell>
          <cell r="K1543">
            <v>-4.43</v>
          </cell>
        </row>
        <row r="1544">
          <cell r="A1544" t="str">
            <v>LU1882440503</v>
          </cell>
          <cell r="B1544" t="str">
            <v>AMUNDI FUNDS ABSOLUTE RETURN MULTI-STRATEGY</v>
          </cell>
          <cell r="C1544" t="str">
            <v>Class I EUR (C)</v>
          </cell>
          <cell r="D1544" t="str">
            <v>EUR</v>
          </cell>
          <cell r="E1544">
            <v>45747</v>
          </cell>
          <cell r="F1544">
            <v>146141495.27000001</v>
          </cell>
          <cell r="G1544">
            <v>100592.74</v>
          </cell>
          <cell r="H1544">
            <v>1452.8</v>
          </cell>
          <cell r="I1544">
            <v>0</v>
          </cell>
          <cell r="J1544">
            <v>1452.8</v>
          </cell>
          <cell r="K1544">
            <v>-5.71</v>
          </cell>
        </row>
        <row r="1545">
          <cell r="A1545" t="str">
            <v>LU1894676482</v>
          </cell>
          <cell r="B1545" t="str">
            <v>AMUNDI FUNDS ABSOLUTE RETURN MULTI-STRATEGY</v>
          </cell>
          <cell r="C1545" t="str">
            <v>Class I GBP Hgd (C)</v>
          </cell>
          <cell r="D1545" t="str">
            <v>GBP</v>
          </cell>
          <cell r="E1545">
            <v>45747</v>
          </cell>
          <cell r="F1545">
            <v>111642.54</v>
          </cell>
          <cell r="G1545">
            <v>99.998999999999995</v>
          </cell>
          <cell r="H1545">
            <v>1116.44</v>
          </cell>
          <cell r="I1545">
            <v>0</v>
          </cell>
          <cell r="J1545">
            <v>1116.44</v>
          </cell>
          <cell r="K1545">
            <v>-4.33</v>
          </cell>
        </row>
        <row r="1546">
          <cell r="A1546" t="str">
            <v>LU1894676300</v>
          </cell>
          <cell r="B1546" t="str">
            <v>AMUNDI FUNDS ABSOLUTE RETURN MULTI-STRATEGY</v>
          </cell>
          <cell r="C1546" t="str">
            <v>Class I GBP (C)</v>
          </cell>
          <cell r="D1546" t="str">
            <v>GBP</v>
          </cell>
          <cell r="E1546">
            <v>45747</v>
          </cell>
          <cell r="F1546">
            <v>5187.05</v>
          </cell>
          <cell r="G1546">
            <v>4.2649999999999997</v>
          </cell>
          <cell r="H1546">
            <v>1216.19</v>
          </cell>
          <cell r="I1546">
            <v>0</v>
          </cell>
          <cell r="J1546">
            <v>1216.19</v>
          </cell>
          <cell r="K1546">
            <v>-3.97</v>
          </cell>
        </row>
        <row r="1547">
          <cell r="A1547" t="str">
            <v>LU1894683348</v>
          </cell>
          <cell r="B1547" t="str">
            <v>AMUNDI FUNDS US EQUITY RESEARCH VALUE</v>
          </cell>
          <cell r="C1547" t="str">
            <v>Class A2 USD AD (D)</v>
          </cell>
          <cell r="D1547" t="str">
            <v>USD</v>
          </cell>
          <cell r="E1547">
            <v>45747</v>
          </cell>
          <cell r="F1547">
            <v>7676.84</v>
          </cell>
          <cell r="G1547">
            <v>100</v>
          </cell>
          <cell r="H1547">
            <v>76.77</v>
          </cell>
          <cell r="I1547">
            <v>0</v>
          </cell>
          <cell r="J1547">
            <v>76.77</v>
          </cell>
          <cell r="K1547">
            <v>0.68</v>
          </cell>
        </row>
        <row r="1548">
          <cell r="A1548" t="str">
            <v>LU1894682886</v>
          </cell>
          <cell r="B1548" t="str">
            <v>AMUNDI FUNDS US EQUITY RESEARCH VALUE</v>
          </cell>
          <cell r="C1548" t="str">
            <v>Class A EUR AD (D)</v>
          </cell>
          <cell r="D1548" t="str">
            <v>EUR</v>
          </cell>
          <cell r="E1548">
            <v>45747</v>
          </cell>
          <cell r="F1548">
            <v>3795465.95</v>
          </cell>
          <cell r="G1548">
            <v>47853.360999999997</v>
          </cell>
          <cell r="H1548">
            <v>79.31</v>
          </cell>
          <cell r="I1548">
            <v>0</v>
          </cell>
          <cell r="J1548">
            <v>82.88</v>
          </cell>
          <cell r="K1548">
            <v>0.85</v>
          </cell>
        </row>
        <row r="1549">
          <cell r="A1549" t="str">
            <v>LU1894682704</v>
          </cell>
          <cell r="B1549" t="str">
            <v>AMUNDI FUNDS US EQUITY RESEARCH VALUE</v>
          </cell>
          <cell r="C1549" t="str">
            <v>Class A EUR (C)</v>
          </cell>
          <cell r="D1549" t="str">
            <v>EUR</v>
          </cell>
          <cell r="E1549">
            <v>45747</v>
          </cell>
          <cell r="F1549">
            <v>377697172.85000002</v>
          </cell>
          <cell r="G1549">
            <v>1486043.2879999999</v>
          </cell>
          <cell r="H1549">
            <v>254.16</v>
          </cell>
          <cell r="I1549">
            <v>0</v>
          </cell>
          <cell r="J1549">
            <v>265.60000000000002</v>
          </cell>
          <cell r="K1549">
            <v>2.74</v>
          </cell>
        </row>
        <row r="1550">
          <cell r="A1550" t="str">
            <v>LU1894683264</v>
          </cell>
          <cell r="B1550" t="str">
            <v>AMUNDI FUNDS US EQUITY RESEARCH VALUE</v>
          </cell>
          <cell r="C1550" t="str">
            <v>Class A2 USD (C)</v>
          </cell>
          <cell r="D1550" t="str">
            <v>USD</v>
          </cell>
          <cell r="E1550">
            <v>45747</v>
          </cell>
          <cell r="F1550">
            <v>29641.72</v>
          </cell>
          <cell r="G1550">
            <v>384.31900000000002</v>
          </cell>
          <cell r="H1550">
            <v>77.13</v>
          </cell>
          <cell r="I1550">
            <v>0</v>
          </cell>
          <cell r="J1550">
            <v>77.13</v>
          </cell>
          <cell r="K1550">
            <v>0.68</v>
          </cell>
        </row>
        <row r="1551">
          <cell r="A1551" t="str">
            <v>LU1894683181</v>
          </cell>
          <cell r="B1551" t="str">
            <v>AMUNDI FUNDS US EQUITY RESEARCH VALUE</v>
          </cell>
          <cell r="C1551" t="str">
            <v>Class A USD AD (D)</v>
          </cell>
          <cell r="D1551" t="str">
            <v>USD</v>
          </cell>
          <cell r="E1551">
            <v>45747</v>
          </cell>
          <cell r="F1551">
            <v>1613919.43</v>
          </cell>
          <cell r="G1551">
            <v>21235.704000000002</v>
          </cell>
          <cell r="H1551">
            <v>76</v>
          </cell>
          <cell r="I1551">
            <v>0</v>
          </cell>
          <cell r="J1551">
            <v>79.42</v>
          </cell>
          <cell r="K1551">
            <v>0.67</v>
          </cell>
        </row>
        <row r="1552">
          <cell r="A1552" t="str">
            <v>LU1894682969</v>
          </cell>
          <cell r="B1552" t="str">
            <v>AMUNDI FUNDS US EQUITY RESEARCH VALUE</v>
          </cell>
          <cell r="C1552" t="str">
            <v>Class A EUR Hgd (C)</v>
          </cell>
          <cell r="D1552" t="str">
            <v>EUR</v>
          </cell>
          <cell r="E1552">
            <v>45747</v>
          </cell>
          <cell r="F1552">
            <v>34459939.82</v>
          </cell>
          <cell r="G1552">
            <v>507465.20699999999</v>
          </cell>
          <cell r="H1552">
            <v>67.91</v>
          </cell>
          <cell r="I1552">
            <v>0</v>
          </cell>
          <cell r="J1552">
            <v>70.97</v>
          </cell>
          <cell r="K1552">
            <v>0.6</v>
          </cell>
        </row>
        <row r="1553">
          <cell r="A1553" t="str">
            <v>LU1894682613</v>
          </cell>
          <cell r="B1553" t="str">
            <v>AMUNDI FUNDS US EQUITY RESEARCH VALUE</v>
          </cell>
          <cell r="C1553" t="str">
            <v>Class A CZK Hgd (C)</v>
          </cell>
          <cell r="D1553" t="str">
            <v>CZK</v>
          </cell>
          <cell r="E1553">
            <v>45747</v>
          </cell>
          <cell r="F1553">
            <v>446832050.93000001</v>
          </cell>
          <cell r="G1553">
            <v>293595.14399999997</v>
          </cell>
          <cell r="H1553">
            <v>1521.93</v>
          </cell>
          <cell r="I1553">
            <v>0</v>
          </cell>
          <cell r="J1553">
            <v>1590.42</v>
          </cell>
          <cell r="K1553">
            <v>13.46</v>
          </cell>
        </row>
        <row r="1554">
          <cell r="A1554" t="str">
            <v>LU1894683009</v>
          </cell>
          <cell r="B1554" t="str">
            <v>AMUNDI FUNDS US EQUITY RESEARCH VALUE</v>
          </cell>
          <cell r="C1554" t="str">
            <v>Class A USD (C)</v>
          </cell>
          <cell r="D1554" t="str">
            <v>USD</v>
          </cell>
          <cell r="E1554">
            <v>45747</v>
          </cell>
          <cell r="F1554">
            <v>79881085.219999999</v>
          </cell>
          <cell r="G1554">
            <v>289942.12900000002</v>
          </cell>
          <cell r="H1554">
            <v>275.51</v>
          </cell>
          <cell r="I1554">
            <v>0</v>
          </cell>
          <cell r="J1554">
            <v>287.91000000000003</v>
          </cell>
          <cell r="K1554">
            <v>2.44</v>
          </cell>
        </row>
        <row r="1555">
          <cell r="A1555" t="str">
            <v>LU1894685558</v>
          </cell>
          <cell r="B1555" t="str">
            <v>AMUNDI FUNDS US EQUITY RESEARCH VALUE</v>
          </cell>
          <cell r="C1555" t="str">
            <v>Class M2 EUR (C)</v>
          </cell>
          <cell r="D1555" t="str">
            <v>EUR</v>
          </cell>
          <cell r="E1555">
            <v>45747</v>
          </cell>
          <cell r="F1555">
            <v>78045340.840000004</v>
          </cell>
          <cell r="G1555">
            <v>45456.347999999998</v>
          </cell>
          <cell r="H1555">
            <v>1716.93</v>
          </cell>
          <cell r="I1555">
            <v>0</v>
          </cell>
          <cell r="J1555">
            <v>1716.93</v>
          </cell>
          <cell r="K1555">
            <v>18.64</v>
          </cell>
        </row>
        <row r="1556">
          <cell r="A1556" t="str">
            <v>LU1894683694</v>
          </cell>
          <cell r="B1556" t="str">
            <v>AMUNDI FUNDS US EQUITY RESEARCH VALUE</v>
          </cell>
          <cell r="C1556" t="str">
            <v>Class C EUR (C)</v>
          </cell>
          <cell r="D1556" t="str">
            <v>EUR</v>
          </cell>
          <cell r="E1556">
            <v>45747</v>
          </cell>
          <cell r="F1556">
            <v>406949.26</v>
          </cell>
          <cell r="G1556">
            <v>1841.1489999999999</v>
          </cell>
          <cell r="H1556">
            <v>221.03</v>
          </cell>
          <cell r="I1556">
            <v>0</v>
          </cell>
          <cell r="J1556">
            <v>221.03</v>
          </cell>
          <cell r="K1556">
            <v>2.36</v>
          </cell>
        </row>
        <row r="1557">
          <cell r="A1557" t="str">
            <v>LU1894683777</v>
          </cell>
          <cell r="B1557" t="str">
            <v>AMUNDI FUNDS US EQUITY RESEARCH VALUE</v>
          </cell>
          <cell r="C1557" t="str">
            <v>Class C USD (C)</v>
          </cell>
          <cell r="D1557" t="str">
            <v>USD</v>
          </cell>
          <cell r="E1557">
            <v>45747</v>
          </cell>
          <cell r="F1557">
            <v>7894603</v>
          </cell>
          <cell r="G1557">
            <v>33066.341999999997</v>
          </cell>
          <cell r="H1557">
            <v>238.75</v>
          </cell>
          <cell r="I1557">
            <v>0</v>
          </cell>
          <cell r="J1557">
            <v>238.75</v>
          </cell>
          <cell r="K1557">
            <v>2.09</v>
          </cell>
        </row>
        <row r="1558">
          <cell r="A1558" t="str">
            <v>LU1894683850</v>
          </cell>
          <cell r="B1558" t="str">
            <v>AMUNDI FUNDS US EQUITY RESEARCH VALUE</v>
          </cell>
          <cell r="C1558" t="str">
            <v>Class E2 EUR (C)</v>
          </cell>
          <cell r="D1558" t="str">
            <v>EUR</v>
          </cell>
          <cell r="E1558">
            <v>45747</v>
          </cell>
          <cell r="F1558">
            <v>35790449.229999997</v>
          </cell>
          <cell r="G1558">
            <v>1600971.0530000001</v>
          </cell>
          <cell r="H1558">
            <v>22.355</v>
          </cell>
          <cell r="I1558">
            <v>0</v>
          </cell>
          <cell r="J1558">
            <v>22.355</v>
          </cell>
          <cell r="K1558">
            <v>0.24</v>
          </cell>
        </row>
        <row r="1559">
          <cell r="A1559" t="str">
            <v>LU1894683934</v>
          </cell>
          <cell r="B1559" t="str">
            <v>AMUNDI FUNDS US EQUITY RESEARCH VALUE</v>
          </cell>
          <cell r="C1559" t="str">
            <v>Class E2 EUR Hgd (C)</v>
          </cell>
          <cell r="D1559" t="str">
            <v>EUR</v>
          </cell>
          <cell r="E1559">
            <v>45747</v>
          </cell>
          <cell r="F1559">
            <v>2482166.69</v>
          </cell>
          <cell r="G1559">
            <v>361534.93800000002</v>
          </cell>
          <cell r="H1559">
            <v>6.8659999999999997</v>
          </cell>
          <cell r="I1559">
            <v>0</v>
          </cell>
          <cell r="J1559">
            <v>6.8659999999999997</v>
          </cell>
          <cell r="K1559">
            <v>6.0999999999999999E-2</v>
          </cell>
        </row>
        <row r="1560">
          <cell r="A1560" t="str">
            <v>LU1894684072</v>
          </cell>
          <cell r="B1560" t="str">
            <v>AMUNDI FUNDS US EQUITY RESEARCH VALUE</v>
          </cell>
          <cell r="C1560" t="str">
            <v>Class F EUR (C)</v>
          </cell>
          <cell r="D1560" t="str">
            <v>EUR</v>
          </cell>
          <cell r="E1560">
            <v>45747</v>
          </cell>
          <cell r="F1560">
            <v>3895717.95</v>
          </cell>
          <cell r="G1560">
            <v>170857.101</v>
          </cell>
          <cell r="H1560">
            <v>22.800999999999998</v>
          </cell>
          <cell r="I1560">
            <v>0</v>
          </cell>
          <cell r="J1560">
            <v>22.800999999999998</v>
          </cell>
          <cell r="K1560">
            <v>0.245</v>
          </cell>
        </row>
        <row r="1561">
          <cell r="A1561" t="str">
            <v>LU1894684239</v>
          </cell>
          <cell r="B1561" t="str">
            <v>AMUNDI FUNDS US EQUITY RESEARCH VALUE</v>
          </cell>
          <cell r="C1561" t="str">
            <v>Class F2 USD (C)</v>
          </cell>
          <cell r="D1561" t="str">
            <v>USD</v>
          </cell>
          <cell r="E1561">
            <v>45747</v>
          </cell>
          <cell r="F1561">
            <v>823474.87</v>
          </cell>
          <cell r="G1561">
            <v>111759.126</v>
          </cell>
          <cell r="H1561">
            <v>7.3680000000000003</v>
          </cell>
          <cell r="I1561">
            <v>0</v>
          </cell>
          <cell r="J1561">
            <v>7.3680000000000003</v>
          </cell>
          <cell r="K1561">
            <v>6.4000000000000001E-2</v>
          </cell>
        </row>
        <row r="1562">
          <cell r="A1562" t="str">
            <v>LU1894684155</v>
          </cell>
          <cell r="B1562" t="str">
            <v>AMUNDI FUNDS US EQUITY RESEARCH VALUE</v>
          </cell>
          <cell r="C1562" t="str">
            <v>Class F2 EUR Hgd (C)</v>
          </cell>
          <cell r="D1562" t="str">
            <v>EUR</v>
          </cell>
          <cell r="E1562">
            <v>45747</v>
          </cell>
          <cell r="F1562">
            <v>233271.17</v>
          </cell>
          <cell r="G1562">
            <v>35786.936999999998</v>
          </cell>
          <cell r="H1562">
            <v>6.5179999999999998</v>
          </cell>
          <cell r="I1562">
            <v>0</v>
          </cell>
          <cell r="J1562">
            <v>6.5179999999999998</v>
          </cell>
          <cell r="K1562">
            <v>5.7000000000000002E-2</v>
          </cell>
        </row>
        <row r="1563">
          <cell r="A1563" t="str">
            <v>LU1998916859</v>
          </cell>
          <cell r="B1563" t="str">
            <v>AMUNDI FUNDS US EQUITY RESEARCH VALUE</v>
          </cell>
          <cell r="C1563" t="str">
            <v>Class H EUR (C)</v>
          </cell>
          <cell r="D1563" t="str">
            <v>EUR</v>
          </cell>
          <cell r="E1563">
            <v>45747</v>
          </cell>
          <cell r="F1563">
            <v>8751.27</v>
          </cell>
          <cell r="G1563">
            <v>5</v>
          </cell>
          <cell r="H1563">
            <v>1750.25</v>
          </cell>
          <cell r="I1563">
            <v>0</v>
          </cell>
          <cell r="J1563">
            <v>1750.25</v>
          </cell>
          <cell r="K1563">
            <v>19.05</v>
          </cell>
        </row>
        <row r="1564">
          <cell r="A1564" t="str">
            <v>LU1894685129</v>
          </cell>
          <cell r="B1564" t="str">
            <v>AMUNDI FUNDS US EQUITY RESEARCH VALUE</v>
          </cell>
          <cell r="C1564" t="str">
            <v>Class I2 USD (C)</v>
          </cell>
          <cell r="D1564" t="str">
            <v>USD</v>
          </cell>
          <cell r="E1564">
            <v>45747</v>
          </cell>
          <cell r="F1564">
            <v>24526617.800000001</v>
          </cell>
          <cell r="G1564">
            <v>3762.587</v>
          </cell>
          <cell r="H1564">
            <v>6518.55</v>
          </cell>
          <cell r="I1564">
            <v>0</v>
          </cell>
          <cell r="J1564">
            <v>6518.55</v>
          </cell>
          <cell r="K1564">
            <v>58.23</v>
          </cell>
        </row>
        <row r="1565">
          <cell r="A1565" t="str">
            <v>LU1894685046</v>
          </cell>
          <cell r="B1565" t="str">
            <v>AMUNDI FUNDS US EQUITY RESEARCH VALUE</v>
          </cell>
          <cell r="C1565" t="str">
            <v>Class I2 EUR (C)</v>
          </cell>
          <cell r="D1565" t="str">
            <v>EUR</v>
          </cell>
          <cell r="E1565">
            <v>45747</v>
          </cell>
          <cell r="F1565">
            <v>42225162.140000001</v>
          </cell>
          <cell r="G1565">
            <v>6997.1570000000002</v>
          </cell>
          <cell r="H1565">
            <v>6034.62</v>
          </cell>
          <cell r="I1565">
            <v>0</v>
          </cell>
          <cell r="J1565">
            <v>6034.62</v>
          </cell>
          <cell r="K1565">
            <v>65.510000000000005</v>
          </cell>
        </row>
        <row r="1566">
          <cell r="A1566" t="str">
            <v>LU2931223932</v>
          </cell>
          <cell r="B1566" t="str">
            <v>AMUNDI FUNDS US EQUITY RESEARCH VALUE</v>
          </cell>
          <cell r="C1566" t="str">
            <v>Class J21 EUR (C)</v>
          </cell>
          <cell r="D1566" t="str">
            <v>EUR</v>
          </cell>
          <cell r="E1566">
            <v>45747</v>
          </cell>
          <cell r="F1566">
            <v>23128996.18</v>
          </cell>
          <cell r="G1566">
            <v>25146.506000000001</v>
          </cell>
          <cell r="H1566">
            <v>919.77</v>
          </cell>
          <cell r="I1566">
            <v>0</v>
          </cell>
          <cell r="J1566">
            <v>919.77</v>
          </cell>
          <cell r="K1566">
            <v>9.99</v>
          </cell>
        </row>
        <row r="1567">
          <cell r="A1567" t="str">
            <v>LU1894684585</v>
          </cell>
          <cell r="B1567" t="str">
            <v>AMUNDI FUNDS US EQUITY RESEARCH VALUE</v>
          </cell>
          <cell r="C1567" t="str">
            <v>Class G USD (C)</v>
          </cell>
          <cell r="D1567" t="str">
            <v>USD</v>
          </cell>
          <cell r="E1567">
            <v>45747</v>
          </cell>
          <cell r="F1567">
            <v>3897741.49</v>
          </cell>
          <cell r="G1567">
            <v>515436.35499999998</v>
          </cell>
          <cell r="H1567">
            <v>7.5620000000000003</v>
          </cell>
          <cell r="I1567">
            <v>0</v>
          </cell>
          <cell r="J1567">
            <v>7.7889999999999997</v>
          </cell>
          <cell r="K1567">
            <v>6.7000000000000004E-2</v>
          </cell>
        </row>
        <row r="1568">
          <cell r="A1568" t="str">
            <v>LU1894684312</v>
          </cell>
          <cell r="B1568" t="str">
            <v>AMUNDI FUNDS US EQUITY RESEARCH VALUE</v>
          </cell>
          <cell r="C1568" t="str">
            <v>Class G EUR (C)</v>
          </cell>
          <cell r="D1568" t="str">
            <v>EUR</v>
          </cell>
          <cell r="E1568">
            <v>45747</v>
          </cell>
          <cell r="F1568">
            <v>959999.04</v>
          </cell>
          <cell r="G1568">
            <v>118892.06600000001</v>
          </cell>
          <cell r="H1568">
            <v>8.0749999999999993</v>
          </cell>
          <cell r="I1568">
            <v>0</v>
          </cell>
          <cell r="J1568">
            <v>8.0749999999999993</v>
          </cell>
          <cell r="K1568">
            <v>8.6999999999999994E-2</v>
          </cell>
        </row>
        <row r="1569">
          <cell r="A1569" t="str">
            <v>LU1894684403</v>
          </cell>
          <cell r="B1569" t="str">
            <v>AMUNDI FUNDS US EQUITY RESEARCH VALUE</v>
          </cell>
          <cell r="C1569" t="str">
            <v>Class G EUR Hgd (C)</v>
          </cell>
          <cell r="D1569" t="str">
            <v>EUR</v>
          </cell>
          <cell r="E1569">
            <v>45747</v>
          </cell>
          <cell r="F1569">
            <v>3215974.68</v>
          </cell>
          <cell r="G1569">
            <v>480272.84700000001</v>
          </cell>
          <cell r="H1569">
            <v>6.6959999999999997</v>
          </cell>
          <cell r="I1569">
            <v>0</v>
          </cell>
          <cell r="J1569">
            <v>6.8970000000000002</v>
          </cell>
          <cell r="K1569">
            <v>5.8999999999999997E-2</v>
          </cell>
        </row>
        <row r="1570">
          <cell r="A1570" t="str">
            <v>LU1894685392</v>
          </cell>
          <cell r="B1570" t="str">
            <v>AMUNDI FUNDS US EQUITY RESEARCH VALUE</v>
          </cell>
          <cell r="C1570" t="str">
            <v>Class M EUR Hgd (C)</v>
          </cell>
          <cell r="D1570" t="str">
            <v>EUR</v>
          </cell>
          <cell r="E1570">
            <v>45747</v>
          </cell>
          <cell r="F1570">
            <v>2310618.0299999998</v>
          </cell>
          <cell r="G1570">
            <v>1618.6189999999999</v>
          </cell>
          <cell r="H1570">
            <v>1427.52</v>
          </cell>
          <cell r="I1570">
            <v>0</v>
          </cell>
          <cell r="J1570">
            <v>1427.52</v>
          </cell>
          <cell r="K1570">
            <v>12.68</v>
          </cell>
        </row>
        <row r="1571">
          <cell r="A1571" t="str">
            <v>LU1894685475</v>
          </cell>
          <cell r="B1571" t="str">
            <v>AMUNDI FUNDS US EQUITY RESEARCH VALUE</v>
          </cell>
          <cell r="C1571" t="str">
            <v>Class M USD (C)</v>
          </cell>
          <cell r="D1571" t="str">
            <v>USD</v>
          </cell>
          <cell r="E1571">
            <v>45747</v>
          </cell>
          <cell r="F1571">
            <v>2100299.7599999998</v>
          </cell>
          <cell r="G1571">
            <v>1300.826</v>
          </cell>
          <cell r="H1571">
            <v>1614.59</v>
          </cell>
          <cell r="I1571">
            <v>0</v>
          </cell>
          <cell r="J1571">
            <v>1614.59</v>
          </cell>
          <cell r="K1571">
            <v>14.43</v>
          </cell>
        </row>
        <row r="1572">
          <cell r="A1572" t="str">
            <v>LU1894686523</v>
          </cell>
          <cell r="B1572" t="str">
            <v>AMUNDI FUNDS US EQUITY RESEARCH VALUE</v>
          </cell>
          <cell r="C1572" t="str">
            <v>Class R2 EUR (C)</v>
          </cell>
          <cell r="D1572" t="str">
            <v>EUR</v>
          </cell>
          <cell r="E1572">
            <v>45747</v>
          </cell>
          <cell r="F1572">
            <v>3559552.97</v>
          </cell>
          <cell r="G1572">
            <v>39466.678</v>
          </cell>
          <cell r="H1572">
            <v>90.19</v>
          </cell>
          <cell r="I1572">
            <v>0</v>
          </cell>
          <cell r="J1572">
            <v>90.19</v>
          </cell>
          <cell r="K1572">
            <v>0.98</v>
          </cell>
        </row>
        <row r="1573">
          <cell r="A1573" t="str">
            <v>LU1894686796</v>
          </cell>
          <cell r="B1573" t="str">
            <v>AMUNDI FUNDS US EQUITY RESEARCH VALUE</v>
          </cell>
          <cell r="C1573" t="str">
            <v>Class R2 EUR Hgd (C)</v>
          </cell>
          <cell r="D1573" t="str">
            <v>EUR</v>
          </cell>
          <cell r="E1573">
            <v>45747</v>
          </cell>
          <cell r="F1573">
            <v>47175.99</v>
          </cell>
          <cell r="G1573">
            <v>665.3</v>
          </cell>
          <cell r="H1573">
            <v>70.91</v>
          </cell>
          <cell r="I1573">
            <v>0</v>
          </cell>
          <cell r="J1573">
            <v>70.91</v>
          </cell>
          <cell r="K1573">
            <v>0.63</v>
          </cell>
        </row>
        <row r="1574">
          <cell r="A1574" t="str">
            <v>LU1894685632</v>
          </cell>
          <cell r="B1574" t="str">
            <v>AMUNDI FUNDS US EQUITY RESEARCH VALUE</v>
          </cell>
          <cell r="C1574" t="str">
            <v>Class P2 USD (C)</v>
          </cell>
          <cell r="D1574" t="str">
            <v>USD</v>
          </cell>
          <cell r="E1574">
            <v>45747</v>
          </cell>
          <cell r="F1574">
            <v>667171.65</v>
          </cell>
          <cell r="G1574">
            <v>8328.5679999999993</v>
          </cell>
          <cell r="H1574">
            <v>80.11</v>
          </cell>
          <cell r="I1574">
            <v>0</v>
          </cell>
          <cell r="J1574">
            <v>80.11</v>
          </cell>
          <cell r="K1574">
            <v>0.72</v>
          </cell>
        </row>
        <row r="1575">
          <cell r="A1575" t="str">
            <v>LU1894685715</v>
          </cell>
          <cell r="B1575" t="str">
            <v>AMUNDI FUNDS US EQUITY RESEARCH VALUE</v>
          </cell>
          <cell r="C1575" t="str">
            <v>Class Q-D USD (C)</v>
          </cell>
          <cell r="D1575" t="str">
            <v>USD</v>
          </cell>
          <cell r="E1575">
            <v>45747</v>
          </cell>
          <cell r="F1575">
            <v>793573.78</v>
          </cell>
          <cell r="G1575">
            <v>10256.405000000001</v>
          </cell>
          <cell r="H1575">
            <v>77.37</v>
          </cell>
          <cell r="I1575">
            <v>0</v>
          </cell>
          <cell r="J1575">
            <v>79.69</v>
          </cell>
          <cell r="K1575">
            <v>0.68</v>
          </cell>
        </row>
        <row r="1576">
          <cell r="A1576" t="str">
            <v>LU1894686366</v>
          </cell>
          <cell r="B1576" t="str">
            <v>AMUNDI FUNDS US EQUITY RESEARCH VALUE</v>
          </cell>
          <cell r="C1576" t="str">
            <v>Class R USD (C)</v>
          </cell>
          <cell r="D1576" t="str">
            <v>USD</v>
          </cell>
          <cell r="E1576">
            <v>45747</v>
          </cell>
          <cell r="F1576">
            <v>2347611.0499999998</v>
          </cell>
          <cell r="G1576">
            <v>29353.365000000002</v>
          </cell>
          <cell r="H1576">
            <v>79.98</v>
          </cell>
          <cell r="I1576">
            <v>0</v>
          </cell>
          <cell r="J1576">
            <v>79.98</v>
          </cell>
          <cell r="K1576">
            <v>0.72</v>
          </cell>
        </row>
        <row r="1577">
          <cell r="A1577" t="str">
            <v>LU1894686440</v>
          </cell>
          <cell r="B1577" t="str">
            <v>AMUNDI FUNDS US EQUITY RESEARCH VALUE</v>
          </cell>
          <cell r="C1577" t="str">
            <v>Class R USD AD (D)</v>
          </cell>
          <cell r="D1577" t="str">
            <v>USD</v>
          </cell>
          <cell r="E1577">
            <v>45747</v>
          </cell>
          <cell r="F1577">
            <v>794175.99</v>
          </cell>
          <cell r="G1577">
            <v>10474.481</v>
          </cell>
          <cell r="H1577">
            <v>75.819999999999993</v>
          </cell>
          <cell r="I1577">
            <v>0</v>
          </cell>
          <cell r="J1577">
            <v>75.819999999999993</v>
          </cell>
          <cell r="K1577">
            <v>0.68</v>
          </cell>
        </row>
        <row r="1578">
          <cell r="A1578" t="str">
            <v>LU1894686879</v>
          </cell>
          <cell r="B1578" t="str">
            <v>AMUNDI FUNDS US EQUITY RESEARCH VALUE</v>
          </cell>
          <cell r="C1578" t="str">
            <v>Class R2 USD (C)</v>
          </cell>
          <cell r="D1578" t="str">
            <v>USD</v>
          </cell>
          <cell r="E1578">
            <v>45747</v>
          </cell>
          <cell r="F1578">
            <v>47705.54</v>
          </cell>
          <cell r="G1578">
            <v>489.69200000000001</v>
          </cell>
          <cell r="H1578">
            <v>97.42</v>
          </cell>
          <cell r="I1578">
            <v>0</v>
          </cell>
          <cell r="J1578">
            <v>97.42</v>
          </cell>
          <cell r="K1578">
            <v>0.87</v>
          </cell>
        </row>
        <row r="1579">
          <cell r="A1579" t="str">
            <v>LU1894684668</v>
          </cell>
          <cell r="B1579" t="str">
            <v>AMUNDI FUNDS US EQUITY RESEARCH VALUE</v>
          </cell>
          <cell r="C1579" t="str">
            <v>Class I EUR Hgd (C)</v>
          </cell>
          <cell r="D1579" t="str">
            <v>EUR</v>
          </cell>
          <cell r="E1579">
            <v>45747</v>
          </cell>
          <cell r="F1579">
            <v>730796.56</v>
          </cell>
          <cell r="G1579">
            <v>510.84300000000002</v>
          </cell>
          <cell r="H1579">
            <v>1430.57</v>
          </cell>
          <cell r="I1579">
            <v>0</v>
          </cell>
          <cell r="J1579">
            <v>1430.57</v>
          </cell>
          <cell r="K1579">
            <v>12.73</v>
          </cell>
        </row>
        <row r="1580">
          <cell r="A1580" t="str">
            <v>LU1894684742</v>
          </cell>
          <cell r="B1580" t="str">
            <v>AMUNDI FUNDS US EQUITY RESEARCH VALUE</v>
          </cell>
          <cell r="C1580" t="str">
            <v>Class I USD (C)</v>
          </cell>
          <cell r="D1580" t="str">
            <v>USD</v>
          </cell>
          <cell r="E1580">
            <v>45747</v>
          </cell>
          <cell r="F1580">
            <v>2114260.65</v>
          </cell>
          <cell r="G1580">
            <v>1309.9380000000001</v>
          </cell>
          <cell r="H1580">
            <v>1614.02</v>
          </cell>
          <cell r="I1580">
            <v>0</v>
          </cell>
          <cell r="J1580">
            <v>1614.02</v>
          </cell>
          <cell r="K1580">
            <v>14.44</v>
          </cell>
        </row>
        <row r="1581">
          <cell r="A1581" t="str">
            <v>LU1894684825</v>
          </cell>
          <cell r="B1581" t="str">
            <v>AMUNDI FUNDS US EQUITY RESEARCH VALUE</v>
          </cell>
          <cell r="C1581" t="str">
            <v>Class I USD AD (D)</v>
          </cell>
          <cell r="D1581" t="str">
            <v>USD</v>
          </cell>
          <cell r="E1581">
            <v>45747</v>
          </cell>
          <cell r="F1581">
            <v>889923.89</v>
          </cell>
          <cell r="G1581">
            <v>588.10599999999999</v>
          </cell>
          <cell r="H1581">
            <v>1513.2</v>
          </cell>
          <cell r="I1581">
            <v>0</v>
          </cell>
          <cell r="J1581">
            <v>1513.2</v>
          </cell>
          <cell r="K1581">
            <v>13.53</v>
          </cell>
        </row>
        <row r="1582">
          <cell r="A1582" t="str">
            <v>LU1883854199</v>
          </cell>
          <cell r="B1582" t="str">
            <v>AMUNDI FUNDS US EQUITY FUNDAMENTAL GROWTH</v>
          </cell>
          <cell r="C1582" t="str">
            <v>Class A EUR (C)</v>
          </cell>
          <cell r="D1582" t="str">
            <v>EUR</v>
          </cell>
          <cell r="E1582">
            <v>45747</v>
          </cell>
          <cell r="F1582">
            <v>509443378.92000002</v>
          </cell>
          <cell r="G1582">
            <v>948433.73899999994</v>
          </cell>
          <cell r="H1582">
            <v>537.14</v>
          </cell>
          <cell r="I1582">
            <v>0</v>
          </cell>
          <cell r="J1582">
            <v>561.30999999999995</v>
          </cell>
          <cell r="K1582">
            <v>2.1800000000000002</v>
          </cell>
        </row>
        <row r="1583">
          <cell r="A1583" t="str">
            <v>LU2819204210</v>
          </cell>
          <cell r="B1583" t="str">
            <v>AMUNDI FUNDS US EQUITY FUNDAMENTAL GROWTH</v>
          </cell>
          <cell r="C1583" t="str">
            <v>Class A2 USD (C)</v>
          </cell>
          <cell r="D1583" t="str">
            <v>USD</v>
          </cell>
          <cell r="E1583">
            <v>45747</v>
          </cell>
          <cell r="F1583">
            <v>15608.54</v>
          </cell>
          <cell r="G1583">
            <v>315.46800000000002</v>
          </cell>
          <cell r="H1583">
            <v>49.48</v>
          </cell>
          <cell r="I1583">
            <v>0</v>
          </cell>
          <cell r="J1583">
            <v>49.48</v>
          </cell>
          <cell r="K1583">
            <v>0.11</v>
          </cell>
        </row>
        <row r="1584">
          <cell r="A1584" t="str">
            <v>LU2032056603</v>
          </cell>
          <cell r="B1584" t="str">
            <v>AMUNDI FUNDS US EQUITY FUNDAMENTAL GROWTH</v>
          </cell>
          <cell r="C1584" t="str">
            <v>Class A5 EUR (C)</v>
          </cell>
          <cell r="D1584" t="str">
            <v>EUR</v>
          </cell>
          <cell r="E1584">
            <v>45747</v>
          </cell>
          <cell r="F1584">
            <v>288323.03000000003</v>
          </cell>
          <cell r="G1584">
            <v>2983.1179999999999</v>
          </cell>
          <cell r="H1584">
            <v>96.65</v>
          </cell>
          <cell r="I1584">
            <v>0</v>
          </cell>
          <cell r="J1584">
            <v>96.65</v>
          </cell>
          <cell r="K1584">
            <v>0.39</v>
          </cell>
        </row>
        <row r="1585">
          <cell r="A1585" t="str">
            <v>LU1883854439</v>
          </cell>
          <cell r="B1585" t="str">
            <v>AMUNDI FUNDS US EQUITY FUNDAMENTAL GROWTH</v>
          </cell>
          <cell r="C1585" t="str">
            <v>Class A USD AD (D)</v>
          </cell>
          <cell r="D1585" t="str">
            <v>USD</v>
          </cell>
          <cell r="E1585">
            <v>45747</v>
          </cell>
          <cell r="F1585">
            <v>3427122.22</v>
          </cell>
          <cell r="G1585">
            <v>23954.112000000001</v>
          </cell>
          <cell r="H1585">
            <v>143.07</v>
          </cell>
          <cell r="I1585">
            <v>0</v>
          </cell>
          <cell r="J1585">
            <v>149.51</v>
          </cell>
          <cell r="K1585">
            <v>0.3</v>
          </cell>
        </row>
        <row r="1586">
          <cell r="A1586" t="str">
            <v>LU1883854272</v>
          </cell>
          <cell r="B1586" t="str">
            <v>AMUNDI FUNDS US EQUITY FUNDAMENTAL GROWTH</v>
          </cell>
          <cell r="C1586" t="str">
            <v>Class A EUR Hgd (C)</v>
          </cell>
          <cell r="D1586" t="str">
            <v>EUR</v>
          </cell>
          <cell r="E1586">
            <v>45747</v>
          </cell>
          <cell r="F1586">
            <v>43903966.670000002</v>
          </cell>
          <cell r="G1586">
            <v>232767.117</v>
          </cell>
          <cell r="H1586">
            <v>188.62</v>
          </cell>
          <cell r="I1586">
            <v>0</v>
          </cell>
          <cell r="J1586">
            <v>197.11</v>
          </cell>
          <cell r="K1586">
            <v>0.39</v>
          </cell>
        </row>
        <row r="1587">
          <cell r="A1587" t="str">
            <v>LU1883854355</v>
          </cell>
          <cell r="B1587" t="str">
            <v>AMUNDI FUNDS US EQUITY FUNDAMENTAL GROWTH</v>
          </cell>
          <cell r="C1587" t="str">
            <v>Class A USD (C)</v>
          </cell>
          <cell r="D1587" t="str">
            <v>USD</v>
          </cell>
          <cell r="E1587">
            <v>45747</v>
          </cell>
          <cell r="F1587">
            <v>468928826.13999999</v>
          </cell>
          <cell r="G1587">
            <v>807434.33</v>
          </cell>
          <cell r="H1587">
            <v>580.76</v>
          </cell>
          <cell r="I1587">
            <v>0</v>
          </cell>
          <cell r="J1587">
            <v>606.89</v>
          </cell>
          <cell r="K1587">
            <v>1.23</v>
          </cell>
        </row>
        <row r="1588">
          <cell r="A1588" t="str">
            <v>LU1883856053</v>
          </cell>
          <cell r="B1588" t="str">
            <v>AMUNDI FUNDS US EQUITY FUNDAMENTAL GROWTH</v>
          </cell>
          <cell r="C1588" t="str">
            <v>Class M2 EUR (C)</v>
          </cell>
          <cell r="D1588" t="str">
            <v>EUR</v>
          </cell>
          <cell r="E1588">
            <v>45747</v>
          </cell>
          <cell r="F1588">
            <v>124703683.39</v>
          </cell>
          <cell r="G1588">
            <v>12548.608</v>
          </cell>
          <cell r="H1588">
            <v>9937.65</v>
          </cell>
          <cell r="I1588">
            <v>0</v>
          </cell>
          <cell r="J1588">
            <v>9937.65</v>
          </cell>
          <cell r="K1588">
            <v>41.11</v>
          </cell>
        </row>
        <row r="1589">
          <cell r="A1589" t="str">
            <v>LU2002723661</v>
          </cell>
          <cell r="B1589" t="str">
            <v>AMUNDI FUNDS US EQUITY FUNDAMENTAL GROWTH</v>
          </cell>
          <cell r="C1589" t="str">
            <v>Class M2 EUR Hgd (C)</v>
          </cell>
          <cell r="D1589" t="str">
            <v>EUR</v>
          </cell>
          <cell r="E1589">
            <v>45747</v>
          </cell>
          <cell r="F1589">
            <v>388359.74</v>
          </cell>
          <cell r="G1589">
            <v>211.24199999999999</v>
          </cell>
          <cell r="H1589">
            <v>1838.46</v>
          </cell>
          <cell r="I1589">
            <v>0</v>
          </cell>
          <cell r="J1589">
            <v>1838.46</v>
          </cell>
          <cell r="K1589">
            <v>3.93</v>
          </cell>
        </row>
        <row r="1590">
          <cell r="A1590" t="str">
            <v>LU1883854603</v>
          </cell>
          <cell r="B1590" t="str">
            <v>AMUNDI FUNDS US EQUITY FUNDAMENTAL GROWTH</v>
          </cell>
          <cell r="C1590" t="str">
            <v>Class C EUR (C)</v>
          </cell>
          <cell r="D1590" t="str">
            <v>EUR</v>
          </cell>
          <cell r="E1590">
            <v>45747</v>
          </cell>
          <cell r="F1590">
            <v>20323220.649999999</v>
          </cell>
          <cell r="G1590">
            <v>44066.093000000001</v>
          </cell>
          <cell r="H1590">
            <v>461.2</v>
          </cell>
          <cell r="I1590">
            <v>0</v>
          </cell>
          <cell r="J1590">
            <v>461.2</v>
          </cell>
          <cell r="K1590">
            <v>1.84</v>
          </cell>
        </row>
        <row r="1591">
          <cell r="A1591" t="str">
            <v>LU1883854785</v>
          </cell>
          <cell r="B1591" t="str">
            <v>AMUNDI FUNDS US EQUITY FUNDAMENTAL GROWTH</v>
          </cell>
          <cell r="C1591" t="str">
            <v>Class C USD (C)</v>
          </cell>
          <cell r="D1591" t="str">
            <v>USD</v>
          </cell>
          <cell r="E1591">
            <v>45747</v>
          </cell>
          <cell r="F1591">
            <v>95195847.439999998</v>
          </cell>
          <cell r="G1591">
            <v>191073.13500000001</v>
          </cell>
          <cell r="H1591">
            <v>498.22</v>
          </cell>
          <cell r="I1591">
            <v>0</v>
          </cell>
          <cell r="J1591">
            <v>498.22</v>
          </cell>
          <cell r="K1591">
            <v>1.02</v>
          </cell>
        </row>
        <row r="1592">
          <cell r="A1592" t="str">
            <v>LU1883854868</v>
          </cell>
          <cell r="B1592" t="str">
            <v>AMUNDI FUNDS US EQUITY FUNDAMENTAL GROWTH</v>
          </cell>
          <cell r="C1592" t="str">
            <v>Class E2 EUR (C)</v>
          </cell>
          <cell r="D1592" t="str">
            <v>EUR</v>
          </cell>
          <cell r="E1592">
            <v>45747</v>
          </cell>
          <cell r="F1592">
            <v>610185017.17999995</v>
          </cell>
          <cell r="G1592">
            <v>14082242.153000001</v>
          </cell>
          <cell r="H1592">
            <v>43.33</v>
          </cell>
          <cell r="I1592">
            <v>0</v>
          </cell>
          <cell r="J1592">
            <v>43.33</v>
          </cell>
          <cell r="K1592">
            <v>0.17599999999999999</v>
          </cell>
        </row>
        <row r="1593">
          <cell r="A1593" t="str">
            <v>LU1883854942</v>
          </cell>
          <cell r="B1593" t="str">
            <v>AMUNDI FUNDS US EQUITY FUNDAMENTAL GROWTH</v>
          </cell>
          <cell r="C1593" t="str">
            <v>Class E2 EUR Hgd (C)</v>
          </cell>
          <cell r="D1593" t="str">
            <v>EUR</v>
          </cell>
          <cell r="E1593">
            <v>45747</v>
          </cell>
          <cell r="F1593">
            <v>64800573.880000003</v>
          </cell>
          <cell r="G1593">
            <v>187243.78099999999</v>
          </cell>
          <cell r="H1593">
            <v>346.07600000000002</v>
          </cell>
          <cell r="I1593">
            <v>0</v>
          </cell>
          <cell r="J1593">
            <v>346.07600000000002</v>
          </cell>
          <cell r="K1593">
            <v>0.71399999999999997</v>
          </cell>
        </row>
        <row r="1594">
          <cell r="A1594" t="str">
            <v>LU1883855089</v>
          </cell>
          <cell r="B1594" t="str">
            <v>AMUNDI FUNDS US EQUITY FUNDAMENTAL GROWTH</v>
          </cell>
          <cell r="C1594" t="str">
            <v>Class F EUR (C)</v>
          </cell>
          <cell r="D1594" t="str">
            <v>EUR</v>
          </cell>
          <cell r="E1594">
            <v>45747</v>
          </cell>
          <cell r="F1594">
            <v>47568036.689999998</v>
          </cell>
          <cell r="G1594">
            <v>988713.76599999995</v>
          </cell>
          <cell r="H1594">
            <v>48.110999999999997</v>
          </cell>
          <cell r="I1594">
            <v>0</v>
          </cell>
          <cell r="J1594">
            <v>48.110999999999997</v>
          </cell>
          <cell r="K1594">
            <v>0.193</v>
          </cell>
        </row>
        <row r="1595">
          <cell r="A1595" t="str">
            <v>LU1897311590</v>
          </cell>
          <cell r="B1595" t="str">
            <v>AMUNDI FUNDS US EQUITY FUNDAMENTAL GROWTH</v>
          </cell>
          <cell r="C1595" t="str">
            <v>Class I2 GBP (C)</v>
          </cell>
          <cell r="D1595" t="str">
            <v>GBP</v>
          </cell>
          <cell r="E1595">
            <v>45747</v>
          </cell>
          <cell r="F1595">
            <v>31104.28</v>
          </cell>
          <cell r="G1595">
            <v>16.297999999999998</v>
          </cell>
          <cell r="H1595">
            <v>1908.47</v>
          </cell>
          <cell r="I1595">
            <v>0</v>
          </cell>
          <cell r="J1595">
            <v>1908.47</v>
          </cell>
          <cell r="K1595">
            <v>9.14</v>
          </cell>
        </row>
        <row r="1596">
          <cell r="A1596" t="str">
            <v>LU2361678019</v>
          </cell>
          <cell r="B1596" t="str">
            <v>AMUNDI FUNDS US EQUITY FUNDAMENTAL GROWTH</v>
          </cell>
          <cell r="C1596" t="str">
            <v>Class I EUR (C)</v>
          </cell>
          <cell r="D1596" t="str">
            <v>EUR</v>
          </cell>
          <cell r="E1596">
            <v>45747</v>
          </cell>
          <cell r="F1596">
            <v>7036.93</v>
          </cell>
          <cell r="G1596">
            <v>5</v>
          </cell>
          <cell r="H1596">
            <v>1407.39</v>
          </cell>
          <cell r="I1596">
            <v>0</v>
          </cell>
          <cell r="J1596">
            <v>1407.39</v>
          </cell>
          <cell r="K1596">
            <v>5.84</v>
          </cell>
        </row>
        <row r="1597">
          <cell r="A1597" t="str">
            <v>LU1883855675</v>
          </cell>
          <cell r="B1597" t="str">
            <v>AMUNDI FUNDS US EQUITY FUNDAMENTAL GROWTH</v>
          </cell>
          <cell r="C1597" t="str">
            <v>Class I2 USD (C)</v>
          </cell>
          <cell r="D1597" t="str">
            <v>USD</v>
          </cell>
          <cell r="E1597">
            <v>45747</v>
          </cell>
          <cell r="F1597">
            <v>195680027.31</v>
          </cell>
          <cell r="G1597">
            <v>14382.423000000001</v>
          </cell>
          <cell r="H1597">
            <v>13605.5</v>
          </cell>
          <cell r="I1597">
            <v>0</v>
          </cell>
          <cell r="J1597">
            <v>13605.5</v>
          </cell>
          <cell r="K1597">
            <v>29.94</v>
          </cell>
        </row>
        <row r="1598">
          <cell r="A1598" t="str">
            <v>LU1883855758</v>
          </cell>
          <cell r="B1598" t="str">
            <v>AMUNDI FUNDS US EQUITY FUNDAMENTAL GROWTH</v>
          </cell>
          <cell r="C1598" t="str">
            <v>Class I2 USD AD (D)</v>
          </cell>
          <cell r="D1598" t="str">
            <v>USD</v>
          </cell>
          <cell r="E1598">
            <v>45747</v>
          </cell>
          <cell r="F1598">
            <v>527469.86</v>
          </cell>
          <cell r="G1598">
            <v>174.636</v>
          </cell>
          <cell r="H1598">
            <v>3020.4</v>
          </cell>
          <cell r="I1598">
            <v>0</v>
          </cell>
          <cell r="J1598">
            <v>3020.4</v>
          </cell>
          <cell r="K1598">
            <v>6.65</v>
          </cell>
        </row>
        <row r="1599">
          <cell r="A1599" t="str">
            <v>LU1883855592</v>
          </cell>
          <cell r="B1599" t="str">
            <v>AMUNDI FUNDS US EQUITY FUNDAMENTAL GROWTH</v>
          </cell>
          <cell r="C1599" t="str">
            <v>Class I2 EUR Hgd AD (D)</v>
          </cell>
          <cell r="D1599" t="str">
            <v>EUR</v>
          </cell>
          <cell r="E1599">
            <v>45747</v>
          </cell>
          <cell r="F1599">
            <v>7725006.5899999999</v>
          </cell>
          <cell r="G1599">
            <v>2936</v>
          </cell>
          <cell r="H1599">
            <v>2631.13</v>
          </cell>
          <cell r="I1599">
            <v>0</v>
          </cell>
          <cell r="J1599">
            <v>2631.13</v>
          </cell>
          <cell r="K1599">
            <v>5.62</v>
          </cell>
        </row>
        <row r="1600">
          <cell r="A1600" t="str">
            <v>LU1883855329</v>
          </cell>
          <cell r="B1600" t="str">
            <v>AMUNDI FUNDS US EQUITY FUNDAMENTAL GROWTH</v>
          </cell>
          <cell r="C1600" t="str">
            <v>Class I2 EUR Hgd (C)</v>
          </cell>
          <cell r="D1600" t="str">
            <v>EUR</v>
          </cell>
          <cell r="E1600">
            <v>45747</v>
          </cell>
          <cell r="F1600">
            <v>48505906.75</v>
          </cell>
          <cell r="G1600">
            <v>19147.864000000001</v>
          </cell>
          <cell r="H1600">
            <v>2533.23</v>
          </cell>
          <cell r="I1600">
            <v>0</v>
          </cell>
          <cell r="J1600">
            <v>2533.23</v>
          </cell>
          <cell r="K1600">
            <v>5.42</v>
          </cell>
        </row>
        <row r="1601">
          <cell r="A1601" t="str">
            <v>LU1883855246</v>
          </cell>
          <cell r="B1601" t="str">
            <v>AMUNDI FUNDS US EQUITY FUNDAMENTAL GROWTH</v>
          </cell>
          <cell r="C1601" t="str">
            <v>Class I2 EUR (C)</v>
          </cell>
          <cell r="D1601" t="str">
            <v>EUR</v>
          </cell>
          <cell r="E1601">
            <v>45747</v>
          </cell>
          <cell r="F1601">
            <v>93672811.390000001</v>
          </cell>
          <cell r="G1601">
            <v>7437.1</v>
          </cell>
          <cell r="H1601">
            <v>12595.34</v>
          </cell>
          <cell r="I1601">
            <v>0</v>
          </cell>
          <cell r="J1601">
            <v>12595.34</v>
          </cell>
          <cell r="K1601">
            <v>52.1</v>
          </cell>
        </row>
        <row r="1602">
          <cell r="A1602" t="str">
            <v>LU2052287567</v>
          </cell>
          <cell r="B1602" t="str">
            <v>AMUNDI FUNDS US EQUITY FUNDAMENTAL GROWTH</v>
          </cell>
          <cell r="C1602" t="str">
            <v>Class J3 GBP AD (D)</v>
          </cell>
          <cell r="D1602" t="str">
            <v>GBP</v>
          </cell>
          <cell r="E1602">
            <v>45747</v>
          </cell>
          <cell r="F1602">
            <v>9670.7999999999993</v>
          </cell>
          <cell r="G1602">
            <v>5</v>
          </cell>
          <cell r="H1602">
            <v>1934.16</v>
          </cell>
          <cell r="I1602">
            <v>0</v>
          </cell>
          <cell r="J1602">
            <v>1934.16</v>
          </cell>
          <cell r="K1602">
            <v>9.3000000000000007</v>
          </cell>
        </row>
        <row r="1603">
          <cell r="A1603" t="str">
            <v>LU2732984955</v>
          </cell>
          <cell r="B1603" t="str">
            <v>AMUNDI FUNDS US EQUITY FUNDAMENTAL GROWTH</v>
          </cell>
          <cell r="C1603" t="str">
            <v>Class J2 EUR (C)</v>
          </cell>
          <cell r="D1603" t="str">
            <v>EUR</v>
          </cell>
          <cell r="E1603">
            <v>45747</v>
          </cell>
          <cell r="F1603">
            <v>128194743.98999999</v>
          </cell>
          <cell r="G1603">
            <v>123131.124</v>
          </cell>
          <cell r="H1603">
            <v>1041.1199999999999</v>
          </cell>
          <cell r="I1603">
            <v>0</v>
          </cell>
          <cell r="J1603">
            <v>1041.1199999999999</v>
          </cell>
          <cell r="K1603">
            <v>4.32</v>
          </cell>
        </row>
        <row r="1604">
          <cell r="A1604" t="str">
            <v>LU2052287484</v>
          </cell>
          <cell r="B1604" t="str">
            <v>AMUNDI FUNDS US EQUITY FUNDAMENTAL GROWTH</v>
          </cell>
          <cell r="C1604" t="str">
            <v>Class J3 GBP (C)</v>
          </cell>
          <cell r="D1604" t="str">
            <v>GBP</v>
          </cell>
          <cell r="E1604">
            <v>45747</v>
          </cell>
          <cell r="F1604">
            <v>9682.1</v>
          </cell>
          <cell r="G1604">
            <v>5</v>
          </cell>
          <cell r="H1604">
            <v>1936.42</v>
          </cell>
          <cell r="I1604">
            <v>0</v>
          </cell>
          <cell r="J1604">
            <v>1936.42</v>
          </cell>
          <cell r="K1604">
            <v>9.3000000000000007</v>
          </cell>
        </row>
        <row r="1605">
          <cell r="A1605" t="str">
            <v>LU1883855832</v>
          </cell>
          <cell r="B1605" t="str">
            <v>AMUNDI FUNDS US EQUITY FUNDAMENTAL GROWTH</v>
          </cell>
          <cell r="C1605" t="str">
            <v>Class J2 GBP (C)</v>
          </cell>
          <cell r="D1605" t="str">
            <v>GBP</v>
          </cell>
          <cell r="E1605">
            <v>45747</v>
          </cell>
          <cell r="F1605">
            <v>33114705.239999998</v>
          </cell>
          <cell r="G1605">
            <v>13485.536</v>
          </cell>
          <cell r="H1605">
            <v>2455.5700000000002</v>
          </cell>
          <cell r="I1605">
            <v>0</v>
          </cell>
          <cell r="J1605">
            <v>2455.5700000000002</v>
          </cell>
          <cell r="K1605">
            <v>11.81</v>
          </cell>
        </row>
        <row r="1606">
          <cell r="A1606" t="str">
            <v>LU1883855915</v>
          </cell>
          <cell r="B1606" t="str">
            <v>AMUNDI FUNDS US EQUITY FUNDAMENTAL GROWTH</v>
          </cell>
          <cell r="C1606" t="str">
            <v>Class J2 USD (C)</v>
          </cell>
          <cell r="D1606" t="str">
            <v>USD</v>
          </cell>
          <cell r="E1606">
            <v>45747</v>
          </cell>
          <cell r="F1606">
            <v>375150760.19999999</v>
          </cell>
          <cell r="G1606">
            <v>118439.29300000001</v>
          </cell>
          <cell r="H1606">
            <v>3167.45</v>
          </cell>
          <cell r="I1606">
            <v>0</v>
          </cell>
          <cell r="J1606">
            <v>3167.45</v>
          </cell>
          <cell r="K1606">
            <v>7.02</v>
          </cell>
        </row>
        <row r="1607">
          <cell r="A1607" t="str">
            <v>LU1883855162</v>
          </cell>
          <cell r="B1607" t="str">
            <v>AMUNDI FUNDS US EQUITY FUNDAMENTAL GROWTH</v>
          </cell>
          <cell r="C1607" t="str">
            <v>Class G EUR (C)</v>
          </cell>
          <cell r="D1607" t="str">
            <v>EUR</v>
          </cell>
          <cell r="E1607">
            <v>45747</v>
          </cell>
          <cell r="F1607">
            <v>104162314.88</v>
          </cell>
          <cell r="G1607">
            <v>8797971.1439999994</v>
          </cell>
          <cell r="H1607">
            <v>11.839</v>
          </cell>
          <cell r="I1607">
            <v>0</v>
          </cell>
          <cell r="J1607">
            <v>11.839</v>
          </cell>
          <cell r="K1607">
            <v>4.7E-2</v>
          </cell>
        </row>
        <row r="1608">
          <cell r="A1608" t="str">
            <v>LU1883856301</v>
          </cell>
          <cell r="B1608" t="str">
            <v>AMUNDI FUNDS US EQUITY FUNDAMENTAL GROWTH</v>
          </cell>
          <cell r="C1608" t="str">
            <v>Class R2 EUR (C)</v>
          </cell>
          <cell r="D1608" t="str">
            <v>EUR</v>
          </cell>
          <cell r="E1608">
            <v>45747</v>
          </cell>
          <cell r="F1608">
            <v>31712837.149999999</v>
          </cell>
          <cell r="G1608">
            <v>136341.46400000001</v>
          </cell>
          <cell r="H1608">
            <v>232.6</v>
          </cell>
          <cell r="I1608">
            <v>0</v>
          </cell>
          <cell r="J1608">
            <v>232.6</v>
          </cell>
          <cell r="K1608">
            <v>0.96</v>
          </cell>
        </row>
        <row r="1609">
          <cell r="A1609" t="str">
            <v>LU1883856566</v>
          </cell>
          <cell r="B1609" t="str">
            <v>AMUNDI FUNDS US EQUITY FUNDAMENTAL GROWTH</v>
          </cell>
          <cell r="C1609" t="str">
            <v>Class R2 GBP (C)</v>
          </cell>
          <cell r="D1609" t="str">
            <v>GBP</v>
          </cell>
          <cell r="E1609">
            <v>45747</v>
          </cell>
          <cell r="F1609">
            <v>2581101.84</v>
          </cell>
          <cell r="G1609">
            <v>8862.8760000000002</v>
          </cell>
          <cell r="H1609">
            <v>291.23</v>
          </cell>
          <cell r="I1609">
            <v>0</v>
          </cell>
          <cell r="J1609">
            <v>291.23</v>
          </cell>
          <cell r="K1609">
            <v>1.39</v>
          </cell>
        </row>
        <row r="1610">
          <cell r="A1610" t="str">
            <v>LU1883856483</v>
          </cell>
          <cell r="B1610" t="str">
            <v>AMUNDI FUNDS US EQUITY FUNDAMENTAL GROWTH</v>
          </cell>
          <cell r="C1610" t="str">
            <v>Class R2 EUR Hgd (C)</v>
          </cell>
          <cell r="D1610" t="str">
            <v>EUR</v>
          </cell>
          <cell r="E1610">
            <v>45747</v>
          </cell>
          <cell r="F1610">
            <v>7167903.0599999996</v>
          </cell>
          <cell r="G1610">
            <v>68816.717000000004</v>
          </cell>
          <cell r="H1610">
            <v>104.16</v>
          </cell>
          <cell r="I1610">
            <v>0</v>
          </cell>
          <cell r="J1610">
            <v>104.16</v>
          </cell>
          <cell r="K1610">
            <v>0.22</v>
          </cell>
        </row>
        <row r="1611">
          <cell r="A1611" t="str">
            <v>LU1883856137</v>
          </cell>
          <cell r="B1611" t="str">
            <v>AMUNDI FUNDS US EQUITY FUNDAMENTAL GROWTH</v>
          </cell>
          <cell r="C1611" t="str">
            <v>Class P2 USD (C)</v>
          </cell>
          <cell r="D1611" t="str">
            <v>USD</v>
          </cell>
          <cell r="E1611">
            <v>45747</v>
          </cell>
          <cell r="F1611">
            <v>27701397.960000001</v>
          </cell>
          <cell r="G1611">
            <v>187635.20499999999</v>
          </cell>
          <cell r="H1611">
            <v>147.63</v>
          </cell>
          <cell r="I1611">
            <v>0</v>
          </cell>
          <cell r="J1611">
            <v>147.63</v>
          </cell>
          <cell r="K1611">
            <v>0.32</v>
          </cell>
        </row>
        <row r="1612">
          <cell r="A1612" t="str">
            <v>LU1883856210</v>
          </cell>
          <cell r="B1612" t="str">
            <v>AMUNDI FUNDS US EQUITY FUNDAMENTAL GROWTH</v>
          </cell>
          <cell r="C1612" t="str">
            <v>Class Q-D USD (C)</v>
          </cell>
          <cell r="D1612" t="str">
            <v>USD</v>
          </cell>
          <cell r="E1612">
            <v>45747</v>
          </cell>
          <cell r="F1612">
            <v>11391025.51</v>
          </cell>
          <cell r="G1612">
            <v>49366.252</v>
          </cell>
          <cell r="H1612">
            <v>230.75</v>
          </cell>
          <cell r="I1612">
            <v>0</v>
          </cell>
          <cell r="J1612">
            <v>237.67</v>
          </cell>
          <cell r="K1612">
            <v>0.48</v>
          </cell>
        </row>
        <row r="1613">
          <cell r="A1613" t="str">
            <v>LU2259109366</v>
          </cell>
          <cell r="B1613" t="str">
            <v>AMUNDI FUNDS US EQUITY FUNDAMENTAL GROWTH</v>
          </cell>
          <cell r="C1613" t="str">
            <v>Class R3 GBP AD (D)</v>
          </cell>
          <cell r="D1613" t="str">
            <v>GBP</v>
          </cell>
          <cell r="E1613">
            <v>45747</v>
          </cell>
          <cell r="F1613">
            <v>7832.56</v>
          </cell>
          <cell r="G1613">
            <v>500</v>
          </cell>
          <cell r="H1613">
            <v>15.67</v>
          </cell>
          <cell r="I1613">
            <v>0</v>
          </cell>
          <cell r="J1613">
            <v>15.67</v>
          </cell>
          <cell r="K1613">
            <v>0.08</v>
          </cell>
        </row>
        <row r="1614">
          <cell r="A1614" t="str">
            <v>LU2778930532</v>
          </cell>
          <cell r="B1614" t="str">
            <v>AMUNDI FUNDS US EQUITY FUNDAMENTAL GROWTH</v>
          </cell>
          <cell r="C1614" t="str">
            <v>Class R12 EUR (C)</v>
          </cell>
          <cell r="D1614" t="str">
            <v>EUR</v>
          </cell>
          <cell r="E1614">
            <v>45747</v>
          </cell>
          <cell r="F1614">
            <v>5111.7700000000004</v>
          </cell>
          <cell r="G1614">
            <v>100</v>
          </cell>
          <cell r="H1614">
            <v>51.12</v>
          </cell>
          <cell r="I1614">
            <v>0</v>
          </cell>
          <cell r="J1614">
            <v>51.12</v>
          </cell>
          <cell r="K1614">
            <v>0.21</v>
          </cell>
        </row>
        <row r="1615">
          <cell r="A1615" t="str">
            <v>LU2259109283</v>
          </cell>
          <cell r="B1615" t="str">
            <v>AMUNDI FUNDS US EQUITY FUNDAMENTAL GROWTH</v>
          </cell>
          <cell r="C1615" t="str">
            <v>Class R3 GBP (C)</v>
          </cell>
          <cell r="D1615" t="str">
            <v>GBP</v>
          </cell>
          <cell r="E1615">
            <v>45747</v>
          </cell>
          <cell r="F1615">
            <v>7835.25</v>
          </cell>
          <cell r="G1615">
            <v>500</v>
          </cell>
          <cell r="H1615">
            <v>15.67</v>
          </cell>
          <cell r="I1615">
            <v>0</v>
          </cell>
          <cell r="J1615">
            <v>15.67</v>
          </cell>
          <cell r="K1615">
            <v>7.0000000000000007E-2</v>
          </cell>
        </row>
        <row r="1616">
          <cell r="A1616" t="str">
            <v>LU1883856640</v>
          </cell>
          <cell r="B1616" t="str">
            <v>AMUNDI FUNDS US EQUITY FUNDAMENTAL GROWTH</v>
          </cell>
          <cell r="C1616" t="str">
            <v>Class R2 USD (C)</v>
          </cell>
          <cell r="D1616" t="str">
            <v>USD</v>
          </cell>
          <cell r="E1616">
            <v>45747</v>
          </cell>
          <cell r="F1616">
            <v>22922861.649999999</v>
          </cell>
          <cell r="G1616">
            <v>91225.084000000003</v>
          </cell>
          <cell r="H1616">
            <v>251.28</v>
          </cell>
          <cell r="I1616">
            <v>0</v>
          </cell>
          <cell r="J1616">
            <v>251.28</v>
          </cell>
          <cell r="K1616">
            <v>0.55000000000000004</v>
          </cell>
        </row>
        <row r="1617">
          <cell r="A1617" t="str">
            <v>LU2036673700</v>
          </cell>
          <cell r="B1617" t="str">
            <v>AMUNDI FUNDS US EQUITY FUNDAMENTAL GROWTH</v>
          </cell>
          <cell r="C1617" t="str">
            <v>Class G EUR Hgd (C)</v>
          </cell>
          <cell r="D1617" t="str">
            <v>EUR</v>
          </cell>
          <cell r="E1617">
            <v>45747</v>
          </cell>
          <cell r="F1617">
            <v>16625111.529999999</v>
          </cell>
          <cell r="G1617">
            <v>1993091.83</v>
          </cell>
          <cell r="H1617">
            <v>8.3409999999999993</v>
          </cell>
          <cell r="I1617">
            <v>0</v>
          </cell>
          <cell r="J1617">
            <v>8.3409999999999993</v>
          </cell>
          <cell r="K1617">
            <v>1.7000000000000001E-2</v>
          </cell>
        </row>
        <row r="1618">
          <cell r="A1618" t="str">
            <v>LU2034727813</v>
          </cell>
          <cell r="B1618" t="str">
            <v>AMUNDI FUNDS US EQUITY FUNDAMENTAL GROWTH</v>
          </cell>
          <cell r="C1618" t="str">
            <v>Class X USD (C)</v>
          </cell>
          <cell r="D1618" t="str">
            <v>USD</v>
          </cell>
          <cell r="E1618">
            <v>45747</v>
          </cell>
          <cell r="F1618">
            <v>10832.2</v>
          </cell>
          <cell r="G1618">
            <v>5</v>
          </cell>
          <cell r="H1618">
            <v>2166.44</v>
          </cell>
          <cell r="I1618">
            <v>0</v>
          </cell>
          <cell r="J1618">
            <v>2166.44</v>
          </cell>
          <cell r="K1618">
            <v>4.9000000000000004</v>
          </cell>
        </row>
        <row r="1619">
          <cell r="A1619" t="str">
            <v>LU2040440740</v>
          </cell>
          <cell r="B1619" t="str">
            <v>AMUNDI FUNDS US EQUITY FUNDAMENTAL GROWTH</v>
          </cell>
          <cell r="C1619" t="str">
            <v>Class Z USD (C)</v>
          </cell>
          <cell r="D1619" t="str">
            <v>USD</v>
          </cell>
          <cell r="E1619">
            <v>45747</v>
          </cell>
          <cell r="F1619">
            <v>1045235.54</v>
          </cell>
          <cell r="G1619">
            <v>519.89599999999996</v>
          </cell>
          <cell r="H1619">
            <v>2010.47</v>
          </cell>
          <cell r="I1619">
            <v>0</v>
          </cell>
          <cell r="J1619">
            <v>2010.47</v>
          </cell>
          <cell r="K1619">
            <v>4.46</v>
          </cell>
        </row>
        <row r="1620">
          <cell r="A1620" t="str">
            <v>LU2183143762</v>
          </cell>
          <cell r="B1620" t="str">
            <v>AMUNDI FUNDS GLOBAL MULTI-ASSET</v>
          </cell>
          <cell r="C1620" t="str">
            <v>Class A2 USD (C)</v>
          </cell>
          <cell r="D1620" t="str">
            <v>USD</v>
          </cell>
          <cell r="E1620">
            <v>45747</v>
          </cell>
          <cell r="F1620">
            <v>766017.29</v>
          </cell>
          <cell r="G1620">
            <v>13019</v>
          </cell>
          <cell r="H1620">
            <v>58.84</v>
          </cell>
          <cell r="I1620">
            <v>0</v>
          </cell>
          <cell r="J1620">
            <v>58.84</v>
          </cell>
          <cell r="K1620">
            <v>-0.34</v>
          </cell>
        </row>
        <row r="1621">
          <cell r="A1621" t="str">
            <v>LU1883327816</v>
          </cell>
          <cell r="B1621" t="str">
            <v>AMUNDI FUNDS GLOBAL MULTI-ASSET</v>
          </cell>
          <cell r="C1621" t="str">
            <v>Class A EUR (C)</v>
          </cell>
          <cell r="D1621" t="str">
            <v>EUR</v>
          </cell>
          <cell r="E1621">
            <v>45747</v>
          </cell>
          <cell r="F1621">
            <v>37826548.229999997</v>
          </cell>
          <cell r="G1621">
            <v>311421.75900000002</v>
          </cell>
          <cell r="H1621">
            <v>121.46</v>
          </cell>
          <cell r="I1621">
            <v>0</v>
          </cell>
          <cell r="J1621">
            <v>126.93</v>
          </cell>
          <cell r="K1621">
            <v>-0.47</v>
          </cell>
        </row>
        <row r="1622">
          <cell r="A1622" t="str">
            <v>LU2183143689</v>
          </cell>
          <cell r="B1622" t="str">
            <v>AMUNDI FUNDS GLOBAL MULTI-ASSET</v>
          </cell>
          <cell r="C1622" t="str">
            <v>Class A2 EUR (C)</v>
          </cell>
          <cell r="D1622" t="str">
            <v>EUR</v>
          </cell>
          <cell r="E1622">
            <v>45747</v>
          </cell>
          <cell r="F1622">
            <v>40265719.020000003</v>
          </cell>
          <cell r="G1622">
            <v>661198.72400000005</v>
          </cell>
          <cell r="H1622">
            <v>60.9</v>
          </cell>
          <cell r="I1622">
            <v>0</v>
          </cell>
          <cell r="J1622">
            <v>60.9</v>
          </cell>
          <cell r="K1622">
            <v>-0.23</v>
          </cell>
        </row>
        <row r="1623">
          <cell r="A1623" t="str">
            <v>LU1883327907</v>
          </cell>
          <cell r="B1623" t="str">
            <v>AMUNDI FUNDS GLOBAL MULTI-ASSET</v>
          </cell>
          <cell r="C1623" t="str">
            <v>Class A USD (C)</v>
          </cell>
          <cell r="D1623" t="str">
            <v>USD</v>
          </cell>
          <cell r="E1623">
            <v>45747</v>
          </cell>
          <cell r="F1623">
            <v>2185076.65</v>
          </cell>
          <cell r="G1623">
            <v>16651.879000000001</v>
          </cell>
          <cell r="H1623">
            <v>131.22</v>
          </cell>
          <cell r="I1623">
            <v>0</v>
          </cell>
          <cell r="J1623">
            <v>137.12</v>
          </cell>
          <cell r="K1623">
            <v>-0.76</v>
          </cell>
        </row>
        <row r="1624">
          <cell r="A1624" t="str">
            <v>LU1883328970</v>
          </cell>
          <cell r="B1624" t="str">
            <v>AMUNDI FUNDS GLOBAL MULTI-ASSET</v>
          </cell>
          <cell r="C1624" t="str">
            <v>Class M2 EUR (C)</v>
          </cell>
          <cell r="D1624" t="str">
            <v>EUR</v>
          </cell>
          <cell r="E1624">
            <v>45747</v>
          </cell>
          <cell r="F1624">
            <v>107766511.45</v>
          </cell>
          <cell r="G1624">
            <v>67178.868000000002</v>
          </cell>
          <cell r="H1624">
            <v>1604.17</v>
          </cell>
          <cell r="I1624">
            <v>0</v>
          </cell>
          <cell r="J1624">
            <v>1604.17</v>
          </cell>
          <cell r="K1624">
            <v>-6.02</v>
          </cell>
        </row>
        <row r="1625">
          <cell r="A1625" t="str">
            <v>LU1883328038</v>
          </cell>
          <cell r="B1625" t="str">
            <v>AMUNDI FUNDS GLOBAL MULTI-ASSET</v>
          </cell>
          <cell r="C1625" t="str">
            <v>Class C EUR (C)</v>
          </cell>
          <cell r="D1625" t="str">
            <v>EUR</v>
          </cell>
          <cell r="E1625">
            <v>45747</v>
          </cell>
          <cell r="F1625">
            <v>5216575.68</v>
          </cell>
          <cell r="G1625">
            <v>49263.673999999999</v>
          </cell>
          <cell r="H1625">
            <v>105.89</v>
          </cell>
          <cell r="I1625">
            <v>0</v>
          </cell>
          <cell r="J1625">
            <v>105.89</v>
          </cell>
          <cell r="K1625">
            <v>-0.41</v>
          </cell>
        </row>
        <row r="1626">
          <cell r="A1626" t="str">
            <v>LU1883328111</v>
          </cell>
          <cell r="B1626" t="str">
            <v>AMUNDI FUNDS GLOBAL MULTI-ASSET</v>
          </cell>
          <cell r="C1626" t="str">
            <v>Class C USD (C)</v>
          </cell>
          <cell r="D1626" t="str">
            <v>USD</v>
          </cell>
          <cell r="E1626">
            <v>45747</v>
          </cell>
          <cell r="F1626">
            <v>904872.49</v>
          </cell>
          <cell r="G1626">
            <v>7910.7479999999996</v>
          </cell>
          <cell r="H1626">
            <v>114.39</v>
          </cell>
          <cell r="I1626">
            <v>0</v>
          </cell>
          <cell r="J1626">
            <v>114.39</v>
          </cell>
          <cell r="K1626">
            <v>-0.67</v>
          </cell>
        </row>
        <row r="1627">
          <cell r="A1627" t="str">
            <v>LU2199618633</v>
          </cell>
          <cell r="B1627" t="str">
            <v>AMUNDI FUNDS GLOBAL MULTI-ASSET</v>
          </cell>
          <cell r="C1627" t="str">
            <v>Class I2 CZK Hgd (C)</v>
          </cell>
          <cell r="D1627" t="str">
            <v>CZK</v>
          </cell>
          <cell r="E1627">
            <v>45747</v>
          </cell>
          <cell r="F1627">
            <v>65826670.68</v>
          </cell>
          <cell r="G1627">
            <v>5455.1390000000001</v>
          </cell>
          <cell r="H1627">
            <v>12066.91</v>
          </cell>
          <cell r="I1627">
            <v>0</v>
          </cell>
          <cell r="J1627">
            <v>12066.91</v>
          </cell>
          <cell r="K1627">
            <v>-44.97</v>
          </cell>
        </row>
        <row r="1628">
          <cell r="A1628" t="str">
            <v>LU1883328202</v>
          </cell>
          <cell r="B1628" t="str">
            <v>AMUNDI FUNDS GLOBAL MULTI-ASSET</v>
          </cell>
          <cell r="C1628" t="str">
            <v>Class E2 EUR (C)</v>
          </cell>
          <cell r="D1628" t="str">
            <v>EUR</v>
          </cell>
          <cell r="E1628">
            <v>45747</v>
          </cell>
          <cell r="F1628">
            <v>101862805.78</v>
          </cell>
          <cell r="G1628">
            <v>8268792.04</v>
          </cell>
          <cell r="H1628">
            <v>12.319000000000001</v>
          </cell>
          <cell r="I1628">
            <v>0</v>
          </cell>
          <cell r="J1628">
            <v>12.319000000000001</v>
          </cell>
          <cell r="K1628">
            <v>-4.7E-2</v>
          </cell>
        </row>
        <row r="1629">
          <cell r="A1629" t="str">
            <v>LU1883328384</v>
          </cell>
          <cell r="B1629" t="str">
            <v>AMUNDI FUNDS GLOBAL MULTI-ASSET</v>
          </cell>
          <cell r="C1629" t="str">
            <v>Class F EUR (C)</v>
          </cell>
          <cell r="D1629" t="str">
            <v>EUR</v>
          </cell>
          <cell r="E1629">
            <v>45747</v>
          </cell>
          <cell r="F1629">
            <v>16153657.199999999</v>
          </cell>
          <cell r="G1629">
            <v>1473889.6569999999</v>
          </cell>
          <cell r="H1629">
            <v>10.96</v>
          </cell>
          <cell r="I1629">
            <v>0</v>
          </cell>
          <cell r="J1629">
            <v>10.96</v>
          </cell>
          <cell r="K1629">
            <v>-4.2000000000000003E-2</v>
          </cell>
        </row>
        <row r="1630">
          <cell r="A1630" t="str">
            <v>LU1897306830</v>
          </cell>
          <cell r="B1630" t="str">
            <v>AMUNDI FUNDS GLOBAL MULTI-ASSET</v>
          </cell>
          <cell r="C1630" t="str">
            <v>Class I2 GBP (C)</v>
          </cell>
          <cell r="D1630" t="str">
            <v>GBP</v>
          </cell>
          <cell r="E1630">
            <v>45747</v>
          </cell>
          <cell r="F1630">
            <v>5881.76</v>
          </cell>
          <cell r="G1630">
            <v>5</v>
          </cell>
          <cell r="H1630">
            <v>1176.3499999999999</v>
          </cell>
          <cell r="I1630">
            <v>0</v>
          </cell>
          <cell r="J1630">
            <v>1176.3499999999999</v>
          </cell>
          <cell r="K1630">
            <v>-3.63</v>
          </cell>
        </row>
        <row r="1631">
          <cell r="A1631" t="str">
            <v>LU1883328624</v>
          </cell>
          <cell r="B1631" t="str">
            <v>AMUNDI FUNDS GLOBAL MULTI-ASSET</v>
          </cell>
          <cell r="C1631" t="str">
            <v>Class I2 USD (C)</v>
          </cell>
          <cell r="D1631" t="str">
            <v>USD</v>
          </cell>
          <cell r="E1631">
            <v>45747</v>
          </cell>
          <cell r="F1631">
            <v>53945.75</v>
          </cell>
          <cell r="G1631">
            <v>30.628</v>
          </cell>
          <cell r="H1631">
            <v>1761.32</v>
          </cell>
          <cell r="I1631">
            <v>0</v>
          </cell>
          <cell r="J1631">
            <v>1761.32</v>
          </cell>
          <cell r="K1631">
            <v>-10.029999999999999</v>
          </cell>
        </row>
        <row r="1632">
          <cell r="A1632" t="str">
            <v>LU1883328897</v>
          </cell>
          <cell r="B1632" t="str">
            <v>AMUNDI FUNDS GLOBAL MULTI-ASSET</v>
          </cell>
          <cell r="C1632" t="str">
            <v>Class I2 USD Hgd (C)</v>
          </cell>
          <cell r="D1632" t="str">
            <v>USD</v>
          </cell>
          <cell r="E1632">
            <v>45747</v>
          </cell>
          <cell r="F1632">
            <v>180974.89</v>
          </cell>
          <cell r="G1632">
            <v>112</v>
          </cell>
          <cell r="H1632">
            <v>1615.85</v>
          </cell>
          <cell r="I1632">
            <v>0</v>
          </cell>
          <cell r="J1632">
            <v>1615.85</v>
          </cell>
          <cell r="K1632">
            <v>-5.92</v>
          </cell>
        </row>
        <row r="1633">
          <cell r="A1633" t="str">
            <v>LU1883328541</v>
          </cell>
          <cell r="B1633" t="str">
            <v>AMUNDI FUNDS GLOBAL MULTI-ASSET</v>
          </cell>
          <cell r="C1633" t="str">
            <v>Class I2 EUR (C)</v>
          </cell>
          <cell r="D1633" t="str">
            <v>EUR</v>
          </cell>
          <cell r="E1633">
            <v>45747</v>
          </cell>
          <cell r="F1633">
            <v>31061706.469999999</v>
          </cell>
          <cell r="G1633">
            <v>19047.088</v>
          </cell>
          <cell r="H1633">
            <v>1630.79</v>
          </cell>
          <cell r="I1633">
            <v>0</v>
          </cell>
          <cell r="J1633">
            <v>1630.79</v>
          </cell>
          <cell r="K1633">
            <v>-6.09</v>
          </cell>
        </row>
        <row r="1634">
          <cell r="A1634" t="str">
            <v>LU1883328467</v>
          </cell>
          <cell r="B1634" t="str">
            <v>AMUNDI FUNDS GLOBAL MULTI-ASSET</v>
          </cell>
          <cell r="C1634" t="str">
            <v>Class G EUR (C)</v>
          </cell>
          <cell r="D1634" t="str">
            <v>EUR</v>
          </cell>
          <cell r="E1634">
            <v>45747</v>
          </cell>
          <cell r="F1634">
            <v>96435689.299999997</v>
          </cell>
          <cell r="G1634">
            <v>16316714.82</v>
          </cell>
          <cell r="H1634">
            <v>5.91</v>
          </cell>
          <cell r="I1634">
            <v>0</v>
          </cell>
          <cell r="J1634">
            <v>5.91</v>
          </cell>
          <cell r="K1634">
            <v>-2.3E-2</v>
          </cell>
        </row>
        <row r="1635">
          <cell r="A1635" t="str">
            <v>LU1883329192</v>
          </cell>
          <cell r="B1635" t="str">
            <v>AMUNDI FUNDS GLOBAL MULTI-ASSET</v>
          </cell>
          <cell r="C1635" t="str">
            <v>Class R2 EUR (C)</v>
          </cell>
          <cell r="D1635" t="str">
            <v>EUR</v>
          </cell>
          <cell r="E1635">
            <v>45747</v>
          </cell>
          <cell r="F1635">
            <v>19573.96</v>
          </cell>
          <cell r="G1635">
            <v>300</v>
          </cell>
          <cell r="H1635">
            <v>65.25</v>
          </cell>
          <cell r="I1635">
            <v>0</v>
          </cell>
          <cell r="J1635">
            <v>65.25</v>
          </cell>
          <cell r="K1635">
            <v>-0.24</v>
          </cell>
        </row>
        <row r="1636">
          <cell r="A1636" t="str">
            <v>LU2070307595</v>
          </cell>
          <cell r="B1636" t="str">
            <v>AMUNDI FUNDS EUROPEAN EQUITY INCOME ESG</v>
          </cell>
          <cell r="C1636" t="str">
            <v>Class A5 EUR (C)</v>
          </cell>
          <cell r="D1636" t="str">
            <v>EUR</v>
          </cell>
          <cell r="E1636">
            <v>45747</v>
          </cell>
          <cell r="F1636">
            <v>5774324.4500000002</v>
          </cell>
          <cell r="G1636">
            <v>54201.457000000002</v>
          </cell>
          <cell r="H1636">
            <v>106.53</v>
          </cell>
          <cell r="I1636">
            <v>0</v>
          </cell>
          <cell r="J1636">
            <v>106.53</v>
          </cell>
          <cell r="K1636">
            <v>-1.49</v>
          </cell>
        </row>
        <row r="1637">
          <cell r="A1637" t="str">
            <v>LU1883310846</v>
          </cell>
          <cell r="B1637" t="str">
            <v>AMUNDI FUNDS EUROPEAN EQUITY INCOME ESG</v>
          </cell>
          <cell r="C1637" t="str">
            <v>Class A2 AUD Hgd QTI (D)</v>
          </cell>
          <cell r="D1637" t="str">
            <v>AUD</v>
          </cell>
          <cell r="E1637">
            <v>45747</v>
          </cell>
          <cell r="F1637">
            <v>207662.4</v>
          </cell>
          <cell r="G1637">
            <v>4148.5200000000004</v>
          </cell>
          <cell r="H1637">
            <v>50.06</v>
          </cell>
          <cell r="I1637">
            <v>0</v>
          </cell>
          <cell r="J1637">
            <v>52.31</v>
          </cell>
          <cell r="K1637">
            <v>-0.69</v>
          </cell>
        </row>
        <row r="1638">
          <cell r="A1638" t="str">
            <v>LU1883310929</v>
          </cell>
          <cell r="B1638" t="str">
            <v>AMUNDI FUNDS EUROPEAN EQUITY INCOME ESG</v>
          </cell>
          <cell r="C1638" t="str">
            <v>Class A2 CHF Hgd SATI (D)</v>
          </cell>
          <cell r="D1638" t="str">
            <v>CHF</v>
          </cell>
          <cell r="E1638">
            <v>45747</v>
          </cell>
          <cell r="F1638">
            <v>3922305.82</v>
          </cell>
          <cell r="G1638">
            <v>105496.632</v>
          </cell>
          <cell r="H1638">
            <v>37.18</v>
          </cell>
          <cell r="I1638">
            <v>0</v>
          </cell>
          <cell r="J1638">
            <v>38.85</v>
          </cell>
          <cell r="K1638">
            <v>-0.51</v>
          </cell>
        </row>
        <row r="1639">
          <cell r="A1639" t="str">
            <v>LU1883311067</v>
          </cell>
          <cell r="B1639" t="str">
            <v>AMUNDI FUNDS EUROPEAN EQUITY INCOME ESG</v>
          </cell>
          <cell r="C1639" t="str">
            <v>Class A2 CZK Hgd (C)</v>
          </cell>
          <cell r="D1639" t="str">
            <v>CZK</v>
          </cell>
          <cell r="E1639">
            <v>45747</v>
          </cell>
          <cell r="F1639">
            <v>378466914.61000001</v>
          </cell>
          <cell r="G1639">
            <v>224734.38800000001</v>
          </cell>
          <cell r="H1639">
            <v>1684.06</v>
          </cell>
          <cell r="I1639">
            <v>0</v>
          </cell>
          <cell r="J1639">
            <v>1759.84</v>
          </cell>
          <cell r="K1639">
            <v>-23.11</v>
          </cell>
        </row>
        <row r="1640">
          <cell r="A1640" t="str">
            <v>LU1883311141</v>
          </cell>
          <cell r="B1640" t="str">
            <v>AMUNDI FUNDS EUROPEAN EQUITY INCOME ESG</v>
          </cell>
          <cell r="C1640" t="str">
            <v>Class A2 CZK Hgd SATI (D)</v>
          </cell>
          <cell r="D1640" t="str">
            <v>CZK</v>
          </cell>
          <cell r="E1640">
            <v>45747</v>
          </cell>
          <cell r="F1640">
            <v>1027550310.53</v>
          </cell>
          <cell r="G1640">
            <v>778593.21299999999</v>
          </cell>
          <cell r="H1640">
            <v>1319.75</v>
          </cell>
          <cell r="I1640">
            <v>0</v>
          </cell>
          <cell r="J1640">
            <v>1379.14</v>
          </cell>
          <cell r="K1640">
            <v>-18.100000000000001</v>
          </cell>
        </row>
        <row r="1641">
          <cell r="A1641" t="str">
            <v>LU1883313279</v>
          </cell>
          <cell r="B1641" t="str">
            <v>AMUNDI FUNDS EUROPEAN EQUITY INCOME ESG</v>
          </cell>
          <cell r="C1641" t="str">
            <v>Class M2 EUR (C)</v>
          </cell>
          <cell r="D1641" t="str">
            <v>EUR</v>
          </cell>
          <cell r="E1641">
            <v>45747</v>
          </cell>
          <cell r="F1641">
            <v>2538928.7400000002</v>
          </cell>
          <cell r="G1641">
            <v>930.30700000000002</v>
          </cell>
          <cell r="H1641">
            <v>2729.13</v>
          </cell>
          <cell r="I1641">
            <v>0</v>
          </cell>
          <cell r="J1641">
            <v>2729.13</v>
          </cell>
          <cell r="K1641">
            <v>-38.049999999999997</v>
          </cell>
        </row>
        <row r="1642">
          <cell r="A1642" t="str">
            <v>LU1883312032</v>
          </cell>
          <cell r="B1642" t="str">
            <v>AMUNDI FUNDS EUROPEAN EQUITY INCOME ESG</v>
          </cell>
          <cell r="C1642" t="str">
            <v>Class C EUR (C)</v>
          </cell>
          <cell r="D1642" t="str">
            <v>EUR</v>
          </cell>
          <cell r="E1642">
            <v>45747</v>
          </cell>
          <cell r="F1642">
            <v>767848.86</v>
          </cell>
          <cell r="G1642">
            <v>8815.0570000000007</v>
          </cell>
          <cell r="H1642">
            <v>87.11</v>
          </cell>
          <cell r="I1642">
            <v>0</v>
          </cell>
          <cell r="J1642">
            <v>87.11</v>
          </cell>
          <cell r="K1642">
            <v>-1.22</v>
          </cell>
        </row>
        <row r="1643">
          <cell r="A1643" t="str">
            <v>LU1883312115</v>
          </cell>
          <cell r="B1643" t="str">
            <v>AMUNDI FUNDS EUROPEAN EQUITY INCOME ESG</v>
          </cell>
          <cell r="C1643" t="str">
            <v>Class C EUR SATI (D)</v>
          </cell>
          <cell r="D1643" t="str">
            <v>EUR</v>
          </cell>
          <cell r="E1643">
            <v>45747</v>
          </cell>
          <cell r="F1643">
            <v>380729.2</v>
          </cell>
          <cell r="G1643">
            <v>9445.9599999999991</v>
          </cell>
          <cell r="H1643">
            <v>40.31</v>
          </cell>
          <cell r="I1643">
            <v>0</v>
          </cell>
          <cell r="J1643">
            <v>40.31</v>
          </cell>
          <cell r="K1643">
            <v>-0.56000000000000005</v>
          </cell>
        </row>
        <row r="1644">
          <cell r="A1644" t="str">
            <v>LU1883311737</v>
          </cell>
          <cell r="B1644" t="str">
            <v>AMUNDI FUNDS EUROPEAN EQUITY INCOME ESG</v>
          </cell>
          <cell r="C1644" t="str">
            <v>Class A2 SGD Hgd QTI (D)</v>
          </cell>
          <cell r="D1644" t="str">
            <v>SGD</v>
          </cell>
          <cell r="E1644">
            <v>45747</v>
          </cell>
          <cell r="F1644">
            <v>223434.53</v>
          </cell>
          <cell r="G1644">
            <v>4504.9669999999996</v>
          </cell>
          <cell r="H1644">
            <v>49.6</v>
          </cell>
          <cell r="I1644">
            <v>0</v>
          </cell>
          <cell r="J1644">
            <v>51.83</v>
          </cell>
          <cell r="K1644">
            <v>-0.68</v>
          </cell>
        </row>
        <row r="1645">
          <cell r="A1645" t="str">
            <v>LU1883311810</v>
          </cell>
          <cell r="B1645" t="str">
            <v>AMUNDI FUNDS EUROPEAN EQUITY INCOME ESG</v>
          </cell>
          <cell r="C1645" t="str">
            <v>Class A2 USD Hgd QTI (D)</v>
          </cell>
          <cell r="D1645" t="str">
            <v>USD</v>
          </cell>
          <cell r="E1645">
            <v>45747</v>
          </cell>
          <cell r="F1645">
            <v>4150663</v>
          </cell>
          <cell r="G1645">
            <v>79504.849000000002</v>
          </cell>
          <cell r="H1645">
            <v>52.21</v>
          </cell>
          <cell r="I1645">
            <v>0</v>
          </cell>
          <cell r="J1645">
            <v>54.56</v>
          </cell>
          <cell r="K1645">
            <v>-0.71</v>
          </cell>
        </row>
        <row r="1646">
          <cell r="A1646" t="str">
            <v>LU1883311224</v>
          </cell>
          <cell r="B1646" t="str">
            <v>AMUNDI FUNDS EUROPEAN EQUITY INCOME ESG</v>
          </cell>
          <cell r="C1646" t="str">
            <v>Class A2 EUR (C)</v>
          </cell>
          <cell r="D1646" t="str">
            <v>EUR</v>
          </cell>
          <cell r="E1646">
            <v>45747</v>
          </cell>
          <cell r="F1646">
            <v>152691218.81999999</v>
          </cell>
          <cell r="G1646">
            <v>1728004.602</v>
          </cell>
          <cell r="H1646">
            <v>88.36</v>
          </cell>
          <cell r="I1646">
            <v>0</v>
          </cell>
          <cell r="J1646">
            <v>92.34</v>
          </cell>
          <cell r="K1646">
            <v>-1.24</v>
          </cell>
        </row>
        <row r="1647">
          <cell r="A1647" t="str">
            <v>LU1883311570</v>
          </cell>
          <cell r="B1647" t="str">
            <v>AMUNDI FUNDS EUROPEAN EQUITY INCOME ESG</v>
          </cell>
          <cell r="C1647" t="str">
            <v>Class A2 EUR MTI (D)</v>
          </cell>
          <cell r="D1647" t="str">
            <v>EUR</v>
          </cell>
          <cell r="E1647">
            <v>45747</v>
          </cell>
          <cell r="F1647">
            <v>438934.25</v>
          </cell>
          <cell r="G1647">
            <v>8217.1869999999999</v>
          </cell>
          <cell r="H1647">
            <v>53.42</v>
          </cell>
          <cell r="I1647">
            <v>0</v>
          </cell>
          <cell r="J1647">
            <v>55.82</v>
          </cell>
          <cell r="K1647">
            <v>-0.75</v>
          </cell>
        </row>
        <row r="1648">
          <cell r="A1648" t="str">
            <v>LU1883312206</v>
          </cell>
          <cell r="B1648" t="str">
            <v>AMUNDI FUNDS EUROPEAN EQUITY INCOME ESG</v>
          </cell>
          <cell r="C1648" t="str">
            <v>Class E2 EUR (C)</v>
          </cell>
          <cell r="D1648" t="str">
            <v>EUR</v>
          </cell>
          <cell r="E1648">
            <v>45747</v>
          </cell>
          <cell r="F1648">
            <v>4199865.97</v>
          </cell>
          <cell r="G1648">
            <v>362708.79800000001</v>
          </cell>
          <cell r="H1648">
            <v>11.579000000000001</v>
          </cell>
          <cell r="I1648">
            <v>0</v>
          </cell>
          <cell r="J1648">
            <v>11.579000000000001</v>
          </cell>
          <cell r="K1648">
            <v>-0.16200000000000001</v>
          </cell>
        </row>
        <row r="1649">
          <cell r="A1649" t="str">
            <v>LU1883312388</v>
          </cell>
          <cell r="B1649" t="str">
            <v>AMUNDI FUNDS EUROPEAN EQUITY INCOME ESG</v>
          </cell>
          <cell r="C1649" t="str">
            <v>Class E2 EUR SATI (D)</v>
          </cell>
          <cell r="D1649" t="str">
            <v>EUR</v>
          </cell>
          <cell r="E1649">
            <v>45747</v>
          </cell>
          <cell r="F1649">
            <v>49488943.909999996</v>
          </cell>
          <cell r="G1649">
            <v>8545281.4649999999</v>
          </cell>
          <cell r="H1649">
            <v>5.7910000000000004</v>
          </cell>
          <cell r="I1649">
            <v>0</v>
          </cell>
          <cell r="J1649">
            <v>5.7910000000000004</v>
          </cell>
          <cell r="K1649">
            <v>-8.2000000000000003E-2</v>
          </cell>
        </row>
        <row r="1650">
          <cell r="A1650" t="str">
            <v>LU1883313436</v>
          </cell>
          <cell r="B1650" t="str">
            <v>AMUNDI FUNDS EUROPEAN EQUITY INCOME ESG</v>
          </cell>
          <cell r="C1650" t="str">
            <v>Class M2 EUR SATI (D)</v>
          </cell>
          <cell r="D1650" t="str">
            <v>EUR</v>
          </cell>
          <cell r="E1650">
            <v>45747</v>
          </cell>
          <cell r="F1650">
            <v>9860871.9700000007</v>
          </cell>
          <cell r="G1650">
            <v>8759.8979999999992</v>
          </cell>
          <cell r="H1650">
            <v>1125.68</v>
          </cell>
          <cell r="I1650">
            <v>0</v>
          </cell>
          <cell r="J1650">
            <v>1125.68</v>
          </cell>
          <cell r="K1650">
            <v>-15.7</v>
          </cell>
        </row>
        <row r="1651">
          <cell r="A1651" t="str">
            <v>LU1883312891</v>
          </cell>
          <cell r="B1651" t="str">
            <v>AMUNDI FUNDS EUROPEAN EQUITY INCOME ESG</v>
          </cell>
          <cell r="C1651" t="str">
            <v>Class I2 EUR SATI (D)</v>
          </cell>
          <cell r="D1651" t="str">
            <v>EUR</v>
          </cell>
          <cell r="E1651">
            <v>45747</v>
          </cell>
          <cell r="F1651">
            <v>33952196.880000003</v>
          </cell>
          <cell r="G1651">
            <v>25358.719000000001</v>
          </cell>
          <cell r="H1651">
            <v>1338.88</v>
          </cell>
          <cell r="I1651">
            <v>0</v>
          </cell>
          <cell r="J1651">
            <v>1338.88</v>
          </cell>
          <cell r="K1651">
            <v>-18.649999999999999</v>
          </cell>
        </row>
        <row r="1652">
          <cell r="A1652" t="str">
            <v>LU1883312545</v>
          </cell>
          <cell r="B1652" t="str">
            <v>AMUNDI FUNDS EUROPEAN EQUITY INCOME ESG</v>
          </cell>
          <cell r="C1652" t="str">
            <v>Class I2 EUR (C)</v>
          </cell>
          <cell r="D1652" t="str">
            <v>EUR</v>
          </cell>
          <cell r="E1652">
            <v>45747</v>
          </cell>
          <cell r="F1652">
            <v>26907767.539999999</v>
          </cell>
          <cell r="G1652">
            <v>13276.223</v>
          </cell>
          <cell r="H1652">
            <v>2026.76</v>
          </cell>
          <cell r="I1652">
            <v>0</v>
          </cell>
          <cell r="J1652">
            <v>2026.76</v>
          </cell>
          <cell r="K1652">
            <v>-28.24</v>
          </cell>
        </row>
        <row r="1653">
          <cell r="A1653" t="str">
            <v>LU1883312628</v>
          </cell>
          <cell r="B1653" t="str">
            <v>AMUNDI FUNDS EUROPEAN EQUITY INCOME ESG</v>
          </cell>
          <cell r="C1653" t="str">
            <v>Class I2 EUR Hgd SATI (D)</v>
          </cell>
          <cell r="D1653" t="str">
            <v>EUR</v>
          </cell>
          <cell r="E1653">
            <v>45747</v>
          </cell>
          <cell r="F1653">
            <v>4470.6000000000004</v>
          </cell>
          <cell r="G1653">
            <v>4</v>
          </cell>
          <cell r="H1653">
            <v>1117.6500000000001</v>
          </cell>
          <cell r="I1653">
            <v>0</v>
          </cell>
          <cell r="J1653">
            <v>1117.6500000000001</v>
          </cell>
          <cell r="K1653">
            <v>-15.34</v>
          </cell>
        </row>
        <row r="1654">
          <cell r="A1654" t="str">
            <v>LU1883312974</v>
          </cell>
          <cell r="B1654" t="str">
            <v>AMUNDI FUNDS EUROPEAN EQUITY INCOME ESG</v>
          </cell>
          <cell r="C1654" t="str">
            <v>Class J2 EUR (C)</v>
          </cell>
          <cell r="D1654" t="str">
            <v>EUR</v>
          </cell>
          <cell r="E1654">
            <v>45747</v>
          </cell>
          <cell r="F1654">
            <v>16223.1</v>
          </cell>
          <cell r="G1654">
            <v>10</v>
          </cell>
          <cell r="H1654">
            <v>1622.31</v>
          </cell>
          <cell r="I1654">
            <v>0</v>
          </cell>
          <cell r="J1654">
            <v>1622.31</v>
          </cell>
          <cell r="K1654">
            <v>-22.59</v>
          </cell>
        </row>
        <row r="1655">
          <cell r="A1655" t="str">
            <v>LU1883312461</v>
          </cell>
          <cell r="B1655" t="str">
            <v>AMUNDI FUNDS EUROPEAN EQUITY INCOME ESG</v>
          </cell>
          <cell r="C1655" t="str">
            <v>Class G2 EUR SATI (D)</v>
          </cell>
          <cell r="D1655" t="str">
            <v>EUR</v>
          </cell>
          <cell r="E1655">
            <v>45747</v>
          </cell>
          <cell r="F1655">
            <v>2213804.16</v>
          </cell>
          <cell r="G1655">
            <v>444826.54399999999</v>
          </cell>
          <cell r="H1655">
            <v>4.9770000000000003</v>
          </cell>
          <cell r="I1655">
            <v>0</v>
          </cell>
          <cell r="J1655">
            <v>4.9770000000000003</v>
          </cell>
          <cell r="K1655">
            <v>-7.0000000000000007E-2</v>
          </cell>
        </row>
        <row r="1656">
          <cell r="A1656" t="str">
            <v>LU1883313519</v>
          </cell>
          <cell r="B1656" t="str">
            <v>AMUNDI FUNDS EUROPEAN EQUITY INCOME ESG</v>
          </cell>
          <cell r="C1656" t="str">
            <v>Class R2 EUR (C)</v>
          </cell>
          <cell r="D1656" t="str">
            <v>EUR</v>
          </cell>
          <cell r="E1656">
            <v>45747</v>
          </cell>
          <cell r="F1656">
            <v>4506163.7300000004</v>
          </cell>
          <cell r="G1656">
            <v>51826.892</v>
          </cell>
          <cell r="H1656">
            <v>86.95</v>
          </cell>
          <cell r="I1656">
            <v>0</v>
          </cell>
          <cell r="J1656">
            <v>86.95</v>
          </cell>
          <cell r="K1656">
            <v>-1.21</v>
          </cell>
        </row>
        <row r="1657">
          <cell r="A1657" t="str">
            <v>LU1883313600</v>
          </cell>
          <cell r="B1657" t="str">
            <v>AMUNDI FUNDS EUROPEAN EQUITY INCOME ESG</v>
          </cell>
          <cell r="C1657" t="str">
            <v>Class R2 EUR SATI (D)</v>
          </cell>
          <cell r="D1657" t="str">
            <v>EUR</v>
          </cell>
          <cell r="E1657">
            <v>45747</v>
          </cell>
          <cell r="F1657">
            <v>569404.97</v>
          </cell>
          <cell r="G1657">
            <v>11522.656000000001</v>
          </cell>
          <cell r="H1657">
            <v>49.42</v>
          </cell>
          <cell r="I1657">
            <v>0</v>
          </cell>
          <cell r="J1657">
            <v>49.42</v>
          </cell>
          <cell r="K1657">
            <v>-0.69</v>
          </cell>
        </row>
        <row r="1658">
          <cell r="A1658" t="str">
            <v>LU1883313949</v>
          </cell>
          <cell r="B1658" t="str">
            <v>AMUNDI FUNDS EUROPEAN EQUITY INCOME ESG</v>
          </cell>
          <cell r="C1658" t="str">
            <v>Class R2 USD Hgd SATI (D)</v>
          </cell>
          <cell r="D1658" t="str">
            <v>USD</v>
          </cell>
          <cell r="E1658">
            <v>45747</v>
          </cell>
          <cell r="F1658">
            <v>1139004.44</v>
          </cell>
          <cell r="G1658">
            <v>21690.98</v>
          </cell>
          <cell r="H1658">
            <v>52.51</v>
          </cell>
          <cell r="I1658">
            <v>0</v>
          </cell>
          <cell r="J1658">
            <v>52.51</v>
          </cell>
          <cell r="K1658">
            <v>-0.71</v>
          </cell>
        </row>
        <row r="1659">
          <cell r="A1659" t="str">
            <v>LU1883311653</v>
          </cell>
          <cell r="B1659" t="str">
            <v>AMUNDI FUNDS EUROPEAN EQUITY INCOME ESG</v>
          </cell>
          <cell r="C1659" t="str">
            <v>Class A2 EUR SATI (D)</v>
          </cell>
          <cell r="D1659" t="str">
            <v>EUR</v>
          </cell>
          <cell r="E1659">
            <v>45747</v>
          </cell>
          <cell r="F1659">
            <v>432690516.68000001</v>
          </cell>
          <cell r="G1659">
            <v>7459616.5820000004</v>
          </cell>
          <cell r="H1659">
            <v>58</v>
          </cell>
          <cell r="I1659">
            <v>0</v>
          </cell>
          <cell r="J1659">
            <v>60.61</v>
          </cell>
          <cell r="K1659">
            <v>-0.82</v>
          </cell>
        </row>
        <row r="1660">
          <cell r="A1660" t="str">
            <v>LU1883313782</v>
          </cell>
          <cell r="B1660" t="str">
            <v>AMUNDI FUNDS EUROPEAN EQUITY INCOME ESG</v>
          </cell>
          <cell r="C1660" t="str">
            <v>Class R2 GBP SATI (D)</v>
          </cell>
          <cell r="D1660" t="str">
            <v>GBP</v>
          </cell>
          <cell r="E1660">
            <v>45747</v>
          </cell>
          <cell r="F1660">
            <v>258.51</v>
          </cell>
          <cell r="G1660">
            <v>6.4</v>
          </cell>
          <cell r="H1660">
            <v>40.39</v>
          </cell>
          <cell r="I1660">
            <v>0</v>
          </cell>
          <cell r="J1660">
            <v>40.39</v>
          </cell>
          <cell r="K1660">
            <v>-0.54</v>
          </cell>
        </row>
        <row r="1661">
          <cell r="A1661" t="str">
            <v>LU1883314087</v>
          </cell>
          <cell r="B1661" t="str">
            <v>AMUNDI FUNDS EUROPEAN EQUITY INCOME ESG</v>
          </cell>
          <cell r="C1661" t="str">
            <v>Class R2 USD SATI (D)</v>
          </cell>
          <cell r="D1661" t="str">
            <v>USD</v>
          </cell>
          <cell r="E1661">
            <v>45747</v>
          </cell>
          <cell r="F1661">
            <v>119847.76</v>
          </cell>
          <cell r="G1661">
            <v>2308.0239999999999</v>
          </cell>
          <cell r="H1661">
            <v>51.93</v>
          </cell>
          <cell r="I1661">
            <v>0</v>
          </cell>
          <cell r="J1661">
            <v>51.93</v>
          </cell>
          <cell r="K1661">
            <v>-0.82</v>
          </cell>
        </row>
        <row r="1662">
          <cell r="A1662" t="str">
            <v>LU1880385908</v>
          </cell>
          <cell r="B1662" t="str">
            <v>AMUNDI FUNDS EMERGING MARKETS LOCAL CURRENCY BOND</v>
          </cell>
          <cell r="C1662" t="str">
            <v>Class A2 USD AD (D)</v>
          </cell>
          <cell r="D1662" t="str">
            <v>USD</v>
          </cell>
          <cell r="E1662">
            <v>45747</v>
          </cell>
          <cell r="F1662">
            <v>3813.03</v>
          </cell>
          <cell r="G1662">
            <v>100</v>
          </cell>
          <cell r="H1662">
            <v>38.130000000000003</v>
          </cell>
          <cell r="I1662">
            <v>0</v>
          </cell>
          <cell r="J1662">
            <v>38.130000000000003</v>
          </cell>
          <cell r="K1662">
            <v>0.03</v>
          </cell>
        </row>
        <row r="1663">
          <cell r="A1663" t="str">
            <v>LU1882459602</v>
          </cell>
          <cell r="B1663" t="str">
            <v>AMUNDI FUNDS EMERGING MARKETS LOCAL CURRENCY BOND</v>
          </cell>
          <cell r="C1663" t="str">
            <v>Class A EUR AD (D)</v>
          </cell>
          <cell r="D1663" t="str">
            <v>EUR</v>
          </cell>
          <cell r="E1663">
            <v>45747</v>
          </cell>
          <cell r="F1663">
            <v>5568475.3799999999</v>
          </cell>
          <cell r="G1663">
            <v>147836.56599999999</v>
          </cell>
          <cell r="H1663">
            <v>37.67</v>
          </cell>
          <cell r="I1663">
            <v>0</v>
          </cell>
          <cell r="J1663">
            <v>39.18</v>
          </cell>
          <cell r="K1663">
            <v>0.1</v>
          </cell>
        </row>
        <row r="1664">
          <cell r="A1664" t="str">
            <v>LU1882459511</v>
          </cell>
          <cell r="B1664" t="str">
            <v>AMUNDI FUNDS EMERGING MARKETS LOCAL CURRENCY BOND</v>
          </cell>
          <cell r="C1664" t="str">
            <v>Class A EUR (C)</v>
          </cell>
          <cell r="D1664" t="str">
            <v>EUR</v>
          </cell>
          <cell r="E1664">
            <v>45747</v>
          </cell>
          <cell r="F1664">
            <v>8022923.9400000004</v>
          </cell>
          <cell r="G1664">
            <v>112256.54300000001</v>
          </cell>
          <cell r="H1664">
            <v>71.47</v>
          </cell>
          <cell r="I1664">
            <v>0</v>
          </cell>
          <cell r="J1664">
            <v>74.33</v>
          </cell>
          <cell r="K1664">
            <v>0.19</v>
          </cell>
        </row>
        <row r="1665">
          <cell r="A1665" t="str">
            <v>LU1882459867</v>
          </cell>
          <cell r="B1665" t="str">
            <v>AMUNDI FUNDS EMERGING MARKETS LOCAL CURRENCY BOND</v>
          </cell>
          <cell r="C1665" t="str">
            <v>Class A USD AD (D)</v>
          </cell>
          <cell r="D1665" t="str">
            <v>USD</v>
          </cell>
          <cell r="E1665">
            <v>45747</v>
          </cell>
          <cell r="F1665">
            <v>394221.42</v>
          </cell>
          <cell r="G1665">
            <v>9697.018</v>
          </cell>
          <cell r="H1665">
            <v>40.65</v>
          </cell>
          <cell r="I1665">
            <v>0</v>
          </cell>
          <cell r="J1665">
            <v>42.28</v>
          </cell>
          <cell r="K1665">
            <v>0.03</v>
          </cell>
        </row>
        <row r="1666">
          <cell r="A1666" t="str">
            <v>LU1882459941</v>
          </cell>
          <cell r="B1666" t="str">
            <v>AMUNDI FUNDS EMERGING MARKETS LOCAL CURRENCY BOND</v>
          </cell>
          <cell r="C1666" t="str">
            <v>Class A USD MTD3 (D)</v>
          </cell>
          <cell r="D1666" t="str">
            <v>USD</v>
          </cell>
          <cell r="E1666">
            <v>45747</v>
          </cell>
          <cell r="F1666">
            <v>42817365.359999999</v>
          </cell>
          <cell r="G1666">
            <v>2453108.4909999999</v>
          </cell>
          <cell r="H1666">
            <v>17.45</v>
          </cell>
          <cell r="I1666">
            <v>0</v>
          </cell>
          <cell r="J1666">
            <v>17.97</v>
          </cell>
          <cell r="K1666">
            <v>0.01</v>
          </cell>
        </row>
        <row r="1667">
          <cell r="A1667" t="str">
            <v>LU1882460014</v>
          </cell>
          <cell r="B1667" t="str">
            <v>AMUNDI FUNDS EMERGING MARKETS LOCAL CURRENCY BOND</v>
          </cell>
          <cell r="C1667" t="str">
            <v>Class A USD MGI (D)</v>
          </cell>
          <cell r="D1667" t="str">
            <v>USD</v>
          </cell>
          <cell r="E1667">
            <v>45747</v>
          </cell>
          <cell r="F1667">
            <v>2561209.33</v>
          </cell>
          <cell r="G1667">
            <v>98746.130999999994</v>
          </cell>
          <cell r="H1667">
            <v>25.94</v>
          </cell>
          <cell r="I1667">
            <v>0</v>
          </cell>
          <cell r="J1667">
            <v>26.98</v>
          </cell>
          <cell r="K1667">
            <v>0.02</v>
          </cell>
        </row>
        <row r="1668">
          <cell r="A1668" t="str">
            <v>LU1880385494</v>
          </cell>
          <cell r="B1668" t="str">
            <v>AMUNDI FUNDS EMERGING MARKETS LOCAL CURRENCY BOND</v>
          </cell>
          <cell r="C1668" t="str">
            <v>Class A CZK Hgd (C)</v>
          </cell>
          <cell r="D1668" t="str">
            <v>CZK</v>
          </cell>
          <cell r="E1668">
            <v>45747</v>
          </cell>
          <cell r="F1668">
            <v>45303062.469999999</v>
          </cell>
          <cell r="G1668">
            <v>47674.597000000002</v>
          </cell>
          <cell r="H1668">
            <v>950.26</v>
          </cell>
          <cell r="I1668">
            <v>0</v>
          </cell>
          <cell r="J1668">
            <v>950.26</v>
          </cell>
          <cell r="K1668">
            <v>0.88</v>
          </cell>
        </row>
        <row r="1669">
          <cell r="A1669" t="str">
            <v>LU1882459784</v>
          </cell>
          <cell r="B1669" t="str">
            <v>AMUNDI FUNDS EMERGING MARKETS LOCAL CURRENCY BOND</v>
          </cell>
          <cell r="C1669" t="str">
            <v>Class A USD (C)</v>
          </cell>
          <cell r="D1669" t="str">
            <v>USD</v>
          </cell>
          <cell r="E1669">
            <v>45747</v>
          </cell>
          <cell r="F1669">
            <v>2625230.75</v>
          </cell>
          <cell r="G1669">
            <v>33898.873</v>
          </cell>
          <cell r="H1669">
            <v>77.44</v>
          </cell>
          <cell r="I1669">
            <v>0</v>
          </cell>
          <cell r="J1669">
            <v>80.540000000000006</v>
          </cell>
          <cell r="K1669">
            <v>0.05</v>
          </cell>
        </row>
        <row r="1670">
          <cell r="A1670" t="str">
            <v>LU1882460287</v>
          </cell>
          <cell r="B1670" t="str">
            <v>AMUNDI FUNDS EMERGING MARKETS LOCAL CURRENCY BOND</v>
          </cell>
          <cell r="C1670" t="str">
            <v>Class B USD MGI (D)</v>
          </cell>
          <cell r="D1670" t="str">
            <v>USD</v>
          </cell>
          <cell r="E1670">
            <v>45747</v>
          </cell>
          <cell r="F1670">
            <v>461606.85</v>
          </cell>
          <cell r="G1670">
            <v>20221.067999999999</v>
          </cell>
          <cell r="H1670">
            <v>22.83</v>
          </cell>
          <cell r="I1670">
            <v>0</v>
          </cell>
          <cell r="J1670">
            <v>22.83</v>
          </cell>
          <cell r="K1670">
            <v>0.02</v>
          </cell>
        </row>
        <row r="1671">
          <cell r="A1671" t="str">
            <v>LU1882460105</v>
          </cell>
          <cell r="B1671" t="str">
            <v>AMUNDI FUNDS EMERGING MARKETS LOCAL CURRENCY BOND</v>
          </cell>
          <cell r="C1671" t="str">
            <v>Class B USD MTD3 (D)</v>
          </cell>
          <cell r="D1671" t="str">
            <v>USD</v>
          </cell>
          <cell r="E1671">
            <v>45747</v>
          </cell>
          <cell r="F1671">
            <v>4097581.22</v>
          </cell>
          <cell r="G1671">
            <v>254058.05600000001</v>
          </cell>
          <cell r="H1671">
            <v>16.13</v>
          </cell>
          <cell r="I1671">
            <v>0</v>
          </cell>
          <cell r="J1671">
            <v>16.13</v>
          </cell>
          <cell r="K1671">
            <v>0.01</v>
          </cell>
        </row>
        <row r="1672">
          <cell r="A1672" t="str">
            <v>LU1882461681</v>
          </cell>
          <cell r="B1672" t="str">
            <v>AMUNDI FUNDS EMERGING MARKETS LOCAL CURRENCY BOND</v>
          </cell>
          <cell r="C1672" t="str">
            <v>Class M2 EUR (C)</v>
          </cell>
          <cell r="D1672" t="str">
            <v>EUR</v>
          </cell>
          <cell r="E1672">
            <v>45747</v>
          </cell>
          <cell r="F1672">
            <v>19948047.649999999</v>
          </cell>
          <cell r="G1672">
            <v>12320.546</v>
          </cell>
          <cell r="H1672">
            <v>1619.09</v>
          </cell>
          <cell r="I1672">
            <v>0</v>
          </cell>
          <cell r="J1672">
            <v>1619.09</v>
          </cell>
          <cell r="K1672">
            <v>4.46</v>
          </cell>
        </row>
        <row r="1673">
          <cell r="A1673" t="str">
            <v>LU1882461764</v>
          </cell>
          <cell r="B1673" t="str">
            <v>AMUNDI FUNDS EMERGING MARKETS LOCAL CURRENCY BOND</v>
          </cell>
          <cell r="C1673" t="str">
            <v>Class M2 EUR AD (D)</v>
          </cell>
          <cell r="D1673" t="str">
            <v>EUR</v>
          </cell>
          <cell r="E1673">
            <v>45747</v>
          </cell>
          <cell r="F1673">
            <v>174266.21</v>
          </cell>
          <cell r="G1673">
            <v>229.98</v>
          </cell>
          <cell r="H1673">
            <v>757.75</v>
          </cell>
          <cell r="I1673">
            <v>0</v>
          </cell>
          <cell r="J1673">
            <v>757.75</v>
          </cell>
          <cell r="K1673">
            <v>2.09</v>
          </cell>
        </row>
        <row r="1674">
          <cell r="A1674" t="str">
            <v>LU2070309708</v>
          </cell>
          <cell r="B1674" t="str">
            <v>AMUNDI FUNDS EMERGING MARKETS LOCAL CURRENCY BOND</v>
          </cell>
          <cell r="C1674" t="str">
            <v>Class A2 EUR AD (D)</v>
          </cell>
          <cell r="D1674" t="str">
            <v>EUR</v>
          </cell>
          <cell r="E1674">
            <v>45747</v>
          </cell>
          <cell r="F1674">
            <v>689857.99</v>
          </cell>
          <cell r="G1674">
            <v>17912</v>
          </cell>
          <cell r="H1674">
            <v>38.51</v>
          </cell>
          <cell r="I1674">
            <v>0</v>
          </cell>
          <cell r="J1674">
            <v>39.67</v>
          </cell>
          <cell r="K1674">
            <v>0.1</v>
          </cell>
        </row>
        <row r="1675">
          <cell r="A1675" t="str">
            <v>LU1882460444</v>
          </cell>
          <cell r="B1675" t="str">
            <v>AMUNDI FUNDS EMERGING MARKETS LOCAL CURRENCY BOND</v>
          </cell>
          <cell r="C1675" t="str">
            <v>Class E2 EUR (C)</v>
          </cell>
          <cell r="D1675" t="str">
            <v>EUR</v>
          </cell>
          <cell r="E1675">
            <v>45747</v>
          </cell>
          <cell r="F1675">
            <v>33293760.719999999</v>
          </cell>
          <cell r="G1675">
            <v>4575256.2649999997</v>
          </cell>
          <cell r="H1675">
            <v>7.2770000000000001</v>
          </cell>
          <cell r="I1675">
            <v>0</v>
          </cell>
          <cell r="J1675">
            <v>7.2770000000000001</v>
          </cell>
          <cell r="K1675">
            <v>0.02</v>
          </cell>
        </row>
        <row r="1676">
          <cell r="A1676" t="str">
            <v>LU1882460527</v>
          </cell>
          <cell r="B1676" t="str">
            <v>AMUNDI FUNDS EMERGING MARKETS LOCAL CURRENCY BOND</v>
          </cell>
          <cell r="C1676" t="str">
            <v>Class E2 EUR AD (D)</v>
          </cell>
          <cell r="D1676" t="str">
            <v>EUR</v>
          </cell>
          <cell r="E1676">
            <v>45747</v>
          </cell>
          <cell r="F1676">
            <v>4788626.6900000004</v>
          </cell>
          <cell r="G1676">
            <v>1469159.2879999999</v>
          </cell>
          <cell r="H1676">
            <v>3.2589999999999999</v>
          </cell>
          <cell r="I1676">
            <v>0</v>
          </cell>
          <cell r="J1676">
            <v>3.2589999999999999</v>
          </cell>
          <cell r="K1676">
            <v>8.0000000000000002E-3</v>
          </cell>
        </row>
        <row r="1677">
          <cell r="A1677" t="str">
            <v>LU1882460956</v>
          </cell>
          <cell r="B1677" t="str">
            <v>AMUNDI FUNDS EMERGING MARKETS LOCAL CURRENCY BOND</v>
          </cell>
          <cell r="C1677" t="str">
            <v>Class F EUR AD (D)</v>
          </cell>
          <cell r="D1677" t="str">
            <v>EUR</v>
          </cell>
          <cell r="E1677">
            <v>45747</v>
          </cell>
          <cell r="F1677">
            <v>1437622.13</v>
          </cell>
          <cell r="G1677">
            <v>443911.21</v>
          </cell>
          <cell r="H1677">
            <v>3.2389999999999999</v>
          </cell>
          <cell r="I1677">
            <v>0</v>
          </cell>
          <cell r="J1677">
            <v>3.2389999999999999</v>
          </cell>
          <cell r="K1677">
            <v>8.9999999999999993E-3</v>
          </cell>
        </row>
        <row r="1678">
          <cell r="A1678" t="str">
            <v>LU1882460873</v>
          </cell>
          <cell r="B1678" t="str">
            <v>AMUNDI FUNDS EMERGING MARKETS LOCAL CURRENCY BOND</v>
          </cell>
          <cell r="C1678" t="str">
            <v>Class F EUR (C)</v>
          </cell>
          <cell r="D1678" t="str">
            <v>EUR</v>
          </cell>
          <cell r="E1678">
            <v>45747</v>
          </cell>
          <cell r="F1678">
            <v>10584435.09</v>
          </cell>
          <cell r="G1678">
            <v>1586261.6359999999</v>
          </cell>
          <cell r="H1678">
            <v>6.673</v>
          </cell>
          <cell r="I1678">
            <v>0</v>
          </cell>
          <cell r="J1678">
            <v>6.673</v>
          </cell>
          <cell r="K1678">
            <v>1.7999999999999999E-2</v>
          </cell>
        </row>
        <row r="1679">
          <cell r="A1679" t="str">
            <v>LU1880386203</v>
          </cell>
          <cell r="B1679" t="str">
            <v>AMUNDI FUNDS EMERGING MARKETS LOCAL CURRENCY BOND</v>
          </cell>
          <cell r="C1679" t="str">
            <v>Class F2 USD (C)</v>
          </cell>
          <cell r="D1679" t="str">
            <v>USD</v>
          </cell>
          <cell r="E1679">
            <v>45747</v>
          </cell>
          <cell r="F1679">
            <v>166073.24</v>
          </cell>
          <cell r="G1679">
            <v>35561.9</v>
          </cell>
          <cell r="H1679">
            <v>4.67</v>
          </cell>
          <cell r="I1679">
            <v>0</v>
          </cell>
          <cell r="J1679">
            <v>4.67</v>
          </cell>
          <cell r="K1679">
            <v>3.0000000000000001E-3</v>
          </cell>
        </row>
        <row r="1680">
          <cell r="A1680" t="str">
            <v>LU1882461178</v>
          </cell>
          <cell r="B1680" t="str">
            <v>AMUNDI FUNDS EMERGING MARKETS LOCAL CURRENCY BOND</v>
          </cell>
          <cell r="C1680" t="str">
            <v>Class F EUR QTD (D)</v>
          </cell>
          <cell r="D1680" t="str">
            <v>EUR</v>
          </cell>
          <cell r="E1680">
            <v>45747</v>
          </cell>
          <cell r="F1680">
            <v>1020561.91</v>
          </cell>
          <cell r="G1680">
            <v>273913.277</v>
          </cell>
          <cell r="H1680">
            <v>3.726</v>
          </cell>
          <cell r="I1680">
            <v>0</v>
          </cell>
          <cell r="J1680">
            <v>3.726</v>
          </cell>
          <cell r="K1680">
            <v>0.01</v>
          </cell>
        </row>
        <row r="1681">
          <cell r="A1681" t="str">
            <v>LU1880386039</v>
          </cell>
          <cell r="B1681" t="str">
            <v>AMUNDI FUNDS EMERGING MARKETS LOCAL CURRENCY BOND</v>
          </cell>
          <cell r="C1681" t="str">
            <v>Class F2 EUR Hgd (C)</v>
          </cell>
          <cell r="D1681" t="str">
            <v>EUR</v>
          </cell>
          <cell r="E1681">
            <v>45747</v>
          </cell>
          <cell r="F1681">
            <v>123112.13</v>
          </cell>
          <cell r="G1681">
            <v>29720.637999999999</v>
          </cell>
          <cell r="H1681">
            <v>4.1420000000000003</v>
          </cell>
          <cell r="I1681">
            <v>0</v>
          </cell>
          <cell r="J1681">
            <v>4.1420000000000003</v>
          </cell>
          <cell r="K1681">
            <v>2E-3</v>
          </cell>
        </row>
        <row r="1682">
          <cell r="A1682" t="str">
            <v>LU1880386112</v>
          </cell>
          <cell r="B1682" t="str">
            <v>AMUNDI FUNDS EMERGING MARKETS LOCAL CURRENCY BOND</v>
          </cell>
          <cell r="C1682" t="str">
            <v>Class F2 EUR Hgd MTD (D)</v>
          </cell>
          <cell r="D1682" t="str">
            <v>EUR</v>
          </cell>
          <cell r="E1682">
            <v>45747</v>
          </cell>
          <cell r="F1682">
            <v>355340.9</v>
          </cell>
          <cell r="G1682">
            <v>106081.587</v>
          </cell>
          <cell r="H1682">
            <v>3.35</v>
          </cell>
          <cell r="I1682">
            <v>0</v>
          </cell>
          <cell r="J1682">
            <v>3.35</v>
          </cell>
          <cell r="K1682">
            <v>2E-3</v>
          </cell>
        </row>
        <row r="1683">
          <cell r="A1683" t="str">
            <v>LU1998914300</v>
          </cell>
          <cell r="B1683" t="str">
            <v>AMUNDI FUNDS EMERGING MARKETS LOCAL CURRENCY BOND</v>
          </cell>
          <cell r="C1683" t="str">
            <v>Class H EUR ( C )</v>
          </cell>
          <cell r="D1683" t="str">
            <v>EUR</v>
          </cell>
          <cell r="E1683">
            <v>45747</v>
          </cell>
          <cell r="F1683">
            <v>874669.07</v>
          </cell>
          <cell r="G1683">
            <v>816</v>
          </cell>
          <cell r="H1683">
            <v>1071.9000000000001</v>
          </cell>
          <cell r="I1683">
            <v>0</v>
          </cell>
          <cell r="J1683">
            <v>1071.9000000000001</v>
          </cell>
          <cell r="K1683">
            <v>2.98</v>
          </cell>
        </row>
        <row r="1684">
          <cell r="A1684" t="str">
            <v>LU2031984425</v>
          </cell>
          <cell r="B1684" t="str">
            <v>AMUNDI FUNDS EMERGING MARKETS LOCAL CURRENCY BOND</v>
          </cell>
          <cell r="C1684" t="str">
            <v>Class I2 GBP QD (D)</v>
          </cell>
          <cell r="D1684" t="str">
            <v>GBP</v>
          </cell>
          <cell r="E1684">
            <v>45747</v>
          </cell>
          <cell r="F1684">
            <v>1462971.37</v>
          </cell>
          <cell r="G1684">
            <v>2131.9070000000002</v>
          </cell>
          <cell r="H1684">
            <v>686.23</v>
          </cell>
          <cell r="I1684">
            <v>13.557435</v>
          </cell>
          <cell r="J1684">
            <v>686.23</v>
          </cell>
          <cell r="K1684">
            <v>-11.16</v>
          </cell>
        </row>
        <row r="1685">
          <cell r="A1685" t="str">
            <v>LU1882461509</v>
          </cell>
          <cell r="B1685" t="str">
            <v>AMUNDI FUNDS EMERGING MARKETS LOCAL CURRENCY BOND</v>
          </cell>
          <cell r="C1685" t="str">
            <v>Class I2 USD (C)</v>
          </cell>
          <cell r="D1685" t="str">
            <v>USD</v>
          </cell>
          <cell r="E1685">
            <v>45747</v>
          </cell>
          <cell r="F1685">
            <v>15979893.390000001</v>
          </cell>
          <cell r="G1685">
            <v>8866.3559999999998</v>
          </cell>
          <cell r="H1685">
            <v>1802.31</v>
          </cell>
          <cell r="I1685">
            <v>0</v>
          </cell>
          <cell r="J1685">
            <v>1802.31</v>
          </cell>
          <cell r="K1685">
            <v>1.48</v>
          </cell>
        </row>
        <row r="1686">
          <cell r="A1686" t="str">
            <v>LU1882461335</v>
          </cell>
          <cell r="B1686" t="str">
            <v>AMUNDI FUNDS EMERGING MARKETS LOCAL CURRENCY BOND</v>
          </cell>
          <cell r="C1686" t="str">
            <v>Class I2 EUR AD (D)</v>
          </cell>
          <cell r="D1686" t="str">
            <v>EUR</v>
          </cell>
          <cell r="E1686">
            <v>45747</v>
          </cell>
          <cell r="F1686">
            <v>3032.05</v>
          </cell>
          <cell r="G1686">
            <v>4</v>
          </cell>
          <cell r="H1686">
            <v>758.01</v>
          </cell>
          <cell r="I1686">
            <v>0</v>
          </cell>
          <cell r="J1686">
            <v>758.01</v>
          </cell>
          <cell r="K1686">
            <v>2.09</v>
          </cell>
        </row>
        <row r="1687">
          <cell r="A1687" t="str">
            <v>LU1882461418</v>
          </cell>
          <cell r="B1687" t="str">
            <v>AMUNDI FUNDS EMERGING MARKETS LOCAL CURRENCY BOND</v>
          </cell>
          <cell r="C1687" t="str">
            <v>Class I2 EUR QD (D)</v>
          </cell>
          <cell r="D1687" t="str">
            <v>EUR</v>
          </cell>
          <cell r="E1687">
            <v>45747</v>
          </cell>
          <cell r="F1687">
            <v>772.73</v>
          </cell>
          <cell r="G1687">
            <v>1.097</v>
          </cell>
          <cell r="H1687">
            <v>704.4</v>
          </cell>
          <cell r="I1687">
            <v>14.366453999999999</v>
          </cell>
          <cell r="J1687">
            <v>704.4</v>
          </cell>
          <cell r="K1687">
            <v>-12.38</v>
          </cell>
        </row>
        <row r="1688">
          <cell r="A1688" t="str">
            <v>LU1882460790</v>
          </cell>
          <cell r="B1688" t="str">
            <v>AMUNDI FUNDS EMERGING MARKETS LOCAL CURRENCY BOND</v>
          </cell>
          <cell r="C1688" t="str">
            <v>Class E2 EUR QTD (D)</v>
          </cell>
          <cell r="D1688" t="str">
            <v>EUR</v>
          </cell>
          <cell r="E1688">
            <v>45747</v>
          </cell>
          <cell r="F1688">
            <v>4721711.66</v>
          </cell>
          <cell r="G1688">
            <v>1232852.1540000001</v>
          </cell>
          <cell r="H1688">
            <v>3.83</v>
          </cell>
          <cell r="I1688">
            <v>0</v>
          </cell>
          <cell r="J1688">
            <v>3.83</v>
          </cell>
          <cell r="K1688">
            <v>0.01</v>
          </cell>
        </row>
        <row r="1689">
          <cell r="A1689" t="str">
            <v>LU2297685658</v>
          </cell>
          <cell r="B1689" t="str">
            <v>AMUNDI FUNDS EMERGING MARKETS LOCAL CURRENCY BOND</v>
          </cell>
          <cell r="C1689" t="str">
            <v>Class I11 EUR Hgd (C)</v>
          </cell>
          <cell r="D1689" t="str">
            <v>EUR</v>
          </cell>
          <cell r="E1689">
            <v>45747</v>
          </cell>
          <cell r="F1689">
            <v>128195.01</v>
          </cell>
          <cell r="G1689">
            <v>2980</v>
          </cell>
          <cell r="H1689">
            <v>43.02</v>
          </cell>
          <cell r="I1689">
            <v>0</v>
          </cell>
          <cell r="J1689">
            <v>43.02</v>
          </cell>
          <cell r="K1689">
            <v>0.03</v>
          </cell>
        </row>
        <row r="1690">
          <cell r="A1690" t="str">
            <v>LU1882461251</v>
          </cell>
          <cell r="B1690" t="str">
            <v>AMUNDI FUNDS EMERGING MARKETS LOCAL CURRENCY BOND</v>
          </cell>
          <cell r="C1690" t="str">
            <v>Class I2 EUR (C)</v>
          </cell>
          <cell r="D1690" t="str">
            <v>EUR</v>
          </cell>
          <cell r="E1690">
            <v>45747</v>
          </cell>
          <cell r="F1690">
            <v>49593477.259999998</v>
          </cell>
          <cell r="G1690">
            <v>29722.837</v>
          </cell>
          <cell r="H1690">
            <v>1668.53</v>
          </cell>
          <cell r="I1690">
            <v>0</v>
          </cell>
          <cell r="J1690">
            <v>1668.53</v>
          </cell>
          <cell r="K1690">
            <v>4.6100000000000003</v>
          </cell>
        </row>
        <row r="1691">
          <cell r="A1691" t="str">
            <v>LU1895000252</v>
          </cell>
          <cell r="B1691" t="str">
            <v>AMUNDI FUNDS EMERGING MARKETS LOCAL CURRENCY BOND</v>
          </cell>
          <cell r="C1691" t="str">
            <v>Class J2 EUR (C)</v>
          </cell>
          <cell r="D1691" t="str">
            <v>EUR</v>
          </cell>
          <cell r="E1691">
            <v>45747</v>
          </cell>
          <cell r="F1691">
            <v>102175122.16</v>
          </cell>
          <cell r="G1691">
            <v>81354.445000000007</v>
          </cell>
          <cell r="H1691">
            <v>1255.93</v>
          </cell>
          <cell r="I1691">
            <v>0</v>
          </cell>
          <cell r="J1691">
            <v>1255.93</v>
          </cell>
          <cell r="K1691">
            <v>3.48</v>
          </cell>
        </row>
        <row r="1692">
          <cell r="A1692" t="str">
            <v>LU2176989957</v>
          </cell>
          <cell r="B1692" t="str">
            <v>AMUNDI FUNDS EMERGING MARKETS LOCAL CURRENCY BOND</v>
          </cell>
          <cell r="C1692" t="str">
            <v>Class J2 USD (C)</v>
          </cell>
          <cell r="D1692" t="str">
            <v>USD</v>
          </cell>
          <cell r="E1692">
            <v>45747</v>
          </cell>
          <cell r="F1692">
            <v>58957366.280000001</v>
          </cell>
          <cell r="G1692">
            <v>59933.161999999997</v>
          </cell>
          <cell r="H1692">
            <v>983.72</v>
          </cell>
          <cell r="I1692">
            <v>0</v>
          </cell>
          <cell r="J1692">
            <v>983.72</v>
          </cell>
          <cell r="K1692">
            <v>0.82</v>
          </cell>
        </row>
        <row r="1693">
          <cell r="A1693" t="str">
            <v>LU2428739804</v>
          </cell>
          <cell r="B1693" t="str">
            <v>AMUNDI FUNDS EMERGING MARKETS LOCAL CURRENCY BOND</v>
          </cell>
          <cell r="C1693" t="str">
            <v>Class J2 EUR AD (D)</v>
          </cell>
          <cell r="D1693" t="str">
            <v>EUR</v>
          </cell>
          <cell r="E1693">
            <v>45747</v>
          </cell>
          <cell r="F1693">
            <v>10458313.01</v>
          </cell>
          <cell r="G1693">
            <v>11544.771000000001</v>
          </cell>
          <cell r="H1693">
            <v>905.89</v>
          </cell>
          <cell r="I1693">
            <v>0</v>
          </cell>
          <cell r="J1693">
            <v>905.89</v>
          </cell>
          <cell r="K1693">
            <v>2.5099999999999998</v>
          </cell>
        </row>
        <row r="1694">
          <cell r="A1694" t="str">
            <v>LU1880386542</v>
          </cell>
          <cell r="B1694" t="str">
            <v>AMUNDI FUNDS EMERGING MARKETS LOCAL CURRENCY BOND</v>
          </cell>
          <cell r="C1694" t="str">
            <v>Class G USD (C)</v>
          </cell>
          <cell r="D1694" t="str">
            <v>USD</v>
          </cell>
          <cell r="E1694">
            <v>45747</v>
          </cell>
          <cell r="F1694">
            <v>2996359.55</v>
          </cell>
          <cell r="G1694">
            <v>625172.16399999999</v>
          </cell>
          <cell r="H1694">
            <v>4.7930000000000001</v>
          </cell>
          <cell r="I1694">
            <v>0</v>
          </cell>
          <cell r="J1694">
            <v>4.9370000000000003</v>
          </cell>
          <cell r="K1694">
            <v>4.0000000000000001E-3</v>
          </cell>
        </row>
        <row r="1695">
          <cell r="A1695" t="str">
            <v>LU1880386385</v>
          </cell>
          <cell r="B1695" t="str">
            <v>AMUNDI FUNDS EMERGING MARKETS LOCAL CURRENCY BOND</v>
          </cell>
          <cell r="C1695" t="str">
            <v>Class G EUR Hgd (C)</v>
          </cell>
          <cell r="D1695" t="str">
            <v>EUR</v>
          </cell>
          <cell r="E1695">
            <v>45747</v>
          </cell>
          <cell r="F1695">
            <v>1013811.59</v>
          </cell>
          <cell r="G1695">
            <v>241750.997</v>
          </cell>
          <cell r="H1695">
            <v>4.194</v>
          </cell>
          <cell r="I1695">
            <v>0</v>
          </cell>
          <cell r="J1695">
            <v>4.32</v>
          </cell>
          <cell r="K1695">
            <v>3.0000000000000001E-3</v>
          </cell>
        </row>
        <row r="1696">
          <cell r="A1696" t="str">
            <v>LU1880386468</v>
          </cell>
          <cell r="B1696" t="str">
            <v>AMUNDI FUNDS EMERGING MARKETS LOCAL CURRENCY BOND</v>
          </cell>
          <cell r="C1696" t="str">
            <v>Class G EUR Hgd MTD (D)</v>
          </cell>
          <cell r="D1696" t="str">
            <v>EUR</v>
          </cell>
          <cell r="E1696">
            <v>45747</v>
          </cell>
          <cell r="F1696">
            <v>1610824.03</v>
          </cell>
          <cell r="G1696">
            <v>475604.32799999998</v>
          </cell>
          <cell r="H1696">
            <v>3.387</v>
          </cell>
          <cell r="I1696">
            <v>0</v>
          </cell>
          <cell r="J1696">
            <v>3.4889999999999999</v>
          </cell>
          <cell r="K1696">
            <v>2E-3</v>
          </cell>
        </row>
        <row r="1697">
          <cell r="A1697" t="str">
            <v>LU1882462069</v>
          </cell>
          <cell r="B1697" t="str">
            <v>AMUNDI FUNDS EMERGING MARKETS LOCAL CURRENCY BOND</v>
          </cell>
          <cell r="C1697" t="str">
            <v>Class T USD MTD3 (D)</v>
          </cell>
          <cell r="D1697" t="str">
            <v>USD</v>
          </cell>
          <cell r="E1697">
            <v>45747</v>
          </cell>
          <cell r="F1697">
            <v>347636.68</v>
          </cell>
          <cell r="G1697">
            <v>21389.413</v>
          </cell>
          <cell r="H1697">
            <v>16.25</v>
          </cell>
          <cell r="I1697">
            <v>0</v>
          </cell>
          <cell r="J1697">
            <v>16.25</v>
          </cell>
          <cell r="K1697">
            <v>0.01</v>
          </cell>
        </row>
        <row r="1698">
          <cell r="A1698" t="str">
            <v>LU1882462143</v>
          </cell>
          <cell r="B1698" t="str">
            <v>AMUNDI FUNDS EMERGING MARKETS LOCAL CURRENCY BOND</v>
          </cell>
          <cell r="C1698" t="str">
            <v>Class T USD MGI (D)</v>
          </cell>
          <cell r="D1698" t="str">
            <v>USD</v>
          </cell>
          <cell r="E1698">
            <v>45747</v>
          </cell>
          <cell r="F1698">
            <v>35694.32</v>
          </cell>
          <cell r="G1698">
            <v>774.51800000000003</v>
          </cell>
          <cell r="H1698">
            <v>46.09</v>
          </cell>
          <cell r="I1698">
            <v>0</v>
          </cell>
          <cell r="J1698">
            <v>46.09</v>
          </cell>
          <cell r="K1698">
            <v>0.03</v>
          </cell>
        </row>
        <row r="1699">
          <cell r="A1699" t="str">
            <v>LU1880387946</v>
          </cell>
          <cell r="B1699" t="str">
            <v>AMUNDI FUNDS EMERGING MARKETS LOCAL CURRENCY BOND</v>
          </cell>
          <cell r="C1699" t="str">
            <v>Class M EUR Hgd (C)</v>
          </cell>
          <cell r="D1699" t="str">
            <v>EUR</v>
          </cell>
          <cell r="E1699">
            <v>45747</v>
          </cell>
          <cell r="F1699">
            <v>7887661.5700000003</v>
          </cell>
          <cell r="G1699">
            <v>8983.7749999999996</v>
          </cell>
          <cell r="H1699">
            <v>877.99</v>
          </cell>
          <cell r="I1699">
            <v>0</v>
          </cell>
          <cell r="J1699">
            <v>877.99</v>
          </cell>
          <cell r="K1699">
            <v>0.67</v>
          </cell>
        </row>
        <row r="1700">
          <cell r="A1700" t="str">
            <v>LU1880388084</v>
          </cell>
          <cell r="B1700" t="str">
            <v>AMUNDI FUNDS EMERGING MARKETS LOCAL CURRENCY BOND</v>
          </cell>
          <cell r="C1700" t="str">
            <v>Class M USD (C)</v>
          </cell>
          <cell r="D1700" t="str">
            <v>USD</v>
          </cell>
          <cell r="E1700">
            <v>45747</v>
          </cell>
          <cell r="F1700">
            <v>59905.8</v>
          </cell>
          <cell r="G1700">
            <v>58.859000000000002</v>
          </cell>
          <cell r="H1700">
            <v>1017.78</v>
          </cell>
          <cell r="I1700">
            <v>0</v>
          </cell>
          <cell r="J1700">
            <v>1017.78</v>
          </cell>
          <cell r="K1700">
            <v>0.9</v>
          </cell>
        </row>
        <row r="1701">
          <cell r="A1701" t="str">
            <v>LU1882461848</v>
          </cell>
          <cell r="B1701" t="str">
            <v>AMUNDI FUNDS EMERGING MARKETS LOCAL CURRENCY BOND</v>
          </cell>
          <cell r="C1701" t="str">
            <v>Class R2 EUR (C)</v>
          </cell>
          <cell r="D1701" t="str">
            <v>EUR</v>
          </cell>
          <cell r="E1701">
            <v>45747</v>
          </cell>
          <cell r="F1701">
            <v>1732846.59</v>
          </cell>
          <cell r="G1701">
            <v>30793.588</v>
          </cell>
          <cell r="H1701">
            <v>56.27</v>
          </cell>
          <cell r="I1701">
            <v>0</v>
          </cell>
          <cell r="J1701">
            <v>56.27</v>
          </cell>
          <cell r="K1701">
            <v>0.15</v>
          </cell>
        </row>
        <row r="1702">
          <cell r="A1702" t="str">
            <v>LU1880388167</v>
          </cell>
          <cell r="B1702" t="str">
            <v>AMUNDI FUNDS EMERGING MARKETS LOCAL CURRENCY BOND</v>
          </cell>
          <cell r="C1702" t="str">
            <v>Class O USD (C)</v>
          </cell>
          <cell r="D1702" t="str">
            <v>USD</v>
          </cell>
          <cell r="E1702">
            <v>45747</v>
          </cell>
          <cell r="F1702">
            <v>129214619.81999999</v>
          </cell>
          <cell r="G1702">
            <v>121938.84699999999</v>
          </cell>
          <cell r="H1702">
            <v>1059.67</v>
          </cell>
          <cell r="I1702">
            <v>0</v>
          </cell>
          <cell r="J1702">
            <v>1059.67</v>
          </cell>
          <cell r="K1702">
            <v>0.92</v>
          </cell>
        </row>
        <row r="1703">
          <cell r="A1703" t="str">
            <v>LU1880385817</v>
          </cell>
          <cell r="B1703" t="str">
            <v>AMUNDI FUNDS EMERGING MARKETS LOCAL CURRENCY BOND</v>
          </cell>
          <cell r="C1703" t="str">
            <v>Class A2 USD (C)</v>
          </cell>
          <cell r="D1703" t="str">
            <v>USD</v>
          </cell>
          <cell r="E1703">
            <v>45747</v>
          </cell>
          <cell r="F1703">
            <v>300474.78999999998</v>
          </cell>
          <cell r="G1703">
            <v>6251.1210000000001</v>
          </cell>
          <cell r="H1703">
            <v>48.07</v>
          </cell>
          <cell r="I1703">
            <v>0</v>
          </cell>
          <cell r="J1703">
            <v>48.07</v>
          </cell>
          <cell r="K1703">
            <v>0.04</v>
          </cell>
        </row>
        <row r="1704">
          <cell r="A1704" t="str">
            <v>LU1882462499</v>
          </cell>
          <cell r="B1704" t="str">
            <v>AMUNDI FUNDS EMERGING MARKETS LOCAL CURRENCY BOND</v>
          </cell>
          <cell r="C1704" t="str">
            <v>Class U USD MGI (D)</v>
          </cell>
          <cell r="D1704" t="str">
            <v>USD</v>
          </cell>
          <cell r="E1704">
            <v>45747</v>
          </cell>
          <cell r="F1704">
            <v>152853.73000000001</v>
          </cell>
          <cell r="G1704">
            <v>5580.0870000000004</v>
          </cell>
          <cell r="H1704">
            <v>27.39</v>
          </cell>
          <cell r="I1704">
            <v>0</v>
          </cell>
          <cell r="J1704">
            <v>27.39</v>
          </cell>
          <cell r="K1704">
            <v>0.02</v>
          </cell>
        </row>
        <row r="1705">
          <cell r="A1705" t="str">
            <v>LU1882462226</v>
          </cell>
          <cell r="B1705" t="str">
            <v>AMUNDI FUNDS EMERGING MARKETS LOCAL CURRENCY BOND</v>
          </cell>
          <cell r="C1705" t="str">
            <v>Class U USD MTD3 (D)</v>
          </cell>
          <cell r="D1705" t="str">
            <v>USD</v>
          </cell>
          <cell r="E1705">
            <v>45747</v>
          </cell>
          <cell r="F1705">
            <v>2964654.2</v>
          </cell>
          <cell r="G1705">
            <v>182460.80799999999</v>
          </cell>
          <cell r="H1705">
            <v>16.25</v>
          </cell>
          <cell r="I1705">
            <v>0</v>
          </cell>
          <cell r="J1705">
            <v>16.25</v>
          </cell>
          <cell r="K1705">
            <v>0.01</v>
          </cell>
        </row>
        <row r="1706">
          <cell r="A1706" t="str">
            <v>LU2391858433</v>
          </cell>
          <cell r="B1706" t="str">
            <v>AMUNDI FUNDS EMERGING MARKETS LOCAL CURRENCY BOND</v>
          </cell>
          <cell r="C1706" t="str">
            <v>Class R11 EUR Hgd (C)</v>
          </cell>
          <cell r="D1706" t="str">
            <v>EUR</v>
          </cell>
          <cell r="E1706">
            <v>45747</v>
          </cell>
          <cell r="F1706">
            <v>92291.49</v>
          </cell>
          <cell r="G1706">
            <v>2000</v>
          </cell>
          <cell r="H1706">
            <v>46.15</v>
          </cell>
          <cell r="I1706">
            <v>0</v>
          </cell>
          <cell r="J1706">
            <v>46.15</v>
          </cell>
          <cell r="K1706">
            <v>0.04</v>
          </cell>
        </row>
        <row r="1707">
          <cell r="A1707" t="str">
            <v>LU1882461921</v>
          </cell>
          <cell r="B1707" t="str">
            <v>AMUNDI FUNDS EMERGING MARKETS LOCAL CURRENCY BOND</v>
          </cell>
          <cell r="C1707" t="str">
            <v>Class R2 USD (C)</v>
          </cell>
          <cell r="D1707" t="str">
            <v>USD</v>
          </cell>
          <cell r="E1707">
            <v>45747</v>
          </cell>
          <cell r="F1707">
            <v>5051.99</v>
          </cell>
          <cell r="G1707">
            <v>100</v>
          </cell>
          <cell r="H1707">
            <v>50.52</v>
          </cell>
          <cell r="I1707">
            <v>0</v>
          </cell>
          <cell r="J1707">
            <v>50.52</v>
          </cell>
          <cell r="K1707">
            <v>0.04</v>
          </cell>
        </row>
        <row r="1708">
          <cell r="A1708" t="str">
            <v>LU1998917238</v>
          </cell>
          <cell r="B1708" t="str">
            <v>AMUNDI FUNDS EMERGING MARKETS LOCAL CURRENCY BOND</v>
          </cell>
          <cell r="C1708" t="str">
            <v>Class X USD ( C )</v>
          </cell>
          <cell r="D1708" t="str">
            <v>USD</v>
          </cell>
          <cell r="E1708">
            <v>45747</v>
          </cell>
          <cell r="F1708">
            <v>398604.81</v>
          </cell>
          <cell r="G1708">
            <v>377</v>
          </cell>
          <cell r="H1708">
            <v>1057.31</v>
          </cell>
          <cell r="I1708">
            <v>0</v>
          </cell>
          <cell r="J1708">
            <v>1057.31</v>
          </cell>
          <cell r="K1708">
            <v>0.92</v>
          </cell>
        </row>
        <row r="1709">
          <cell r="A1709" t="str">
            <v>LU1880386625</v>
          </cell>
          <cell r="B1709" t="str">
            <v>AMUNDI FUNDS EMERGING MARKETS LOCAL CURRENCY BOND</v>
          </cell>
          <cell r="C1709" t="str">
            <v>Class I EUR Hgd (C)</v>
          </cell>
          <cell r="D1709" t="str">
            <v>EUR</v>
          </cell>
          <cell r="E1709">
            <v>45747</v>
          </cell>
          <cell r="F1709">
            <v>40057767.82</v>
          </cell>
          <cell r="G1709">
            <v>44864.928999999996</v>
          </cell>
          <cell r="H1709">
            <v>892.85</v>
          </cell>
          <cell r="I1709">
            <v>0</v>
          </cell>
          <cell r="J1709">
            <v>892.85</v>
          </cell>
          <cell r="K1709">
            <v>0.69</v>
          </cell>
        </row>
        <row r="1710">
          <cell r="A1710" t="str">
            <v>LU1880387607</v>
          </cell>
          <cell r="B1710" t="str">
            <v>AMUNDI FUNDS EMERGING MARKETS LOCAL CURRENCY BOND</v>
          </cell>
          <cell r="C1710" t="str">
            <v>Class I USD (C)</v>
          </cell>
          <cell r="D1710" t="str">
            <v>USD</v>
          </cell>
          <cell r="E1710">
            <v>45747</v>
          </cell>
          <cell r="F1710">
            <v>67211565.040000007</v>
          </cell>
          <cell r="G1710">
            <v>65761.388999999996</v>
          </cell>
          <cell r="H1710">
            <v>1022.05</v>
          </cell>
          <cell r="I1710">
            <v>0</v>
          </cell>
          <cell r="J1710">
            <v>1022.05</v>
          </cell>
          <cell r="K1710">
            <v>0.92</v>
          </cell>
        </row>
        <row r="1711">
          <cell r="A1711" t="str">
            <v>LU2052288532</v>
          </cell>
          <cell r="B1711" t="str">
            <v>AMUNDI FUNDS EMERGING MARKETS LOCAL CURRENCY BOND</v>
          </cell>
          <cell r="C1711" t="str">
            <v>Class Z EUR AD (D)</v>
          </cell>
          <cell r="D1711" t="str">
            <v>EUR</v>
          </cell>
          <cell r="E1711">
            <v>45747</v>
          </cell>
          <cell r="F1711">
            <v>20389081.030000001</v>
          </cell>
          <cell r="G1711">
            <v>26820.524000000001</v>
          </cell>
          <cell r="H1711">
            <v>760.2</v>
          </cell>
          <cell r="I1711">
            <v>0</v>
          </cell>
          <cell r="J1711">
            <v>760.2</v>
          </cell>
          <cell r="K1711">
            <v>2.16</v>
          </cell>
        </row>
        <row r="1712">
          <cell r="A1712" t="str">
            <v>LU2462611489</v>
          </cell>
          <cell r="B1712" t="str">
            <v>AMUNDI FUNDS REAL ASSETS TARGET INCOME</v>
          </cell>
          <cell r="C1712" t="str">
            <v>Class A2 SGD Hgd (C)</v>
          </cell>
          <cell r="D1712" t="str">
            <v>SGD</v>
          </cell>
          <cell r="E1712">
            <v>45747</v>
          </cell>
          <cell r="F1712">
            <v>6568143.1500000004</v>
          </cell>
          <cell r="G1712">
            <v>124837.674</v>
          </cell>
          <cell r="H1712">
            <v>52.61</v>
          </cell>
          <cell r="I1712">
            <v>0</v>
          </cell>
          <cell r="J1712">
            <v>52.61</v>
          </cell>
          <cell r="K1712">
            <v>0.01</v>
          </cell>
        </row>
        <row r="1713">
          <cell r="A1713" t="str">
            <v>LU2498475776</v>
          </cell>
          <cell r="B1713" t="str">
            <v>AMUNDI FUNDS REAL ASSETS TARGET INCOME</v>
          </cell>
          <cell r="C1713" t="str">
            <v>Class A2 HKD MTI (D)</v>
          </cell>
          <cell r="D1713" t="str">
            <v>HKD</v>
          </cell>
          <cell r="E1713">
            <v>45747</v>
          </cell>
          <cell r="F1713">
            <v>602650.79</v>
          </cell>
          <cell r="G1713">
            <v>14020.825999999999</v>
          </cell>
          <cell r="H1713">
            <v>42.98</v>
          </cell>
          <cell r="I1713">
            <v>0</v>
          </cell>
          <cell r="J1713">
            <v>42.98</v>
          </cell>
          <cell r="K1713">
            <v>0.02</v>
          </cell>
        </row>
        <row r="1714">
          <cell r="A1714" t="str">
            <v>LU1883866102</v>
          </cell>
          <cell r="B1714" t="str">
            <v>AMUNDI FUNDS REAL ASSETS TARGET INCOME</v>
          </cell>
          <cell r="C1714" t="str">
            <v>Class A2 EUR Hgd MTI (D)</v>
          </cell>
          <cell r="D1714" t="str">
            <v>EUR</v>
          </cell>
          <cell r="E1714">
            <v>45747</v>
          </cell>
          <cell r="F1714">
            <v>481612.46</v>
          </cell>
          <cell r="G1714">
            <v>14063.120999999999</v>
          </cell>
          <cell r="H1714">
            <v>34.25</v>
          </cell>
          <cell r="I1714">
            <v>0</v>
          </cell>
          <cell r="J1714">
            <v>35.79</v>
          </cell>
          <cell r="K1714">
            <v>0.01</v>
          </cell>
        </row>
        <row r="1715">
          <cell r="A1715" t="str">
            <v>LU1883866284</v>
          </cell>
          <cell r="B1715" t="str">
            <v>AMUNDI FUNDS REAL ASSETS TARGET INCOME</v>
          </cell>
          <cell r="C1715" t="str">
            <v>Class A2 EUR Hgd QTI (D)</v>
          </cell>
          <cell r="D1715" t="str">
            <v>EUR</v>
          </cell>
          <cell r="E1715">
            <v>45747</v>
          </cell>
          <cell r="F1715">
            <v>38858863.810000002</v>
          </cell>
          <cell r="G1715">
            <v>1135246.5589999999</v>
          </cell>
          <cell r="H1715">
            <v>34.229999999999997</v>
          </cell>
          <cell r="I1715">
            <v>0</v>
          </cell>
          <cell r="J1715">
            <v>35.770000000000003</v>
          </cell>
          <cell r="K1715">
            <v>0.01</v>
          </cell>
        </row>
        <row r="1716">
          <cell r="A1716" t="str">
            <v>LU2462611646</v>
          </cell>
          <cell r="B1716" t="str">
            <v>AMUNDI FUNDS REAL ASSETS TARGET INCOME</v>
          </cell>
          <cell r="C1716" t="str">
            <v>Class A2 USD MTI (D)</v>
          </cell>
          <cell r="D1716" t="str">
            <v>USD</v>
          </cell>
          <cell r="E1716">
            <v>45747</v>
          </cell>
          <cell r="F1716">
            <v>15114040.960000001</v>
          </cell>
          <cell r="G1716">
            <v>332704.04700000002</v>
          </cell>
          <cell r="H1716">
            <v>45.43</v>
          </cell>
          <cell r="I1716">
            <v>0</v>
          </cell>
          <cell r="J1716">
            <v>45.43</v>
          </cell>
          <cell r="K1716">
            <v>0.02</v>
          </cell>
        </row>
        <row r="1717">
          <cell r="A1717" t="str">
            <v>LU2462611562</v>
          </cell>
          <cell r="B1717" t="str">
            <v>AMUNDI FUNDS REAL ASSETS TARGET INCOME</v>
          </cell>
          <cell r="C1717" t="str">
            <v>Class A2 SGD Hgd MTI (D)</v>
          </cell>
          <cell r="D1717" t="str">
            <v>SGD</v>
          </cell>
          <cell r="E1717">
            <v>45747</v>
          </cell>
          <cell r="F1717">
            <v>22079311.48</v>
          </cell>
          <cell r="G1717">
            <v>566077.15800000005</v>
          </cell>
          <cell r="H1717">
            <v>39</v>
          </cell>
          <cell r="I1717">
            <v>0</v>
          </cell>
          <cell r="J1717">
            <v>39</v>
          </cell>
          <cell r="K1717">
            <v>0.01</v>
          </cell>
        </row>
        <row r="1718">
          <cell r="A1718" t="str">
            <v>LU1883866524</v>
          </cell>
          <cell r="B1718" t="str">
            <v>AMUNDI FUNDS REAL ASSETS TARGET INCOME</v>
          </cell>
          <cell r="C1718" t="str">
            <v>Class A2 USD QTI (D)</v>
          </cell>
          <cell r="D1718" t="str">
            <v>USD</v>
          </cell>
          <cell r="E1718">
            <v>45747</v>
          </cell>
          <cell r="F1718">
            <v>2697625.36</v>
          </cell>
          <cell r="G1718">
            <v>76936.483999999997</v>
          </cell>
          <cell r="H1718">
            <v>35.06</v>
          </cell>
          <cell r="I1718">
            <v>0</v>
          </cell>
          <cell r="J1718">
            <v>36.64</v>
          </cell>
          <cell r="K1718">
            <v>0.01</v>
          </cell>
        </row>
        <row r="1719">
          <cell r="A1719" t="str">
            <v>LU1883866011</v>
          </cell>
          <cell r="B1719" t="str">
            <v>AMUNDI FUNDS REAL ASSETS TARGET INCOME</v>
          </cell>
          <cell r="C1719" t="str">
            <v>Class A2 EUR (C)</v>
          </cell>
          <cell r="D1719" t="str">
            <v>EUR</v>
          </cell>
          <cell r="E1719">
            <v>45747</v>
          </cell>
          <cell r="F1719">
            <v>17188107.09</v>
          </cell>
          <cell r="G1719">
            <v>280102.11700000003</v>
          </cell>
          <cell r="H1719">
            <v>61.36</v>
          </cell>
          <cell r="I1719">
            <v>0</v>
          </cell>
          <cell r="J1719">
            <v>64.12</v>
          </cell>
          <cell r="K1719">
            <v>0.13</v>
          </cell>
        </row>
        <row r="1720">
          <cell r="A1720" t="str">
            <v>LU1883866797</v>
          </cell>
          <cell r="B1720" t="str">
            <v>AMUNDI FUNDS REAL ASSETS TARGET INCOME</v>
          </cell>
          <cell r="C1720" t="str">
            <v>Class E2 EUR ATI (D)</v>
          </cell>
          <cell r="D1720" t="str">
            <v>EUR</v>
          </cell>
          <cell r="E1720">
            <v>45747</v>
          </cell>
          <cell r="F1720">
            <v>7171318.5999999996</v>
          </cell>
          <cell r="G1720">
            <v>2241103.338</v>
          </cell>
          <cell r="H1720">
            <v>3.2</v>
          </cell>
          <cell r="I1720">
            <v>0</v>
          </cell>
          <cell r="J1720">
            <v>3.2</v>
          </cell>
          <cell r="K1720">
            <v>7.0000000000000001E-3</v>
          </cell>
        </row>
        <row r="1721">
          <cell r="A1721" t="str">
            <v>LU1883866870</v>
          </cell>
          <cell r="B1721" t="str">
            <v>AMUNDI FUNDS REAL ASSETS TARGET INCOME</v>
          </cell>
          <cell r="C1721" t="str">
            <v>Class E2 EUR Hgd SATI (D)</v>
          </cell>
          <cell r="D1721" t="str">
            <v>EUR</v>
          </cell>
          <cell r="E1721">
            <v>45747</v>
          </cell>
          <cell r="F1721">
            <v>1141087.52</v>
          </cell>
          <cell r="G1721">
            <v>385481.103</v>
          </cell>
          <cell r="H1721">
            <v>2.96</v>
          </cell>
          <cell r="I1721">
            <v>0</v>
          </cell>
          <cell r="J1721">
            <v>2.96</v>
          </cell>
          <cell r="K1721">
            <v>1E-3</v>
          </cell>
        </row>
        <row r="1722">
          <cell r="A1722" t="str">
            <v>LU1883867092</v>
          </cell>
          <cell r="B1722" t="str">
            <v>AMUNDI FUNDS REAL ASSETS TARGET INCOME</v>
          </cell>
          <cell r="C1722" t="str">
            <v>Class F2 EUR ATI (D)</v>
          </cell>
          <cell r="D1722" t="str">
            <v>EUR</v>
          </cell>
          <cell r="E1722">
            <v>45747</v>
          </cell>
          <cell r="F1722">
            <v>3071277.34</v>
          </cell>
          <cell r="G1722">
            <v>1047991.599</v>
          </cell>
          <cell r="H1722">
            <v>2.931</v>
          </cell>
          <cell r="I1722">
            <v>0</v>
          </cell>
          <cell r="J1722">
            <v>2.931</v>
          </cell>
          <cell r="K1722">
            <v>7.0000000000000001E-3</v>
          </cell>
        </row>
        <row r="1723">
          <cell r="A1723" t="str">
            <v>LU1883867506</v>
          </cell>
          <cell r="B1723" t="str">
            <v>AMUNDI FUNDS REAL ASSETS TARGET INCOME</v>
          </cell>
          <cell r="C1723" t="str">
            <v>Class I2 USD (C)</v>
          </cell>
          <cell r="D1723" t="str">
            <v>USD</v>
          </cell>
          <cell r="E1723">
            <v>45747</v>
          </cell>
          <cell r="F1723">
            <v>3141577.36</v>
          </cell>
          <cell r="G1723">
            <v>3008.203</v>
          </cell>
          <cell r="H1723">
            <v>1044.3399999999999</v>
          </cell>
          <cell r="I1723">
            <v>0</v>
          </cell>
          <cell r="J1723">
            <v>1044.3399999999999</v>
          </cell>
          <cell r="K1723">
            <v>0.39</v>
          </cell>
        </row>
        <row r="1724">
          <cell r="A1724" t="str">
            <v>LU1883867415</v>
          </cell>
          <cell r="B1724" t="str">
            <v>AMUNDI FUNDS REAL ASSETS TARGET INCOME</v>
          </cell>
          <cell r="C1724" t="str">
            <v>Class I2 EUR Hgd QTI (D)</v>
          </cell>
          <cell r="D1724" t="str">
            <v>EUR</v>
          </cell>
          <cell r="E1724">
            <v>45747</v>
          </cell>
          <cell r="F1724">
            <v>71951.929999999993</v>
          </cell>
          <cell r="G1724">
            <v>96.614999999999995</v>
          </cell>
          <cell r="H1724">
            <v>744.73</v>
          </cell>
          <cell r="I1724">
            <v>0</v>
          </cell>
          <cell r="J1724">
            <v>744.73</v>
          </cell>
          <cell r="K1724">
            <v>0.23</v>
          </cell>
        </row>
        <row r="1725">
          <cell r="A1725" t="str">
            <v>LU1883867332</v>
          </cell>
          <cell r="B1725" t="str">
            <v>AMUNDI FUNDS REAL ASSETS TARGET INCOME</v>
          </cell>
          <cell r="C1725" t="str">
            <v>Class I2 EUR (C)</v>
          </cell>
          <cell r="D1725" t="str">
            <v>EUR</v>
          </cell>
          <cell r="E1725">
            <v>45747</v>
          </cell>
          <cell r="F1725">
            <v>20716464.510000002</v>
          </cell>
          <cell r="G1725">
            <v>15044.94</v>
          </cell>
          <cell r="H1725">
            <v>1376.97</v>
          </cell>
          <cell r="I1725">
            <v>0</v>
          </cell>
          <cell r="J1725">
            <v>1376.97</v>
          </cell>
          <cell r="K1725">
            <v>3.18</v>
          </cell>
        </row>
        <row r="1726">
          <cell r="A1726" t="str">
            <v>LU1883867258</v>
          </cell>
          <cell r="B1726" t="str">
            <v>AMUNDI FUNDS REAL ASSETS TARGET INCOME</v>
          </cell>
          <cell r="C1726" t="str">
            <v>Class G2 EUR Hgd QTI (D)</v>
          </cell>
          <cell r="D1726" t="str">
            <v>EUR</v>
          </cell>
          <cell r="E1726">
            <v>45747</v>
          </cell>
          <cell r="F1726">
            <v>1299176.2</v>
          </cell>
          <cell r="G1726">
            <v>388564.80900000001</v>
          </cell>
          <cell r="H1726">
            <v>3.3439999999999999</v>
          </cell>
          <cell r="I1726">
            <v>0</v>
          </cell>
          <cell r="J1726">
            <v>3.3439999999999999</v>
          </cell>
          <cell r="K1726">
            <v>1E-3</v>
          </cell>
        </row>
        <row r="1727">
          <cell r="A1727" t="str">
            <v>LU2002724040</v>
          </cell>
          <cell r="B1727" t="str">
            <v>AMUNDI FUNDS REAL ASSETS TARGET INCOME</v>
          </cell>
          <cell r="C1727" t="str">
            <v>Class M2 USD ATI ( D )</v>
          </cell>
          <cell r="D1727" t="str">
            <v>USD</v>
          </cell>
          <cell r="E1727">
            <v>45747</v>
          </cell>
          <cell r="F1727">
            <v>10859019.689999999</v>
          </cell>
          <cell r="G1727">
            <v>12089.008</v>
          </cell>
          <cell r="H1727">
            <v>898.26</v>
          </cell>
          <cell r="I1727">
            <v>0</v>
          </cell>
          <cell r="J1727">
            <v>898.26</v>
          </cell>
          <cell r="K1727">
            <v>0.33</v>
          </cell>
        </row>
        <row r="1728">
          <cell r="A1728" t="str">
            <v>LU1883867688</v>
          </cell>
          <cell r="B1728" t="str">
            <v>AMUNDI FUNDS REAL ASSETS TARGET INCOME</v>
          </cell>
          <cell r="C1728" t="str">
            <v>Class R2 EUR (C)</v>
          </cell>
          <cell r="D1728" t="str">
            <v>EUR</v>
          </cell>
          <cell r="E1728">
            <v>45747</v>
          </cell>
          <cell r="F1728">
            <v>652648.01</v>
          </cell>
          <cell r="G1728">
            <v>9260.15</v>
          </cell>
          <cell r="H1728">
            <v>70.48</v>
          </cell>
          <cell r="I1728">
            <v>0</v>
          </cell>
          <cell r="J1728">
            <v>70.48</v>
          </cell>
          <cell r="K1728">
            <v>0.16</v>
          </cell>
        </row>
        <row r="1729">
          <cell r="A1729" t="str">
            <v>LU1883866367</v>
          </cell>
          <cell r="B1729" t="str">
            <v>AMUNDI FUNDS REAL ASSETS TARGET INCOME</v>
          </cell>
          <cell r="C1729" t="str">
            <v>Class A2 EUR QTI (D)</v>
          </cell>
          <cell r="D1729" t="str">
            <v>EUR</v>
          </cell>
          <cell r="E1729">
            <v>45747</v>
          </cell>
          <cell r="F1729">
            <v>4888325.46</v>
          </cell>
          <cell r="G1729">
            <v>149749.99600000001</v>
          </cell>
          <cell r="H1729">
            <v>32.64</v>
          </cell>
          <cell r="I1729">
            <v>0</v>
          </cell>
          <cell r="J1729">
            <v>34.11</v>
          </cell>
          <cell r="K1729">
            <v>7.0000000000000007E-2</v>
          </cell>
        </row>
        <row r="1730">
          <cell r="A1730" t="str">
            <v>LU1883866441</v>
          </cell>
          <cell r="B1730" t="str">
            <v>AMUNDI FUNDS REAL ASSETS TARGET INCOME</v>
          </cell>
          <cell r="C1730" t="str">
            <v>Class A2 USD (C)</v>
          </cell>
          <cell r="D1730" t="str">
            <v>USD</v>
          </cell>
          <cell r="E1730">
            <v>45747</v>
          </cell>
          <cell r="F1730">
            <v>1086703.1499999999</v>
          </cell>
          <cell r="G1730">
            <v>16391.312999999998</v>
          </cell>
          <cell r="H1730">
            <v>66.3</v>
          </cell>
          <cell r="I1730">
            <v>0</v>
          </cell>
          <cell r="J1730">
            <v>69.28</v>
          </cell>
          <cell r="K1730">
            <v>0.02</v>
          </cell>
        </row>
        <row r="1731">
          <cell r="A1731" t="str">
            <v>LU2070303842</v>
          </cell>
          <cell r="B1731" t="str">
            <v>AMUNDI FUNDS REAL ASSETS TARGET INCOME</v>
          </cell>
          <cell r="C1731" t="str">
            <v>Class Z EUR QD (D)</v>
          </cell>
          <cell r="D1731" t="str">
            <v>EUR</v>
          </cell>
          <cell r="E1731">
            <v>45747</v>
          </cell>
          <cell r="F1731">
            <v>5105747.1900000004</v>
          </cell>
          <cell r="G1731">
            <v>4115.3670000000002</v>
          </cell>
          <cell r="H1731">
            <v>1240.6500000000001</v>
          </cell>
          <cell r="I1731">
            <v>7.4675190000000002</v>
          </cell>
          <cell r="J1731">
            <v>1240.6500000000001</v>
          </cell>
          <cell r="K1731">
            <v>-4.57</v>
          </cell>
        </row>
        <row r="1732">
          <cell r="A1732" t="str">
            <v>LU2085675606</v>
          </cell>
          <cell r="B1732" t="str">
            <v>AMUNDI FUNDS REAL ASSETS TARGET INCOME</v>
          </cell>
          <cell r="C1732" t="str">
            <v>Class Z USD QTI (D)</v>
          </cell>
          <cell r="D1732" t="str">
            <v>USD</v>
          </cell>
          <cell r="E1732">
            <v>45747</v>
          </cell>
          <cell r="F1732">
            <v>10006519.83</v>
          </cell>
          <cell r="G1732">
            <v>10908.339</v>
          </cell>
          <cell r="H1732">
            <v>917.33</v>
          </cell>
          <cell r="I1732">
            <v>0</v>
          </cell>
          <cell r="J1732">
            <v>917.33</v>
          </cell>
          <cell r="K1732">
            <v>0.36</v>
          </cell>
        </row>
        <row r="1733">
          <cell r="A1733" t="str">
            <v>LU2237438465</v>
          </cell>
          <cell r="B1733" t="str">
            <v>AMUNDI FUNDS REAL ASSETS TARGET INCOME</v>
          </cell>
          <cell r="C1733" t="str">
            <v>Class H USD ( C )</v>
          </cell>
          <cell r="D1733" t="str">
            <v>USD</v>
          </cell>
          <cell r="E1733">
            <v>45747</v>
          </cell>
          <cell r="F1733">
            <v>20341017.579999998</v>
          </cell>
          <cell r="G1733">
            <v>16698.434000000001</v>
          </cell>
          <cell r="H1733">
            <v>1218.1400000000001</v>
          </cell>
          <cell r="I1733">
            <v>0</v>
          </cell>
          <cell r="J1733">
            <v>1218.1400000000001</v>
          </cell>
          <cell r="K1733">
            <v>0.5</v>
          </cell>
        </row>
        <row r="1734">
          <cell r="A1734" t="str">
            <v>LU1883340322</v>
          </cell>
          <cell r="B1734" t="str">
            <v>AMUNDI FUNDS PIONEER FLEXIBLE OPPORTUNITIES</v>
          </cell>
          <cell r="C1734" t="str">
            <v>Class A EUR (C)</v>
          </cell>
          <cell r="D1734" t="str">
            <v>EUR</v>
          </cell>
          <cell r="E1734">
            <v>45747</v>
          </cell>
          <cell r="F1734">
            <v>1365331.97</v>
          </cell>
          <cell r="G1734">
            <v>12504.67</v>
          </cell>
          <cell r="H1734">
            <v>109.19</v>
          </cell>
          <cell r="I1734">
            <v>0</v>
          </cell>
          <cell r="J1734">
            <v>114.1</v>
          </cell>
          <cell r="K1734">
            <v>-0.24</v>
          </cell>
        </row>
        <row r="1735">
          <cell r="A1735" t="str">
            <v>LU1883340595</v>
          </cell>
          <cell r="B1735" t="str">
            <v>AMUNDI FUNDS PIONEER FLEXIBLE OPPORTUNITIES</v>
          </cell>
          <cell r="C1735" t="str">
            <v>Class A EUR Hgd (C)</v>
          </cell>
          <cell r="D1735" t="str">
            <v>EUR</v>
          </cell>
          <cell r="E1735">
            <v>45747</v>
          </cell>
          <cell r="F1735">
            <v>723381.29</v>
          </cell>
          <cell r="G1735">
            <v>10139.437</v>
          </cell>
          <cell r="H1735">
            <v>71.34</v>
          </cell>
          <cell r="I1735">
            <v>0</v>
          </cell>
          <cell r="J1735">
            <v>74.55</v>
          </cell>
          <cell r="K1735">
            <v>-0.3</v>
          </cell>
        </row>
        <row r="1736">
          <cell r="A1736" t="str">
            <v>LU1883340249</v>
          </cell>
          <cell r="B1736" t="str">
            <v>AMUNDI FUNDS PIONEER FLEXIBLE OPPORTUNITIES</v>
          </cell>
          <cell r="C1736" t="str">
            <v>Class A CZK Hgd (C)</v>
          </cell>
          <cell r="D1736" t="str">
            <v>CZK</v>
          </cell>
          <cell r="E1736">
            <v>45747</v>
          </cell>
          <cell r="F1736">
            <v>60492277.380000003</v>
          </cell>
          <cell r="G1736">
            <v>33310.485000000001</v>
          </cell>
          <cell r="H1736">
            <v>1816.01</v>
          </cell>
          <cell r="I1736">
            <v>0</v>
          </cell>
          <cell r="J1736">
            <v>1897.73</v>
          </cell>
          <cell r="K1736">
            <v>-7.64</v>
          </cell>
        </row>
        <row r="1737">
          <cell r="A1737" t="str">
            <v>LU1883340678</v>
          </cell>
          <cell r="B1737" t="str">
            <v>AMUNDI FUNDS PIONEER FLEXIBLE OPPORTUNITIES</v>
          </cell>
          <cell r="C1737" t="str">
            <v>Class A USD (C)</v>
          </cell>
          <cell r="D1737" t="str">
            <v>USD</v>
          </cell>
          <cell r="E1737">
            <v>45747</v>
          </cell>
          <cell r="F1737">
            <v>3390063.95</v>
          </cell>
          <cell r="G1737">
            <v>28274.255000000001</v>
          </cell>
          <cell r="H1737">
            <v>119.9</v>
          </cell>
          <cell r="I1737">
            <v>0</v>
          </cell>
          <cell r="J1737">
            <v>125.3</v>
          </cell>
          <cell r="K1737">
            <v>-0.5</v>
          </cell>
        </row>
        <row r="1738">
          <cell r="A1738" t="str">
            <v>LU1883340835</v>
          </cell>
          <cell r="B1738" t="str">
            <v>AMUNDI FUNDS PIONEER FLEXIBLE OPPORTUNITIES</v>
          </cell>
          <cell r="C1738" t="str">
            <v>Class C USD (C)</v>
          </cell>
          <cell r="D1738" t="str">
            <v>USD</v>
          </cell>
          <cell r="E1738">
            <v>45747</v>
          </cell>
          <cell r="F1738">
            <v>1899213.62</v>
          </cell>
          <cell r="G1738">
            <v>18233.341</v>
          </cell>
          <cell r="H1738">
            <v>104.16</v>
          </cell>
          <cell r="I1738">
            <v>0</v>
          </cell>
          <cell r="J1738">
            <v>104.16</v>
          </cell>
          <cell r="K1738">
            <v>-0.44</v>
          </cell>
        </row>
        <row r="1739">
          <cell r="A1739" t="str">
            <v>LU1883340751</v>
          </cell>
          <cell r="B1739" t="str">
            <v>AMUNDI FUNDS PIONEER FLEXIBLE OPPORTUNITIES</v>
          </cell>
          <cell r="C1739" t="str">
            <v>Class C EUR Hgd (C)</v>
          </cell>
          <cell r="D1739" t="str">
            <v>EUR</v>
          </cell>
          <cell r="E1739">
            <v>45747</v>
          </cell>
          <cell r="F1739">
            <v>441819.34</v>
          </cell>
          <cell r="G1739">
            <v>6954.2889999999998</v>
          </cell>
          <cell r="H1739">
            <v>63.53</v>
          </cell>
          <cell r="I1739">
            <v>0</v>
          </cell>
          <cell r="J1739">
            <v>63.53</v>
          </cell>
          <cell r="K1739">
            <v>-0.28000000000000003</v>
          </cell>
        </row>
        <row r="1740">
          <cell r="A1740" t="str">
            <v>LU1883340918</v>
          </cell>
          <cell r="B1740" t="str">
            <v>AMUNDI FUNDS PIONEER FLEXIBLE OPPORTUNITIES</v>
          </cell>
          <cell r="C1740" t="str">
            <v>Class E2 EUR (C)</v>
          </cell>
          <cell r="D1740" t="str">
            <v>EUR</v>
          </cell>
          <cell r="E1740">
            <v>45747</v>
          </cell>
          <cell r="F1740">
            <v>3138441.34</v>
          </cell>
          <cell r="G1740">
            <v>402531.37300000002</v>
          </cell>
          <cell r="H1740">
            <v>7.7969999999999997</v>
          </cell>
          <cell r="I1740">
            <v>0</v>
          </cell>
          <cell r="J1740">
            <v>7.7969999999999997</v>
          </cell>
          <cell r="K1740">
            <v>-1.7000000000000001E-2</v>
          </cell>
        </row>
        <row r="1741">
          <cell r="A1741" t="str">
            <v>LU1883341056</v>
          </cell>
          <cell r="B1741" t="str">
            <v>AMUNDI FUNDS PIONEER FLEXIBLE OPPORTUNITIES</v>
          </cell>
          <cell r="C1741" t="str">
            <v>Class E2 EUR Hgd (C)</v>
          </cell>
          <cell r="D1741" t="str">
            <v>EUR</v>
          </cell>
          <cell r="E1741">
            <v>45747</v>
          </cell>
          <cell r="F1741">
            <v>7349264.3700000001</v>
          </cell>
          <cell r="G1741">
            <v>1185544.835</v>
          </cell>
          <cell r="H1741">
            <v>6.1989999999999998</v>
          </cell>
          <cell r="I1741">
            <v>0</v>
          </cell>
          <cell r="J1741">
            <v>6.1989999999999998</v>
          </cell>
          <cell r="K1741">
            <v>-2.5999999999999999E-2</v>
          </cell>
        </row>
        <row r="1742">
          <cell r="A1742" t="str">
            <v>LU1883341130</v>
          </cell>
          <cell r="B1742" t="str">
            <v>AMUNDI FUNDS PIONEER FLEXIBLE OPPORTUNITIES</v>
          </cell>
          <cell r="C1742" t="str">
            <v>Class F EUR (C)</v>
          </cell>
          <cell r="D1742" t="str">
            <v>EUR</v>
          </cell>
          <cell r="E1742">
            <v>45747</v>
          </cell>
          <cell r="F1742">
            <v>1093522.46</v>
          </cell>
          <cell r="G1742">
            <v>154180.234</v>
          </cell>
          <cell r="H1742">
            <v>7.0919999999999996</v>
          </cell>
          <cell r="I1742">
            <v>0</v>
          </cell>
          <cell r="J1742">
            <v>7.0919999999999996</v>
          </cell>
          <cell r="K1742">
            <v>-1.6E-2</v>
          </cell>
        </row>
        <row r="1743">
          <cell r="A1743" t="str">
            <v>LU2330498598</v>
          </cell>
          <cell r="B1743" t="str">
            <v>AMUNDI FUNDS PIONEER FLEXIBLE OPPORTUNITIES</v>
          </cell>
          <cell r="C1743" t="str">
            <v>Class I2 USD (C)</v>
          </cell>
          <cell r="D1743" t="str">
            <v>USD</v>
          </cell>
          <cell r="E1743">
            <v>45747</v>
          </cell>
          <cell r="F1743">
            <v>5480.55</v>
          </cell>
          <cell r="G1743">
            <v>5</v>
          </cell>
          <cell r="H1743">
            <v>1096.1099999999999</v>
          </cell>
          <cell r="I1743">
            <v>0</v>
          </cell>
          <cell r="J1743">
            <v>1096.1099999999999</v>
          </cell>
          <cell r="K1743">
            <v>-4.46</v>
          </cell>
        </row>
        <row r="1744">
          <cell r="A1744" t="str">
            <v>LU1894680328</v>
          </cell>
          <cell r="B1744" t="str">
            <v>AMUNDI FUNDS PIONEER FLEXIBLE OPPORTUNITIES</v>
          </cell>
          <cell r="C1744" t="str">
            <v>Class G EUR (C)</v>
          </cell>
          <cell r="D1744" t="str">
            <v>EUR</v>
          </cell>
          <cell r="E1744">
            <v>45747</v>
          </cell>
          <cell r="F1744">
            <v>588379.76</v>
          </cell>
          <cell r="G1744">
            <v>91269.862999999998</v>
          </cell>
          <cell r="H1744">
            <v>6.4470000000000001</v>
          </cell>
          <cell r="I1744">
            <v>0</v>
          </cell>
          <cell r="J1744">
            <v>6.4470000000000001</v>
          </cell>
          <cell r="K1744">
            <v>-1.4E-2</v>
          </cell>
        </row>
        <row r="1745">
          <cell r="A1745" t="str">
            <v>LU1883341213</v>
          </cell>
          <cell r="B1745" t="str">
            <v>AMUNDI FUNDS PIONEER FLEXIBLE OPPORTUNITIES</v>
          </cell>
          <cell r="C1745" t="str">
            <v>Class G EUR Hgd (C)</v>
          </cell>
          <cell r="D1745" t="str">
            <v>EUR</v>
          </cell>
          <cell r="E1745">
            <v>45747</v>
          </cell>
          <cell r="F1745">
            <v>5880350.1900000004</v>
          </cell>
          <cell r="G1745">
            <v>1200864.209</v>
          </cell>
          <cell r="H1745">
            <v>4.8970000000000002</v>
          </cell>
          <cell r="I1745">
            <v>0</v>
          </cell>
          <cell r="J1745">
            <v>4.8970000000000002</v>
          </cell>
          <cell r="K1745">
            <v>-2.1000000000000001E-2</v>
          </cell>
        </row>
        <row r="1746">
          <cell r="A1746" t="str">
            <v>LU1883341643</v>
          </cell>
          <cell r="B1746" t="str">
            <v>AMUNDI FUNDS PIONEER FLEXIBLE OPPORTUNITIES</v>
          </cell>
          <cell r="C1746" t="str">
            <v>Class P USD (C)</v>
          </cell>
          <cell r="D1746" t="str">
            <v>USD</v>
          </cell>
          <cell r="E1746">
            <v>45747</v>
          </cell>
          <cell r="F1746">
            <v>30887.7</v>
          </cell>
          <cell r="G1746">
            <v>403.75</v>
          </cell>
          <cell r="H1746">
            <v>76.5</v>
          </cell>
          <cell r="I1746">
            <v>0</v>
          </cell>
          <cell r="J1746">
            <v>76.5</v>
          </cell>
          <cell r="K1746">
            <v>-0.32</v>
          </cell>
        </row>
        <row r="1747">
          <cell r="A1747" t="str">
            <v>LU1837136800</v>
          </cell>
          <cell r="B1747" t="str">
            <v>AMUNDI FUNDS PIONEER FLEXIBLE OPPORTUNITIES</v>
          </cell>
          <cell r="C1747" t="str">
            <v>Class R EUR ( C )</v>
          </cell>
          <cell r="D1747" t="str">
            <v>EUR</v>
          </cell>
          <cell r="E1747">
            <v>45747</v>
          </cell>
          <cell r="F1747">
            <v>28680.76</v>
          </cell>
          <cell r="G1747">
            <v>419.11599999999999</v>
          </cell>
          <cell r="H1747">
            <v>68.430000000000007</v>
          </cell>
          <cell r="I1747">
            <v>0</v>
          </cell>
          <cell r="J1747">
            <v>68.430000000000007</v>
          </cell>
          <cell r="K1747">
            <v>-0.15</v>
          </cell>
        </row>
        <row r="1748">
          <cell r="A1748" t="str">
            <v>LU1883342021</v>
          </cell>
          <cell r="B1748" t="str">
            <v>AMUNDI FUNDS PIONEER FLEXIBLE OPPORTUNITIES</v>
          </cell>
          <cell r="C1748" t="str">
            <v>Class R GBP (C)</v>
          </cell>
          <cell r="D1748" t="str">
            <v>GBP</v>
          </cell>
          <cell r="E1748">
            <v>45747</v>
          </cell>
          <cell r="F1748">
            <v>53459.68</v>
          </cell>
          <cell r="G1748">
            <v>674.78099999999995</v>
          </cell>
          <cell r="H1748">
            <v>79.23</v>
          </cell>
          <cell r="I1748">
            <v>0</v>
          </cell>
          <cell r="J1748">
            <v>79.23</v>
          </cell>
          <cell r="K1748">
            <v>-0.11</v>
          </cell>
        </row>
        <row r="1749">
          <cell r="A1749" t="str">
            <v>LU1883342294</v>
          </cell>
          <cell r="B1749" t="str">
            <v>AMUNDI FUNDS PIONEER FLEXIBLE OPPORTUNITIES</v>
          </cell>
          <cell r="C1749" t="str">
            <v>Class R USD (C)</v>
          </cell>
          <cell r="D1749" t="str">
            <v>USD</v>
          </cell>
          <cell r="E1749">
            <v>45747</v>
          </cell>
          <cell r="F1749">
            <v>182716.15</v>
          </cell>
          <cell r="G1749">
            <v>1749.3019999999999</v>
          </cell>
          <cell r="H1749">
            <v>104.45</v>
          </cell>
          <cell r="I1749">
            <v>0</v>
          </cell>
          <cell r="J1749">
            <v>104.45</v>
          </cell>
          <cell r="K1749">
            <v>-0.43</v>
          </cell>
        </row>
        <row r="1750">
          <cell r="A1750" t="str">
            <v>LU1883341486</v>
          </cell>
          <cell r="B1750" t="str">
            <v>AMUNDI FUNDS PIONEER FLEXIBLE OPPORTUNITIES</v>
          </cell>
          <cell r="C1750" t="str">
            <v>Class I USD (C)</v>
          </cell>
          <cell r="D1750" t="str">
            <v>USD</v>
          </cell>
          <cell r="E1750">
            <v>45747</v>
          </cell>
          <cell r="F1750">
            <v>196957.64</v>
          </cell>
          <cell r="G1750">
            <v>168.97399999999999</v>
          </cell>
          <cell r="H1750">
            <v>1165.6099999999999</v>
          </cell>
          <cell r="I1750">
            <v>0</v>
          </cell>
          <cell r="J1750">
            <v>1165.6099999999999</v>
          </cell>
          <cell r="K1750">
            <v>-2.98</v>
          </cell>
        </row>
        <row r="1751">
          <cell r="A1751" t="str">
            <v>LU2762361645</v>
          </cell>
          <cell r="B1751" t="str">
            <v>AMUNDI FUNDS EMERG MARKE CORPORATE HIGH YIELD BOND</v>
          </cell>
          <cell r="C1751" t="str">
            <v>Class A2 USD MD (D)</v>
          </cell>
          <cell r="D1751" t="str">
            <v>USD</v>
          </cell>
          <cell r="E1751">
            <v>45747</v>
          </cell>
          <cell r="F1751">
            <v>1697317.03</v>
          </cell>
          <cell r="G1751">
            <v>33320.784</v>
          </cell>
          <cell r="H1751">
            <v>50.94</v>
          </cell>
          <cell r="I1751">
            <v>0.15263699999999999</v>
          </cell>
          <cell r="J1751">
            <v>50.94</v>
          </cell>
          <cell r="K1751">
            <v>-0.25</v>
          </cell>
        </row>
        <row r="1752">
          <cell r="A1752" t="str">
            <v>LU1882457226</v>
          </cell>
          <cell r="B1752" t="str">
            <v>AMUNDI FUNDS EMERG MARKE CORPORATE HIGH YIELD BOND</v>
          </cell>
          <cell r="C1752" t="str">
            <v>Class A EUR AD (D)</v>
          </cell>
          <cell r="D1752" t="str">
            <v>EUR</v>
          </cell>
          <cell r="E1752">
            <v>45747</v>
          </cell>
          <cell r="F1752">
            <v>898245.1</v>
          </cell>
          <cell r="G1752">
            <v>18290.112000000001</v>
          </cell>
          <cell r="H1752">
            <v>49.11</v>
          </cell>
          <cell r="I1752">
            <v>0</v>
          </cell>
          <cell r="J1752">
            <v>51.07</v>
          </cell>
          <cell r="K1752">
            <v>0</v>
          </cell>
        </row>
        <row r="1753">
          <cell r="A1753" t="str">
            <v>LU1882457143</v>
          </cell>
          <cell r="B1753" t="str">
            <v>AMUNDI FUNDS EMERG MARKE CORPORATE HIGH YIELD BOND</v>
          </cell>
          <cell r="C1753" t="str">
            <v>Class A EUR (C)</v>
          </cell>
          <cell r="D1753" t="str">
            <v>EUR</v>
          </cell>
          <cell r="E1753">
            <v>45747</v>
          </cell>
          <cell r="F1753">
            <v>1487197.7</v>
          </cell>
          <cell r="G1753">
            <v>15239.594999999999</v>
          </cell>
          <cell r="H1753">
            <v>97.59</v>
          </cell>
          <cell r="I1753">
            <v>0</v>
          </cell>
          <cell r="J1753">
            <v>101.49</v>
          </cell>
          <cell r="K1753">
            <v>0.01</v>
          </cell>
        </row>
        <row r="1754">
          <cell r="A1754" t="str">
            <v>LU2762361728</v>
          </cell>
          <cell r="B1754" t="str">
            <v>AMUNDI FUNDS EMERG MARKE CORPORATE HIGH YIELD BOND</v>
          </cell>
          <cell r="C1754" t="str">
            <v>Class A2 USD (C)</v>
          </cell>
          <cell r="D1754" t="str">
            <v>USD</v>
          </cell>
          <cell r="E1754">
            <v>45747</v>
          </cell>
          <cell r="F1754">
            <v>5539.27</v>
          </cell>
          <cell r="G1754">
            <v>100</v>
          </cell>
          <cell r="H1754">
            <v>55.39</v>
          </cell>
          <cell r="I1754">
            <v>0</v>
          </cell>
          <cell r="J1754">
            <v>55.39</v>
          </cell>
          <cell r="K1754">
            <v>-0.1</v>
          </cell>
        </row>
        <row r="1755">
          <cell r="A1755" t="str">
            <v>LU1882457655</v>
          </cell>
          <cell r="B1755" t="str">
            <v>AMUNDI FUNDS EMERG MARKE CORPORATE HIGH YIELD BOND</v>
          </cell>
          <cell r="C1755" t="str">
            <v>Class A USD MTD (D)</v>
          </cell>
          <cell r="D1755" t="str">
            <v>USD</v>
          </cell>
          <cell r="E1755">
            <v>45747</v>
          </cell>
          <cell r="F1755">
            <v>309295.02</v>
          </cell>
          <cell r="G1755">
            <v>5328.4170000000004</v>
          </cell>
          <cell r="H1755">
            <v>58.05</v>
          </cell>
          <cell r="I1755">
            <v>0</v>
          </cell>
          <cell r="J1755">
            <v>60.37</v>
          </cell>
          <cell r="K1755">
            <v>-0.1</v>
          </cell>
        </row>
        <row r="1756">
          <cell r="A1756" t="str">
            <v>LU1882457572</v>
          </cell>
          <cell r="B1756" t="str">
            <v>AMUNDI FUNDS EMERG MARKE CORPORATE HIGH YIELD BOND</v>
          </cell>
          <cell r="C1756" t="str">
            <v>Class A USD (C)</v>
          </cell>
          <cell r="D1756" t="str">
            <v>USD</v>
          </cell>
          <cell r="E1756">
            <v>45747</v>
          </cell>
          <cell r="F1756">
            <v>2813743.42</v>
          </cell>
          <cell r="G1756">
            <v>26687.164000000001</v>
          </cell>
          <cell r="H1756">
            <v>105.43</v>
          </cell>
          <cell r="I1756">
            <v>0</v>
          </cell>
          <cell r="J1756">
            <v>109.65</v>
          </cell>
          <cell r="K1756">
            <v>-0.2</v>
          </cell>
        </row>
        <row r="1757">
          <cell r="A1757" t="str">
            <v>LU1882457739</v>
          </cell>
          <cell r="B1757" t="str">
            <v>AMUNDI FUNDS EMERG MARKE CORPORATE HIGH YIELD BOND</v>
          </cell>
          <cell r="C1757" t="str">
            <v>Class C EUR (C)</v>
          </cell>
          <cell r="D1757" t="str">
            <v>EUR</v>
          </cell>
          <cell r="E1757">
            <v>45747</v>
          </cell>
          <cell r="F1757">
            <v>51206.09</v>
          </cell>
          <cell r="G1757">
            <v>594.78300000000002</v>
          </cell>
          <cell r="H1757">
            <v>86.09</v>
          </cell>
          <cell r="I1757">
            <v>0</v>
          </cell>
          <cell r="J1757">
            <v>86.09</v>
          </cell>
          <cell r="K1757">
            <v>0</v>
          </cell>
        </row>
        <row r="1758">
          <cell r="A1758" t="str">
            <v>LU1882457903</v>
          </cell>
          <cell r="B1758" t="str">
            <v>AMUNDI FUNDS EMERG MARKE CORPORATE HIGH YIELD BOND</v>
          </cell>
          <cell r="C1758" t="str">
            <v>Class C USD (C)</v>
          </cell>
          <cell r="D1758" t="str">
            <v>USD</v>
          </cell>
          <cell r="E1758">
            <v>45747</v>
          </cell>
          <cell r="F1758">
            <v>788653.56</v>
          </cell>
          <cell r="G1758">
            <v>8479.4680000000008</v>
          </cell>
          <cell r="H1758">
            <v>93.01</v>
          </cell>
          <cell r="I1758">
            <v>0</v>
          </cell>
          <cell r="J1758">
            <v>93.01</v>
          </cell>
          <cell r="K1758">
            <v>-0.18</v>
          </cell>
        </row>
        <row r="1759">
          <cell r="A1759" t="str">
            <v>LU1882458034</v>
          </cell>
          <cell r="B1759" t="str">
            <v>AMUNDI FUNDS EMERG MARKE CORPORATE HIGH YIELD BOND</v>
          </cell>
          <cell r="C1759" t="str">
            <v>Class C USD MTD (D)</v>
          </cell>
          <cell r="D1759" t="str">
            <v>USD</v>
          </cell>
          <cell r="E1759">
            <v>45747</v>
          </cell>
          <cell r="F1759">
            <v>91090.19</v>
          </cell>
          <cell r="G1759">
            <v>1655.386</v>
          </cell>
          <cell r="H1759">
            <v>55.03</v>
          </cell>
          <cell r="I1759">
            <v>0</v>
          </cell>
          <cell r="J1759">
            <v>55.03</v>
          </cell>
          <cell r="K1759">
            <v>-0.1</v>
          </cell>
        </row>
        <row r="1760">
          <cell r="A1760" t="str">
            <v>LU1882458117</v>
          </cell>
          <cell r="B1760" t="str">
            <v>AMUNDI FUNDS EMERG MARKE CORPORATE HIGH YIELD BOND</v>
          </cell>
          <cell r="C1760" t="str">
            <v>Class E2 EUR (C)</v>
          </cell>
          <cell r="D1760" t="str">
            <v>EUR</v>
          </cell>
          <cell r="E1760">
            <v>45747</v>
          </cell>
          <cell r="F1760">
            <v>8840478.3900000006</v>
          </cell>
          <cell r="G1760">
            <v>895138.929</v>
          </cell>
          <cell r="H1760">
            <v>9.8759999999999994</v>
          </cell>
          <cell r="I1760">
            <v>0</v>
          </cell>
          <cell r="J1760">
            <v>9.8759999999999994</v>
          </cell>
          <cell r="K1760">
            <v>1E-3</v>
          </cell>
        </row>
        <row r="1761">
          <cell r="A1761" t="str">
            <v>LU1882458380</v>
          </cell>
          <cell r="B1761" t="str">
            <v>AMUNDI FUNDS EMERG MARKE CORPORATE HIGH YIELD BOND</v>
          </cell>
          <cell r="C1761" t="str">
            <v>Class F EUR QTD (D)</v>
          </cell>
          <cell r="D1761" t="str">
            <v>EUR</v>
          </cell>
          <cell r="E1761">
            <v>45747</v>
          </cell>
          <cell r="F1761">
            <v>5481877.0999999996</v>
          </cell>
          <cell r="G1761">
            <v>983938.924</v>
          </cell>
          <cell r="H1761">
            <v>5.5709999999999997</v>
          </cell>
          <cell r="I1761">
            <v>0</v>
          </cell>
          <cell r="J1761">
            <v>5.5709999999999997</v>
          </cell>
          <cell r="K1761">
            <v>0</v>
          </cell>
        </row>
        <row r="1762">
          <cell r="A1762" t="str">
            <v>LU1882458620</v>
          </cell>
          <cell r="B1762" t="str">
            <v>AMUNDI FUNDS EMERG MARKE CORPORATE HIGH YIELD BOND</v>
          </cell>
          <cell r="C1762" t="str">
            <v>Class I2 USD (C)</v>
          </cell>
          <cell r="D1762" t="str">
            <v>USD</v>
          </cell>
          <cell r="E1762">
            <v>45747</v>
          </cell>
          <cell r="F1762">
            <v>6435819.8899999997</v>
          </cell>
          <cell r="G1762">
            <v>2700.1370000000002</v>
          </cell>
          <cell r="H1762">
            <v>2383.52</v>
          </cell>
          <cell r="I1762">
            <v>0</v>
          </cell>
          <cell r="J1762">
            <v>2383.52</v>
          </cell>
          <cell r="K1762">
            <v>-4.17</v>
          </cell>
        </row>
        <row r="1763">
          <cell r="A1763" t="str">
            <v>LU1882458208</v>
          </cell>
          <cell r="B1763" t="str">
            <v>AMUNDI FUNDS EMERG MARKE CORPORATE HIGH YIELD BOND</v>
          </cell>
          <cell r="C1763" t="str">
            <v>Class E2 EUR QTD (D)</v>
          </cell>
          <cell r="D1763" t="str">
            <v>EUR</v>
          </cell>
          <cell r="E1763">
            <v>45747</v>
          </cell>
          <cell r="F1763">
            <v>5542891.1200000001</v>
          </cell>
          <cell r="G1763">
            <v>966188.57200000004</v>
          </cell>
          <cell r="H1763">
            <v>5.7370000000000001</v>
          </cell>
          <cell r="I1763">
            <v>0</v>
          </cell>
          <cell r="J1763">
            <v>5.7370000000000001</v>
          </cell>
          <cell r="K1763">
            <v>1E-3</v>
          </cell>
        </row>
        <row r="1764">
          <cell r="A1764" t="str">
            <v>LU2596442678</v>
          </cell>
          <cell r="B1764" t="str">
            <v>AMUNDI FUNDS EMERG MARKE CORPORATE HIGH YIELD BOND</v>
          </cell>
          <cell r="C1764" t="str">
            <v>Class I2 EUR Hgd AD (D)</v>
          </cell>
          <cell r="D1764" t="str">
            <v>EUR</v>
          </cell>
          <cell r="E1764">
            <v>45747</v>
          </cell>
          <cell r="F1764">
            <v>3612192.42</v>
          </cell>
          <cell r="G1764">
            <v>3369</v>
          </cell>
          <cell r="H1764">
            <v>1072.19</v>
          </cell>
          <cell r="I1764">
            <v>0</v>
          </cell>
          <cell r="J1764">
            <v>1072.19</v>
          </cell>
          <cell r="K1764">
            <v>-1.94</v>
          </cell>
        </row>
        <row r="1765">
          <cell r="A1765" t="str">
            <v>LU1882458547</v>
          </cell>
          <cell r="B1765" t="str">
            <v>AMUNDI FUNDS EMERG MARKE CORPORATE HIGH YIELD BOND</v>
          </cell>
          <cell r="C1765" t="str">
            <v>Class I2 EUR Hgd (C)</v>
          </cell>
          <cell r="D1765" t="str">
            <v>EUR</v>
          </cell>
          <cell r="E1765">
            <v>45747</v>
          </cell>
          <cell r="F1765">
            <v>92043.96</v>
          </cell>
          <cell r="G1765">
            <v>62.648000000000003</v>
          </cell>
          <cell r="H1765">
            <v>1469.22</v>
          </cell>
          <cell r="I1765">
            <v>0</v>
          </cell>
          <cell r="J1765">
            <v>1469.22</v>
          </cell>
          <cell r="K1765">
            <v>-2.66</v>
          </cell>
        </row>
        <row r="1766">
          <cell r="A1766" t="str">
            <v>LU1882458463</v>
          </cell>
          <cell r="B1766" t="str">
            <v>AMUNDI FUNDS EMERG MARKE CORPORATE HIGH YIELD BOND</v>
          </cell>
          <cell r="C1766" t="str">
            <v>Class I2 EUR (C)</v>
          </cell>
          <cell r="D1766" t="str">
            <v>EUR</v>
          </cell>
          <cell r="E1766">
            <v>45747</v>
          </cell>
          <cell r="F1766">
            <v>22254.32</v>
          </cell>
          <cell r="G1766">
            <v>10.087999999999999</v>
          </cell>
          <cell r="H1766">
            <v>2206.02</v>
          </cell>
          <cell r="I1766">
            <v>0</v>
          </cell>
          <cell r="J1766">
            <v>2206.02</v>
          </cell>
          <cell r="K1766">
            <v>0.43</v>
          </cell>
        </row>
        <row r="1767">
          <cell r="A1767" t="str">
            <v>LU2085676679</v>
          </cell>
          <cell r="B1767" t="str">
            <v>AMUNDI FUNDS EMERG MARKE CORPORATE HIGH YIELD BOND</v>
          </cell>
          <cell r="C1767" t="str">
            <v>Class G EUR QTD (D)</v>
          </cell>
          <cell r="D1767" t="str">
            <v>EUR</v>
          </cell>
          <cell r="E1767">
            <v>45747</v>
          </cell>
          <cell r="F1767">
            <v>641703.53</v>
          </cell>
          <cell r="G1767">
            <v>142643.59099999999</v>
          </cell>
          <cell r="H1767">
            <v>4.4989999999999997</v>
          </cell>
          <cell r="I1767">
            <v>0</v>
          </cell>
          <cell r="J1767">
            <v>4.4989999999999997</v>
          </cell>
          <cell r="K1767">
            <v>1E-3</v>
          </cell>
        </row>
        <row r="1768">
          <cell r="A1768" t="str">
            <v>LU1882459354</v>
          </cell>
          <cell r="B1768" t="str">
            <v>AMUNDI FUNDS EMERG MARKE CORPORATE HIGH YIELD BOND</v>
          </cell>
          <cell r="C1768" t="str">
            <v>Class R2 EUR AD (D)</v>
          </cell>
          <cell r="D1768" t="str">
            <v>EUR</v>
          </cell>
          <cell r="E1768">
            <v>45747</v>
          </cell>
          <cell r="F1768">
            <v>115113.01</v>
          </cell>
          <cell r="G1768">
            <v>2653.3760000000002</v>
          </cell>
          <cell r="H1768">
            <v>43.38</v>
          </cell>
          <cell r="I1768">
            <v>0</v>
          </cell>
          <cell r="J1768">
            <v>43.38</v>
          </cell>
          <cell r="K1768">
            <v>0</v>
          </cell>
        </row>
        <row r="1769">
          <cell r="A1769" t="str">
            <v>LU1882459271</v>
          </cell>
          <cell r="B1769" t="str">
            <v>AMUNDI FUNDS EMERG MARKE CORPORATE HIGH YIELD BOND</v>
          </cell>
          <cell r="C1769" t="str">
            <v>Class R2 EUR (C)</v>
          </cell>
          <cell r="D1769" t="str">
            <v>EUR</v>
          </cell>
          <cell r="E1769">
            <v>45747</v>
          </cell>
          <cell r="F1769">
            <v>298900.28000000003</v>
          </cell>
          <cell r="G1769">
            <v>2735.7570000000001</v>
          </cell>
          <cell r="H1769">
            <v>109.26</v>
          </cell>
          <cell r="I1769">
            <v>0</v>
          </cell>
          <cell r="J1769">
            <v>109.26</v>
          </cell>
          <cell r="K1769">
            <v>0.02</v>
          </cell>
        </row>
        <row r="1770">
          <cell r="A1770" t="str">
            <v>LU1882458976</v>
          </cell>
          <cell r="B1770" t="str">
            <v>AMUNDI FUNDS EMERG MARKE CORPORATE HIGH YIELD BOND</v>
          </cell>
          <cell r="C1770" t="str">
            <v>Class P2 USD (C)</v>
          </cell>
          <cell r="D1770" t="str">
            <v>USD</v>
          </cell>
          <cell r="E1770">
            <v>45747</v>
          </cell>
          <cell r="F1770">
            <v>101020.8</v>
          </cell>
          <cell r="G1770">
            <v>1390.7429999999999</v>
          </cell>
          <cell r="H1770">
            <v>72.64</v>
          </cell>
          <cell r="I1770">
            <v>0</v>
          </cell>
          <cell r="J1770">
            <v>72.64</v>
          </cell>
          <cell r="K1770">
            <v>-0.13</v>
          </cell>
        </row>
        <row r="1771">
          <cell r="A1771" t="str">
            <v>LU1882459198</v>
          </cell>
          <cell r="B1771" t="str">
            <v>AMUNDI FUNDS EMERG MARKE CORPORATE HIGH YIELD BOND</v>
          </cell>
          <cell r="C1771" t="str">
            <v>Class P2 USD MTD (D)</v>
          </cell>
          <cell r="D1771" t="str">
            <v>USD</v>
          </cell>
          <cell r="E1771">
            <v>45747</v>
          </cell>
          <cell r="F1771">
            <v>5508.51</v>
          </cell>
          <cell r="G1771">
            <v>100</v>
          </cell>
          <cell r="H1771">
            <v>55.09</v>
          </cell>
          <cell r="I1771">
            <v>0</v>
          </cell>
          <cell r="J1771">
            <v>55.09</v>
          </cell>
          <cell r="K1771">
            <v>-0.09</v>
          </cell>
        </row>
        <row r="1772">
          <cell r="A1772" t="str">
            <v>LU1882459438</v>
          </cell>
          <cell r="B1772" t="str">
            <v>AMUNDI FUNDS EMERG MARKE CORPORATE HIGH YIELD BOND</v>
          </cell>
          <cell r="C1772" t="str">
            <v>Class R2 USD (C)</v>
          </cell>
          <cell r="D1772" t="str">
            <v>USD</v>
          </cell>
          <cell r="E1772">
            <v>45747</v>
          </cell>
          <cell r="F1772">
            <v>13147.76</v>
          </cell>
          <cell r="G1772">
            <v>111.384</v>
          </cell>
          <cell r="H1772">
            <v>118.04</v>
          </cell>
          <cell r="I1772">
            <v>0</v>
          </cell>
          <cell r="J1772">
            <v>118.04</v>
          </cell>
          <cell r="K1772">
            <v>-0.21</v>
          </cell>
        </row>
        <row r="1773">
          <cell r="A1773" t="str">
            <v>LU2098275733</v>
          </cell>
          <cell r="B1773" t="str">
            <v>AMUNDI FUNDS EMERG MARKE CORPORATE HIGH YIELD BOND</v>
          </cell>
          <cell r="C1773" t="str">
            <v>Class Z EUR (C)</v>
          </cell>
          <cell r="D1773" t="str">
            <v>EUR</v>
          </cell>
          <cell r="E1773">
            <v>45747</v>
          </cell>
          <cell r="F1773">
            <v>16497609.439999999</v>
          </cell>
          <cell r="G1773">
            <v>13498.724</v>
          </cell>
          <cell r="H1773">
            <v>1222.1600000000001</v>
          </cell>
          <cell r="I1773">
            <v>0</v>
          </cell>
          <cell r="J1773">
            <v>1222.1600000000001</v>
          </cell>
          <cell r="K1773">
            <v>0.37</v>
          </cell>
        </row>
        <row r="1774">
          <cell r="A1774" t="str">
            <v>LU2052290272</v>
          </cell>
          <cell r="B1774" t="str">
            <v>AMUNDI FUNDS EMERG MARKE CORPORATE HIGH YIELD BOND</v>
          </cell>
          <cell r="C1774" t="str">
            <v>Class Z USD (C)</v>
          </cell>
          <cell r="D1774" t="str">
            <v>USD</v>
          </cell>
          <cell r="E1774">
            <v>45747</v>
          </cell>
          <cell r="F1774">
            <v>10191402.43</v>
          </cell>
          <cell r="G1774">
            <v>8098.8829999999998</v>
          </cell>
          <cell r="H1774">
            <v>1258.3699999999999</v>
          </cell>
          <cell r="I1774">
            <v>0</v>
          </cell>
          <cell r="J1774">
            <v>1258.3699999999999</v>
          </cell>
          <cell r="K1774">
            <v>-2.0699999999999998</v>
          </cell>
        </row>
        <row r="1775">
          <cell r="A1775" t="str">
            <v>LU2368112129</v>
          </cell>
          <cell r="B1775" t="str">
            <v>AMUNDI FUNDS GLOBAL MULTI-ASSET TARGET INCOME</v>
          </cell>
          <cell r="C1775" t="str">
            <v>Class A2 GBP Hgd (C)</v>
          </cell>
          <cell r="D1775" t="str">
            <v>GBP</v>
          </cell>
          <cell r="E1775">
            <v>45747</v>
          </cell>
          <cell r="F1775">
            <v>5969839.2599999998</v>
          </cell>
          <cell r="G1775">
            <v>115295.11</v>
          </cell>
          <cell r="H1775">
            <v>51.78</v>
          </cell>
          <cell r="I1775">
            <v>0</v>
          </cell>
          <cell r="J1775">
            <v>0</v>
          </cell>
          <cell r="K1775">
            <v>-0.06</v>
          </cell>
        </row>
        <row r="1776">
          <cell r="A1776" t="str">
            <v>LU1883330877</v>
          </cell>
          <cell r="B1776" t="str">
            <v>AMUNDI FUNDS GLOBAL MULTI-ASSET TARGET INCOME</v>
          </cell>
          <cell r="C1776" t="str">
            <v>Class A2 EUR Hgd QTI (D)</v>
          </cell>
          <cell r="D1776" t="str">
            <v>EUR</v>
          </cell>
          <cell r="E1776">
            <v>45747</v>
          </cell>
          <cell r="F1776">
            <v>90695839.299999997</v>
          </cell>
          <cell r="G1776">
            <v>2723045.4909999999</v>
          </cell>
          <cell r="H1776">
            <v>33.31</v>
          </cell>
          <cell r="I1776">
            <v>0</v>
          </cell>
          <cell r="J1776">
            <v>34.81</v>
          </cell>
          <cell r="K1776">
            <v>-0.04</v>
          </cell>
        </row>
        <row r="1777">
          <cell r="A1777" t="str">
            <v>LU1883331255</v>
          </cell>
          <cell r="B1777" t="str">
            <v>AMUNDI FUNDS GLOBAL MULTI-ASSET TARGET INCOME</v>
          </cell>
          <cell r="C1777" t="str">
            <v>Class A2 RON Hgd (C)</v>
          </cell>
          <cell r="D1777" t="str">
            <v>RON</v>
          </cell>
          <cell r="E1777">
            <v>45747</v>
          </cell>
          <cell r="F1777">
            <v>11557185.5</v>
          </cell>
          <cell r="G1777">
            <v>163266.16800000001</v>
          </cell>
          <cell r="H1777">
            <v>70.790000000000006</v>
          </cell>
          <cell r="I1777">
            <v>0</v>
          </cell>
          <cell r="J1777">
            <v>73.98</v>
          </cell>
          <cell r="K1777">
            <v>-0.08</v>
          </cell>
        </row>
        <row r="1778">
          <cell r="A1778" t="str">
            <v>LU1883331412</v>
          </cell>
          <cell r="B1778" t="str">
            <v>AMUNDI FUNDS GLOBAL MULTI-ASSET TARGET INCOME</v>
          </cell>
          <cell r="C1778" t="str">
            <v>Class A2 USD MTI (D)</v>
          </cell>
          <cell r="D1778" t="str">
            <v>USD</v>
          </cell>
          <cell r="E1778">
            <v>45747</v>
          </cell>
          <cell r="F1778">
            <v>96988.89</v>
          </cell>
          <cell r="G1778">
            <v>1702.42</v>
          </cell>
          <cell r="H1778">
            <v>56.97</v>
          </cell>
          <cell r="I1778">
            <v>0</v>
          </cell>
          <cell r="J1778">
            <v>59.53</v>
          </cell>
          <cell r="K1778">
            <v>-7.0000000000000007E-2</v>
          </cell>
        </row>
        <row r="1779">
          <cell r="A1779" t="str">
            <v>LU1883330794</v>
          </cell>
          <cell r="B1779" t="str">
            <v>AMUNDI FUNDS GLOBAL MULTI-ASSET TARGET INCOME</v>
          </cell>
          <cell r="C1779" t="str">
            <v>Class A2 EUR Hgd (C)</v>
          </cell>
          <cell r="D1779" t="str">
            <v>EUR</v>
          </cell>
          <cell r="E1779">
            <v>45747</v>
          </cell>
          <cell r="F1779">
            <v>12499193.220000001</v>
          </cell>
          <cell r="G1779">
            <v>234782.30600000001</v>
          </cell>
          <cell r="H1779">
            <v>53.24</v>
          </cell>
          <cell r="I1779">
            <v>0</v>
          </cell>
          <cell r="J1779">
            <v>55.64</v>
          </cell>
          <cell r="K1779">
            <v>-0.06</v>
          </cell>
        </row>
        <row r="1780">
          <cell r="A1780" t="str">
            <v>LU1883330364</v>
          </cell>
          <cell r="B1780" t="str">
            <v>AMUNDI FUNDS GLOBAL MULTI-ASSET TARGET INCOME</v>
          </cell>
          <cell r="C1780" t="str">
            <v>Class A2 CZK Hgd (C)</v>
          </cell>
          <cell r="D1780" t="str">
            <v>CZK</v>
          </cell>
          <cell r="E1780">
            <v>45747</v>
          </cell>
          <cell r="F1780">
            <v>252062214.47</v>
          </cell>
          <cell r="G1780">
            <v>203663.334</v>
          </cell>
          <cell r="H1780">
            <v>1237.6400000000001</v>
          </cell>
          <cell r="I1780">
            <v>0</v>
          </cell>
          <cell r="J1780">
            <v>1293.33</v>
          </cell>
          <cell r="K1780">
            <v>-1.46</v>
          </cell>
        </row>
        <row r="1781">
          <cell r="A1781" t="str">
            <v>LU1883330448</v>
          </cell>
          <cell r="B1781" t="str">
            <v>AMUNDI FUNDS GLOBAL MULTI-ASSET TARGET INCOME</v>
          </cell>
          <cell r="C1781" t="str">
            <v>Class A2 CZK Hgd QTI (D)</v>
          </cell>
          <cell r="D1781" t="str">
            <v>CZK</v>
          </cell>
          <cell r="E1781">
            <v>45747</v>
          </cell>
          <cell r="F1781">
            <v>1105197817.0799999</v>
          </cell>
          <cell r="G1781">
            <v>1464760.818</v>
          </cell>
          <cell r="H1781">
            <v>754.52</v>
          </cell>
          <cell r="I1781">
            <v>0</v>
          </cell>
          <cell r="J1781">
            <v>788.47</v>
          </cell>
          <cell r="K1781">
            <v>-0.88</v>
          </cell>
        </row>
        <row r="1782">
          <cell r="A1782" t="str">
            <v>LU1883331503</v>
          </cell>
          <cell r="B1782" t="str">
            <v>AMUNDI FUNDS GLOBAL MULTI-ASSET TARGET INCOME</v>
          </cell>
          <cell r="C1782" t="str">
            <v>Class A2 USD QTI (D)</v>
          </cell>
          <cell r="D1782" t="str">
            <v>USD</v>
          </cell>
          <cell r="E1782">
            <v>45747</v>
          </cell>
          <cell r="F1782">
            <v>6954252.8399999999</v>
          </cell>
          <cell r="G1782">
            <v>129814.342</v>
          </cell>
          <cell r="H1782">
            <v>53.57</v>
          </cell>
          <cell r="I1782">
            <v>0</v>
          </cell>
          <cell r="J1782">
            <v>55.98</v>
          </cell>
          <cell r="K1782">
            <v>-0.06</v>
          </cell>
        </row>
        <row r="1783">
          <cell r="A1783" t="str">
            <v>LU1883331099</v>
          </cell>
          <cell r="B1783" t="str">
            <v>AMUNDI FUNDS GLOBAL MULTI-ASSET TARGET INCOME</v>
          </cell>
          <cell r="C1783" t="str">
            <v>Class A2 HUF Hgd QTI (D)</v>
          </cell>
          <cell r="D1783" t="str">
            <v>HUF</v>
          </cell>
          <cell r="E1783">
            <v>45747</v>
          </cell>
          <cell r="F1783">
            <v>543499220.70000005</v>
          </cell>
          <cell r="G1783">
            <v>54679.697</v>
          </cell>
          <cell r="H1783">
            <v>9939.69</v>
          </cell>
          <cell r="I1783">
            <v>0</v>
          </cell>
          <cell r="J1783">
            <v>10386.98</v>
          </cell>
          <cell r="K1783">
            <v>-10.54</v>
          </cell>
        </row>
        <row r="1784">
          <cell r="A1784" t="str">
            <v>LU1883332816</v>
          </cell>
          <cell r="B1784" t="str">
            <v>AMUNDI FUNDS GLOBAL MULTI-ASSET TARGET INCOME</v>
          </cell>
          <cell r="C1784" t="str">
            <v>Class M2 EUR Hgd (C)</v>
          </cell>
          <cell r="D1784" t="str">
            <v>EUR</v>
          </cell>
          <cell r="E1784">
            <v>45747</v>
          </cell>
          <cell r="F1784">
            <v>957038.07999999996</v>
          </cell>
          <cell r="G1784">
            <v>790.83799999999997</v>
          </cell>
          <cell r="H1784">
            <v>1210.1600000000001</v>
          </cell>
          <cell r="I1784">
            <v>0</v>
          </cell>
          <cell r="J1784">
            <v>1210.1600000000001</v>
          </cell>
          <cell r="K1784">
            <v>-1.35</v>
          </cell>
        </row>
        <row r="1785">
          <cell r="A1785" t="str">
            <v>LU1883331685</v>
          </cell>
          <cell r="B1785" t="str">
            <v>AMUNDI FUNDS GLOBAL MULTI-ASSET TARGET INCOME</v>
          </cell>
          <cell r="C1785" t="str">
            <v>Class C USD (C)</v>
          </cell>
          <cell r="D1785" t="str">
            <v>USD</v>
          </cell>
          <cell r="E1785">
            <v>45747</v>
          </cell>
          <cell r="F1785">
            <v>1337528.1599999999</v>
          </cell>
          <cell r="G1785">
            <v>22481.865000000002</v>
          </cell>
          <cell r="H1785">
            <v>59.49</v>
          </cell>
          <cell r="I1785">
            <v>0</v>
          </cell>
          <cell r="J1785">
            <v>59.49</v>
          </cell>
          <cell r="K1785">
            <v>-0.08</v>
          </cell>
        </row>
        <row r="1786">
          <cell r="A1786" t="str">
            <v>LU1883331768</v>
          </cell>
          <cell r="B1786" t="str">
            <v>AMUNDI FUNDS GLOBAL MULTI-ASSET TARGET INCOME</v>
          </cell>
          <cell r="C1786" t="str">
            <v>Class C USD QTI (D)</v>
          </cell>
          <cell r="D1786" t="str">
            <v>USD</v>
          </cell>
          <cell r="E1786">
            <v>45747</v>
          </cell>
          <cell r="F1786">
            <v>295771.90000000002</v>
          </cell>
          <cell r="G1786">
            <v>8171.8159999999998</v>
          </cell>
          <cell r="H1786">
            <v>36.19</v>
          </cell>
          <cell r="I1786">
            <v>0</v>
          </cell>
          <cell r="J1786">
            <v>36.19</v>
          </cell>
          <cell r="K1786">
            <v>-0.05</v>
          </cell>
        </row>
        <row r="1787">
          <cell r="A1787" t="str">
            <v>LU1883330521</v>
          </cell>
          <cell r="B1787" t="str">
            <v>AMUNDI FUNDS GLOBAL MULTI-ASSET TARGET INCOME</v>
          </cell>
          <cell r="C1787" t="str">
            <v>Class A2 EUR (C)</v>
          </cell>
          <cell r="D1787" t="str">
            <v>EUR</v>
          </cell>
          <cell r="E1787">
            <v>45747</v>
          </cell>
          <cell r="F1787">
            <v>19129411.890000001</v>
          </cell>
          <cell r="G1787">
            <v>217153.111</v>
          </cell>
          <cell r="H1787">
            <v>88.09</v>
          </cell>
          <cell r="I1787">
            <v>0</v>
          </cell>
          <cell r="J1787">
            <v>92.05</v>
          </cell>
          <cell r="K1787">
            <v>7.0000000000000007E-2</v>
          </cell>
        </row>
        <row r="1788">
          <cell r="A1788" t="str">
            <v>LU1883332063</v>
          </cell>
          <cell r="B1788" t="str">
            <v>AMUNDI FUNDS GLOBAL MULTI-ASSET TARGET INCOME</v>
          </cell>
          <cell r="C1788" t="str">
            <v>Class E2 EUR QTI (D)</v>
          </cell>
          <cell r="D1788" t="str">
            <v>EUR</v>
          </cell>
          <cell r="E1788">
            <v>45747</v>
          </cell>
          <cell r="F1788">
            <v>5105602.74</v>
          </cell>
          <cell r="G1788">
            <v>1027761.072</v>
          </cell>
          <cell r="H1788">
            <v>4.968</v>
          </cell>
          <cell r="I1788">
            <v>0</v>
          </cell>
          <cell r="J1788">
            <v>4.968</v>
          </cell>
          <cell r="K1788">
            <v>4.0000000000000001E-3</v>
          </cell>
        </row>
        <row r="1789">
          <cell r="A1789" t="str">
            <v>LU1883332147</v>
          </cell>
          <cell r="B1789" t="str">
            <v>AMUNDI FUNDS GLOBAL MULTI-ASSET TARGET INCOME</v>
          </cell>
          <cell r="C1789" t="str">
            <v>Class E2 EUR SATI (D)</v>
          </cell>
          <cell r="D1789" t="str">
            <v>EUR</v>
          </cell>
          <cell r="E1789">
            <v>45747</v>
          </cell>
          <cell r="F1789">
            <v>34630347.670000002</v>
          </cell>
          <cell r="G1789">
            <v>9378458.6129999999</v>
          </cell>
          <cell r="H1789">
            <v>3.6930000000000001</v>
          </cell>
          <cell r="I1789">
            <v>0</v>
          </cell>
          <cell r="J1789">
            <v>3.6930000000000001</v>
          </cell>
          <cell r="K1789">
            <v>3.0000000000000001E-3</v>
          </cell>
        </row>
        <row r="1790">
          <cell r="A1790" t="str">
            <v>LU1883331925</v>
          </cell>
          <cell r="B1790" t="str">
            <v>AMUNDI FUNDS GLOBAL MULTI-ASSET TARGET INCOME</v>
          </cell>
          <cell r="C1790" t="str">
            <v>Class E2 EUR Hgd SATI (D)</v>
          </cell>
          <cell r="D1790" t="str">
            <v>EUR</v>
          </cell>
          <cell r="E1790">
            <v>45747</v>
          </cell>
          <cell r="F1790">
            <v>24053982.280000001</v>
          </cell>
          <cell r="G1790">
            <v>7126495.6710000001</v>
          </cell>
          <cell r="H1790">
            <v>3.375</v>
          </cell>
          <cell r="I1790">
            <v>0</v>
          </cell>
          <cell r="J1790">
            <v>3.375</v>
          </cell>
          <cell r="K1790">
            <v>-4.0000000000000001E-3</v>
          </cell>
        </row>
        <row r="1791">
          <cell r="A1791" t="str">
            <v>LU1883332907</v>
          </cell>
          <cell r="B1791" t="str">
            <v>AMUNDI FUNDS GLOBAL MULTI-ASSET TARGET INCOME</v>
          </cell>
          <cell r="C1791" t="str">
            <v>Class M2 EUR SATI (D)</v>
          </cell>
          <cell r="D1791" t="str">
            <v>EUR</v>
          </cell>
          <cell r="E1791">
            <v>45747</v>
          </cell>
          <cell r="F1791">
            <v>39060.94</v>
          </cell>
          <cell r="G1791">
            <v>36</v>
          </cell>
          <cell r="H1791">
            <v>1085.03</v>
          </cell>
          <cell r="I1791">
            <v>0</v>
          </cell>
          <cell r="J1791">
            <v>1085.03</v>
          </cell>
          <cell r="K1791">
            <v>0.97</v>
          </cell>
        </row>
        <row r="1792">
          <cell r="A1792" t="str">
            <v>LU1883333038</v>
          </cell>
          <cell r="B1792" t="str">
            <v>AMUNDI FUNDS GLOBAL MULTI-ASSET TARGET INCOME</v>
          </cell>
          <cell r="C1792" t="str">
            <v>Class M2 USD (C)</v>
          </cell>
          <cell r="D1792" t="str">
            <v>USD</v>
          </cell>
          <cell r="E1792">
            <v>45747</v>
          </cell>
          <cell r="F1792">
            <v>430497.95</v>
          </cell>
          <cell r="G1792">
            <v>297.87</v>
          </cell>
          <cell r="H1792">
            <v>1445.25</v>
          </cell>
          <cell r="I1792">
            <v>0</v>
          </cell>
          <cell r="J1792">
            <v>1445.25</v>
          </cell>
          <cell r="K1792">
            <v>-1.52</v>
          </cell>
        </row>
        <row r="1793">
          <cell r="A1793" t="str">
            <v>LU1883332659</v>
          </cell>
          <cell r="B1793" t="str">
            <v>AMUNDI FUNDS GLOBAL MULTI-ASSET TARGET INCOME</v>
          </cell>
          <cell r="C1793" t="str">
            <v>Class I2 USD (C)</v>
          </cell>
          <cell r="D1793" t="str">
            <v>USD</v>
          </cell>
          <cell r="E1793">
            <v>45747</v>
          </cell>
          <cell r="F1793">
            <v>26260.29</v>
          </cell>
          <cell r="G1793">
            <v>17.756</v>
          </cell>
          <cell r="H1793">
            <v>1478.95</v>
          </cell>
          <cell r="I1793">
            <v>0</v>
          </cell>
          <cell r="J1793">
            <v>1478.95</v>
          </cell>
          <cell r="K1793">
            <v>-1.54</v>
          </cell>
        </row>
        <row r="1794">
          <cell r="A1794" t="str">
            <v>LU1883332576</v>
          </cell>
          <cell r="B1794" t="str">
            <v>AMUNDI FUNDS GLOBAL MULTI-ASSET TARGET INCOME</v>
          </cell>
          <cell r="C1794" t="str">
            <v>Class G2 EUR Hgd QTI (D)</v>
          </cell>
          <cell r="D1794" t="str">
            <v>EUR</v>
          </cell>
          <cell r="E1794">
            <v>45747</v>
          </cell>
          <cell r="F1794">
            <v>1930238.13</v>
          </cell>
          <cell r="G1794">
            <v>521017.70799999998</v>
          </cell>
          <cell r="H1794">
            <v>3.7050000000000001</v>
          </cell>
          <cell r="I1794">
            <v>0</v>
          </cell>
          <cell r="J1794">
            <v>3.7050000000000001</v>
          </cell>
          <cell r="K1794">
            <v>-4.0000000000000001E-3</v>
          </cell>
        </row>
        <row r="1795">
          <cell r="A1795" t="str">
            <v>LU1883334192</v>
          </cell>
          <cell r="B1795" t="str">
            <v>AMUNDI FUNDS GLOBAL MULTI-ASSET TARGET INCOME</v>
          </cell>
          <cell r="C1795" t="str">
            <v>Class R2 USD MTI (D)</v>
          </cell>
          <cell r="D1795" t="str">
            <v>USD</v>
          </cell>
          <cell r="E1795">
            <v>45747</v>
          </cell>
          <cell r="F1795">
            <v>4914.26</v>
          </cell>
          <cell r="G1795">
            <v>104.095</v>
          </cell>
          <cell r="H1795">
            <v>47.21</v>
          </cell>
          <cell r="I1795">
            <v>0</v>
          </cell>
          <cell r="J1795">
            <v>47.21</v>
          </cell>
          <cell r="K1795">
            <v>-0.05</v>
          </cell>
        </row>
        <row r="1796">
          <cell r="A1796" t="str">
            <v>LU1883331172</v>
          </cell>
          <cell r="B1796" t="str">
            <v>AMUNDI FUNDS GLOBAL MULTI-ASSET TARGET INCOME</v>
          </cell>
          <cell r="C1796" t="str">
            <v>Class R2 USD QTI (D)</v>
          </cell>
          <cell r="D1796" t="str">
            <v>USD</v>
          </cell>
          <cell r="E1796">
            <v>45747</v>
          </cell>
          <cell r="F1796">
            <v>30620.94</v>
          </cell>
          <cell r="G1796">
            <v>644.58199999999999</v>
          </cell>
          <cell r="H1796">
            <v>47.51</v>
          </cell>
          <cell r="I1796">
            <v>0</v>
          </cell>
          <cell r="J1796">
            <v>47.51</v>
          </cell>
          <cell r="K1796">
            <v>-0.05</v>
          </cell>
        </row>
        <row r="1797">
          <cell r="A1797" t="str">
            <v>LU1883333897</v>
          </cell>
          <cell r="B1797" t="str">
            <v>AMUNDI FUNDS GLOBAL MULTI-ASSET TARGET INCOME</v>
          </cell>
          <cell r="C1797" t="str">
            <v>Class R2 EUR QTI (D)</v>
          </cell>
          <cell r="D1797" t="str">
            <v>EUR</v>
          </cell>
          <cell r="E1797">
            <v>45747</v>
          </cell>
          <cell r="F1797">
            <v>396770.97</v>
          </cell>
          <cell r="G1797">
            <v>7598.65</v>
          </cell>
          <cell r="H1797">
            <v>52.22</v>
          </cell>
          <cell r="I1797">
            <v>0</v>
          </cell>
          <cell r="J1797">
            <v>52.22</v>
          </cell>
          <cell r="K1797">
            <v>0.05</v>
          </cell>
        </row>
        <row r="1798">
          <cell r="A1798" t="str">
            <v>LU1883333624</v>
          </cell>
          <cell r="B1798" t="str">
            <v>AMUNDI FUNDS GLOBAL MULTI-ASSET TARGET INCOME</v>
          </cell>
          <cell r="C1798" t="str">
            <v>Class R2 EUR Hgd QTI (D)</v>
          </cell>
          <cell r="D1798" t="str">
            <v>EUR</v>
          </cell>
          <cell r="E1798">
            <v>45747</v>
          </cell>
          <cell r="F1798">
            <v>82111.23</v>
          </cell>
          <cell r="G1798">
            <v>2064.7469999999998</v>
          </cell>
          <cell r="H1798">
            <v>39.770000000000003</v>
          </cell>
          <cell r="I1798">
            <v>0</v>
          </cell>
          <cell r="J1798">
            <v>39.770000000000003</v>
          </cell>
          <cell r="K1798">
            <v>-0.04</v>
          </cell>
        </row>
        <row r="1799">
          <cell r="A1799" t="str">
            <v>LU1883330950</v>
          </cell>
          <cell r="B1799" t="str">
            <v>AMUNDI FUNDS GLOBAL MULTI-ASSET TARGET INCOME</v>
          </cell>
          <cell r="C1799" t="str">
            <v>Class A2 EUR QTI (D)</v>
          </cell>
          <cell r="D1799" t="str">
            <v>EUR</v>
          </cell>
          <cell r="E1799">
            <v>45747</v>
          </cell>
          <cell r="F1799">
            <v>23159108.550000001</v>
          </cell>
          <cell r="G1799">
            <v>465197.05599999998</v>
          </cell>
          <cell r="H1799">
            <v>49.78</v>
          </cell>
          <cell r="I1799">
            <v>0</v>
          </cell>
          <cell r="J1799">
            <v>52.02</v>
          </cell>
          <cell r="K1799">
            <v>0.04</v>
          </cell>
        </row>
        <row r="1800">
          <cell r="A1800" t="str">
            <v>LU1883331339</v>
          </cell>
          <cell r="B1800" t="str">
            <v>AMUNDI FUNDS GLOBAL MULTI-ASSET TARGET INCOME</v>
          </cell>
          <cell r="C1800" t="str">
            <v>Class A2 USD (C)</v>
          </cell>
          <cell r="D1800" t="str">
            <v>USD</v>
          </cell>
          <cell r="E1800">
            <v>45747</v>
          </cell>
          <cell r="F1800">
            <v>25052933.920000002</v>
          </cell>
          <cell r="G1800">
            <v>378580.54100000003</v>
          </cell>
          <cell r="H1800">
            <v>66.180000000000007</v>
          </cell>
          <cell r="I1800">
            <v>0</v>
          </cell>
          <cell r="J1800">
            <v>69.16</v>
          </cell>
          <cell r="K1800">
            <v>-7.0000000000000007E-2</v>
          </cell>
        </row>
        <row r="1801">
          <cell r="A1801" t="str">
            <v>LU1883333970</v>
          </cell>
          <cell r="B1801" t="str">
            <v>AMUNDI FUNDS GLOBAL MULTI-ASSET TARGET INCOME</v>
          </cell>
          <cell r="C1801" t="str">
            <v>Class R2 USD (C)</v>
          </cell>
          <cell r="D1801" t="str">
            <v>USD</v>
          </cell>
          <cell r="E1801">
            <v>45747</v>
          </cell>
          <cell r="F1801">
            <v>6579.29</v>
          </cell>
          <cell r="G1801">
            <v>100</v>
          </cell>
          <cell r="H1801">
            <v>65.790000000000006</v>
          </cell>
          <cell r="I1801">
            <v>0</v>
          </cell>
          <cell r="J1801">
            <v>65.790000000000006</v>
          </cell>
          <cell r="K1801">
            <v>-7.0000000000000007E-2</v>
          </cell>
        </row>
        <row r="1802">
          <cell r="A1802" t="str">
            <v>LU1883329432</v>
          </cell>
          <cell r="B1802" t="str">
            <v>AMUNDI FUNDS GLOBAL MULTI-ASSET CONSERVATIVE</v>
          </cell>
          <cell r="C1802" t="str">
            <v>Class A EUR (C)</v>
          </cell>
          <cell r="D1802" t="str">
            <v>EUR</v>
          </cell>
          <cell r="E1802">
            <v>45747</v>
          </cell>
          <cell r="F1802">
            <v>411349702.77999997</v>
          </cell>
          <cell r="G1802">
            <v>6278287.8430000003</v>
          </cell>
          <cell r="H1802">
            <v>65.52</v>
          </cell>
          <cell r="I1802">
            <v>0</v>
          </cell>
          <cell r="J1802">
            <v>68.47</v>
          </cell>
          <cell r="K1802">
            <v>-0.13</v>
          </cell>
        </row>
        <row r="1803">
          <cell r="A1803" t="str">
            <v>LU2183143507</v>
          </cell>
          <cell r="B1803" t="str">
            <v>AMUNDI FUNDS GLOBAL MULTI-ASSET CONSERVATIVE</v>
          </cell>
          <cell r="C1803" t="str">
            <v>Class A2 EUR (C)</v>
          </cell>
          <cell r="D1803" t="str">
            <v>EUR</v>
          </cell>
          <cell r="E1803">
            <v>45747</v>
          </cell>
          <cell r="F1803">
            <v>5690466.1600000001</v>
          </cell>
          <cell r="G1803">
            <v>106772.185</v>
          </cell>
          <cell r="H1803">
            <v>53.3</v>
          </cell>
          <cell r="I1803">
            <v>0</v>
          </cell>
          <cell r="J1803">
            <v>53.3</v>
          </cell>
          <cell r="K1803">
            <v>-0.1</v>
          </cell>
        </row>
        <row r="1804">
          <cell r="A1804" t="str">
            <v>LU1883329358</v>
          </cell>
          <cell r="B1804" t="str">
            <v>AMUNDI FUNDS GLOBAL MULTI-ASSET CONSERVATIVE</v>
          </cell>
          <cell r="C1804" t="str">
            <v>Class A9 CHF Hgd (C)</v>
          </cell>
          <cell r="D1804" t="str">
            <v>CHF</v>
          </cell>
          <cell r="E1804">
            <v>45747</v>
          </cell>
          <cell r="F1804">
            <v>10895639.699999999</v>
          </cell>
          <cell r="G1804">
            <v>210287.234</v>
          </cell>
          <cell r="H1804">
            <v>51.81</v>
          </cell>
          <cell r="I1804">
            <v>0</v>
          </cell>
          <cell r="J1804">
            <v>54.14</v>
          </cell>
          <cell r="K1804">
            <v>-0.11</v>
          </cell>
        </row>
        <row r="1805">
          <cell r="A1805" t="str">
            <v>LU2339089323</v>
          </cell>
          <cell r="B1805" t="str">
            <v>AMUNDI FUNDS GLOBAL MULTI-ASSET CONSERVATIVE</v>
          </cell>
          <cell r="C1805" t="str">
            <v>Class A10 USD Hgd (C)</v>
          </cell>
          <cell r="D1805" t="str">
            <v>USD</v>
          </cell>
          <cell r="E1805">
            <v>45747</v>
          </cell>
          <cell r="F1805">
            <v>2006276.18</v>
          </cell>
          <cell r="G1805">
            <v>39347.682000000001</v>
          </cell>
          <cell r="H1805">
            <v>50.99</v>
          </cell>
          <cell r="I1805">
            <v>0</v>
          </cell>
          <cell r="J1805">
            <v>50.99</v>
          </cell>
          <cell r="K1805">
            <v>-0.1</v>
          </cell>
        </row>
        <row r="1806">
          <cell r="A1806" t="str">
            <v>LU1883330109</v>
          </cell>
          <cell r="B1806" t="str">
            <v>AMUNDI FUNDS GLOBAL MULTI-ASSET CONSERVATIVE</v>
          </cell>
          <cell r="C1806" t="str">
            <v>Class M2 EUR (C)</v>
          </cell>
          <cell r="D1806" t="str">
            <v>EUR</v>
          </cell>
          <cell r="E1806">
            <v>45747</v>
          </cell>
          <cell r="F1806">
            <v>140391558.33000001</v>
          </cell>
          <cell r="G1806">
            <v>96275.127999999997</v>
          </cell>
          <cell r="H1806">
            <v>1458.23</v>
          </cell>
          <cell r="I1806">
            <v>0</v>
          </cell>
          <cell r="J1806">
            <v>1458.23</v>
          </cell>
          <cell r="K1806">
            <v>-2.75</v>
          </cell>
        </row>
        <row r="1807">
          <cell r="A1807" t="str">
            <v>LU1883329515</v>
          </cell>
          <cell r="B1807" t="str">
            <v>AMUNDI FUNDS GLOBAL MULTI-ASSET CONSERVATIVE</v>
          </cell>
          <cell r="C1807" t="str">
            <v>Class C EUR (C)</v>
          </cell>
          <cell r="D1807" t="str">
            <v>EUR</v>
          </cell>
          <cell r="E1807">
            <v>45747</v>
          </cell>
          <cell r="F1807">
            <v>6377125.8200000003</v>
          </cell>
          <cell r="G1807">
            <v>117239.067</v>
          </cell>
          <cell r="H1807">
            <v>54.39</v>
          </cell>
          <cell r="I1807">
            <v>0</v>
          </cell>
          <cell r="J1807">
            <v>54.39</v>
          </cell>
          <cell r="K1807">
            <v>-0.11</v>
          </cell>
        </row>
        <row r="1808">
          <cell r="A1808" t="str">
            <v>LU1883329606</v>
          </cell>
          <cell r="B1808" t="str">
            <v>AMUNDI FUNDS GLOBAL MULTI-ASSET CONSERVATIVE</v>
          </cell>
          <cell r="C1808" t="str">
            <v>Class E2 EUR (C)</v>
          </cell>
          <cell r="D1808" t="str">
            <v>EUR</v>
          </cell>
          <cell r="E1808">
            <v>45747</v>
          </cell>
          <cell r="F1808">
            <v>664566529.01999998</v>
          </cell>
          <cell r="G1808">
            <v>98590752.577000007</v>
          </cell>
          <cell r="H1808">
            <v>6.7409999999999997</v>
          </cell>
          <cell r="I1808">
            <v>0</v>
          </cell>
          <cell r="J1808">
            <v>6.7409999999999997</v>
          </cell>
          <cell r="K1808">
            <v>-1.2999999999999999E-2</v>
          </cell>
        </row>
        <row r="1809">
          <cell r="A1809" t="str">
            <v>LU2330498085</v>
          </cell>
          <cell r="B1809" t="str">
            <v>AMUNDI FUNDS GLOBAL MULTI-ASSET CONSERVATIVE</v>
          </cell>
          <cell r="C1809" t="str">
            <v>Class E2 EUR AD (D)</v>
          </cell>
          <cell r="D1809" t="str">
            <v>EUR</v>
          </cell>
          <cell r="E1809">
            <v>45747</v>
          </cell>
          <cell r="F1809">
            <v>88893492.439999998</v>
          </cell>
          <cell r="G1809">
            <v>18943557.749000002</v>
          </cell>
          <cell r="H1809">
            <v>4.6929999999999996</v>
          </cell>
          <cell r="I1809">
            <v>0</v>
          </cell>
          <cell r="J1809">
            <v>4.6929999999999996</v>
          </cell>
          <cell r="K1809">
            <v>-8.9999999999999993E-3</v>
          </cell>
        </row>
        <row r="1810">
          <cell r="A1810" t="str">
            <v>LU1883329788</v>
          </cell>
          <cell r="B1810" t="str">
            <v>AMUNDI FUNDS GLOBAL MULTI-ASSET CONSERVATIVE</v>
          </cell>
          <cell r="C1810" t="str">
            <v>Class F EUR (C)</v>
          </cell>
          <cell r="D1810" t="str">
            <v>EUR</v>
          </cell>
          <cell r="E1810">
            <v>45747</v>
          </cell>
          <cell r="F1810">
            <v>126265612.54000001</v>
          </cell>
          <cell r="G1810">
            <v>22329028.971000001</v>
          </cell>
          <cell r="H1810">
            <v>5.6550000000000002</v>
          </cell>
          <cell r="I1810">
            <v>0</v>
          </cell>
          <cell r="J1810">
            <v>5.6550000000000002</v>
          </cell>
          <cell r="K1810">
            <v>-1.0999999999999999E-2</v>
          </cell>
        </row>
        <row r="1811">
          <cell r="A1811" t="str">
            <v>LU1897307218</v>
          </cell>
          <cell r="B1811" t="str">
            <v>AMUNDI FUNDS GLOBAL MULTI-ASSET CONSERVATIVE</v>
          </cell>
          <cell r="C1811" t="str">
            <v>Class I2 GBP (C)</v>
          </cell>
          <cell r="D1811" t="str">
            <v>GBP</v>
          </cell>
          <cell r="E1811">
            <v>45747</v>
          </cell>
          <cell r="F1811">
            <v>24300.53</v>
          </cell>
          <cell r="G1811">
            <v>23</v>
          </cell>
          <cell r="H1811">
            <v>1056.54</v>
          </cell>
          <cell r="I1811">
            <v>0</v>
          </cell>
          <cell r="J1811">
            <v>1056.54</v>
          </cell>
          <cell r="K1811">
            <v>-1.3</v>
          </cell>
        </row>
        <row r="1812">
          <cell r="A1812" t="str">
            <v>LU2574252230</v>
          </cell>
          <cell r="B1812" t="str">
            <v>AMUNDI FUNDS GLOBAL MULTI-ASSET CONSERVATIVE</v>
          </cell>
          <cell r="C1812" t="str">
            <v>Class I3 USD Hgd (C)</v>
          </cell>
          <cell r="D1812" t="str">
            <v>USD</v>
          </cell>
          <cell r="E1812">
            <v>45747</v>
          </cell>
          <cell r="F1812">
            <v>18947643.699999999</v>
          </cell>
          <cell r="G1812">
            <v>19484.617999999999</v>
          </cell>
          <cell r="H1812">
            <v>972.44</v>
          </cell>
          <cell r="I1812">
            <v>0</v>
          </cell>
          <cell r="J1812">
            <v>972.44</v>
          </cell>
          <cell r="K1812">
            <v>-1.75</v>
          </cell>
        </row>
        <row r="1813">
          <cell r="A1813" t="str">
            <v>LU2079696568</v>
          </cell>
          <cell r="B1813" t="str">
            <v>AMUNDI FUNDS GLOBAL MULTI-ASSET CONSERVATIVE</v>
          </cell>
          <cell r="C1813" t="str">
            <v>Class I2 EUR (C)</v>
          </cell>
          <cell r="D1813" t="str">
            <v>EUR</v>
          </cell>
          <cell r="E1813">
            <v>45747</v>
          </cell>
          <cell r="F1813">
            <v>15481616.52</v>
          </cell>
          <cell r="G1813">
            <v>13669.699000000001</v>
          </cell>
          <cell r="H1813">
            <v>1132.55</v>
          </cell>
          <cell r="I1813">
            <v>0</v>
          </cell>
          <cell r="J1813">
            <v>1132.55</v>
          </cell>
          <cell r="K1813">
            <v>-2.13</v>
          </cell>
        </row>
        <row r="1814">
          <cell r="A1814" t="str">
            <v>LU1883330018</v>
          </cell>
          <cell r="B1814" t="str">
            <v>AMUNDI FUNDS GLOBAL MULTI-ASSET CONSERVATIVE</v>
          </cell>
          <cell r="C1814" t="str">
            <v>Class I2 USD Hgd (C)</v>
          </cell>
          <cell r="D1814" t="str">
            <v>USD</v>
          </cell>
          <cell r="E1814">
            <v>45747</v>
          </cell>
          <cell r="F1814">
            <v>357685.89</v>
          </cell>
          <cell r="G1814">
            <v>248.001</v>
          </cell>
          <cell r="H1814">
            <v>1442.28</v>
          </cell>
          <cell r="I1814">
            <v>0</v>
          </cell>
          <cell r="J1814">
            <v>1442.28</v>
          </cell>
          <cell r="K1814">
            <v>-2.64</v>
          </cell>
        </row>
        <row r="1815">
          <cell r="A1815" t="str">
            <v>LU2079696212</v>
          </cell>
          <cell r="B1815" t="str">
            <v>AMUNDI FUNDS GLOBAL MULTI-ASSET CONSERVATIVE</v>
          </cell>
          <cell r="C1815" t="str">
            <v>Class I EUR (C)</v>
          </cell>
          <cell r="D1815" t="str">
            <v>EUR</v>
          </cell>
          <cell r="E1815">
            <v>45747</v>
          </cell>
          <cell r="F1815">
            <v>11757158.220000001</v>
          </cell>
          <cell r="G1815">
            <v>10543.253000000001</v>
          </cell>
          <cell r="H1815">
            <v>1115.1400000000001</v>
          </cell>
          <cell r="I1815">
            <v>0</v>
          </cell>
          <cell r="J1815">
            <v>1115.1400000000001</v>
          </cell>
          <cell r="K1815">
            <v>-2.08</v>
          </cell>
        </row>
        <row r="1816">
          <cell r="A1816" t="str">
            <v>LU2199618559</v>
          </cell>
          <cell r="B1816" t="str">
            <v>AMUNDI FUNDS GLOBAL MULTI-ASSET CONSERVATIVE</v>
          </cell>
          <cell r="C1816" t="str">
            <v>Class I2 CZK Hgd (C)</v>
          </cell>
          <cell r="D1816" t="str">
            <v>CZK</v>
          </cell>
          <cell r="E1816">
            <v>45747</v>
          </cell>
          <cell r="F1816">
            <v>2368448.33</v>
          </cell>
          <cell r="G1816">
            <v>214.173</v>
          </cell>
          <cell r="H1816">
            <v>11058.58</v>
          </cell>
          <cell r="I1816">
            <v>0</v>
          </cell>
          <cell r="J1816">
            <v>11058.58</v>
          </cell>
          <cell r="K1816">
            <v>-20.440000000000001</v>
          </cell>
        </row>
        <row r="1817">
          <cell r="A1817" t="str">
            <v>LU2713448996</v>
          </cell>
          <cell r="B1817" t="str">
            <v>AMUNDI FUNDS GLOBAL MULTI-ASSET CONSERVATIVE</v>
          </cell>
          <cell r="C1817" t="str">
            <v>Class J7 JPY Hgd (C)</v>
          </cell>
          <cell r="D1817" t="str">
            <v>JPY</v>
          </cell>
          <cell r="E1817">
            <v>45747</v>
          </cell>
          <cell r="F1817">
            <v>12871651247</v>
          </cell>
          <cell r="G1817">
            <v>124694.211</v>
          </cell>
          <cell r="H1817">
            <v>103226</v>
          </cell>
          <cell r="I1817">
            <v>0</v>
          </cell>
          <cell r="J1817">
            <v>103226</v>
          </cell>
          <cell r="K1817">
            <v>-195</v>
          </cell>
        </row>
        <row r="1818">
          <cell r="A1818" t="str">
            <v>LU2510724003</v>
          </cell>
          <cell r="B1818" t="str">
            <v>AMUNDI FUNDS GLOBAL MULTI-ASSET CONSERVATIVE</v>
          </cell>
          <cell r="C1818" t="str">
            <v>Class J11 EUR (C)</v>
          </cell>
          <cell r="D1818" t="str">
            <v>EUR</v>
          </cell>
          <cell r="E1818">
            <v>45747</v>
          </cell>
          <cell r="F1818">
            <v>23941060.149999999</v>
          </cell>
          <cell r="G1818">
            <v>21562.893</v>
          </cell>
          <cell r="H1818">
            <v>1110.29</v>
          </cell>
          <cell r="I1818">
            <v>0</v>
          </cell>
          <cell r="J1818">
            <v>1110.29</v>
          </cell>
          <cell r="K1818">
            <v>-2.0699999999999998</v>
          </cell>
        </row>
        <row r="1819">
          <cell r="A1819" t="str">
            <v>LU1883329945</v>
          </cell>
          <cell r="B1819" t="str">
            <v>AMUNDI FUNDS GLOBAL MULTI-ASSET CONSERVATIVE</v>
          </cell>
          <cell r="C1819" t="str">
            <v>Class G EUR QTD (D)</v>
          </cell>
          <cell r="D1819" t="str">
            <v>EUR</v>
          </cell>
          <cell r="E1819">
            <v>45747</v>
          </cell>
          <cell r="F1819">
            <v>36496282.43</v>
          </cell>
          <cell r="G1819">
            <v>7277318.301</v>
          </cell>
          <cell r="H1819">
            <v>5.0149999999999997</v>
          </cell>
          <cell r="I1819">
            <v>0</v>
          </cell>
          <cell r="J1819">
            <v>5.0149999999999997</v>
          </cell>
          <cell r="K1819">
            <v>-0.01</v>
          </cell>
        </row>
        <row r="1820">
          <cell r="A1820" t="str">
            <v>LU1883329861</v>
          </cell>
          <cell r="B1820" t="str">
            <v>AMUNDI FUNDS GLOBAL MULTI-ASSET CONSERVATIVE</v>
          </cell>
          <cell r="C1820" t="str">
            <v>Class G EUR (C)</v>
          </cell>
          <cell r="D1820" t="str">
            <v>EUR</v>
          </cell>
          <cell r="E1820">
            <v>45747</v>
          </cell>
          <cell r="F1820">
            <v>405650603.24000001</v>
          </cell>
          <cell r="G1820">
            <v>74456983.055999994</v>
          </cell>
          <cell r="H1820">
            <v>5.4480000000000004</v>
          </cell>
          <cell r="I1820">
            <v>0</v>
          </cell>
          <cell r="J1820">
            <v>5.4480000000000004</v>
          </cell>
          <cell r="K1820">
            <v>-1.0999999999999999E-2</v>
          </cell>
        </row>
        <row r="1821">
          <cell r="A1821" t="str">
            <v>LU1883330281</v>
          </cell>
          <cell r="B1821" t="str">
            <v>AMUNDI FUNDS GLOBAL MULTI-ASSET CONSERVATIVE</v>
          </cell>
          <cell r="C1821" t="str">
            <v>Class R2 EUR (C)</v>
          </cell>
          <cell r="D1821" t="str">
            <v>EUR</v>
          </cell>
          <cell r="E1821">
            <v>45747</v>
          </cell>
          <cell r="F1821">
            <v>2859636.57</v>
          </cell>
          <cell r="G1821">
            <v>48384.294000000002</v>
          </cell>
          <cell r="H1821">
            <v>59.1</v>
          </cell>
          <cell r="I1821">
            <v>0</v>
          </cell>
          <cell r="J1821">
            <v>59.1</v>
          </cell>
          <cell r="K1821">
            <v>-0.12</v>
          </cell>
        </row>
        <row r="1822">
          <cell r="A1822" t="str">
            <v>LU2391858359</v>
          </cell>
          <cell r="B1822" t="str">
            <v>AMUNDI FUNDS GLOBAL MULTI-ASSET CONSERVATIVE</v>
          </cell>
          <cell r="C1822" t="str">
            <v>Class R5 EUR (C)</v>
          </cell>
          <cell r="D1822" t="str">
            <v>EUR</v>
          </cell>
          <cell r="E1822">
            <v>45747</v>
          </cell>
          <cell r="F1822">
            <v>356876.94</v>
          </cell>
          <cell r="G1822">
            <v>7129.1090000000004</v>
          </cell>
          <cell r="H1822">
            <v>50.06</v>
          </cell>
          <cell r="I1822">
            <v>0</v>
          </cell>
          <cell r="J1822">
            <v>50.06</v>
          </cell>
          <cell r="K1822">
            <v>-0.09</v>
          </cell>
        </row>
        <row r="1823">
          <cell r="A1823" t="str">
            <v>LU1882462739</v>
          </cell>
          <cell r="B1823" t="str">
            <v>AMUNDI FUNDS EMERGING MARKETS SHORT TERM BOND</v>
          </cell>
          <cell r="C1823" t="str">
            <v>Class A2 EUR Hgd (C)</v>
          </cell>
          <cell r="D1823" t="str">
            <v>EUR</v>
          </cell>
          <cell r="E1823">
            <v>45747</v>
          </cell>
          <cell r="F1823">
            <v>8657297.2100000009</v>
          </cell>
          <cell r="G1823">
            <v>154277.821</v>
          </cell>
          <cell r="H1823">
            <v>56.11</v>
          </cell>
          <cell r="I1823">
            <v>0</v>
          </cell>
          <cell r="J1823">
            <v>57.79</v>
          </cell>
          <cell r="K1823">
            <v>-0.12</v>
          </cell>
        </row>
        <row r="1824">
          <cell r="A1824" t="str">
            <v>LU1882462572</v>
          </cell>
          <cell r="B1824" t="str">
            <v>AMUNDI FUNDS EMERGING MARKETS SHORT TERM BOND</v>
          </cell>
          <cell r="C1824" t="str">
            <v>Class A2 CZK Hgd (C)</v>
          </cell>
          <cell r="D1824" t="str">
            <v>CZK</v>
          </cell>
          <cell r="E1824">
            <v>45747</v>
          </cell>
          <cell r="F1824">
            <v>164789536.91999999</v>
          </cell>
          <cell r="G1824">
            <v>128407.484</v>
          </cell>
          <cell r="H1824">
            <v>1283.33</v>
          </cell>
          <cell r="I1824">
            <v>0</v>
          </cell>
          <cell r="J1824">
            <v>1321.83</v>
          </cell>
          <cell r="K1824">
            <v>-2.71</v>
          </cell>
        </row>
        <row r="1825">
          <cell r="A1825" t="str">
            <v>LU1882464602</v>
          </cell>
          <cell r="B1825" t="str">
            <v>AMUNDI FUNDS EMERGING MARKETS SHORT TERM BOND</v>
          </cell>
          <cell r="C1825" t="str">
            <v>Class M2 EUR (C)</v>
          </cell>
          <cell r="D1825" t="str">
            <v>EUR</v>
          </cell>
          <cell r="E1825">
            <v>45747</v>
          </cell>
          <cell r="F1825">
            <v>31974.77</v>
          </cell>
          <cell r="G1825">
            <v>27.687999999999999</v>
          </cell>
          <cell r="H1825">
            <v>1154.82</v>
          </cell>
          <cell r="I1825">
            <v>0</v>
          </cell>
          <cell r="J1825">
            <v>1154.82</v>
          </cell>
          <cell r="K1825">
            <v>-0.05</v>
          </cell>
        </row>
        <row r="1826">
          <cell r="A1826" t="str">
            <v>LU1882464784</v>
          </cell>
          <cell r="B1826" t="str">
            <v>AMUNDI FUNDS EMERGING MARKETS SHORT TERM BOND</v>
          </cell>
          <cell r="C1826" t="str">
            <v>Class M2 EUR Hgd (C)</v>
          </cell>
          <cell r="D1826" t="str">
            <v>EUR</v>
          </cell>
          <cell r="E1826">
            <v>45747</v>
          </cell>
          <cell r="F1826">
            <v>15452374.08</v>
          </cell>
          <cell r="G1826">
            <v>12807.277</v>
          </cell>
          <cell r="H1826">
            <v>1206.53</v>
          </cell>
          <cell r="I1826">
            <v>0</v>
          </cell>
          <cell r="J1826">
            <v>1206.53</v>
          </cell>
          <cell r="K1826">
            <v>-2.48</v>
          </cell>
        </row>
        <row r="1827">
          <cell r="A1827" t="str">
            <v>LU1882463034</v>
          </cell>
          <cell r="B1827" t="str">
            <v>AMUNDI FUNDS EMERGING MARKETS SHORT TERM BOND</v>
          </cell>
          <cell r="C1827" t="str">
            <v>Class C USD (C)</v>
          </cell>
          <cell r="D1827" t="str">
            <v>USD</v>
          </cell>
          <cell r="E1827">
            <v>45747</v>
          </cell>
          <cell r="F1827">
            <v>1101551.05</v>
          </cell>
          <cell r="G1827">
            <v>18634.931</v>
          </cell>
          <cell r="H1827">
            <v>59.11</v>
          </cell>
          <cell r="I1827">
            <v>0</v>
          </cell>
          <cell r="J1827">
            <v>59.11</v>
          </cell>
          <cell r="K1827">
            <v>-0.13</v>
          </cell>
        </row>
        <row r="1828">
          <cell r="A1828" t="str">
            <v>LU1882463117</v>
          </cell>
          <cell r="B1828" t="str">
            <v>AMUNDI FUNDS EMERGING MARKETS SHORT TERM BOND</v>
          </cell>
          <cell r="C1828" t="str">
            <v>Class C USD MTD (D)</v>
          </cell>
          <cell r="D1828" t="str">
            <v>USD</v>
          </cell>
          <cell r="E1828">
            <v>45747</v>
          </cell>
          <cell r="F1828">
            <v>186509.72</v>
          </cell>
          <cell r="G1828">
            <v>4391.8509999999997</v>
          </cell>
          <cell r="H1828">
            <v>42.47</v>
          </cell>
          <cell r="I1828">
            <v>0</v>
          </cell>
          <cell r="J1828">
            <v>42.47</v>
          </cell>
          <cell r="K1828">
            <v>-0.09</v>
          </cell>
        </row>
        <row r="1829">
          <cell r="A1829" t="str">
            <v>LU1882462903</v>
          </cell>
          <cell r="B1829" t="str">
            <v>AMUNDI FUNDS EMERGING MARKETS SHORT TERM BOND</v>
          </cell>
          <cell r="C1829" t="str">
            <v>Class A2 USD MTD (D)</v>
          </cell>
          <cell r="D1829" t="str">
            <v>USD</v>
          </cell>
          <cell r="E1829">
            <v>45747</v>
          </cell>
          <cell r="F1829">
            <v>746733.33</v>
          </cell>
          <cell r="G1829">
            <v>16657.32</v>
          </cell>
          <cell r="H1829">
            <v>44.83</v>
          </cell>
          <cell r="I1829">
            <v>0</v>
          </cell>
          <cell r="J1829">
            <v>46.17</v>
          </cell>
          <cell r="K1829">
            <v>-0.09</v>
          </cell>
        </row>
        <row r="1830">
          <cell r="A1830" t="str">
            <v>LU1882462655</v>
          </cell>
          <cell r="B1830" t="str">
            <v>AMUNDI FUNDS EMERGING MARKETS SHORT TERM BOND</v>
          </cell>
          <cell r="C1830" t="str">
            <v>Class A2 EUR (C)</v>
          </cell>
          <cell r="D1830" t="str">
            <v>EUR</v>
          </cell>
          <cell r="E1830">
            <v>45747</v>
          </cell>
          <cell r="F1830">
            <v>3445559.11</v>
          </cell>
          <cell r="G1830">
            <v>54746.228999999999</v>
          </cell>
          <cell r="H1830">
            <v>62.94</v>
          </cell>
          <cell r="I1830">
            <v>0</v>
          </cell>
          <cell r="J1830">
            <v>64.83</v>
          </cell>
          <cell r="K1830">
            <v>0</v>
          </cell>
        </row>
        <row r="1831">
          <cell r="A1831" t="str">
            <v>LU1882463208</v>
          </cell>
          <cell r="B1831" t="str">
            <v>AMUNDI FUNDS EMERGING MARKETS SHORT TERM BOND</v>
          </cell>
          <cell r="C1831" t="str">
            <v>Class E2 EUR (C)</v>
          </cell>
          <cell r="D1831" t="str">
            <v>EUR</v>
          </cell>
          <cell r="E1831">
            <v>45747</v>
          </cell>
          <cell r="F1831">
            <v>22771229.899999999</v>
          </cell>
          <cell r="G1831">
            <v>3285281.56</v>
          </cell>
          <cell r="H1831">
            <v>6.931</v>
          </cell>
          <cell r="I1831">
            <v>0</v>
          </cell>
          <cell r="J1831">
            <v>6.931</v>
          </cell>
          <cell r="K1831">
            <v>-1E-3</v>
          </cell>
        </row>
        <row r="1832">
          <cell r="A1832" t="str">
            <v>LU1882463380</v>
          </cell>
          <cell r="B1832" t="str">
            <v>AMUNDI FUNDS EMERGING MARKETS SHORT TERM BOND</v>
          </cell>
          <cell r="C1832" t="str">
            <v>Class E2 EUR Hgd (C)</v>
          </cell>
          <cell r="D1832" t="str">
            <v>EUR</v>
          </cell>
          <cell r="E1832">
            <v>45747</v>
          </cell>
          <cell r="F1832">
            <v>21141850.539999999</v>
          </cell>
          <cell r="G1832">
            <v>3718145.8330000001</v>
          </cell>
          <cell r="H1832">
            <v>5.6859999999999999</v>
          </cell>
          <cell r="I1832">
            <v>0</v>
          </cell>
          <cell r="J1832">
            <v>5.6859999999999999</v>
          </cell>
          <cell r="K1832">
            <v>-1.2E-2</v>
          </cell>
        </row>
        <row r="1833">
          <cell r="A1833" t="str">
            <v>LU1882463463</v>
          </cell>
          <cell r="B1833" t="str">
            <v>AMUNDI FUNDS EMERGING MARKETS SHORT TERM BOND</v>
          </cell>
          <cell r="C1833" t="str">
            <v>Class E2 EUR Hgd QTD (D)</v>
          </cell>
          <cell r="D1833" t="str">
            <v>EUR</v>
          </cell>
          <cell r="E1833">
            <v>45747</v>
          </cell>
          <cell r="F1833">
            <v>34214705.299999997</v>
          </cell>
          <cell r="G1833">
            <v>8536555.6610000003</v>
          </cell>
          <cell r="H1833">
            <v>4.008</v>
          </cell>
          <cell r="I1833">
            <v>0</v>
          </cell>
          <cell r="J1833">
            <v>4.008</v>
          </cell>
          <cell r="K1833">
            <v>-8.0000000000000002E-3</v>
          </cell>
        </row>
        <row r="1834">
          <cell r="A1834" t="str">
            <v>LU1882463893</v>
          </cell>
          <cell r="B1834" t="str">
            <v>AMUNDI FUNDS EMERGING MARKETS SHORT TERM BOND</v>
          </cell>
          <cell r="C1834" t="str">
            <v>Class F2 EUR QTD (D)</v>
          </cell>
          <cell r="D1834" t="str">
            <v>EUR</v>
          </cell>
          <cell r="E1834">
            <v>45747</v>
          </cell>
          <cell r="F1834">
            <v>6188261.1399999997</v>
          </cell>
          <cell r="G1834">
            <v>1274010.5889999999</v>
          </cell>
          <cell r="H1834">
            <v>4.8570000000000002</v>
          </cell>
          <cell r="I1834">
            <v>0</v>
          </cell>
          <cell r="J1834">
            <v>4.8570000000000002</v>
          </cell>
          <cell r="K1834">
            <v>-1E-3</v>
          </cell>
        </row>
        <row r="1835">
          <cell r="A1835" t="str">
            <v>LU1897303142</v>
          </cell>
          <cell r="B1835" t="str">
            <v>AMUNDI FUNDS EMERGING MARKETS SHORT TERM BOND</v>
          </cell>
          <cell r="C1835" t="str">
            <v>Class I2 GBP (C)</v>
          </cell>
          <cell r="D1835" t="str">
            <v>GBP</v>
          </cell>
          <cell r="E1835">
            <v>45747</v>
          </cell>
          <cell r="F1835">
            <v>2767949.71</v>
          </cell>
          <cell r="G1835">
            <v>2344.7060000000001</v>
          </cell>
          <cell r="H1835">
            <v>1180.51</v>
          </cell>
          <cell r="I1835">
            <v>0</v>
          </cell>
          <cell r="J1835">
            <v>1180.51</v>
          </cell>
          <cell r="K1835">
            <v>0.73</v>
          </cell>
        </row>
        <row r="1836">
          <cell r="A1836" t="str">
            <v>LU1882464511</v>
          </cell>
          <cell r="B1836" t="str">
            <v>AMUNDI FUNDS EMERGING MARKETS SHORT TERM BOND</v>
          </cell>
          <cell r="C1836" t="str">
            <v>Class I2 USD (C)</v>
          </cell>
          <cell r="D1836" t="str">
            <v>USD</v>
          </cell>
          <cell r="E1836">
            <v>45747</v>
          </cell>
          <cell r="F1836">
            <v>5631.59</v>
          </cell>
          <cell r="G1836">
            <v>5</v>
          </cell>
          <cell r="H1836">
            <v>1126.32</v>
          </cell>
          <cell r="I1836">
            <v>0</v>
          </cell>
          <cell r="J1836">
            <v>1126.32</v>
          </cell>
          <cell r="K1836">
            <v>-2.23</v>
          </cell>
        </row>
        <row r="1837">
          <cell r="A1837" t="str">
            <v>LU1882463547</v>
          </cell>
          <cell r="B1837" t="str">
            <v>AMUNDI FUNDS EMERGING MARKETS SHORT TERM BOND</v>
          </cell>
          <cell r="C1837" t="str">
            <v>Class E2 EUR QTD (D)</v>
          </cell>
          <cell r="D1837" t="str">
            <v>EUR</v>
          </cell>
          <cell r="E1837">
            <v>45747</v>
          </cell>
          <cell r="F1837">
            <v>12963554.34</v>
          </cell>
          <cell r="G1837">
            <v>2571718.2119999998</v>
          </cell>
          <cell r="H1837">
            <v>5.0410000000000004</v>
          </cell>
          <cell r="I1837">
            <v>0</v>
          </cell>
          <cell r="J1837">
            <v>5.0410000000000004</v>
          </cell>
          <cell r="K1837">
            <v>0</v>
          </cell>
        </row>
        <row r="1838">
          <cell r="A1838" t="str">
            <v>LU1882464271</v>
          </cell>
          <cell r="B1838" t="str">
            <v>AMUNDI FUNDS EMERGING MARKETS SHORT TERM BOND</v>
          </cell>
          <cell r="C1838" t="str">
            <v>Class I2 EUR Hgd AD (D)</v>
          </cell>
          <cell r="D1838" t="str">
            <v>EUR</v>
          </cell>
          <cell r="E1838">
            <v>45747</v>
          </cell>
          <cell r="F1838">
            <v>7687.51</v>
          </cell>
          <cell r="G1838">
            <v>11</v>
          </cell>
          <cell r="H1838">
            <v>698.86</v>
          </cell>
          <cell r="I1838">
            <v>0</v>
          </cell>
          <cell r="J1838">
            <v>698.86</v>
          </cell>
          <cell r="K1838">
            <v>-1.44</v>
          </cell>
        </row>
        <row r="1839">
          <cell r="A1839" t="str">
            <v>LU1882464354</v>
          </cell>
          <cell r="B1839" t="str">
            <v>AMUNDI FUNDS EMERGING MARKETS SHORT TERM BOND</v>
          </cell>
          <cell r="C1839" t="str">
            <v>Class I2 EUR Hgd QTD (D)</v>
          </cell>
          <cell r="D1839" t="str">
            <v>EUR</v>
          </cell>
          <cell r="E1839">
            <v>45747</v>
          </cell>
          <cell r="F1839">
            <v>39513579.869999997</v>
          </cell>
          <cell r="G1839">
            <v>48067.565999999999</v>
          </cell>
          <cell r="H1839">
            <v>822.04</v>
          </cell>
          <cell r="I1839">
            <v>0</v>
          </cell>
          <cell r="J1839">
            <v>822.04</v>
          </cell>
          <cell r="K1839">
            <v>-1.68</v>
          </cell>
        </row>
        <row r="1840">
          <cell r="A1840" t="str">
            <v>LU1882464198</v>
          </cell>
          <cell r="B1840" t="str">
            <v>AMUNDI FUNDS EMERGING MARKETS SHORT TERM BOND</v>
          </cell>
          <cell r="C1840" t="str">
            <v>Class I2 EUR Hgd (C)</v>
          </cell>
          <cell r="D1840" t="str">
            <v>EUR</v>
          </cell>
          <cell r="E1840">
            <v>45747</v>
          </cell>
          <cell r="F1840">
            <v>35505858.159999996</v>
          </cell>
          <cell r="G1840">
            <v>29115.436000000002</v>
          </cell>
          <cell r="H1840">
            <v>1219.49</v>
          </cell>
          <cell r="I1840">
            <v>0</v>
          </cell>
          <cell r="J1840">
            <v>1219.49</v>
          </cell>
          <cell r="K1840">
            <v>-2.4900000000000002</v>
          </cell>
        </row>
        <row r="1841">
          <cell r="A1841" t="str">
            <v>LU2176991268</v>
          </cell>
          <cell r="B1841" t="str">
            <v>AMUNDI FUNDS EMERGING MARKETS SHORT TERM BOND</v>
          </cell>
          <cell r="C1841" t="str">
            <v>Class I2 GBP Hgd (C)</v>
          </cell>
          <cell r="D1841" t="str">
            <v>GBP</v>
          </cell>
          <cell r="E1841">
            <v>45747</v>
          </cell>
          <cell r="F1841">
            <v>128669.36</v>
          </cell>
          <cell r="G1841">
            <v>100</v>
          </cell>
          <cell r="H1841">
            <v>1286.69</v>
          </cell>
          <cell r="I1841">
            <v>0</v>
          </cell>
          <cell r="J1841">
            <v>1286.69</v>
          </cell>
          <cell r="K1841">
            <v>-2.57</v>
          </cell>
        </row>
        <row r="1842">
          <cell r="A1842" t="str">
            <v>LU1894676995</v>
          </cell>
          <cell r="B1842" t="str">
            <v>AMUNDI FUNDS EMERGING MARKETS SHORT TERM BOND</v>
          </cell>
          <cell r="C1842" t="str">
            <v>Class G2 EUR Hgd (C)</v>
          </cell>
          <cell r="D1842" t="str">
            <v>EUR</v>
          </cell>
          <cell r="E1842">
            <v>45747</v>
          </cell>
          <cell r="F1842">
            <v>2652842.09</v>
          </cell>
          <cell r="G1842">
            <v>485116.36499999999</v>
          </cell>
          <cell r="H1842">
            <v>5.468</v>
          </cell>
          <cell r="I1842">
            <v>0</v>
          </cell>
          <cell r="J1842">
            <v>5.468</v>
          </cell>
          <cell r="K1842">
            <v>-1.2E-2</v>
          </cell>
        </row>
        <row r="1843">
          <cell r="A1843" t="str">
            <v>LU1882465088</v>
          </cell>
          <cell r="B1843" t="str">
            <v>AMUNDI FUNDS EMERGING MARKETS SHORT TERM BOND</v>
          </cell>
          <cell r="C1843" t="str">
            <v>Class R2 EUR (C)</v>
          </cell>
          <cell r="D1843" t="str">
            <v>EUR</v>
          </cell>
          <cell r="E1843">
            <v>45747</v>
          </cell>
          <cell r="F1843">
            <v>34258.839999999997</v>
          </cell>
          <cell r="G1843">
            <v>523.14400000000001</v>
          </cell>
          <cell r="H1843">
            <v>65.489999999999995</v>
          </cell>
          <cell r="I1843">
            <v>0</v>
          </cell>
          <cell r="J1843">
            <v>65.489999999999995</v>
          </cell>
          <cell r="K1843">
            <v>0</v>
          </cell>
        </row>
        <row r="1844">
          <cell r="A1844" t="str">
            <v>LU1882465161</v>
          </cell>
          <cell r="B1844" t="str">
            <v>AMUNDI FUNDS EMERGING MARKETS SHORT TERM BOND</v>
          </cell>
          <cell r="C1844" t="str">
            <v>Class R2 EUR Hgd (C)</v>
          </cell>
          <cell r="D1844" t="str">
            <v>EUR</v>
          </cell>
          <cell r="E1844">
            <v>45747</v>
          </cell>
          <cell r="F1844">
            <v>596836.31000000006</v>
          </cell>
          <cell r="G1844">
            <v>10968.562</v>
          </cell>
          <cell r="H1844">
            <v>54.41</v>
          </cell>
          <cell r="I1844">
            <v>0</v>
          </cell>
          <cell r="J1844">
            <v>54.41</v>
          </cell>
          <cell r="K1844">
            <v>-0.12</v>
          </cell>
        </row>
        <row r="1845">
          <cell r="A1845" t="str">
            <v>LU1882462812</v>
          </cell>
          <cell r="B1845" t="str">
            <v>AMUNDI FUNDS EMERGING MARKETS SHORT TERM BOND</v>
          </cell>
          <cell r="C1845" t="str">
            <v>Class A2 USD (C)</v>
          </cell>
          <cell r="D1845" t="str">
            <v>USD</v>
          </cell>
          <cell r="E1845">
            <v>45747</v>
          </cell>
          <cell r="F1845">
            <v>1746537.66</v>
          </cell>
          <cell r="G1845">
            <v>25695.201000000001</v>
          </cell>
          <cell r="H1845">
            <v>67.97</v>
          </cell>
          <cell r="I1845">
            <v>0</v>
          </cell>
          <cell r="J1845">
            <v>70.010000000000005</v>
          </cell>
          <cell r="K1845">
            <v>-0.14000000000000001</v>
          </cell>
        </row>
        <row r="1846">
          <cell r="A1846" t="str">
            <v>LU1882464941</v>
          </cell>
          <cell r="B1846" t="str">
            <v>AMUNDI FUNDS EMERGING MARKETS SHORT TERM BOND</v>
          </cell>
          <cell r="C1846" t="str">
            <v>Class P2 USD (C)</v>
          </cell>
          <cell r="D1846" t="str">
            <v>USD</v>
          </cell>
          <cell r="E1846">
            <v>45747</v>
          </cell>
          <cell r="F1846">
            <v>6208.93</v>
          </cell>
          <cell r="G1846">
            <v>99.998999999999995</v>
          </cell>
          <cell r="H1846">
            <v>62.09</v>
          </cell>
          <cell r="I1846">
            <v>0</v>
          </cell>
          <cell r="J1846">
            <v>62.09</v>
          </cell>
          <cell r="K1846">
            <v>-0.13</v>
          </cell>
        </row>
        <row r="1847">
          <cell r="A1847" t="str">
            <v>LU2036672991</v>
          </cell>
          <cell r="B1847" t="str">
            <v>AMUNDI FUNDS EMERGING MARKETS SHORT TERM BOND</v>
          </cell>
          <cell r="C1847" t="str">
            <v>Class G2 EUR Hgd QTD (D)</v>
          </cell>
          <cell r="D1847" t="str">
            <v>EUR</v>
          </cell>
          <cell r="E1847">
            <v>45747</v>
          </cell>
          <cell r="F1847">
            <v>713568.94</v>
          </cell>
          <cell r="G1847">
            <v>172575.212</v>
          </cell>
          <cell r="H1847">
            <v>4.1349999999999998</v>
          </cell>
          <cell r="I1847">
            <v>0</v>
          </cell>
          <cell r="J1847">
            <v>4.1349999999999998</v>
          </cell>
          <cell r="K1847">
            <v>-8.9999999999999993E-3</v>
          </cell>
        </row>
        <row r="1848">
          <cell r="A1848" t="str">
            <v>LU2036672645</v>
          </cell>
          <cell r="B1848" t="str">
            <v>AMUNDI FUNDS EMERGING MARKETS SHORT TERM BOND</v>
          </cell>
          <cell r="C1848" t="str">
            <v>Class G2 EUR (C)</v>
          </cell>
          <cell r="D1848" t="str">
            <v>EUR</v>
          </cell>
          <cell r="E1848">
            <v>45747</v>
          </cell>
          <cell r="F1848">
            <v>842446.95</v>
          </cell>
          <cell r="G1848">
            <v>141259.90100000001</v>
          </cell>
          <cell r="H1848">
            <v>5.9640000000000004</v>
          </cell>
          <cell r="I1848">
            <v>0</v>
          </cell>
          <cell r="J1848">
            <v>5.9640000000000004</v>
          </cell>
          <cell r="K1848">
            <v>-1E-3</v>
          </cell>
        </row>
        <row r="1849">
          <cell r="A1849" t="str">
            <v>LU2036672728</v>
          </cell>
          <cell r="B1849" t="str">
            <v>AMUNDI FUNDS EMERGING MARKETS SHORT TERM BOND</v>
          </cell>
          <cell r="C1849" t="str">
            <v>Class G2 EUR QTD (D)</v>
          </cell>
          <cell r="D1849" t="str">
            <v>EUR</v>
          </cell>
          <cell r="E1849">
            <v>45747</v>
          </cell>
          <cell r="F1849">
            <v>44074.49</v>
          </cell>
          <cell r="G1849">
            <v>9416.3130000000001</v>
          </cell>
          <cell r="H1849">
            <v>4.681</v>
          </cell>
          <cell r="I1849">
            <v>0</v>
          </cell>
          <cell r="J1849">
            <v>4.681</v>
          </cell>
          <cell r="K1849">
            <v>0</v>
          </cell>
        </row>
        <row r="1850">
          <cell r="A1850" t="str">
            <v>LU1882464438</v>
          </cell>
          <cell r="B1850" t="str">
            <v>AMUNDI FUNDS EMERGING MARKETS SHORT TERM BOND</v>
          </cell>
          <cell r="C1850" t="str">
            <v>Class X EUR (C)</v>
          </cell>
          <cell r="D1850" t="str">
            <v>EUR</v>
          </cell>
          <cell r="E1850">
            <v>45747</v>
          </cell>
          <cell r="F1850">
            <v>2805.63</v>
          </cell>
          <cell r="G1850">
            <v>2</v>
          </cell>
          <cell r="H1850">
            <v>1402.82</v>
          </cell>
          <cell r="I1850">
            <v>0</v>
          </cell>
          <cell r="J1850">
            <v>1402.82</v>
          </cell>
          <cell r="K1850">
            <v>0.01</v>
          </cell>
        </row>
        <row r="1851">
          <cell r="A1851" t="str">
            <v>LU2098275816</v>
          </cell>
          <cell r="B1851" t="str">
            <v>AMUNDI FUNDS EMERGING MARKETS SHORT TERM BOND</v>
          </cell>
          <cell r="C1851" t="str">
            <v>Class Z USD (C)</v>
          </cell>
          <cell r="D1851" t="str">
            <v>USD</v>
          </cell>
          <cell r="E1851">
            <v>45747</v>
          </cell>
          <cell r="F1851">
            <v>3682273.45</v>
          </cell>
          <cell r="G1851">
            <v>3180.0439999999999</v>
          </cell>
          <cell r="H1851">
            <v>1157.93</v>
          </cell>
          <cell r="I1851">
            <v>0</v>
          </cell>
          <cell r="J1851">
            <v>1157.93</v>
          </cell>
          <cell r="K1851">
            <v>-2.29</v>
          </cell>
        </row>
        <row r="1852">
          <cell r="A1852" t="str">
            <v>LU1883334275</v>
          </cell>
          <cell r="B1852" t="str">
            <v>AMUNDI FUNDS GLOBAL SUBORDINATED BOND</v>
          </cell>
          <cell r="C1852" t="str">
            <v>Class A EUR (C)</v>
          </cell>
          <cell r="D1852" t="str">
            <v>EUR</v>
          </cell>
          <cell r="E1852">
            <v>45747</v>
          </cell>
          <cell r="F1852">
            <v>10244680.98</v>
          </cell>
          <cell r="G1852">
            <v>145792.28700000001</v>
          </cell>
          <cell r="H1852">
            <v>70.27</v>
          </cell>
          <cell r="I1852">
            <v>0</v>
          </cell>
          <cell r="J1852">
            <v>72.38</v>
          </cell>
          <cell r="K1852">
            <v>-0.1</v>
          </cell>
        </row>
        <row r="1853">
          <cell r="A1853" t="str">
            <v>LU1883334861</v>
          </cell>
          <cell r="B1853" t="str">
            <v>AMUNDI FUNDS GLOBAL SUBORDINATED BOND</v>
          </cell>
          <cell r="C1853" t="str">
            <v>Class M2 EUR (C)</v>
          </cell>
          <cell r="D1853" t="str">
            <v>EUR</v>
          </cell>
          <cell r="E1853">
            <v>45747</v>
          </cell>
          <cell r="F1853">
            <v>195053663.90000001</v>
          </cell>
          <cell r="G1853">
            <v>125802.41800000001</v>
          </cell>
          <cell r="H1853">
            <v>1550.48</v>
          </cell>
          <cell r="I1853">
            <v>0</v>
          </cell>
          <cell r="J1853">
            <v>1550.48</v>
          </cell>
          <cell r="K1853">
            <v>-1.77</v>
          </cell>
        </row>
        <row r="1854">
          <cell r="A1854" t="str">
            <v>LU1883334945</v>
          </cell>
          <cell r="B1854" t="str">
            <v>AMUNDI FUNDS GLOBAL SUBORDINATED BOND</v>
          </cell>
          <cell r="C1854" t="str">
            <v>Class M2 EUR QTD (D)</v>
          </cell>
          <cell r="D1854" t="str">
            <v>EUR</v>
          </cell>
          <cell r="E1854">
            <v>45747</v>
          </cell>
          <cell r="F1854">
            <v>43092139.490000002</v>
          </cell>
          <cell r="G1854">
            <v>39752.565999999999</v>
          </cell>
          <cell r="H1854">
            <v>1084.01</v>
          </cell>
          <cell r="I1854">
            <v>0</v>
          </cell>
          <cell r="J1854">
            <v>1084.01</v>
          </cell>
          <cell r="K1854">
            <v>-1.24</v>
          </cell>
        </row>
        <row r="1855">
          <cell r="A1855" t="str">
            <v>LU1883334358</v>
          </cell>
          <cell r="B1855" t="str">
            <v>AMUNDI FUNDS GLOBAL SUBORDINATED BOND</v>
          </cell>
          <cell r="C1855" t="str">
            <v>Class E2 EUR (C)</v>
          </cell>
          <cell r="D1855" t="str">
            <v>EUR</v>
          </cell>
          <cell r="E1855">
            <v>45747</v>
          </cell>
          <cell r="F1855">
            <v>176075253.13999999</v>
          </cell>
          <cell r="G1855">
            <v>24121405.68</v>
          </cell>
          <cell r="H1855">
            <v>7.3</v>
          </cell>
          <cell r="I1855">
            <v>0</v>
          </cell>
          <cell r="J1855">
            <v>7.3</v>
          </cell>
          <cell r="K1855">
            <v>-8.0000000000000002E-3</v>
          </cell>
        </row>
        <row r="1856">
          <cell r="A1856" t="str">
            <v>LU2098276202</v>
          </cell>
          <cell r="B1856" t="str">
            <v>AMUNDI FUNDS GLOBAL SUBORDINATED BOND</v>
          </cell>
          <cell r="C1856" t="str">
            <v>Class H EUR (C)</v>
          </cell>
          <cell r="D1856" t="str">
            <v>EUR</v>
          </cell>
          <cell r="E1856">
            <v>45747</v>
          </cell>
          <cell r="F1856">
            <v>7350251.0599999996</v>
          </cell>
          <cell r="G1856">
            <v>5966.5680000000002</v>
          </cell>
          <cell r="H1856">
            <v>1231.9100000000001</v>
          </cell>
          <cell r="I1856">
            <v>0</v>
          </cell>
          <cell r="J1856">
            <v>1231.9100000000001</v>
          </cell>
          <cell r="K1856">
            <v>-1.35</v>
          </cell>
        </row>
        <row r="1857">
          <cell r="A1857" t="str">
            <v>LU1897308299</v>
          </cell>
          <cell r="B1857" t="str">
            <v>AMUNDI FUNDS GLOBAL SUBORDINATED BOND</v>
          </cell>
          <cell r="C1857" t="str">
            <v>Class I2 GBP (C)</v>
          </cell>
          <cell r="D1857" t="str">
            <v>GBP</v>
          </cell>
          <cell r="E1857">
            <v>45747</v>
          </cell>
          <cell r="F1857">
            <v>5969.18</v>
          </cell>
          <cell r="G1857">
            <v>5</v>
          </cell>
          <cell r="H1857">
            <v>1193.8399999999999</v>
          </cell>
          <cell r="I1857">
            <v>0</v>
          </cell>
          <cell r="J1857">
            <v>1193.8399999999999</v>
          </cell>
          <cell r="K1857">
            <v>-0.56999999999999995</v>
          </cell>
        </row>
        <row r="1858">
          <cell r="A1858" t="str">
            <v>LU1883334606</v>
          </cell>
          <cell r="B1858" t="str">
            <v>AMUNDI FUNDS GLOBAL SUBORDINATED BOND</v>
          </cell>
          <cell r="C1858" t="str">
            <v>Class I2 EUR QD (D)</v>
          </cell>
          <cell r="D1858" t="str">
            <v>EUR</v>
          </cell>
          <cell r="E1858">
            <v>45747</v>
          </cell>
          <cell r="F1858">
            <v>50915308.880000003</v>
          </cell>
          <cell r="G1858">
            <v>48146.678</v>
          </cell>
          <cell r="H1858">
            <v>1057.5</v>
          </cell>
          <cell r="I1858">
            <v>11.990883999999999</v>
          </cell>
          <cell r="J1858">
            <v>1057.5</v>
          </cell>
          <cell r="K1858">
            <v>-13.21</v>
          </cell>
        </row>
        <row r="1859">
          <cell r="A1859" t="str">
            <v>LU1883334432</v>
          </cell>
          <cell r="B1859" t="str">
            <v>AMUNDI FUNDS GLOBAL SUBORDINATED BOND</v>
          </cell>
          <cell r="C1859" t="str">
            <v>Class E2 EUR QTD (D)</v>
          </cell>
          <cell r="D1859" t="str">
            <v>EUR</v>
          </cell>
          <cell r="E1859">
            <v>45747</v>
          </cell>
          <cell r="F1859">
            <v>143463101.16</v>
          </cell>
          <cell r="G1859">
            <v>27607792.473999999</v>
          </cell>
          <cell r="H1859">
            <v>5.1959999999999997</v>
          </cell>
          <cell r="I1859">
            <v>0</v>
          </cell>
          <cell r="J1859">
            <v>5.1959999999999997</v>
          </cell>
          <cell r="K1859">
            <v>-7.0000000000000001E-3</v>
          </cell>
        </row>
        <row r="1860">
          <cell r="A1860" t="str">
            <v>LU2085676083</v>
          </cell>
          <cell r="B1860" t="str">
            <v>AMUNDI FUNDS GLOBAL SUBORDINATED BOND</v>
          </cell>
          <cell r="C1860" t="str">
            <v>Class I2 USD Hgd (C)</v>
          </cell>
          <cell r="D1860" t="str">
            <v>USD</v>
          </cell>
          <cell r="E1860">
            <v>45747</v>
          </cell>
          <cell r="F1860">
            <v>24047438.66</v>
          </cell>
          <cell r="G1860">
            <v>18307.84</v>
          </cell>
          <cell r="H1860">
            <v>1313.5</v>
          </cell>
          <cell r="I1860">
            <v>0</v>
          </cell>
          <cell r="J1860">
            <v>1313.5</v>
          </cell>
          <cell r="K1860">
            <v>-1.45</v>
          </cell>
        </row>
        <row r="1861">
          <cell r="A1861" t="str">
            <v>LU1883334515</v>
          </cell>
          <cell r="B1861" t="str">
            <v>AMUNDI FUNDS GLOBAL SUBORDINATED BOND</v>
          </cell>
          <cell r="C1861" t="str">
            <v>Class I2 EUR (C)</v>
          </cell>
          <cell r="D1861" t="str">
            <v>EUR</v>
          </cell>
          <cell r="E1861">
            <v>45747</v>
          </cell>
          <cell r="F1861">
            <v>47480168.469999999</v>
          </cell>
          <cell r="G1861">
            <v>30706.707999999999</v>
          </cell>
          <cell r="H1861">
            <v>1546.25</v>
          </cell>
          <cell r="I1861">
            <v>0</v>
          </cell>
          <cell r="J1861">
            <v>1546.25</v>
          </cell>
          <cell r="K1861">
            <v>-1.76</v>
          </cell>
        </row>
        <row r="1862">
          <cell r="A1862" t="str">
            <v>LU2085675945</v>
          </cell>
          <cell r="B1862" t="str">
            <v>AMUNDI FUNDS GLOBAL SUBORDINATED BOND</v>
          </cell>
          <cell r="C1862" t="str">
            <v>Class I USD Hgd (C)</v>
          </cell>
          <cell r="D1862" t="str">
            <v>USD</v>
          </cell>
          <cell r="E1862">
            <v>45747</v>
          </cell>
          <cell r="F1862">
            <v>128314.93</v>
          </cell>
          <cell r="G1862">
            <v>100</v>
          </cell>
          <cell r="H1862">
            <v>1283.1500000000001</v>
          </cell>
          <cell r="I1862">
            <v>0</v>
          </cell>
          <cell r="J1862">
            <v>1283.1500000000001</v>
          </cell>
          <cell r="K1862">
            <v>-1.75</v>
          </cell>
        </row>
        <row r="1863">
          <cell r="A1863" t="str">
            <v>LU2132230629</v>
          </cell>
          <cell r="B1863" t="str">
            <v>AMUNDI FUNDS GLOBAL SUBORDINATED BOND</v>
          </cell>
          <cell r="C1863" t="str">
            <v>Class I2 GBP Hgd (C)</v>
          </cell>
          <cell r="D1863" t="str">
            <v>GBP</v>
          </cell>
          <cell r="E1863">
            <v>45747</v>
          </cell>
          <cell r="F1863">
            <v>41124.949999999997</v>
          </cell>
          <cell r="G1863">
            <v>26.015000000000001</v>
          </cell>
          <cell r="H1863">
            <v>1580.82</v>
          </cell>
          <cell r="I1863">
            <v>0</v>
          </cell>
          <cell r="J1863">
            <v>1580.82</v>
          </cell>
          <cell r="K1863">
            <v>-1.7</v>
          </cell>
        </row>
        <row r="1864">
          <cell r="A1864" t="str">
            <v>LU2237439273</v>
          </cell>
          <cell r="B1864" t="str">
            <v>AMUNDI FUNDS GLOBAL SUBORDINATED BOND</v>
          </cell>
          <cell r="C1864" t="str">
            <v>Class J4 EUR QTD (D)</v>
          </cell>
          <cell r="D1864" t="str">
            <v>EUR</v>
          </cell>
          <cell r="E1864">
            <v>45747</v>
          </cell>
          <cell r="F1864">
            <v>1015.29</v>
          </cell>
          <cell r="G1864">
            <v>1</v>
          </cell>
          <cell r="H1864">
            <v>1015.29</v>
          </cell>
          <cell r="I1864">
            <v>0</v>
          </cell>
          <cell r="J1864">
            <v>1015.29</v>
          </cell>
          <cell r="K1864">
            <v>-1.1399999999999999</v>
          </cell>
        </row>
        <row r="1865">
          <cell r="A1865" t="str">
            <v>LU2085676752</v>
          </cell>
          <cell r="B1865" t="str">
            <v>AMUNDI FUNDS GLOBAL SUBORDINATED BOND</v>
          </cell>
          <cell r="C1865" t="str">
            <v>Class G EUR (C)</v>
          </cell>
          <cell r="D1865" t="str">
            <v>EUR</v>
          </cell>
          <cell r="E1865">
            <v>45747</v>
          </cell>
          <cell r="F1865">
            <v>39424230.840000004</v>
          </cell>
          <cell r="G1865">
            <v>6965314.6529999999</v>
          </cell>
          <cell r="H1865">
            <v>5.66</v>
          </cell>
          <cell r="I1865">
            <v>0</v>
          </cell>
          <cell r="J1865">
            <v>5.66</v>
          </cell>
          <cell r="K1865">
            <v>-8.0000000000000002E-3</v>
          </cell>
        </row>
        <row r="1866">
          <cell r="A1866" t="str">
            <v>LU2085676836</v>
          </cell>
          <cell r="B1866" t="str">
            <v>AMUNDI FUNDS GLOBAL SUBORDINATED BOND</v>
          </cell>
          <cell r="C1866" t="str">
            <v>Class G EUR QTD (D)</v>
          </cell>
          <cell r="D1866" t="str">
            <v>EUR</v>
          </cell>
          <cell r="E1866">
            <v>45747</v>
          </cell>
          <cell r="F1866">
            <v>32381206.879999999</v>
          </cell>
          <cell r="G1866">
            <v>7164266.1500000004</v>
          </cell>
          <cell r="H1866">
            <v>4.5199999999999996</v>
          </cell>
          <cell r="I1866">
            <v>0</v>
          </cell>
          <cell r="J1866">
            <v>4.5199999999999996</v>
          </cell>
          <cell r="K1866">
            <v>-6.0000000000000001E-3</v>
          </cell>
        </row>
        <row r="1867">
          <cell r="A1867" t="str">
            <v>LU1883335082</v>
          </cell>
          <cell r="B1867" t="str">
            <v>AMUNDI FUNDS GLOBAL SUBORDINATED BOND</v>
          </cell>
          <cell r="C1867" t="str">
            <v>Class R2 EUR (C)</v>
          </cell>
          <cell r="D1867" t="str">
            <v>EUR</v>
          </cell>
          <cell r="E1867">
            <v>45747</v>
          </cell>
          <cell r="F1867">
            <v>1436794.55</v>
          </cell>
          <cell r="G1867">
            <v>21991.245999999999</v>
          </cell>
          <cell r="H1867">
            <v>65.33</v>
          </cell>
          <cell r="I1867">
            <v>0</v>
          </cell>
          <cell r="J1867">
            <v>65.33</v>
          </cell>
          <cell r="K1867">
            <v>-0.08</v>
          </cell>
        </row>
        <row r="1868">
          <cell r="A1868" t="str">
            <v>LU2259109440</v>
          </cell>
          <cell r="B1868" t="str">
            <v>AMUNDI FUNDS GLOBAL SUBORDINATED BOND</v>
          </cell>
          <cell r="C1868" t="str">
            <v>Class R3 GBP Hgd (C)</v>
          </cell>
          <cell r="D1868" t="str">
            <v>GBP</v>
          </cell>
          <cell r="E1868">
            <v>45747</v>
          </cell>
          <cell r="F1868">
            <v>131384.54</v>
          </cell>
          <cell r="G1868">
            <v>10712.745999999999</v>
          </cell>
          <cell r="H1868">
            <v>12.26</v>
          </cell>
          <cell r="I1868">
            <v>0</v>
          </cell>
          <cell r="J1868">
            <v>12.26</v>
          </cell>
          <cell r="K1868">
            <v>-0.02</v>
          </cell>
        </row>
        <row r="1869">
          <cell r="A1869" t="str">
            <v>LU2085675432</v>
          </cell>
          <cell r="B1869" t="str">
            <v>AMUNDI FUNDS GLOBAL SUBORDINATED BOND</v>
          </cell>
          <cell r="C1869" t="str">
            <v>Class Z EUR QD (D)</v>
          </cell>
          <cell r="D1869" t="str">
            <v>EUR</v>
          </cell>
          <cell r="E1869">
            <v>45747</v>
          </cell>
          <cell r="F1869">
            <v>53451022.350000001</v>
          </cell>
          <cell r="G1869">
            <v>44654.972999999998</v>
          </cell>
          <cell r="H1869">
            <v>1196.98</v>
          </cell>
          <cell r="I1869">
            <v>14.155811</v>
          </cell>
          <cell r="J1869">
            <v>1196.98</v>
          </cell>
          <cell r="K1869">
            <v>-15.83</v>
          </cell>
        </row>
        <row r="1870">
          <cell r="A1870" t="str">
            <v>LU1883339233</v>
          </cell>
          <cell r="B1870" t="str">
            <v>AMUNDI FUNDS OPTIMAL YIELD SHORT TERM</v>
          </cell>
          <cell r="C1870" t="str">
            <v>Class A EUR (C)</v>
          </cell>
          <cell r="D1870" t="str">
            <v>EUR</v>
          </cell>
          <cell r="E1870">
            <v>45747</v>
          </cell>
          <cell r="F1870">
            <v>36875.25</v>
          </cell>
          <cell r="G1870">
            <v>658.74</v>
          </cell>
          <cell r="H1870">
            <v>55.98</v>
          </cell>
          <cell r="I1870">
            <v>0</v>
          </cell>
          <cell r="J1870">
            <v>55.98</v>
          </cell>
          <cell r="K1870">
            <v>-0.11</v>
          </cell>
        </row>
        <row r="1871">
          <cell r="A1871" t="str">
            <v>LU1883339829</v>
          </cell>
          <cell r="B1871" t="str">
            <v>AMUNDI FUNDS OPTIMAL YIELD SHORT TERM</v>
          </cell>
          <cell r="C1871" t="str">
            <v>Class M2 EUR (C)</v>
          </cell>
          <cell r="D1871" t="str">
            <v>EUR</v>
          </cell>
          <cell r="E1871">
            <v>45747</v>
          </cell>
          <cell r="F1871">
            <v>9119106.5999999996</v>
          </cell>
          <cell r="G1871">
            <v>7801.22</v>
          </cell>
          <cell r="H1871">
            <v>1168.93</v>
          </cell>
          <cell r="I1871">
            <v>0</v>
          </cell>
          <cell r="J1871">
            <v>1168.93</v>
          </cell>
          <cell r="K1871">
            <v>-2.61</v>
          </cell>
        </row>
        <row r="1872">
          <cell r="A1872" t="str">
            <v>LU1883339316</v>
          </cell>
          <cell r="B1872" t="str">
            <v>AMUNDI FUNDS OPTIMAL YIELD SHORT TERM</v>
          </cell>
          <cell r="C1872" t="str">
            <v>Class E2 EUR (C)</v>
          </cell>
          <cell r="D1872" t="str">
            <v>EUR</v>
          </cell>
          <cell r="E1872">
            <v>45747</v>
          </cell>
          <cell r="F1872">
            <v>39722128.509999998</v>
          </cell>
          <cell r="G1872">
            <v>7080566.9519999996</v>
          </cell>
          <cell r="H1872">
            <v>5.61</v>
          </cell>
          <cell r="I1872">
            <v>0</v>
          </cell>
          <cell r="J1872">
            <v>5.61</v>
          </cell>
          <cell r="K1872">
            <v>-1.2999999999999999E-2</v>
          </cell>
        </row>
        <row r="1873">
          <cell r="A1873" t="str">
            <v>LU1883339589</v>
          </cell>
          <cell r="B1873" t="str">
            <v>AMUNDI FUNDS OPTIMAL YIELD SHORT TERM</v>
          </cell>
          <cell r="C1873" t="str">
            <v>Class F EUR (C)</v>
          </cell>
          <cell r="D1873" t="str">
            <v>EUR</v>
          </cell>
          <cell r="E1873">
            <v>45747</v>
          </cell>
          <cell r="F1873">
            <v>7898953.25</v>
          </cell>
          <cell r="G1873">
            <v>1463969.3659999999</v>
          </cell>
          <cell r="H1873">
            <v>5.3959999999999999</v>
          </cell>
          <cell r="I1873">
            <v>0</v>
          </cell>
          <cell r="J1873">
            <v>5.3959999999999999</v>
          </cell>
          <cell r="K1873">
            <v>-1.2E-2</v>
          </cell>
        </row>
        <row r="1874">
          <cell r="A1874" t="str">
            <v>LU1883339662</v>
          </cell>
          <cell r="B1874" t="str">
            <v>AMUNDI FUNDS OPTIMAL YIELD SHORT TERM</v>
          </cell>
          <cell r="C1874" t="str">
            <v>Class F EUR QTD (D)</v>
          </cell>
          <cell r="D1874" t="str">
            <v>EUR</v>
          </cell>
          <cell r="E1874">
            <v>45747</v>
          </cell>
          <cell r="F1874">
            <v>3453663.89</v>
          </cell>
          <cell r="G1874">
            <v>780264.679</v>
          </cell>
          <cell r="H1874">
            <v>4.4260000000000002</v>
          </cell>
          <cell r="I1874">
            <v>0</v>
          </cell>
          <cell r="J1874">
            <v>4.4260000000000002</v>
          </cell>
          <cell r="K1874">
            <v>-0.01</v>
          </cell>
        </row>
        <row r="1875">
          <cell r="A1875" t="str">
            <v>LU1883339407</v>
          </cell>
          <cell r="B1875" t="str">
            <v>AMUNDI FUNDS OPTIMAL YIELD SHORT TERM</v>
          </cell>
          <cell r="C1875" t="str">
            <v>Class E2 EUR QTD (D)</v>
          </cell>
          <cell r="D1875" t="str">
            <v>EUR</v>
          </cell>
          <cell r="E1875">
            <v>45747</v>
          </cell>
          <cell r="F1875">
            <v>23027074.940000001</v>
          </cell>
          <cell r="G1875">
            <v>5062728.4979999997</v>
          </cell>
          <cell r="H1875">
            <v>4.548</v>
          </cell>
          <cell r="I1875">
            <v>0</v>
          </cell>
          <cell r="J1875">
            <v>4.548</v>
          </cell>
          <cell r="K1875">
            <v>-1.0999999999999999E-2</v>
          </cell>
        </row>
        <row r="1876">
          <cell r="A1876" t="str">
            <v>LU1883339746</v>
          </cell>
          <cell r="B1876" t="str">
            <v>AMUNDI FUNDS OPTIMAL YIELD SHORT TERM</v>
          </cell>
          <cell r="C1876" t="str">
            <v>Class I2 EUR (C)</v>
          </cell>
          <cell r="D1876" t="str">
            <v>EUR</v>
          </cell>
          <cell r="E1876">
            <v>45747</v>
          </cell>
          <cell r="F1876">
            <v>15972785.460000001</v>
          </cell>
          <cell r="G1876">
            <v>13564.599</v>
          </cell>
          <cell r="H1876">
            <v>1177.53</v>
          </cell>
          <cell r="I1876">
            <v>0</v>
          </cell>
          <cell r="J1876">
            <v>1177.53</v>
          </cell>
          <cell r="K1876">
            <v>-2.63</v>
          </cell>
        </row>
        <row r="1877">
          <cell r="A1877" t="str">
            <v>LU1894680245</v>
          </cell>
          <cell r="B1877" t="str">
            <v>AMUNDI FUNDS OPTIMAL YIELD SHORT TERM</v>
          </cell>
          <cell r="C1877" t="str">
            <v>Class G EUR AD (D)</v>
          </cell>
          <cell r="D1877" t="str">
            <v>EUR</v>
          </cell>
          <cell r="E1877">
            <v>45747</v>
          </cell>
          <cell r="F1877">
            <v>2857780.33</v>
          </cell>
          <cell r="G1877">
            <v>642140.06299999997</v>
          </cell>
          <cell r="H1877">
            <v>4.45</v>
          </cell>
          <cell r="I1877">
            <v>0</v>
          </cell>
          <cell r="J1877">
            <v>4.45</v>
          </cell>
          <cell r="K1877">
            <v>-1.0999999999999999E-2</v>
          </cell>
        </row>
        <row r="1878">
          <cell r="A1878" t="str">
            <v>LU1894680161</v>
          </cell>
          <cell r="B1878" t="str">
            <v>AMUNDI FUNDS OPTIMAL YIELD SHORT TERM</v>
          </cell>
          <cell r="C1878" t="str">
            <v>Class G EUR (C)</v>
          </cell>
          <cell r="D1878" t="str">
            <v>EUR</v>
          </cell>
          <cell r="E1878">
            <v>45747</v>
          </cell>
          <cell r="F1878">
            <v>10317144.689999999</v>
          </cell>
          <cell r="G1878">
            <v>1876113.4550000001</v>
          </cell>
          <cell r="H1878">
            <v>5.4989999999999997</v>
          </cell>
          <cell r="I1878">
            <v>0</v>
          </cell>
          <cell r="J1878">
            <v>5.4989999999999997</v>
          </cell>
          <cell r="K1878">
            <v>-1.2999999999999999E-2</v>
          </cell>
        </row>
        <row r="1879">
          <cell r="A1879" t="str">
            <v>LU1883340165</v>
          </cell>
          <cell r="B1879" t="str">
            <v>AMUNDI FUNDS OPTIMAL YIELD SHORT TERM</v>
          </cell>
          <cell r="C1879" t="str">
            <v>Class R2 EUR (C)</v>
          </cell>
          <cell r="D1879" t="str">
            <v>EUR</v>
          </cell>
          <cell r="E1879">
            <v>45747</v>
          </cell>
          <cell r="F1879">
            <v>5639.37</v>
          </cell>
          <cell r="G1879">
            <v>100.54600000000001</v>
          </cell>
          <cell r="H1879">
            <v>56.09</v>
          </cell>
          <cell r="I1879">
            <v>0</v>
          </cell>
          <cell r="J1879">
            <v>56.09</v>
          </cell>
          <cell r="K1879">
            <v>-0.12</v>
          </cell>
        </row>
        <row r="1880">
          <cell r="A1880" t="str">
            <v>LU1882475046</v>
          </cell>
          <cell r="B1880" t="str">
            <v>AMUNDI FUNDS EURO MULTI-ASSET TARGET INCOME</v>
          </cell>
          <cell r="C1880" t="str">
            <v>Class A2 CZK Hgd (C)</v>
          </cell>
          <cell r="D1880" t="str">
            <v>CZK</v>
          </cell>
          <cell r="E1880">
            <v>45747</v>
          </cell>
          <cell r="F1880">
            <v>16011035.039999999</v>
          </cell>
          <cell r="G1880">
            <v>12256.742</v>
          </cell>
          <cell r="H1880">
            <v>1306.3</v>
          </cell>
          <cell r="I1880">
            <v>0</v>
          </cell>
          <cell r="J1880">
            <v>1306.3</v>
          </cell>
          <cell r="K1880">
            <v>-4.72</v>
          </cell>
        </row>
        <row r="1881">
          <cell r="A1881" t="str">
            <v>LU1882475129</v>
          </cell>
          <cell r="B1881" t="str">
            <v>AMUNDI FUNDS EURO MULTI-ASSET TARGET INCOME</v>
          </cell>
          <cell r="C1881" t="str">
            <v>Class A2 CZK Hgd QTI (D)</v>
          </cell>
          <cell r="D1881" t="str">
            <v>CZK</v>
          </cell>
          <cell r="E1881">
            <v>45747</v>
          </cell>
          <cell r="F1881">
            <v>54860822.270000003</v>
          </cell>
          <cell r="G1881">
            <v>52232.171999999999</v>
          </cell>
          <cell r="H1881">
            <v>1050.33</v>
          </cell>
          <cell r="I1881">
            <v>0</v>
          </cell>
          <cell r="J1881">
            <v>1050.33</v>
          </cell>
          <cell r="K1881">
            <v>-3.79</v>
          </cell>
        </row>
        <row r="1882">
          <cell r="A1882" t="str">
            <v>LU1882475392</v>
          </cell>
          <cell r="B1882" t="str">
            <v>AMUNDI FUNDS EURO MULTI-ASSET TARGET INCOME</v>
          </cell>
          <cell r="C1882" t="str">
            <v>Class A2 EUR (C)</v>
          </cell>
          <cell r="D1882" t="str">
            <v>EUR</v>
          </cell>
          <cell r="E1882">
            <v>45747</v>
          </cell>
          <cell r="F1882">
            <v>3011947.94</v>
          </cell>
          <cell r="G1882">
            <v>53252.368000000002</v>
          </cell>
          <cell r="H1882">
            <v>56.56</v>
          </cell>
          <cell r="I1882">
            <v>0</v>
          </cell>
          <cell r="J1882">
            <v>56.56</v>
          </cell>
          <cell r="K1882">
            <v>-0.2</v>
          </cell>
        </row>
        <row r="1883">
          <cell r="A1883" t="str">
            <v>LU1882475558</v>
          </cell>
          <cell r="B1883" t="str">
            <v>AMUNDI FUNDS EURO MULTI-ASSET TARGET INCOME</v>
          </cell>
          <cell r="C1883" t="str">
            <v>Class E2 EUR QTI (D)</v>
          </cell>
          <cell r="D1883" t="str">
            <v>EUR</v>
          </cell>
          <cell r="E1883">
            <v>45747</v>
          </cell>
          <cell r="F1883">
            <v>63890169.509999998</v>
          </cell>
          <cell r="G1883">
            <v>14722552.801000001</v>
          </cell>
          <cell r="H1883">
            <v>4.34</v>
          </cell>
          <cell r="I1883">
            <v>0</v>
          </cell>
          <cell r="J1883">
            <v>4.34</v>
          </cell>
          <cell r="K1883">
            <v>-1.4999999999999999E-2</v>
          </cell>
        </row>
        <row r="1884">
          <cell r="A1884" t="str">
            <v>LU1882475715</v>
          </cell>
          <cell r="B1884" t="str">
            <v>AMUNDI FUNDS EURO MULTI-ASSET TARGET INCOME</v>
          </cell>
          <cell r="C1884" t="str">
            <v>Class M2 EUR QTI (D)</v>
          </cell>
          <cell r="D1884" t="str">
            <v>EUR</v>
          </cell>
          <cell r="E1884">
            <v>45747</v>
          </cell>
          <cell r="F1884">
            <v>9876325.6500000004</v>
          </cell>
          <cell r="G1884">
            <v>10651.282999999999</v>
          </cell>
          <cell r="H1884">
            <v>927.24</v>
          </cell>
          <cell r="I1884">
            <v>0</v>
          </cell>
          <cell r="J1884">
            <v>927.24</v>
          </cell>
          <cell r="K1884">
            <v>-3.29</v>
          </cell>
        </row>
        <row r="1885">
          <cell r="A1885" t="str">
            <v>LU1882475632</v>
          </cell>
          <cell r="B1885" t="str">
            <v>AMUNDI FUNDS EURO MULTI-ASSET TARGET INCOME</v>
          </cell>
          <cell r="C1885" t="str">
            <v>Class G2 EUR QTI (D)</v>
          </cell>
          <cell r="D1885" t="str">
            <v>EUR</v>
          </cell>
          <cell r="E1885">
            <v>45747</v>
          </cell>
          <cell r="F1885">
            <v>90717677.790000007</v>
          </cell>
          <cell r="G1885">
            <v>21247641.629999999</v>
          </cell>
          <cell r="H1885">
            <v>4.2699999999999996</v>
          </cell>
          <cell r="I1885">
            <v>0</v>
          </cell>
          <cell r="J1885">
            <v>4.2699999999999996</v>
          </cell>
          <cell r="K1885">
            <v>-1.4999999999999999E-2</v>
          </cell>
        </row>
        <row r="1886">
          <cell r="A1886" t="str">
            <v>LU2490078461</v>
          </cell>
          <cell r="B1886" t="str">
            <v>AMUNDI FUNDS EURO MULTI-ASSET TARGET INCOME</v>
          </cell>
          <cell r="C1886" t="str">
            <v>Class M2 EUR (C)</v>
          </cell>
          <cell r="D1886" t="str">
            <v>EUR</v>
          </cell>
          <cell r="E1886">
            <v>45747</v>
          </cell>
          <cell r="F1886">
            <v>5544.03</v>
          </cell>
          <cell r="G1886">
            <v>5</v>
          </cell>
          <cell r="H1886">
            <v>1108.81</v>
          </cell>
          <cell r="I1886">
            <v>0</v>
          </cell>
          <cell r="J1886">
            <v>1108.81</v>
          </cell>
          <cell r="K1886">
            <v>-3.93</v>
          </cell>
        </row>
        <row r="1887">
          <cell r="A1887" t="str">
            <v>LU1882475475</v>
          </cell>
          <cell r="B1887" t="str">
            <v>AMUNDI FUNDS EURO MULTI-ASSET TARGET INCOME</v>
          </cell>
          <cell r="C1887" t="str">
            <v>Class A2 EUR QTI (D)</v>
          </cell>
          <cell r="D1887" t="str">
            <v>EUR</v>
          </cell>
          <cell r="E1887">
            <v>45747</v>
          </cell>
          <cell r="F1887">
            <v>1392562.52</v>
          </cell>
          <cell r="G1887">
            <v>30691.416000000001</v>
          </cell>
          <cell r="H1887">
            <v>45.37</v>
          </cell>
          <cell r="I1887">
            <v>0</v>
          </cell>
          <cell r="J1887">
            <v>45.37</v>
          </cell>
          <cell r="K1887">
            <v>-0.17</v>
          </cell>
        </row>
        <row r="1888">
          <cell r="A1888" t="str">
            <v>LU1894677027</v>
          </cell>
          <cell r="B1888" t="str">
            <v>AMUNDI FUNDS ABSOLUTE RETURN GL OPPORTUNITIES BOND</v>
          </cell>
          <cell r="C1888" t="str">
            <v>Class A EUR (C)</v>
          </cell>
          <cell r="D1888" t="str">
            <v>EUR</v>
          </cell>
          <cell r="E1888">
            <v>45747</v>
          </cell>
          <cell r="F1888">
            <v>34656664.469999999</v>
          </cell>
          <cell r="G1888">
            <v>734382.73800000001</v>
          </cell>
          <cell r="H1888">
            <v>47.19</v>
          </cell>
          <cell r="I1888">
            <v>0</v>
          </cell>
          <cell r="J1888">
            <v>49.31</v>
          </cell>
          <cell r="K1888">
            <v>-0.09</v>
          </cell>
        </row>
        <row r="1889">
          <cell r="A1889" t="str">
            <v>LU1894677373</v>
          </cell>
          <cell r="B1889" t="str">
            <v>AMUNDI FUNDS ABSOLUTE RETURN GL OPPORTUNITIES BOND</v>
          </cell>
          <cell r="C1889" t="str">
            <v>Class A CZK Hgd (C)</v>
          </cell>
          <cell r="D1889" t="str">
            <v>CZK</v>
          </cell>
          <cell r="E1889">
            <v>45747</v>
          </cell>
          <cell r="F1889">
            <v>18397179.690000001</v>
          </cell>
          <cell r="G1889">
            <v>16295.302</v>
          </cell>
          <cell r="H1889">
            <v>1128.99</v>
          </cell>
          <cell r="I1889">
            <v>0</v>
          </cell>
          <cell r="J1889">
            <v>1128.99</v>
          </cell>
          <cell r="K1889">
            <v>-1.97</v>
          </cell>
        </row>
        <row r="1890">
          <cell r="A1890" t="str">
            <v>LU1894677290</v>
          </cell>
          <cell r="B1890" t="str">
            <v>AMUNDI FUNDS ABSOLUTE RETURN GL OPPORTUNITIES BOND</v>
          </cell>
          <cell r="C1890" t="str">
            <v>Class A USD (C)</v>
          </cell>
          <cell r="D1890" t="str">
            <v>USD</v>
          </cell>
          <cell r="E1890">
            <v>45747</v>
          </cell>
          <cell r="F1890">
            <v>247355.69</v>
          </cell>
          <cell r="G1890">
            <v>4853.1670000000004</v>
          </cell>
          <cell r="H1890">
            <v>50.97</v>
          </cell>
          <cell r="I1890">
            <v>0</v>
          </cell>
          <cell r="J1890">
            <v>50.97</v>
          </cell>
          <cell r="K1890">
            <v>-0.19</v>
          </cell>
        </row>
        <row r="1891">
          <cell r="A1891" t="str">
            <v>LU1894678694</v>
          </cell>
          <cell r="B1891" t="str">
            <v>AMUNDI FUNDS ABSOLUTE RETURN GL OPPORTUNITIES BOND</v>
          </cell>
          <cell r="C1891" t="str">
            <v>Class M2 EUR (C)</v>
          </cell>
          <cell r="D1891" t="str">
            <v>EUR</v>
          </cell>
          <cell r="E1891">
            <v>45747</v>
          </cell>
          <cell r="F1891">
            <v>7629247.6399999997</v>
          </cell>
          <cell r="G1891">
            <v>7729.866</v>
          </cell>
          <cell r="H1891">
            <v>986.98</v>
          </cell>
          <cell r="I1891">
            <v>0</v>
          </cell>
          <cell r="J1891">
            <v>986.98</v>
          </cell>
          <cell r="K1891">
            <v>-1.72</v>
          </cell>
        </row>
        <row r="1892">
          <cell r="A1892" t="str">
            <v>LU1894677613</v>
          </cell>
          <cell r="B1892" t="str">
            <v>AMUNDI FUNDS ABSOLUTE RETURN GL OPPORTUNITIES BOND</v>
          </cell>
          <cell r="C1892" t="str">
            <v>Class C EUR (C)</v>
          </cell>
          <cell r="D1892" t="str">
            <v>EUR</v>
          </cell>
          <cell r="E1892">
            <v>45747</v>
          </cell>
          <cell r="F1892">
            <v>124131.12</v>
          </cell>
          <cell r="G1892">
            <v>2681.873</v>
          </cell>
          <cell r="H1892">
            <v>46.29</v>
          </cell>
          <cell r="I1892">
            <v>0</v>
          </cell>
          <cell r="J1892">
            <v>46.29</v>
          </cell>
          <cell r="K1892">
            <v>-0.08</v>
          </cell>
        </row>
        <row r="1893">
          <cell r="A1893" t="str">
            <v>LU1894677704</v>
          </cell>
          <cell r="B1893" t="str">
            <v>AMUNDI FUNDS ABSOLUTE RETURN GL OPPORTUNITIES BOND</v>
          </cell>
          <cell r="C1893" t="str">
            <v>Class C EUR MTD (D)</v>
          </cell>
          <cell r="D1893" t="str">
            <v>EUR</v>
          </cell>
          <cell r="E1893">
            <v>45747</v>
          </cell>
          <cell r="F1893">
            <v>4467.76</v>
          </cell>
          <cell r="G1893">
            <v>98.704999999999998</v>
          </cell>
          <cell r="H1893">
            <v>45.26</v>
          </cell>
          <cell r="I1893">
            <v>0</v>
          </cell>
          <cell r="J1893">
            <v>45.26</v>
          </cell>
          <cell r="K1893">
            <v>-0.09</v>
          </cell>
        </row>
        <row r="1894">
          <cell r="A1894" t="str">
            <v>LU1894677886</v>
          </cell>
          <cell r="B1894" t="str">
            <v>AMUNDI FUNDS ABSOLUTE RETURN GL OPPORTUNITIES BOND</v>
          </cell>
          <cell r="C1894" t="str">
            <v>Class C USD (C)</v>
          </cell>
          <cell r="D1894" t="str">
            <v>USD</v>
          </cell>
          <cell r="E1894">
            <v>45747</v>
          </cell>
          <cell r="F1894">
            <v>151565.88</v>
          </cell>
          <cell r="G1894">
            <v>3031.029</v>
          </cell>
          <cell r="H1894">
            <v>50</v>
          </cell>
          <cell r="I1894">
            <v>0</v>
          </cell>
          <cell r="J1894">
            <v>50</v>
          </cell>
          <cell r="K1894">
            <v>-0.19</v>
          </cell>
        </row>
        <row r="1895">
          <cell r="A1895" t="str">
            <v>LU1894678009</v>
          </cell>
          <cell r="B1895" t="str">
            <v>AMUNDI FUNDS ABSOLUTE RETURN GL OPPORTUNITIES BOND</v>
          </cell>
          <cell r="C1895" t="str">
            <v>Class E2 EUR (C)</v>
          </cell>
          <cell r="D1895" t="str">
            <v>EUR</v>
          </cell>
          <cell r="E1895">
            <v>45747</v>
          </cell>
          <cell r="F1895">
            <v>24138358.079999998</v>
          </cell>
          <cell r="G1895">
            <v>5092017.1509999996</v>
          </cell>
          <cell r="H1895">
            <v>4.74</v>
          </cell>
          <cell r="I1895">
            <v>0</v>
          </cell>
          <cell r="J1895">
            <v>4.74</v>
          </cell>
          <cell r="K1895">
            <v>-8.9999999999999993E-3</v>
          </cell>
        </row>
        <row r="1896">
          <cell r="A1896" t="str">
            <v>LU1894678181</v>
          </cell>
          <cell r="B1896" t="str">
            <v>AMUNDI FUNDS ABSOLUTE RETURN GL OPPORTUNITIES BOND</v>
          </cell>
          <cell r="C1896" t="str">
            <v>Class F EUR (C)</v>
          </cell>
          <cell r="D1896" t="str">
            <v>EUR</v>
          </cell>
          <cell r="E1896">
            <v>45747</v>
          </cell>
          <cell r="F1896">
            <v>10578214.279999999</v>
          </cell>
          <cell r="G1896">
            <v>2250827.125</v>
          </cell>
          <cell r="H1896">
            <v>4.7</v>
          </cell>
          <cell r="I1896">
            <v>0</v>
          </cell>
          <cell r="J1896">
            <v>4.7</v>
          </cell>
          <cell r="K1896">
            <v>-8.0000000000000002E-3</v>
          </cell>
        </row>
        <row r="1897">
          <cell r="A1897" t="str">
            <v>LU1998914995</v>
          </cell>
          <cell r="B1897" t="str">
            <v>AMUNDI FUNDS ABSOLUTE RETURN GL OPPORTUNITIES BOND</v>
          </cell>
          <cell r="C1897" t="str">
            <v>Class H EUR (C)</v>
          </cell>
          <cell r="D1897" t="str">
            <v>EUR</v>
          </cell>
          <cell r="E1897">
            <v>45747</v>
          </cell>
          <cell r="F1897">
            <v>93800758.540000007</v>
          </cell>
          <cell r="G1897">
            <v>91600</v>
          </cell>
          <cell r="H1897">
            <v>1024.03</v>
          </cell>
          <cell r="I1897">
            <v>0</v>
          </cell>
          <cell r="J1897">
            <v>1024.03</v>
          </cell>
          <cell r="K1897">
            <v>-1.74</v>
          </cell>
        </row>
        <row r="1898">
          <cell r="A1898" t="str">
            <v>LU2339089752</v>
          </cell>
          <cell r="B1898" t="str">
            <v>AMUNDI FUNDS ABSOLUTE RETURN GL OPPORTUNITIES BOND</v>
          </cell>
          <cell r="C1898" t="str">
            <v>Class I2 EUR (C)</v>
          </cell>
          <cell r="D1898" t="str">
            <v>EUR</v>
          </cell>
          <cell r="E1898">
            <v>45747</v>
          </cell>
          <cell r="F1898">
            <v>4762.9399999999996</v>
          </cell>
          <cell r="G1898">
            <v>5</v>
          </cell>
          <cell r="H1898">
            <v>952.59</v>
          </cell>
          <cell r="I1898">
            <v>0</v>
          </cell>
          <cell r="J1898">
            <v>952.59</v>
          </cell>
          <cell r="K1898">
            <v>-1.65</v>
          </cell>
        </row>
        <row r="1899">
          <cell r="A1899" t="str">
            <v>LU1894678264</v>
          </cell>
          <cell r="B1899" t="str">
            <v>AMUNDI FUNDS ABSOLUTE RETURN GL OPPORTUNITIES BOND</v>
          </cell>
          <cell r="C1899" t="str">
            <v>Class G EUR (C)</v>
          </cell>
          <cell r="D1899" t="str">
            <v>EUR</v>
          </cell>
          <cell r="E1899">
            <v>45747</v>
          </cell>
          <cell r="F1899">
            <v>2459278.5</v>
          </cell>
          <cell r="G1899">
            <v>513573.96</v>
          </cell>
          <cell r="H1899">
            <v>4.7889999999999997</v>
          </cell>
          <cell r="I1899">
            <v>0</v>
          </cell>
          <cell r="J1899">
            <v>4.7889999999999997</v>
          </cell>
          <cell r="K1899">
            <v>-8.0000000000000002E-3</v>
          </cell>
        </row>
        <row r="1900">
          <cell r="A1900" t="str">
            <v>LU2498475859</v>
          </cell>
          <cell r="B1900" t="str">
            <v>AMUNDI FUNDS ABSOLUTE RETURN GL OPPORTUNITIES BOND</v>
          </cell>
          <cell r="C1900" t="str">
            <v>Class OR EUR (C)</v>
          </cell>
          <cell r="D1900" t="str">
            <v>EUR</v>
          </cell>
          <cell r="E1900">
            <v>45747</v>
          </cell>
          <cell r="F1900">
            <v>5149.8599999999997</v>
          </cell>
          <cell r="G1900">
            <v>5</v>
          </cell>
          <cell r="H1900">
            <v>1029.97</v>
          </cell>
          <cell r="I1900">
            <v>0</v>
          </cell>
          <cell r="J1900">
            <v>1029.97</v>
          </cell>
          <cell r="K1900">
            <v>-1.75</v>
          </cell>
        </row>
        <row r="1901">
          <cell r="A1901" t="str">
            <v>LU1837134698</v>
          </cell>
          <cell r="B1901" t="str">
            <v>AMUNDI FUNDS ABSOLUTE RETURN GL OPPORTUNITIES BOND</v>
          </cell>
          <cell r="C1901" t="str">
            <v>Class R EUR (C)</v>
          </cell>
          <cell r="D1901" t="str">
            <v>EUR</v>
          </cell>
          <cell r="E1901">
            <v>45747</v>
          </cell>
          <cell r="F1901">
            <v>386924.25</v>
          </cell>
          <cell r="G1901">
            <v>7692.4040000000005</v>
          </cell>
          <cell r="H1901">
            <v>50.3</v>
          </cell>
          <cell r="I1901">
            <v>0</v>
          </cell>
          <cell r="J1901">
            <v>50.3</v>
          </cell>
          <cell r="K1901">
            <v>-0.09</v>
          </cell>
        </row>
        <row r="1902">
          <cell r="A1902" t="str">
            <v>LU1894678348</v>
          </cell>
          <cell r="B1902" t="str">
            <v>AMUNDI FUNDS ABSOLUTE RETURN GL OPPORTUNITIES BOND</v>
          </cell>
          <cell r="C1902" t="str">
            <v>Class I EUR (C)</v>
          </cell>
          <cell r="D1902" t="str">
            <v>EUR</v>
          </cell>
          <cell r="E1902">
            <v>45747</v>
          </cell>
          <cell r="F1902">
            <v>1071270.72</v>
          </cell>
          <cell r="G1902">
            <v>1089.163</v>
          </cell>
          <cell r="H1902">
            <v>983.57</v>
          </cell>
          <cell r="I1902">
            <v>0</v>
          </cell>
          <cell r="J1902">
            <v>983.57</v>
          </cell>
          <cell r="K1902">
            <v>-1.7</v>
          </cell>
        </row>
        <row r="1903">
          <cell r="A1903" t="str">
            <v>LU2040440237</v>
          </cell>
          <cell r="B1903" t="str">
            <v>AMUNDI FUNDS ABSOLUTE RETURN GL OPPORTUNITIES BOND</v>
          </cell>
          <cell r="C1903" t="str">
            <v>Class Z EUR (C)</v>
          </cell>
          <cell r="D1903" t="str">
            <v>EUR</v>
          </cell>
          <cell r="E1903">
            <v>45747</v>
          </cell>
          <cell r="F1903">
            <v>5101.66</v>
          </cell>
          <cell r="G1903">
            <v>5</v>
          </cell>
          <cell r="H1903">
            <v>1020.33</v>
          </cell>
          <cell r="I1903">
            <v>0</v>
          </cell>
          <cell r="J1903">
            <v>1020.33</v>
          </cell>
          <cell r="K1903">
            <v>-1.76</v>
          </cell>
        </row>
        <row r="1904">
          <cell r="A1904" t="str">
            <v>LU1883848118</v>
          </cell>
          <cell r="B1904" t="str">
            <v>AMUNDI FUNDS US EQUITY DIVIDEND GROWTH</v>
          </cell>
          <cell r="C1904" t="str">
            <v>Class A USD (C)</v>
          </cell>
          <cell r="D1904" t="str">
            <v>USD</v>
          </cell>
          <cell r="E1904">
            <v>45747</v>
          </cell>
          <cell r="F1904">
            <v>330635784.63</v>
          </cell>
          <cell r="G1904">
            <v>4582765.7139999997</v>
          </cell>
          <cell r="H1904">
            <v>72.150000000000006</v>
          </cell>
          <cell r="I1904">
            <v>0</v>
          </cell>
          <cell r="J1904">
            <v>75.400000000000006</v>
          </cell>
          <cell r="K1904">
            <v>0.81</v>
          </cell>
        </row>
        <row r="1905">
          <cell r="A1905" t="str">
            <v>LU1883848548</v>
          </cell>
          <cell r="B1905" t="str">
            <v>AMUNDI FUNDS US EQUITY DIVIDEND GROWTH</v>
          </cell>
          <cell r="C1905" t="str">
            <v>Class M2 USD (C)</v>
          </cell>
          <cell r="D1905" t="str">
            <v>USD</v>
          </cell>
          <cell r="E1905">
            <v>45747</v>
          </cell>
          <cell r="F1905">
            <v>7673.82</v>
          </cell>
          <cell r="G1905">
            <v>5</v>
          </cell>
          <cell r="H1905">
            <v>1534.76</v>
          </cell>
          <cell r="I1905">
            <v>0</v>
          </cell>
          <cell r="J1905">
            <v>1534.76</v>
          </cell>
          <cell r="K1905">
            <v>17.36</v>
          </cell>
        </row>
        <row r="1906">
          <cell r="A1906" t="str">
            <v>LU1883848464</v>
          </cell>
          <cell r="B1906" t="str">
            <v>AMUNDI FUNDS US EQUITY DIVIDEND GROWTH</v>
          </cell>
          <cell r="C1906" t="str">
            <v>Class I2 USD (C)</v>
          </cell>
          <cell r="D1906" t="str">
            <v>USD</v>
          </cell>
          <cell r="E1906">
            <v>45747</v>
          </cell>
          <cell r="F1906">
            <v>855438.46</v>
          </cell>
          <cell r="G1906">
            <v>843.66600000000005</v>
          </cell>
          <cell r="H1906">
            <v>1013.95</v>
          </cell>
          <cell r="I1906">
            <v>0</v>
          </cell>
          <cell r="J1906">
            <v>1013.95</v>
          </cell>
          <cell r="K1906">
            <v>11.47</v>
          </cell>
        </row>
        <row r="1907">
          <cell r="A1907" t="str">
            <v>LU1883848621</v>
          </cell>
          <cell r="B1907" t="str">
            <v>AMUNDI FUNDS US EQUITY DIVIDEND GROWTH</v>
          </cell>
          <cell r="C1907" t="str">
            <v>Class P2 USD (C)</v>
          </cell>
          <cell r="D1907" t="str">
            <v>USD</v>
          </cell>
          <cell r="E1907">
            <v>45747</v>
          </cell>
          <cell r="F1907">
            <v>542672.51</v>
          </cell>
          <cell r="G1907">
            <v>7339.8140000000003</v>
          </cell>
          <cell r="H1907">
            <v>73.94</v>
          </cell>
          <cell r="I1907">
            <v>0</v>
          </cell>
          <cell r="J1907">
            <v>73.94</v>
          </cell>
          <cell r="K1907">
            <v>0.84</v>
          </cell>
        </row>
        <row r="1908">
          <cell r="A1908" t="str">
            <v>LU2585852911</v>
          </cell>
          <cell r="B1908" t="str">
            <v>AMUNDI FUNDS INCOME OPPORTUNITIES</v>
          </cell>
          <cell r="C1908" t="str">
            <v>Class A2 USD MTD3 (D)</v>
          </cell>
          <cell r="D1908" t="str">
            <v>USD</v>
          </cell>
          <cell r="E1908">
            <v>45747</v>
          </cell>
          <cell r="F1908">
            <v>4611223.28</v>
          </cell>
          <cell r="G1908">
            <v>89168.417000000001</v>
          </cell>
          <cell r="H1908">
            <v>51.71</v>
          </cell>
          <cell r="I1908">
            <v>0</v>
          </cell>
          <cell r="J1908">
            <v>51.71</v>
          </cell>
          <cell r="K1908">
            <v>-0.17</v>
          </cell>
        </row>
        <row r="1909">
          <cell r="A1909" t="str">
            <v>LU2574252313</v>
          </cell>
          <cell r="B1909" t="str">
            <v>AMUNDI FUNDS INCOME OPPORTUNITIES</v>
          </cell>
          <cell r="C1909" t="str">
            <v>Class A2 USD MD (D)</v>
          </cell>
          <cell r="D1909" t="str">
            <v>USD</v>
          </cell>
          <cell r="E1909">
            <v>45747</v>
          </cell>
          <cell r="F1909">
            <v>5086307.6500000004</v>
          </cell>
          <cell r="G1909">
            <v>98890.675000000003</v>
          </cell>
          <cell r="H1909">
            <v>51.43</v>
          </cell>
          <cell r="I1909">
            <v>0.18273400000000001</v>
          </cell>
          <cell r="J1909">
            <v>51.43</v>
          </cell>
          <cell r="K1909">
            <v>-0.35</v>
          </cell>
        </row>
        <row r="1910">
          <cell r="A1910" t="str">
            <v>LU2585853133</v>
          </cell>
          <cell r="B1910" t="str">
            <v>AMUNDI FUNDS INCOME OPPORTUNITIES</v>
          </cell>
          <cell r="C1910" t="str">
            <v>Class A2 HKD MTD3 (D)</v>
          </cell>
          <cell r="D1910" t="str">
            <v>HKD</v>
          </cell>
          <cell r="E1910">
            <v>45747</v>
          </cell>
          <cell r="F1910">
            <v>53000998.420000002</v>
          </cell>
          <cell r="G1910">
            <v>1028527.699</v>
          </cell>
          <cell r="H1910">
            <v>51.53</v>
          </cell>
          <cell r="I1910">
            <v>0</v>
          </cell>
          <cell r="J1910">
            <v>51.53</v>
          </cell>
          <cell r="K1910">
            <v>-0.15</v>
          </cell>
        </row>
        <row r="1911">
          <cell r="A1911" t="str">
            <v>LU2585853307</v>
          </cell>
          <cell r="B1911" t="str">
            <v>AMUNDI FUNDS INCOME OPPORTUNITIES</v>
          </cell>
          <cell r="C1911" t="str">
            <v>Class A2 RMB Hgd-MTD3 (D)</v>
          </cell>
          <cell r="D1911" t="str">
            <v>CNH</v>
          </cell>
          <cell r="E1911">
            <v>45747</v>
          </cell>
          <cell r="F1911">
            <v>21414740.420000002</v>
          </cell>
          <cell r="G1911">
            <v>416216.61099999998</v>
          </cell>
          <cell r="H1911">
            <v>51.45</v>
          </cell>
          <cell r="I1911">
            <v>0</v>
          </cell>
          <cell r="J1911">
            <v>51.45</v>
          </cell>
          <cell r="K1911">
            <v>-0.17</v>
          </cell>
        </row>
        <row r="1912">
          <cell r="A1912" t="str">
            <v>LU1894680831</v>
          </cell>
          <cell r="B1912" t="str">
            <v>AMUNDI FUNDS INCOME OPPORTUNITIES</v>
          </cell>
          <cell r="C1912" t="str">
            <v>Class A2 EUR Hgd (C)</v>
          </cell>
          <cell r="D1912" t="str">
            <v>EUR</v>
          </cell>
          <cell r="E1912">
            <v>45747</v>
          </cell>
          <cell r="F1912">
            <v>144427.09</v>
          </cell>
          <cell r="G1912">
            <v>2350.2199999999998</v>
          </cell>
          <cell r="H1912">
            <v>61.45</v>
          </cell>
          <cell r="I1912">
            <v>0</v>
          </cell>
          <cell r="J1912">
            <v>64.22</v>
          </cell>
          <cell r="K1912">
            <v>-0.2</v>
          </cell>
        </row>
        <row r="1913">
          <cell r="A1913" t="str">
            <v>LU2585853059</v>
          </cell>
          <cell r="B1913" t="str">
            <v>AMUNDI FUNDS INCOME OPPORTUNITIES</v>
          </cell>
          <cell r="C1913" t="str">
            <v>Class A2 AUD Hgd-MTD3 (D)</v>
          </cell>
          <cell r="D1913" t="str">
            <v>AUD</v>
          </cell>
          <cell r="E1913">
            <v>45747</v>
          </cell>
          <cell r="F1913">
            <v>1887055.74</v>
          </cell>
          <cell r="G1913">
            <v>36699.260999999999</v>
          </cell>
          <cell r="H1913">
            <v>51.42</v>
          </cell>
          <cell r="I1913">
            <v>0</v>
          </cell>
          <cell r="J1913">
            <v>51.42</v>
          </cell>
          <cell r="K1913">
            <v>-0.17</v>
          </cell>
        </row>
        <row r="1914">
          <cell r="A1914" t="str">
            <v>LU1894681219</v>
          </cell>
          <cell r="B1914" t="str">
            <v>AMUNDI FUNDS INCOME OPPORTUNITIES</v>
          </cell>
          <cell r="C1914" t="str">
            <v>Class A2 USD QTD (D)</v>
          </cell>
          <cell r="D1914" t="str">
            <v>USD</v>
          </cell>
          <cell r="E1914">
            <v>45747</v>
          </cell>
          <cell r="F1914">
            <v>746080.31</v>
          </cell>
          <cell r="G1914">
            <v>13954.924999999999</v>
          </cell>
          <cell r="H1914">
            <v>53.46</v>
          </cell>
          <cell r="I1914">
            <v>0</v>
          </cell>
          <cell r="J1914">
            <v>55.87</v>
          </cell>
          <cell r="K1914">
            <v>-0.17</v>
          </cell>
        </row>
        <row r="1915">
          <cell r="A1915" t="str">
            <v>LU2002723158</v>
          </cell>
          <cell r="B1915" t="str">
            <v>AMUNDI FUNDS INCOME OPPORTUNITIES</v>
          </cell>
          <cell r="C1915" t="str">
            <v>Class M2 EUR ( C )</v>
          </cell>
          <cell r="D1915" t="str">
            <v>EUR</v>
          </cell>
          <cell r="E1915">
            <v>45747</v>
          </cell>
          <cell r="F1915">
            <v>106048319.06999999</v>
          </cell>
          <cell r="G1915">
            <v>69891.887000000002</v>
          </cell>
          <cell r="H1915">
            <v>1517.32</v>
          </cell>
          <cell r="I1915">
            <v>0</v>
          </cell>
          <cell r="J1915">
            <v>1517.32</v>
          </cell>
          <cell r="K1915">
            <v>-1.71</v>
          </cell>
        </row>
        <row r="1916">
          <cell r="A1916" t="str">
            <v>LU1883839471</v>
          </cell>
          <cell r="B1916" t="str">
            <v>AMUNDI FUNDS INCOME OPPORTUNITIES</v>
          </cell>
          <cell r="C1916" t="str">
            <v>Class C USD (C)</v>
          </cell>
          <cell r="D1916" t="str">
            <v>USD</v>
          </cell>
          <cell r="E1916">
            <v>45747</v>
          </cell>
          <cell r="F1916">
            <v>1198906.4099999999</v>
          </cell>
          <cell r="G1916">
            <v>18542.766</v>
          </cell>
          <cell r="H1916">
            <v>64.66</v>
          </cell>
          <cell r="I1916">
            <v>0</v>
          </cell>
          <cell r="J1916">
            <v>64.66</v>
          </cell>
          <cell r="K1916">
            <v>-0.21</v>
          </cell>
        </row>
        <row r="1917">
          <cell r="A1917" t="str">
            <v>LU1894680757</v>
          </cell>
          <cell r="B1917" t="str">
            <v>AMUNDI FUNDS INCOME OPPORTUNITIES</v>
          </cell>
          <cell r="C1917" t="str">
            <v>Class A2 EUR (C)</v>
          </cell>
          <cell r="D1917" t="str">
            <v>EUR</v>
          </cell>
          <cell r="E1917">
            <v>45747</v>
          </cell>
          <cell r="F1917">
            <v>23442581.329999998</v>
          </cell>
          <cell r="G1917">
            <v>371697.29</v>
          </cell>
          <cell r="H1917">
            <v>63.07</v>
          </cell>
          <cell r="I1917">
            <v>0</v>
          </cell>
          <cell r="J1917">
            <v>65.91</v>
          </cell>
          <cell r="K1917">
            <v>-7.0000000000000007E-2</v>
          </cell>
        </row>
        <row r="1918">
          <cell r="A1918" t="str">
            <v>LU1883839554</v>
          </cell>
          <cell r="B1918" t="str">
            <v>AMUNDI FUNDS INCOME OPPORTUNITIES</v>
          </cell>
          <cell r="C1918" t="str">
            <v>Class E2 EUR (C)</v>
          </cell>
          <cell r="D1918" t="str">
            <v>EUR</v>
          </cell>
          <cell r="E1918">
            <v>45747</v>
          </cell>
          <cell r="F1918">
            <v>92157903.780000001</v>
          </cell>
          <cell r="G1918">
            <v>12419667.445</v>
          </cell>
          <cell r="H1918">
            <v>7.42</v>
          </cell>
          <cell r="I1918">
            <v>0</v>
          </cell>
          <cell r="J1918">
            <v>7.42</v>
          </cell>
          <cell r="K1918">
            <v>-8.9999999999999993E-3</v>
          </cell>
        </row>
        <row r="1919">
          <cell r="A1919" t="str">
            <v>LU1883839802</v>
          </cell>
          <cell r="B1919" t="str">
            <v>AMUNDI FUNDS INCOME OPPORTUNITIES</v>
          </cell>
          <cell r="C1919" t="str">
            <v>Class E2 EUR QTI (D)</v>
          </cell>
          <cell r="D1919" t="str">
            <v>EUR</v>
          </cell>
          <cell r="E1919">
            <v>45747</v>
          </cell>
          <cell r="F1919">
            <v>36007666.030000001</v>
          </cell>
          <cell r="G1919">
            <v>6505396.9840000002</v>
          </cell>
          <cell r="H1919">
            <v>5.5350000000000001</v>
          </cell>
          <cell r="I1919">
            <v>0</v>
          </cell>
          <cell r="J1919">
            <v>5.5350000000000001</v>
          </cell>
          <cell r="K1919">
            <v>-7.0000000000000001E-3</v>
          </cell>
        </row>
        <row r="1920">
          <cell r="A1920" t="str">
            <v>LU1894681300</v>
          </cell>
          <cell r="B1920" t="str">
            <v>AMUNDI FUNDS INCOME OPPORTUNITIES</v>
          </cell>
          <cell r="C1920" t="str">
            <v>Class E2 EUR PHgd QTI (D)</v>
          </cell>
          <cell r="D1920" t="str">
            <v>EUR</v>
          </cell>
          <cell r="E1920">
            <v>45747</v>
          </cell>
          <cell r="F1920">
            <v>57743069.039999999</v>
          </cell>
          <cell r="G1920">
            <v>10468615.875</v>
          </cell>
          <cell r="H1920">
            <v>5.516</v>
          </cell>
          <cell r="I1920">
            <v>0</v>
          </cell>
          <cell r="J1920">
            <v>5.516</v>
          </cell>
          <cell r="K1920">
            <v>-1.2999999999999999E-2</v>
          </cell>
        </row>
        <row r="1921">
          <cell r="A1921" t="str">
            <v>LU1883839638</v>
          </cell>
          <cell r="B1921" t="str">
            <v>AMUNDI FUNDS INCOME OPPORTUNITIES</v>
          </cell>
          <cell r="C1921" t="str">
            <v>Class E2 EUR Hgd (C)</v>
          </cell>
          <cell r="D1921" t="str">
            <v>EUR</v>
          </cell>
          <cell r="E1921">
            <v>45747</v>
          </cell>
          <cell r="F1921">
            <v>6683900.9500000002</v>
          </cell>
          <cell r="G1921">
            <v>1120570.0719999999</v>
          </cell>
          <cell r="H1921">
            <v>5.9649999999999999</v>
          </cell>
          <cell r="I1921">
            <v>0</v>
          </cell>
          <cell r="J1921">
            <v>5.9649999999999999</v>
          </cell>
          <cell r="K1921">
            <v>-1.9E-2</v>
          </cell>
        </row>
        <row r="1922">
          <cell r="A1922" t="str">
            <v>LU1883839711</v>
          </cell>
          <cell r="B1922" t="str">
            <v>AMUNDI FUNDS INCOME OPPORTUNITIES</v>
          </cell>
          <cell r="C1922" t="str">
            <v>Class E2 EUR Hgd QTI (D)</v>
          </cell>
          <cell r="D1922" t="str">
            <v>EUR</v>
          </cell>
          <cell r="E1922">
            <v>45747</v>
          </cell>
          <cell r="F1922">
            <v>5452152.0800000001</v>
          </cell>
          <cell r="G1922">
            <v>1093073.0730000001</v>
          </cell>
          <cell r="H1922">
            <v>4.9880000000000004</v>
          </cell>
          <cell r="I1922">
            <v>0</v>
          </cell>
          <cell r="J1922">
            <v>4.9880000000000004</v>
          </cell>
          <cell r="K1922">
            <v>-1.6E-2</v>
          </cell>
        </row>
        <row r="1923">
          <cell r="A1923" t="str">
            <v>LU3015123253</v>
          </cell>
          <cell r="B1923" t="str">
            <v>AMUNDI FUNDS INCOME OPPORTUNITIES</v>
          </cell>
          <cell r="C1923" t="str">
            <v>Class F EUR (C)</v>
          </cell>
          <cell r="D1923" t="str">
            <v>EUR</v>
          </cell>
          <cell r="E1923">
            <v>45747</v>
          </cell>
          <cell r="F1923">
            <v>4982.4799999999996</v>
          </cell>
          <cell r="G1923">
            <v>1000</v>
          </cell>
          <cell r="H1923">
            <v>4.9820000000000002</v>
          </cell>
          <cell r="I1923">
            <v>0</v>
          </cell>
          <cell r="J1923">
            <v>4.9820000000000002</v>
          </cell>
          <cell r="K1923">
            <v>-7.0000000000000001E-3</v>
          </cell>
        </row>
        <row r="1924">
          <cell r="A1924" t="str">
            <v>LU1894682027</v>
          </cell>
          <cell r="B1924" t="str">
            <v>AMUNDI FUNDS INCOME OPPORTUNITIES</v>
          </cell>
          <cell r="C1924" t="str">
            <v>Class I2 USD QTD (D)</v>
          </cell>
          <cell r="D1924" t="str">
            <v>USD</v>
          </cell>
          <cell r="E1924">
            <v>45747</v>
          </cell>
          <cell r="F1924">
            <v>1906869.62</v>
          </cell>
          <cell r="G1924">
            <v>1690.9880000000001</v>
          </cell>
          <cell r="H1924">
            <v>1127.67</v>
          </cell>
          <cell r="I1924">
            <v>0</v>
          </cell>
          <cell r="J1924">
            <v>1127.67</v>
          </cell>
          <cell r="K1924">
            <v>-3.45</v>
          </cell>
        </row>
        <row r="1925">
          <cell r="A1925" t="str">
            <v>LU1883840305</v>
          </cell>
          <cell r="B1925" t="str">
            <v>AMUNDI FUNDS INCOME OPPORTUNITIES</v>
          </cell>
          <cell r="C1925" t="str">
            <v>Class I2 USD (C)</v>
          </cell>
          <cell r="D1925" t="str">
            <v>USD</v>
          </cell>
          <cell r="E1925">
            <v>45747</v>
          </cell>
          <cell r="F1925">
            <v>160840234.21000001</v>
          </cell>
          <cell r="G1925">
            <v>109909.624</v>
          </cell>
          <cell r="H1925">
            <v>1463.39</v>
          </cell>
          <cell r="I1925">
            <v>0</v>
          </cell>
          <cell r="J1925">
            <v>1463.39</v>
          </cell>
          <cell r="K1925">
            <v>-4.4800000000000004</v>
          </cell>
        </row>
        <row r="1926">
          <cell r="A1926" t="str">
            <v>LU2110862112</v>
          </cell>
          <cell r="B1926" t="str">
            <v>AMUNDI FUNDS INCOME OPPORTUNITIES</v>
          </cell>
          <cell r="C1926" t="str">
            <v>Class I3 USD QTI (D)</v>
          </cell>
          <cell r="D1926" t="str">
            <v>USD</v>
          </cell>
          <cell r="E1926">
            <v>45747</v>
          </cell>
          <cell r="F1926">
            <v>778976139.05999994</v>
          </cell>
          <cell r="G1926">
            <v>691548.54500000004</v>
          </cell>
          <cell r="H1926">
            <v>1126.42</v>
          </cell>
          <cell r="I1926">
            <v>0</v>
          </cell>
          <cell r="J1926">
            <v>1126.42</v>
          </cell>
          <cell r="K1926">
            <v>-3.45</v>
          </cell>
        </row>
        <row r="1927">
          <cell r="A1927" t="str">
            <v>LU1894681995</v>
          </cell>
          <cell r="B1927" t="str">
            <v>AMUNDI FUNDS INCOME OPPORTUNITIES</v>
          </cell>
          <cell r="C1927" t="str">
            <v>Class I2 EUR QTD (D)</v>
          </cell>
          <cell r="D1927" t="str">
            <v>EUR</v>
          </cell>
          <cell r="E1927">
            <v>45747</v>
          </cell>
          <cell r="F1927">
            <v>5825.37</v>
          </cell>
          <cell r="G1927">
            <v>5.5279999999999996</v>
          </cell>
          <cell r="H1927">
            <v>1053.79</v>
          </cell>
          <cell r="I1927">
            <v>0</v>
          </cell>
          <cell r="J1927">
            <v>1053.79</v>
          </cell>
          <cell r="K1927">
            <v>-1.18</v>
          </cell>
        </row>
        <row r="1928">
          <cell r="A1928" t="str">
            <v>LU1894681649</v>
          </cell>
          <cell r="B1928" t="str">
            <v>AMUNDI FUNDS INCOME OPPORTUNITIES</v>
          </cell>
          <cell r="C1928" t="str">
            <v>Class I2 EUR Hgd (C)</v>
          </cell>
          <cell r="D1928" t="str">
            <v>EUR</v>
          </cell>
          <cell r="E1928">
            <v>45747</v>
          </cell>
          <cell r="F1928">
            <v>66966014.369999997</v>
          </cell>
          <cell r="G1928">
            <v>50919.625</v>
          </cell>
          <cell r="H1928">
            <v>1315.13</v>
          </cell>
          <cell r="I1928">
            <v>0</v>
          </cell>
          <cell r="J1928">
            <v>1315.13</v>
          </cell>
          <cell r="K1928">
            <v>-4.12</v>
          </cell>
        </row>
        <row r="1929">
          <cell r="A1929" t="str">
            <v>LU1894681565</v>
          </cell>
          <cell r="B1929" t="str">
            <v>AMUNDI FUNDS INCOME OPPORTUNITIES</v>
          </cell>
          <cell r="C1929" t="str">
            <v>Class I2 EUR (C)</v>
          </cell>
          <cell r="D1929" t="str">
            <v>EUR</v>
          </cell>
          <cell r="E1929">
            <v>45747</v>
          </cell>
          <cell r="F1929">
            <v>291899.31</v>
          </cell>
          <cell r="G1929">
            <v>215.489</v>
          </cell>
          <cell r="H1929">
            <v>1354.59</v>
          </cell>
          <cell r="I1929">
            <v>0</v>
          </cell>
          <cell r="J1929">
            <v>1354.59</v>
          </cell>
          <cell r="K1929">
            <v>-1.51</v>
          </cell>
        </row>
        <row r="1930">
          <cell r="A1930" t="str">
            <v>LU1883839984</v>
          </cell>
          <cell r="B1930" t="str">
            <v>AMUNDI FUNDS INCOME OPPORTUNITIES</v>
          </cell>
          <cell r="C1930" t="str">
            <v>Class G EUR (C)</v>
          </cell>
          <cell r="D1930" t="str">
            <v>EUR</v>
          </cell>
          <cell r="E1930">
            <v>45747</v>
          </cell>
          <cell r="F1930">
            <v>209354054.19999999</v>
          </cell>
          <cell r="G1930">
            <v>29261765.114999998</v>
          </cell>
          <cell r="H1930">
            <v>7.1550000000000002</v>
          </cell>
          <cell r="I1930">
            <v>0</v>
          </cell>
          <cell r="J1930">
            <v>7.1550000000000002</v>
          </cell>
          <cell r="K1930">
            <v>-3.0000000000000001E-3</v>
          </cell>
        </row>
        <row r="1931">
          <cell r="A1931" t="str">
            <v>LU1883840131</v>
          </cell>
          <cell r="B1931" t="str">
            <v>AMUNDI FUNDS INCOME OPPORTUNITIES</v>
          </cell>
          <cell r="C1931" t="str">
            <v>Class G EUR Hgd QTI (D)</v>
          </cell>
          <cell r="D1931" t="str">
            <v>EUR</v>
          </cell>
          <cell r="E1931">
            <v>45747</v>
          </cell>
          <cell r="F1931">
            <v>28584560.57</v>
          </cell>
          <cell r="G1931">
            <v>5918259.4359999998</v>
          </cell>
          <cell r="H1931">
            <v>4.83</v>
          </cell>
          <cell r="I1931">
            <v>0</v>
          </cell>
          <cell r="J1931">
            <v>4.83</v>
          </cell>
          <cell r="K1931">
            <v>-1.4999999999999999E-2</v>
          </cell>
        </row>
        <row r="1932">
          <cell r="A1932" t="str">
            <v>LU1883840214</v>
          </cell>
          <cell r="B1932" t="str">
            <v>AMUNDI FUNDS INCOME OPPORTUNITIES</v>
          </cell>
          <cell r="C1932" t="str">
            <v>Class G EUR QTI (D)</v>
          </cell>
          <cell r="D1932" t="str">
            <v>EUR</v>
          </cell>
          <cell r="E1932">
            <v>45747</v>
          </cell>
          <cell r="F1932">
            <v>149120694.06</v>
          </cell>
          <cell r="G1932">
            <v>27937548.465</v>
          </cell>
          <cell r="H1932">
            <v>5.3380000000000001</v>
          </cell>
          <cell r="I1932">
            <v>0</v>
          </cell>
          <cell r="J1932">
            <v>5.3380000000000001</v>
          </cell>
          <cell r="K1932">
            <v>-6.0000000000000001E-3</v>
          </cell>
        </row>
        <row r="1933">
          <cell r="A1933" t="str">
            <v>LU1894681482</v>
          </cell>
          <cell r="B1933" t="str">
            <v>AMUNDI FUNDS INCOME OPPORTUNITIES</v>
          </cell>
          <cell r="C1933" t="str">
            <v>Class G EUR PHgd QTI (D)</v>
          </cell>
          <cell r="D1933" t="str">
            <v>EUR</v>
          </cell>
          <cell r="E1933">
            <v>45747</v>
          </cell>
          <cell r="F1933">
            <v>180943955.41</v>
          </cell>
          <cell r="G1933">
            <v>34258609.067000002</v>
          </cell>
          <cell r="H1933">
            <v>5.282</v>
          </cell>
          <cell r="I1933">
            <v>0</v>
          </cell>
          <cell r="J1933">
            <v>5.282</v>
          </cell>
          <cell r="K1933">
            <v>-8.9999999999999993E-3</v>
          </cell>
        </row>
        <row r="1934">
          <cell r="A1934" t="str">
            <v>LU1883840057</v>
          </cell>
          <cell r="B1934" t="str">
            <v>AMUNDI FUNDS INCOME OPPORTUNITIES</v>
          </cell>
          <cell r="C1934" t="str">
            <v>Class G EUR Hgd (C)</v>
          </cell>
          <cell r="D1934" t="str">
            <v>EUR</v>
          </cell>
          <cell r="E1934">
            <v>45747</v>
          </cell>
          <cell r="F1934">
            <v>54994520.380000003</v>
          </cell>
          <cell r="G1934">
            <v>9513740.2449999992</v>
          </cell>
          <cell r="H1934">
            <v>5.7809999999999997</v>
          </cell>
          <cell r="I1934">
            <v>0</v>
          </cell>
          <cell r="J1934">
            <v>5.7809999999999997</v>
          </cell>
          <cell r="K1934">
            <v>-1.7999999999999999E-2</v>
          </cell>
        </row>
        <row r="1935">
          <cell r="A1935" t="str">
            <v>LU1894681052</v>
          </cell>
          <cell r="B1935" t="str">
            <v>AMUNDI FUNDS INCOME OPPORTUNITIES</v>
          </cell>
          <cell r="C1935" t="str">
            <v>Class A2 EUR QTD (D)</v>
          </cell>
          <cell r="D1935" t="str">
            <v>EUR</v>
          </cell>
          <cell r="E1935">
            <v>45747</v>
          </cell>
          <cell r="F1935">
            <v>4160658.51</v>
          </cell>
          <cell r="G1935">
            <v>83516.657999999996</v>
          </cell>
          <cell r="H1935">
            <v>49.82</v>
          </cell>
          <cell r="I1935">
            <v>0</v>
          </cell>
          <cell r="J1935">
            <v>52.06</v>
          </cell>
          <cell r="K1935">
            <v>-0.06</v>
          </cell>
        </row>
        <row r="1936">
          <cell r="A1936" t="str">
            <v>LU1883839398</v>
          </cell>
          <cell r="B1936" t="str">
            <v>AMUNDI FUNDS INCOME OPPORTUNITIES</v>
          </cell>
          <cell r="C1936" t="str">
            <v>Class A2 USD (C)</v>
          </cell>
          <cell r="D1936" t="str">
            <v>USD</v>
          </cell>
          <cell r="E1936">
            <v>45747</v>
          </cell>
          <cell r="F1936">
            <v>55130035.619999997</v>
          </cell>
          <cell r="G1936">
            <v>809322.79200000002</v>
          </cell>
          <cell r="H1936">
            <v>68.12</v>
          </cell>
          <cell r="I1936">
            <v>0</v>
          </cell>
          <cell r="J1936">
            <v>71.19</v>
          </cell>
          <cell r="K1936">
            <v>-0.21</v>
          </cell>
        </row>
        <row r="1937">
          <cell r="A1937" t="str">
            <v>LU1883840560</v>
          </cell>
          <cell r="B1937" t="str">
            <v>AMUNDI FUNDS INCOME OPPORTUNITIES</v>
          </cell>
          <cell r="C1937" t="str">
            <v>Class P2 USD (C)</v>
          </cell>
          <cell r="D1937" t="str">
            <v>USD</v>
          </cell>
          <cell r="E1937">
            <v>45747</v>
          </cell>
          <cell r="F1937">
            <v>1851759.03</v>
          </cell>
          <cell r="G1937">
            <v>25833.257000000001</v>
          </cell>
          <cell r="H1937">
            <v>71.680000000000007</v>
          </cell>
          <cell r="I1937">
            <v>0</v>
          </cell>
          <cell r="J1937">
            <v>71.680000000000007</v>
          </cell>
          <cell r="K1937">
            <v>-0.22</v>
          </cell>
        </row>
        <row r="1938">
          <cell r="A1938" t="str">
            <v>LU1894682290</v>
          </cell>
          <cell r="B1938" t="str">
            <v>AMUNDI FUNDS INCOME OPPORTUNITIES</v>
          </cell>
          <cell r="C1938" t="str">
            <v>Class R2 USD (C)</v>
          </cell>
          <cell r="D1938" t="str">
            <v>USD</v>
          </cell>
          <cell r="E1938">
            <v>45747</v>
          </cell>
          <cell r="F1938">
            <v>218787.18</v>
          </cell>
          <cell r="G1938">
            <v>2999.998</v>
          </cell>
          <cell r="H1938">
            <v>72.930000000000007</v>
          </cell>
          <cell r="I1938">
            <v>0</v>
          </cell>
          <cell r="J1938">
            <v>72.930000000000007</v>
          </cell>
          <cell r="K1938">
            <v>-0.22</v>
          </cell>
        </row>
        <row r="1939">
          <cell r="A1939" t="str">
            <v>LU1894681136</v>
          </cell>
          <cell r="B1939" t="str">
            <v>AMUNDI FUNDS INCOME OPPORTUNITIES</v>
          </cell>
          <cell r="C1939" t="str">
            <v>Class A2 USD MGI (D)</v>
          </cell>
          <cell r="D1939" t="str">
            <v>USD</v>
          </cell>
          <cell r="E1939">
            <v>45747</v>
          </cell>
          <cell r="F1939">
            <v>131628.54999999999</v>
          </cell>
          <cell r="G1939">
            <v>2949.75</v>
          </cell>
          <cell r="H1939">
            <v>44.62</v>
          </cell>
          <cell r="I1939">
            <v>0</v>
          </cell>
          <cell r="J1939">
            <v>46.63</v>
          </cell>
          <cell r="K1939">
            <v>-0.14000000000000001</v>
          </cell>
        </row>
        <row r="1940">
          <cell r="A1940" t="str">
            <v>LU1880407215</v>
          </cell>
          <cell r="B1940" t="str">
            <v>AMUNDI FUNDS NET ZERO AMBITI TOP EUROPEAN PLAYERS</v>
          </cell>
          <cell r="C1940" t="str">
            <v>Class A2 USD AD (D)</v>
          </cell>
          <cell r="D1940" t="str">
            <v>USD</v>
          </cell>
          <cell r="E1940">
            <v>45747</v>
          </cell>
          <cell r="F1940">
            <v>6928.75</v>
          </cell>
          <cell r="G1940">
            <v>100</v>
          </cell>
          <cell r="H1940">
            <v>69.290000000000006</v>
          </cell>
          <cell r="I1940">
            <v>0</v>
          </cell>
          <cell r="J1940">
            <v>69.290000000000006</v>
          </cell>
          <cell r="K1940">
            <v>-1.1399999999999999</v>
          </cell>
        </row>
        <row r="1941">
          <cell r="A1941" t="str">
            <v>LU1880406910</v>
          </cell>
          <cell r="B1941" t="str">
            <v>AMUNDI FUNDS NET ZERO AMBITI TOP EUROPEAN PLAYERS</v>
          </cell>
          <cell r="C1941" t="str">
            <v>Class A EUR AD (D)</v>
          </cell>
          <cell r="D1941" t="str">
            <v>EUR</v>
          </cell>
          <cell r="E1941">
            <v>45747</v>
          </cell>
          <cell r="F1941">
            <v>2880468.14</v>
          </cell>
          <cell r="G1941">
            <v>41275.499000000003</v>
          </cell>
          <cell r="H1941">
            <v>69.790000000000006</v>
          </cell>
          <cell r="I1941">
            <v>0</v>
          </cell>
          <cell r="J1941">
            <v>72.930000000000007</v>
          </cell>
          <cell r="K1941">
            <v>-1.01</v>
          </cell>
        </row>
        <row r="1942">
          <cell r="A1942" t="str">
            <v>LU1883868819</v>
          </cell>
          <cell r="B1942" t="str">
            <v>AMUNDI FUNDS NET ZERO AMBITI TOP EUROPEAN PLAYERS</v>
          </cell>
          <cell r="C1942" t="str">
            <v>Class A EUR (C)</v>
          </cell>
          <cell r="D1942" t="str">
            <v>EUR</v>
          </cell>
          <cell r="E1942">
            <v>45747</v>
          </cell>
          <cell r="F1942">
            <v>179821906.90000001</v>
          </cell>
          <cell r="G1942">
            <v>15009027.338</v>
          </cell>
          <cell r="H1942">
            <v>11.98</v>
          </cell>
          <cell r="I1942">
            <v>0</v>
          </cell>
          <cell r="J1942">
            <v>12.52</v>
          </cell>
          <cell r="K1942">
            <v>-0.17</v>
          </cell>
        </row>
        <row r="1943">
          <cell r="A1943" t="str">
            <v>LU1880407132</v>
          </cell>
          <cell r="B1943" t="str">
            <v>AMUNDI FUNDS NET ZERO AMBITI TOP EUROPEAN PLAYERS</v>
          </cell>
          <cell r="C1943" t="str">
            <v>Class A2 USD (C)</v>
          </cell>
          <cell r="D1943" t="str">
            <v>USD</v>
          </cell>
          <cell r="E1943">
            <v>45747</v>
          </cell>
          <cell r="F1943">
            <v>7129.9</v>
          </cell>
          <cell r="G1943">
            <v>100</v>
          </cell>
          <cell r="H1943">
            <v>71.3</v>
          </cell>
          <cell r="I1943">
            <v>0</v>
          </cell>
          <cell r="J1943">
            <v>71.3</v>
          </cell>
          <cell r="K1943">
            <v>-1.18</v>
          </cell>
        </row>
        <row r="1944">
          <cell r="A1944" t="str">
            <v>LU2070308569</v>
          </cell>
          <cell r="B1944" t="str">
            <v>AMUNDI FUNDS NET ZERO AMBITI TOP EUROPEAN PLAYERS</v>
          </cell>
          <cell r="C1944" t="str">
            <v>Class A5 EUR (C)</v>
          </cell>
          <cell r="D1944" t="str">
            <v>EUR</v>
          </cell>
          <cell r="E1944">
            <v>45747</v>
          </cell>
          <cell r="F1944">
            <v>27515.33</v>
          </cell>
          <cell r="G1944">
            <v>392.67700000000002</v>
          </cell>
          <cell r="H1944">
            <v>70.069999999999993</v>
          </cell>
          <cell r="I1944">
            <v>0</v>
          </cell>
          <cell r="J1944">
            <v>70.069999999999993</v>
          </cell>
          <cell r="K1944">
            <v>-1.02</v>
          </cell>
        </row>
        <row r="1945">
          <cell r="A1945" t="str">
            <v>LU1883869031</v>
          </cell>
          <cell r="B1945" t="str">
            <v>AMUNDI FUNDS NET ZERO AMBITI TOP EUROPEAN PLAYERS</v>
          </cell>
          <cell r="C1945" t="str">
            <v>Class A USD AD (D)</v>
          </cell>
          <cell r="D1945" t="str">
            <v>USD</v>
          </cell>
          <cell r="E1945">
            <v>45747</v>
          </cell>
          <cell r="F1945">
            <v>522266.7</v>
          </cell>
          <cell r="G1945">
            <v>47249.908000000003</v>
          </cell>
          <cell r="H1945">
            <v>11.05</v>
          </cell>
          <cell r="I1945">
            <v>0</v>
          </cell>
          <cell r="J1945">
            <v>11.55</v>
          </cell>
          <cell r="K1945">
            <v>-0.19</v>
          </cell>
        </row>
        <row r="1946">
          <cell r="A1946" t="str">
            <v>LU1883869114</v>
          </cell>
          <cell r="B1946" t="str">
            <v>AMUNDI FUNDS NET ZERO AMBITI TOP EUROPEAN PLAYERS</v>
          </cell>
          <cell r="C1946" t="str">
            <v>Class A USD Hgd (C)</v>
          </cell>
          <cell r="D1946" t="str">
            <v>USD</v>
          </cell>
          <cell r="E1946">
            <v>45747</v>
          </cell>
          <cell r="F1946">
            <v>3350270.93</v>
          </cell>
          <cell r="G1946">
            <v>33001.49</v>
          </cell>
          <cell r="H1946">
            <v>101.52</v>
          </cell>
          <cell r="I1946">
            <v>0</v>
          </cell>
          <cell r="J1946">
            <v>106.09</v>
          </cell>
          <cell r="K1946">
            <v>-1.42</v>
          </cell>
        </row>
        <row r="1947">
          <cell r="A1947" t="str">
            <v>LU2762361058</v>
          </cell>
          <cell r="B1947" t="str">
            <v>AMUNDI FUNDS NET ZERO AMBITI TOP EUROPEAN PLAYERS</v>
          </cell>
          <cell r="C1947" t="str">
            <v>Class A2 CHF Hgd (C)</v>
          </cell>
          <cell r="D1947" t="str">
            <v>CHF</v>
          </cell>
          <cell r="E1947">
            <v>45747</v>
          </cell>
          <cell r="F1947">
            <v>244464.2</v>
          </cell>
          <cell r="G1947">
            <v>5063.3549999999996</v>
          </cell>
          <cell r="H1947">
            <v>48.28</v>
          </cell>
          <cell r="I1947">
            <v>0</v>
          </cell>
          <cell r="J1947">
            <v>48.28</v>
          </cell>
          <cell r="K1947">
            <v>-0.69</v>
          </cell>
        </row>
        <row r="1948">
          <cell r="A1948" t="str">
            <v>LU1883868736</v>
          </cell>
          <cell r="B1948" t="str">
            <v>AMUNDI FUNDS NET ZERO AMBITI TOP EUROPEAN PLAYERS</v>
          </cell>
          <cell r="C1948" t="str">
            <v>Class A CZK Hgd (C)</v>
          </cell>
          <cell r="D1948" t="str">
            <v>CZK</v>
          </cell>
          <cell r="E1948">
            <v>45747</v>
          </cell>
          <cell r="F1948">
            <v>1683597863.04</v>
          </cell>
          <cell r="G1948">
            <v>513530.36</v>
          </cell>
          <cell r="H1948">
            <v>3278.48</v>
          </cell>
          <cell r="I1948">
            <v>0</v>
          </cell>
          <cell r="J1948">
            <v>3426.01</v>
          </cell>
          <cell r="K1948">
            <v>-46.45</v>
          </cell>
        </row>
        <row r="1949">
          <cell r="A1949" t="str">
            <v>LU1883868900</v>
          </cell>
          <cell r="B1949" t="str">
            <v>AMUNDI FUNDS NET ZERO AMBITI TOP EUROPEAN PLAYERS</v>
          </cell>
          <cell r="C1949" t="str">
            <v>Class A USD (C)</v>
          </cell>
          <cell r="D1949" t="str">
            <v>USD</v>
          </cell>
          <cell r="E1949">
            <v>45747</v>
          </cell>
          <cell r="F1949">
            <v>7015832.7400000002</v>
          </cell>
          <cell r="G1949">
            <v>541942.78500000003</v>
          </cell>
          <cell r="H1949">
            <v>12.95</v>
          </cell>
          <cell r="I1949">
            <v>0</v>
          </cell>
          <cell r="J1949">
            <v>13.53</v>
          </cell>
          <cell r="K1949">
            <v>-0.21</v>
          </cell>
        </row>
        <row r="1950">
          <cell r="A1950" t="str">
            <v>LU1883869205</v>
          </cell>
          <cell r="B1950" t="str">
            <v>AMUNDI FUNDS NET ZERO AMBITI TOP EUROPEAN PLAYERS</v>
          </cell>
          <cell r="C1950" t="str">
            <v>Class B EUR (C)</v>
          </cell>
          <cell r="D1950" t="str">
            <v>EUR</v>
          </cell>
          <cell r="E1950">
            <v>45747</v>
          </cell>
          <cell r="F1950">
            <v>111356.62</v>
          </cell>
          <cell r="G1950">
            <v>11849.54</v>
          </cell>
          <cell r="H1950">
            <v>9.4</v>
          </cell>
          <cell r="I1950">
            <v>0</v>
          </cell>
          <cell r="J1950">
            <v>9.4</v>
          </cell>
          <cell r="K1950">
            <v>-0.13</v>
          </cell>
        </row>
        <row r="1951">
          <cell r="A1951" t="str">
            <v>LU1883870807</v>
          </cell>
          <cell r="B1951" t="str">
            <v>AMUNDI FUNDS NET ZERO AMBITI TOP EUROPEAN PLAYERS</v>
          </cell>
          <cell r="C1951" t="str">
            <v>Class M2 EUR (C)</v>
          </cell>
          <cell r="D1951" t="str">
            <v>EUR</v>
          </cell>
          <cell r="E1951">
            <v>45747</v>
          </cell>
          <cell r="F1951">
            <v>72542091.340000004</v>
          </cell>
          <cell r="G1951">
            <v>32848.482000000004</v>
          </cell>
          <cell r="H1951">
            <v>2208.38</v>
          </cell>
          <cell r="I1951">
            <v>0</v>
          </cell>
          <cell r="J1951">
            <v>2208.38</v>
          </cell>
          <cell r="K1951">
            <v>-31.88</v>
          </cell>
        </row>
        <row r="1952">
          <cell r="A1952" t="str">
            <v>LU1883869387</v>
          </cell>
          <cell r="B1952" t="str">
            <v>AMUNDI FUNDS NET ZERO AMBITI TOP EUROPEAN PLAYERS</v>
          </cell>
          <cell r="C1952" t="str">
            <v>Class B USD (C)</v>
          </cell>
          <cell r="D1952" t="str">
            <v>USD</v>
          </cell>
          <cell r="E1952">
            <v>45747</v>
          </cell>
          <cell r="F1952">
            <v>643108.64</v>
          </cell>
          <cell r="G1952">
            <v>63499.436000000002</v>
          </cell>
          <cell r="H1952">
            <v>10.130000000000001</v>
          </cell>
          <cell r="I1952">
            <v>0</v>
          </cell>
          <cell r="J1952">
            <v>10.130000000000001</v>
          </cell>
          <cell r="K1952">
            <v>-0.17</v>
          </cell>
        </row>
        <row r="1953">
          <cell r="A1953" t="str">
            <v>LU1883869544</v>
          </cell>
          <cell r="B1953" t="str">
            <v>AMUNDI FUNDS NET ZERO AMBITI TOP EUROPEAN PLAYERS</v>
          </cell>
          <cell r="C1953" t="str">
            <v>Class C EUR (C)</v>
          </cell>
          <cell r="D1953" t="str">
            <v>EUR</v>
          </cell>
          <cell r="E1953">
            <v>45747</v>
          </cell>
          <cell r="F1953">
            <v>2750229.41</v>
          </cell>
          <cell r="G1953">
            <v>272197.31699999998</v>
          </cell>
          <cell r="H1953">
            <v>10.1</v>
          </cell>
          <cell r="I1953">
            <v>0</v>
          </cell>
          <cell r="J1953">
            <v>10.1</v>
          </cell>
          <cell r="K1953">
            <v>-0.15</v>
          </cell>
        </row>
        <row r="1954">
          <cell r="A1954" t="str">
            <v>LU1883869627</v>
          </cell>
          <cell r="B1954" t="str">
            <v>AMUNDI FUNDS NET ZERO AMBITI TOP EUROPEAN PLAYERS</v>
          </cell>
          <cell r="C1954" t="str">
            <v>Class C USD (C)</v>
          </cell>
          <cell r="D1954" t="str">
            <v>USD</v>
          </cell>
          <cell r="E1954">
            <v>45747</v>
          </cell>
          <cell r="F1954">
            <v>1871599.13</v>
          </cell>
          <cell r="G1954">
            <v>171492.122</v>
          </cell>
          <cell r="H1954">
            <v>10.91</v>
          </cell>
          <cell r="I1954">
            <v>0</v>
          </cell>
          <cell r="J1954">
            <v>10.91</v>
          </cell>
          <cell r="K1954">
            <v>-0.18</v>
          </cell>
        </row>
        <row r="1955">
          <cell r="A1955" t="str">
            <v>LU1883869890</v>
          </cell>
          <cell r="B1955" t="str">
            <v>AMUNDI FUNDS NET ZERO AMBITI TOP EUROPEAN PLAYERS</v>
          </cell>
          <cell r="C1955" t="str">
            <v>Class C USD Hgd (C)</v>
          </cell>
          <cell r="D1955" t="str">
            <v>USD</v>
          </cell>
          <cell r="E1955">
            <v>45747</v>
          </cell>
          <cell r="F1955">
            <v>2641928.92</v>
          </cell>
          <cell r="G1955">
            <v>28829.100999999999</v>
          </cell>
          <cell r="H1955">
            <v>91.64</v>
          </cell>
          <cell r="I1955">
            <v>0</v>
          </cell>
          <cell r="J1955">
            <v>91.64</v>
          </cell>
          <cell r="K1955">
            <v>-1.29</v>
          </cell>
        </row>
        <row r="1956">
          <cell r="A1956" t="str">
            <v>LU1883869973</v>
          </cell>
          <cell r="B1956" t="str">
            <v>AMUNDI FUNDS NET ZERO AMBITI TOP EUROPEAN PLAYERS</v>
          </cell>
          <cell r="C1956" t="str">
            <v>Class E2 EUR (C)</v>
          </cell>
          <cell r="D1956" t="str">
            <v>EUR</v>
          </cell>
          <cell r="E1956">
            <v>45747</v>
          </cell>
          <cell r="F1956">
            <v>105777837.40000001</v>
          </cell>
          <cell r="G1956">
            <v>8232453.2680000002</v>
          </cell>
          <cell r="H1956">
            <v>12.849</v>
          </cell>
          <cell r="I1956">
            <v>0</v>
          </cell>
          <cell r="J1956">
            <v>12.849</v>
          </cell>
          <cell r="K1956">
            <v>-0.186</v>
          </cell>
        </row>
        <row r="1957">
          <cell r="A1957" t="str">
            <v>LU1883870047</v>
          </cell>
          <cell r="B1957" t="str">
            <v>AMUNDI FUNDS NET ZERO AMBITI TOP EUROPEAN PLAYERS</v>
          </cell>
          <cell r="C1957" t="str">
            <v>Class F EUR (C)</v>
          </cell>
          <cell r="D1957" t="str">
            <v>EUR</v>
          </cell>
          <cell r="E1957">
            <v>45747</v>
          </cell>
          <cell r="F1957">
            <v>50634126.149999999</v>
          </cell>
          <cell r="G1957">
            <v>4870441.4510000004</v>
          </cell>
          <cell r="H1957">
            <v>10.396000000000001</v>
          </cell>
          <cell r="I1957">
            <v>0</v>
          </cell>
          <cell r="J1957">
            <v>10.396000000000001</v>
          </cell>
          <cell r="K1957">
            <v>-0.152</v>
          </cell>
        </row>
        <row r="1958">
          <cell r="A1958" t="str">
            <v>LU1880407306</v>
          </cell>
          <cell r="B1958" t="str">
            <v>AMUNDI FUNDS NET ZERO AMBITI TOP EUROPEAN PLAYERS</v>
          </cell>
          <cell r="C1958" t="str">
            <v>Class F2 EUR (C)</v>
          </cell>
          <cell r="D1958" t="str">
            <v>EUR</v>
          </cell>
          <cell r="E1958">
            <v>45747</v>
          </cell>
          <cell r="F1958">
            <v>211074.58</v>
          </cell>
          <cell r="G1958">
            <v>30139.77</v>
          </cell>
          <cell r="H1958">
            <v>7.0030000000000001</v>
          </cell>
          <cell r="I1958">
            <v>0</v>
          </cell>
          <cell r="J1958">
            <v>7.0030000000000001</v>
          </cell>
          <cell r="K1958">
            <v>-0.10199999999999999</v>
          </cell>
        </row>
        <row r="1959">
          <cell r="A1959" t="str">
            <v>LU1883870476</v>
          </cell>
          <cell r="B1959" t="str">
            <v>AMUNDI FUNDS NET ZERO AMBITI TOP EUROPEAN PLAYERS</v>
          </cell>
          <cell r="C1959" t="str">
            <v>Class I2 USD (C)</v>
          </cell>
          <cell r="D1959" t="str">
            <v>USD</v>
          </cell>
          <cell r="E1959">
            <v>45747</v>
          </cell>
          <cell r="F1959">
            <v>3517930.14</v>
          </cell>
          <cell r="G1959">
            <v>206662.147</v>
          </cell>
          <cell r="H1959">
            <v>17.02</v>
          </cell>
          <cell r="I1959">
            <v>0</v>
          </cell>
          <cell r="J1959">
            <v>17.02</v>
          </cell>
          <cell r="K1959">
            <v>-0.28000000000000003</v>
          </cell>
        </row>
        <row r="1960">
          <cell r="A1960" t="str">
            <v>LU1883870559</v>
          </cell>
          <cell r="B1960" t="str">
            <v>AMUNDI FUNDS NET ZERO AMBITI TOP EUROPEAN PLAYERS</v>
          </cell>
          <cell r="C1960" t="str">
            <v>Class I2 USD Hgd (C)</v>
          </cell>
          <cell r="D1960" t="str">
            <v>USD</v>
          </cell>
          <cell r="E1960">
            <v>45747</v>
          </cell>
          <cell r="F1960">
            <v>164251.12</v>
          </cell>
          <cell r="G1960">
            <v>91</v>
          </cell>
          <cell r="H1960">
            <v>1804.96</v>
          </cell>
          <cell r="I1960">
            <v>0</v>
          </cell>
          <cell r="J1960">
            <v>1804.96</v>
          </cell>
          <cell r="K1960">
            <v>-25.17</v>
          </cell>
        </row>
        <row r="1961">
          <cell r="A1961" t="str">
            <v>LU1883870393</v>
          </cell>
          <cell r="B1961" t="str">
            <v>AMUNDI FUNDS NET ZERO AMBITI TOP EUROPEAN PLAYERS</v>
          </cell>
          <cell r="C1961" t="str">
            <v>Class I2 EUR (C)</v>
          </cell>
          <cell r="D1961" t="str">
            <v>EUR</v>
          </cell>
          <cell r="E1961">
            <v>45747</v>
          </cell>
          <cell r="F1961">
            <v>1953888.91</v>
          </cell>
          <cell r="G1961">
            <v>124000.81299999999</v>
          </cell>
          <cell r="H1961">
            <v>15.76</v>
          </cell>
          <cell r="I1961">
            <v>0</v>
          </cell>
          <cell r="J1961">
            <v>15.76</v>
          </cell>
          <cell r="K1961">
            <v>-0.22</v>
          </cell>
        </row>
        <row r="1962">
          <cell r="A1962" t="str">
            <v>LU1883870120</v>
          </cell>
          <cell r="B1962" t="str">
            <v>AMUNDI FUNDS NET ZERO AMBITI TOP EUROPEAN PLAYERS</v>
          </cell>
          <cell r="C1962" t="str">
            <v>Class G EUR (C)</v>
          </cell>
          <cell r="D1962" t="str">
            <v>EUR</v>
          </cell>
          <cell r="E1962">
            <v>45747</v>
          </cell>
          <cell r="F1962">
            <v>4618305.5</v>
          </cell>
          <cell r="G1962">
            <v>688475.18299999996</v>
          </cell>
          <cell r="H1962">
            <v>6.7080000000000002</v>
          </cell>
          <cell r="I1962">
            <v>0</v>
          </cell>
          <cell r="J1962">
            <v>6.7080000000000002</v>
          </cell>
          <cell r="K1962">
            <v>-9.7000000000000003E-2</v>
          </cell>
        </row>
        <row r="1963">
          <cell r="A1963" t="str">
            <v>LU1883871102</v>
          </cell>
          <cell r="B1963" t="str">
            <v>AMUNDI FUNDS NET ZERO AMBITI TOP EUROPEAN PLAYERS</v>
          </cell>
          <cell r="C1963" t="str">
            <v>Class R2 EUR (C)</v>
          </cell>
          <cell r="D1963" t="str">
            <v>EUR</v>
          </cell>
          <cell r="E1963">
            <v>45747</v>
          </cell>
          <cell r="F1963">
            <v>6103391.3799999999</v>
          </cell>
          <cell r="G1963">
            <v>61076.093999999997</v>
          </cell>
          <cell r="H1963">
            <v>99.93</v>
          </cell>
          <cell r="I1963">
            <v>0</v>
          </cell>
          <cell r="J1963">
            <v>99.93</v>
          </cell>
          <cell r="K1963">
            <v>-1.45</v>
          </cell>
        </row>
        <row r="1964">
          <cell r="A1964" t="str">
            <v>LU1883871284</v>
          </cell>
          <cell r="B1964" t="str">
            <v>AMUNDI FUNDS NET ZERO AMBITI TOP EUROPEAN PLAYERS</v>
          </cell>
          <cell r="C1964" t="str">
            <v>Class R2 GBP (C)</v>
          </cell>
          <cell r="D1964" t="str">
            <v>GBP</v>
          </cell>
          <cell r="E1964">
            <v>45747</v>
          </cell>
          <cell r="F1964">
            <v>60231.06</v>
          </cell>
          <cell r="G1964">
            <v>475.06099999999998</v>
          </cell>
          <cell r="H1964">
            <v>126.79</v>
          </cell>
          <cell r="I1964">
            <v>0</v>
          </cell>
          <cell r="J1964">
            <v>126.79</v>
          </cell>
          <cell r="K1964">
            <v>-1.74</v>
          </cell>
        </row>
        <row r="1965">
          <cell r="A1965" t="str">
            <v>LU1883871441</v>
          </cell>
          <cell r="B1965" t="str">
            <v>AMUNDI FUNDS NET ZERO AMBITI TOP EUROPEAN PLAYERS</v>
          </cell>
          <cell r="C1965" t="str">
            <v>Class R2 USD Hgd (C)</v>
          </cell>
          <cell r="D1965" t="str">
            <v>USD</v>
          </cell>
          <cell r="E1965">
            <v>45747</v>
          </cell>
          <cell r="F1965">
            <v>160497.73000000001</v>
          </cell>
          <cell r="G1965">
            <v>1819.89</v>
          </cell>
          <cell r="H1965">
            <v>88.19</v>
          </cell>
          <cell r="I1965">
            <v>0</v>
          </cell>
          <cell r="J1965">
            <v>88.19</v>
          </cell>
          <cell r="K1965">
            <v>-1.23</v>
          </cell>
        </row>
        <row r="1966">
          <cell r="A1966" t="str">
            <v>LU1883870989</v>
          </cell>
          <cell r="B1966" t="str">
            <v>AMUNDI FUNDS NET ZERO AMBITI TOP EUROPEAN PLAYERS</v>
          </cell>
          <cell r="C1966" t="str">
            <v>Class P2 USD (C)</v>
          </cell>
          <cell r="D1966" t="str">
            <v>USD</v>
          </cell>
          <cell r="E1966">
            <v>45747</v>
          </cell>
          <cell r="F1966">
            <v>13747.22</v>
          </cell>
          <cell r="G1966">
            <v>160.249</v>
          </cell>
          <cell r="H1966">
            <v>85.79</v>
          </cell>
          <cell r="I1966">
            <v>0</v>
          </cell>
          <cell r="J1966">
            <v>85.79</v>
          </cell>
          <cell r="K1966">
            <v>-1.41</v>
          </cell>
        </row>
        <row r="1967">
          <cell r="A1967" t="str">
            <v>LU1883871011</v>
          </cell>
          <cell r="B1967" t="str">
            <v>AMUNDI FUNDS NET ZERO AMBITI TOP EUROPEAN PLAYERS</v>
          </cell>
          <cell r="C1967" t="str">
            <v>Class P2 USD Hgd (C)</v>
          </cell>
          <cell r="D1967" t="str">
            <v>USD</v>
          </cell>
          <cell r="E1967">
            <v>45747</v>
          </cell>
          <cell r="F1967">
            <v>157990.84</v>
          </cell>
          <cell r="G1967">
            <v>1580.981</v>
          </cell>
          <cell r="H1967">
            <v>99.93</v>
          </cell>
          <cell r="I1967">
            <v>0</v>
          </cell>
          <cell r="J1967">
            <v>99.93</v>
          </cell>
          <cell r="K1967">
            <v>-1.4</v>
          </cell>
        </row>
        <row r="1968">
          <cell r="A1968" t="str">
            <v>LU1883872092</v>
          </cell>
          <cell r="B1968" t="str">
            <v>AMUNDI FUNDS NET ZERO AMBITI TOP EUROPEAN PLAYERS</v>
          </cell>
          <cell r="C1968" t="str">
            <v>Class U USD (C)</v>
          </cell>
          <cell r="D1968" t="str">
            <v>USD</v>
          </cell>
          <cell r="E1968">
            <v>45747</v>
          </cell>
          <cell r="F1968">
            <v>33807.21</v>
          </cell>
          <cell r="G1968">
            <v>507.68799999999999</v>
          </cell>
          <cell r="H1968">
            <v>66.59</v>
          </cell>
          <cell r="I1968">
            <v>0</v>
          </cell>
          <cell r="J1968">
            <v>66.59</v>
          </cell>
          <cell r="K1968">
            <v>-1.1000000000000001</v>
          </cell>
        </row>
        <row r="1969">
          <cell r="A1969" t="str">
            <v>LU1883871953</v>
          </cell>
          <cell r="B1969" t="str">
            <v>AMUNDI FUNDS NET ZERO AMBITI TOP EUROPEAN PLAYERS</v>
          </cell>
          <cell r="C1969" t="str">
            <v>Class U EUR (C)</v>
          </cell>
          <cell r="D1969" t="str">
            <v>EUR</v>
          </cell>
          <cell r="E1969">
            <v>45747</v>
          </cell>
          <cell r="F1969">
            <v>441072.17</v>
          </cell>
          <cell r="G1969">
            <v>7157.3869999999997</v>
          </cell>
          <cell r="H1969">
            <v>61.62</v>
          </cell>
          <cell r="I1969">
            <v>0</v>
          </cell>
          <cell r="J1969">
            <v>61.62</v>
          </cell>
          <cell r="K1969">
            <v>-0.9</v>
          </cell>
        </row>
        <row r="1970">
          <cell r="A1970" t="str">
            <v>LU1883872175</v>
          </cell>
          <cell r="B1970" t="str">
            <v>AMUNDI FUNDS NET ZERO AMBITI TOP EUROPEAN PLAYERS</v>
          </cell>
          <cell r="C1970" t="str">
            <v>Class U USD Hgd (C)</v>
          </cell>
          <cell r="D1970" t="str">
            <v>USD</v>
          </cell>
          <cell r="E1970">
            <v>45747</v>
          </cell>
          <cell r="F1970">
            <v>620515.35</v>
          </cell>
          <cell r="G1970">
            <v>8878.4969999999994</v>
          </cell>
          <cell r="H1970">
            <v>69.89</v>
          </cell>
          <cell r="I1970">
            <v>0</v>
          </cell>
          <cell r="J1970">
            <v>69.89</v>
          </cell>
          <cell r="K1970">
            <v>-0.99</v>
          </cell>
        </row>
        <row r="1971">
          <cell r="A1971" t="str">
            <v>LU1883871367</v>
          </cell>
          <cell r="B1971" t="str">
            <v>AMUNDI FUNDS NET ZERO AMBITI TOP EUROPEAN PLAYERS</v>
          </cell>
          <cell r="C1971" t="str">
            <v>Class R2 USD (C)</v>
          </cell>
          <cell r="D1971" t="str">
            <v>USD</v>
          </cell>
          <cell r="E1971">
            <v>45747</v>
          </cell>
          <cell r="F1971">
            <v>144355.85</v>
          </cell>
          <cell r="G1971">
            <v>1337.385</v>
          </cell>
          <cell r="H1971">
            <v>107.94</v>
          </cell>
          <cell r="I1971">
            <v>0</v>
          </cell>
          <cell r="J1971">
            <v>107.94</v>
          </cell>
          <cell r="K1971">
            <v>-1.77</v>
          </cell>
        </row>
        <row r="1972">
          <cell r="A1972" t="str">
            <v>LU1880407488</v>
          </cell>
          <cell r="B1972" t="str">
            <v>AMUNDI FUNDS NET ZERO AMBITI TOP EUROPEAN PLAYERS</v>
          </cell>
          <cell r="C1972" t="str">
            <v>Class I EUR (C)</v>
          </cell>
          <cell r="D1972" t="str">
            <v>EUR</v>
          </cell>
          <cell r="E1972">
            <v>45747</v>
          </cell>
          <cell r="F1972">
            <v>4054.83</v>
          </cell>
          <cell r="G1972">
            <v>2.6259999999999999</v>
          </cell>
          <cell r="H1972">
            <v>1544.11</v>
          </cell>
          <cell r="I1972">
            <v>0</v>
          </cell>
          <cell r="J1972">
            <v>1544.11</v>
          </cell>
          <cell r="K1972">
            <v>-22.28</v>
          </cell>
        </row>
        <row r="1973">
          <cell r="A1973" t="str">
            <v>LU1880408379</v>
          </cell>
          <cell r="B1973" t="str">
            <v>AMUNDI FUNDS NET ZERO AMBITI TOP EUROPEAN PLAYERS</v>
          </cell>
          <cell r="C1973" t="str">
            <v>Class Z EUR (C)</v>
          </cell>
          <cell r="D1973" t="str">
            <v>EUR</v>
          </cell>
          <cell r="E1973">
            <v>45747</v>
          </cell>
          <cell r="F1973">
            <v>48713955.859999999</v>
          </cell>
          <cell r="G1973">
            <v>31006.112000000001</v>
          </cell>
          <cell r="H1973">
            <v>1571.11</v>
          </cell>
          <cell r="I1973">
            <v>0</v>
          </cell>
          <cell r="J1973">
            <v>1571.11</v>
          </cell>
          <cell r="K1973">
            <v>-22.65</v>
          </cell>
        </row>
        <row r="1974">
          <cell r="A1974" t="str">
            <v>LU1880408452</v>
          </cell>
          <cell r="B1974" t="str">
            <v>AMUNDI FUNDS NET ZERO AMBITI TOP EUROPEAN PLAYERS</v>
          </cell>
          <cell r="C1974" t="str">
            <v>Class Z EUR AD (D)</v>
          </cell>
          <cell r="D1974" t="str">
            <v>EUR</v>
          </cell>
          <cell r="E1974">
            <v>45747</v>
          </cell>
          <cell r="F1974">
            <v>42787338.710000001</v>
          </cell>
          <cell r="G1974">
            <v>30931.053</v>
          </cell>
          <cell r="H1974">
            <v>1383.31</v>
          </cell>
          <cell r="I1974">
            <v>0</v>
          </cell>
          <cell r="J1974">
            <v>1383.31</v>
          </cell>
          <cell r="K1974">
            <v>-19.95</v>
          </cell>
        </row>
        <row r="1975">
          <cell r="A1975" t="str">
            <v>LU2305762036</v>
          </cell>
          <cell r="B1975" t="str">
            <v>AMUNDI FUNDS EMERGING MARKETS GREEN BOND</v>
          </cell>
          <cell r="C1975" t="str">
            <v>Class A2 USD MTD3 (D)</v>
          </cell>
          <cell r="D1975" t="str">
            <v>USD</v>
          </cell>
          <cell r="E1975">
            <v>45747</v>
          </cell>
          <cell r="F1975">
            <v>1288478.94</v>
          </cell>
          <cell r="G1975">
            <v>37596.281999999999</v>
          </cell>
          <cell r="H1975">
            <v>34.270000000000003</v>
          </cell>
          <cell r="I1975">
            <v>0</v>
          </cell>
          <cell r="J1975">
            <v>34.270000000000003</v>
          </cell>
          <cell r="K1975">
            <v>-0.01</v>
          </cell>
        </row>
        <row r="1976">
          <cell r="A1976" t="str">
            <v>LU2138387506</v>
          </cell>
          <cell r="B1976" t="str">
            <v>AMUNDI FUNDS EMERGING MARKETS GREEN BOND</v>
          </cell>
          <cell r="C1976" t="str">
            <v>Class A2 USD (C)</v>
          </cell>
          <cell r="D1976" t="str">
            <v>USD</v>
          </cell>
          <cell r="E1976">
            <v>45747</v>
          </cell>
          <cell r="F1976">
            <v>86527.8</v>
          </cell>
          <cell r="G1976">
            <v>1835.626</v>
          </cell>
          <cell r="H1976">
            <v>47.14</v>
          </cell>
          <cell r="I1976">
            <v>0</v>
          </cell>
          <cell r="J1976">
            <v>49.26</v>
          </cell>
          <cell r="K1976">
            <v>-0.01</v>
          </cell>
        </row>
        <row r="1977">
          <cell r="A1977" t="str">
            <v>LU2305762119</v>
          </cell>
          <cell r="B1977" t="str">
            <v>AMUNDI FUNDS EMERGING MARKETS GREEN BOND</v>
          </cell>
          <cell r="C1977" t="str">
            <v>Class A2 HKD MTD3 (D)</v>
          </cell>
          <cell r="D1977" t="str">
            <v>HKD</v>
          </cell>
          <cell r="E1977">
            <v>45747</v>
          </cell>
          <cell r="F1977">
            <v>10360745.18</v>
          </cell>
          <cell r="G1977">
            <v>302481.636</v>
          </cell>
          <cell r="H1977">
            <v>34.25</v>
          </cell>
          <cell r="I1977">
            <v>0</v>
          </cell>
          <cell r="J1977">
            <v>34.25</v>
          </cell>
          <cell r="K1977">
            <v>0</v>
          </cell>
        </row>
        <row r="1978">
          <cell r="A1978" t="str">
            <v>LU2138398024</v>
          </cell>
          <cell r="B1978" t="str">
            <v>AMUNDI FUNDS EMERGING MARKETS GREEN BOND</v>
          </cell>
          <cell r="C1978" t="str">
            <v>Class A USD (C)</v>
          </cell>
          <cell r="D1978" t="str">
            <v>USD</v>
          </cell>
          <cell r="E1978">
            <v>45747</v>
          </cell>
          <cell r="F1978">
            <v>178513.02</v>
          </cell>
          <cell r="G1978">
            <v>3794</v>
          </cell>
          <cell r="H1978">
            <v>47.05</v>
          </cell>
          <cell r="I1978">
            <v>0</v>
          </cell>
          <cell r="J1978">
            <v>49.17</v>
          </cell>
          <cell r="K1978">
            <v>-0.01</v>
          </cell>
        </row>
        <row r="1979">
          <cell r="A1979" t="str">
            <v>LU2305763786</v>
          </cell>
          <cell r="B1979" t="str">
            <v>AMUNDI FUNDS EMERGING MARKETS GREEN BOND</v>
          </cell>
          <cell r="C1979" t="str">
            <v>Class A2 RMB Hgd MTD3 (D)</v>
          </cell>
          <cell r="D1979" t="str">
            <v>CNH</v>
          </cell>
          <cell r="E1979">
            <v>45747</v>
          </cell>
          <cell r="F1979">
            <v>928441.16</v>
          </cell>
          <cell r="G1979">
            <v>28112.545999999998</v>
          </cell>
          <cell r="H1979">
            <v>33.03</v>
          </cell>
          <cell r="I1979">
            <v>0</v>
          </cell>
          <cell r="J1979">
            <v>33.03</v>
          </cell>
          <cell r="K1979">
            <v>0</v>
          </cell>
        </row>
        <row r="1980">
          <cell r="A1980" t="str">
            <v>LU2305762200</v>
          </cell>
          <cell r="B1980" t="str">
            <v>AMUNDI FUNDS EMERGING MARKETS GREEN BOND</v>
          </cell>
          <cell r="C1980" t="str">
            <v>Class A2 AUD Hgd MTD3 (D)</v>
          </cell>
          <cell r="D1980" t="str">
            <v>AUD</v>
          </cell>
          <cell r="E1980">
            <v>45747</v>
          </cell>
          <cell r="F1980">
            <v>308152.14</v>
          </cell>
          <cell r="G1980">
            <v>9135.8739999999998</v>
          </cell>
          <cell r="H1980">
            <v>33.729999999999997</v>
          </cell>
          <cell r="I1980">
            <v>0</v>
          </cell>
          <cell r="J1980">
            <v>33.729999999999997</v>
          </cell>
          <cell r="K1980">
            <v>-0.01</v>
          </cell>
        </row>
        <row r="1981">
          <cell r="A1981" t="str">
            <v>LU2138390393</v>
          </cell>
          <cell r="B1981" t="str">
            <v>AMUNDI FUNDS EMERGING MARKETS GREEN BOND</v>
          </cell>
          <cell r="C1981" t="str">
            <v>Class E2 EUR (C)</v>
          </cell>
          <cell r="D1981" t="str">
            <v>EUR</v>
          </cell>
          <cell r="E1981">
            <v>45747</v>
          </cell>
          <cell r="F1981">
            <v>7645581.8200000003</v>
          </cell>
          <cell r="G1981">
            <v>1539070.2560000001</v>
          </cell>
          <cell r="H1981">
            <v>4.968</v>
          </cell>
          <cell r="I1981">
            <v>0</v>
          </cell>
          <cell r="J1981">
            <v>5.1669999999999998</v>
          </cell>
          <cell r="K1981">
            <v>8.9999999999999993E-3</v>
          </cell>
        </row>
        <row r="1982">
          <cell r="A1982" t="str">
            <v>LU2259110968</v>
          </cell>
          <cell r="B1982" t="str">
            <v>AMUNDI FUNDS EMERGING MARKETS GREEN BOND</v>
          </cell>
          <cell r="C1982" t="str">
            <v>Class E2 EUR Hgd (C)</v>
          </cell>
          <cell r="D1982" t="str">
            <v>EUR</v>
          </cell>
          <cell r="E1982">
            <v>45747</v>
          </cell>
          <cell r="F1982">
            <v>7694299.8200000003</v>
          </cell>
          <cell r="G1982">
            <v>1855725.375</v>
          </cell>
          <cell r="H1982">
            <v>4.1459999999999999</v>
          </cell>
          <cell r="I1982">
            <v>0</v>
          </cell>
          <cell r="J1982">
            <v>4.3120000000000003</v>
          </cell>
          <cell r="K1982">
            <v>-1E-3</v>
          </cell>
        </row>
        <row r="1983">
          <cell r="A1983" t="str">
            <v>LU2138390716</v>
          </cell>
          <cell r="B1983" t="str">
            <v>AMUNDI FUNDS EMERGING MARKETS GREEN BOND</v>
          </cell>
          <cell r="C1983" t="str">
            <v>Class F EUR (C)</v>
          </cell>
          <cell r="D1983" t="str">
            <v>EUR</v>
          </cell>
          <cell r="E1983">
            <v>45747</v>
          </cell>
          <cell r="F1983">
            <v>843661.69</v>
          </cell>
          <cell r="G1983">
            <v>173992.57800000001</v>
          </cell>
          <cell r="H1983">
            <v>4.8490000000000002</v>
          </cell>
          <cell r="I1983">
            <v>0</v>
          </cell>
          <cell r="J1983">
            <v>4.8490000000000002</v>
          </cell>
          <cell r="K1983">
            <v>8.9999999999999993E-3</v>
          </cell>
        </row>
        <row r="1984">
          <cell r="A1984" t="str">
            <v>LU2138388579</v>
          </cell>
          <cell r="B1984" t="str">
            <v>AMUNDI FUNDS EMERGING MARKETS GREEN BOND</v>
          </cell>
          <cell r="C1984" t="str">
            <v>Class I2 GBP Hgd (C)</v>
          </cell>
          <cell r="D1984" t="str">
            <v>GBP</v>
          </cell>
          <cell r="E1984">
            <v>45747</v>
          </cell>
          <cell r="F1984">
            <v>6924011.6500000004</v>
          </cell>
          <cell r="G1984">
            <v>7165.0879999999997</v>
          </cell>
          <cell r="H1984">
            <v>966.35</v>
          </cell>
          <cell r="I1984">
            <v>0</v>
          </cell>
          <cell r="J1984">
            <v>966.35</v>
          </cell>
          <cell r="K1984">
            <v>-0.1</v>
          </cell>
        </row>
        <row r="1985">
          <cell r="A1985" t="str">
            <v>LU2138388223</v>
          </cell>
          <cell r="B1985" t="str">
            <v>AMUNDI FUNDS EMERGING MARKETS GREEN BOND</v>
          </cell>
          <cell r="C1985" t="str">
            <v>Class I2 USD (C)</v>
          </cell>
          <cell r="D1985" t="str">
            <v>USD</v>
          </cell>
          <cell r="E1985">
            <v>45747</v>
          </cell>
          <cell r="F1985">
            <v>679678.38</v>
          </cell>
          <cell r="G1985">
            <v>686.86800000000005</v>
          </cell>
          <cell r="H1985">
            <v>989.53</v>
          </cell>
          <cell r="I1985">
            <v>0</v>
          </cell>
          <cell r="J1985">
            <v>989.53</v>
          </cell>
          <cell r="K1985">
            <v>-0.09</v>
          </cell>
        </row>
        <row r="1986">
          <cell r="A1986" t="str">
            <v>LU2359303745</v>
          </cell>
          <cell r="B1986" t="str">
            <v>AMUNDI FUNDS EMERGING MARKETS GREEN BOND</v>
          </cell>
          <cell r="C1986" t="str">
            <v>Class I2 GBP (C)</v>
          </cell>
          <cell r="D1986" t="str">
            <v>GBP</v>
          </cell>
          <cell r="E1986">
            <v>45747</v>
          </cell>
          <cell r="F1986">
            <v>4856.47</v>
          </cell>
          <cell r="G1986">
            <v>5</v>
          </cell>
          <cell r="H1986">
            <v>971.29</v>
          </cell>
          <cell r="I1986">
            <v>0</v>
          </cell>
          <cell r="J1986">
            <v>971.29</v>
          </cell>
          <cell r="K1986">
            <v>2.4300000000000002</v>
          </cell>
        </row>
        <row r="1987">
          <cell r="A1987" t="str">
            <v>LU2138388736</v>
          </cell>
          <cell r="B1987" t="str">
            <v>AMUNDI FUNDS EMERGING MARKETS GREEN BOND</v>
          </cell>
          <cell r="C1987" t="str">
            <v>Class I2 EUR Hgd (C)</v>
          </cell>
          <cell r="D1987" t="str">
            <v>EUR</v>
          </cell>
          <cell r="E1987">
            <v>45747</v>
          </cell>
          <cell r="F1987">
            <v>1221070.96</v>
          </cell>
          <cell r="G1987">
            <v>1339.229</v>
          </cell>
          <cell r="H1987">
            <v>911.77</v>
          </cell>
          <cell r="I1987">
            <v>0</v>
          </cell>
          <cell r="J1987">
            <v>911.77</v>
          </cell>
          <cell r="K1987">
            <v>-0.14000000000000001</v>
          </cell>
        </row>
        <row r="1988">
          <cell r="A1988" t="str">
            <v>LU2138388066</v>
          </cell>
          <cell r="B1988" t="str">
            <v>AMUNDI FUNDS EMERGING MARKETS GREEN BOND</v>
          </cell>
          <cell r="C1988" t="str">
            <v>Class I USD (C)</v>
          </cell>
          <cell r="D1988" t="str">
            <v>USD</v>
          </cell>
          <cell r="E1988">
            <v>45747</v>
          </cell>
          <cell r="F1988">
            <v>816711.96</v>
          </cell>
          <cell r="G1988">
            <v>826</v>
          </cell>
          <cell r="H1988">
            <v>988.76</v>
          </cell>
          <cell r="I1988">
            <v>0</v>
          </cell>
          <cell r="J1988">
            <v>988.76</v>
          </cell>
          <cell r="K1988">
            <v>-0.08</v>
          </cell>
        </row>
        <row r="1989">
          <cell r="A1989" t="str">
            <v>LU2138388900</v>
          </cell>
          <cell r="B1989" t="str">
            <v>AMUNDI FUNDS EMERGING MARKETS GREEN BOND</v>
          </cell>
          <cell r="C1989" t="str">
            <v>Class J USD (C)</v>
          </cell>
          <cell r="D1989" t="str">
            <v>USD</v>
          </cell>
          <cell r="E1989">
            <v>45747</v>
          </cell>
          <cell r="F1989">
            <v>4988.28</v>
          </cell>
          <cell r="G1989">
            <v>5</v>
          </cell>
          <cell r="H1989">
            <v>997.66</v>
          </cell>
          <cell r="I1989">
            <v>0</v>
          </cell>
          <cell r="J1989">
            <v>997.66</v>
          </cell>
          <cell r="K1989">
            <v>-7.0000000000000007E-2</v>
          </cell>
        </row>
        <row r="1990">
          <cell r="A1990" t="str">
            <v>LU2138389387</v>
          </cell>
          <cell r="B1990" t="str">
            <v>AMUNDI FUNDS EMERGING MARKETS GREEN BOND</v>
          </cell>
          <cell r="C1990" t="str">
            <v>Class J EUR Hgd (C)</v>
          </cell>
          <cell r="D1990" t="str">
            <v>EUR</v>
          </cell>
          <cell r="E1990">
            <v>45747</v>
          </cell>
          <cell r="F1990">
            <v>9204.58</v>
          </cell>
          <cell r="G1990">
            <v>10</v>
          </cell>
          <cell r="H1990">
            <v>920.46</v>
          </cell>
          <cell r="I1990">
            <v>0</v>
          </cell>
          <cell r="J1990">
            <v>920.46</v>
          </cell>
          <cell r="K1990">
            <v>-0.12</v>
          </cell>
        </row>
        <row r="1991">
          <cell r="A1991" t="str">
            <v>LU2138389114</v>
          </cell>
          <cell r="B1991" t="str">
            <v>AMUNDI FUNDS EMERGING MARKETS GREEN BOND</v>
          </cell>
          <cell r="C1991" t="str">
            <v>Class J2 USD (C)</v>
          </cell>
          <cell r="D1991" t="str">
            <v>USD</v>
          </cell>
          <cell r="E1991">
            <v>45747</v>
          </cell>
          <cell r="F1991">
            <v>4982.53</v>
          </cell>
          <cell r="G1991">
            <v>5</v>
          </cell>
          <cell r="H1991">
            <v>996.51</v>
          </cell>
          <cell r="I1991">
            <v>0</v>
          </cell>
          <cell r="J1991">
            <v>996.51</v>
          </cell>
          <cell r="K1991">
            <v>-0.08</v>
          </cell>
        </row>
        <row r="1992">
          <cell r="A1992" t="str">
            <v>LU2138389460</v>
          </cell>
          <cell r="B1992" t="str">
            <v>AMUNDI FUNDS EMERGING MARKETS GREEN BOND</v>
          </cell>
          <cell r="C1992" t="str">
            <v>Class J2 EUR Hgd (C)</v>
          </cell>
          <cell r="D1992" t="str">
            <v>EUR</v>
          </cell>
          <cell r="E1992">
            <v>45747</v>
          </cell>
          <cell r="F1992">
            <v>9180.44</v>
          </cell>
          <cell r="G1992">
            <v>10</v>
          </cell>
          <cell r="H1992">
            <v>918.04</v>
          </cell>
          <cell r="I1992">
            <v>0</v>
          </cell>
          <cell r="J1992">
            <v>918.04</v>
          </cell>
          <cell r="K1992">
            <v>-0.13</v>
          </cell>
        </row>
        <row r="1993">
          <cell r="A1993" t="str">
            <v>LU2138390047</v>
          </cell>
          <cell r="B1993" t="str">
            <v>AMUNDI FUNDS EMERGING MARKETS GREEN BOND</v>
          </cell>
          <cell r="C1993" t="str">
            <v>Class M2 EUR Hgd (C)</v>
          </cell>
          <cell r="D1993" t="str">
            <v>EUR</v>
          </cell>
          <cell r="E1993">
            <v>45747</v>
          </cell>
          <cell r="F1993">
            <v>14517.81</v>
          </cell>
          <cell r="G1993">
            <v>15.907</v>
          </cell>
          <cell r="H1993">
            <v>912.67</v>
          </cell>
          <cell r="I1993">
            <v>0</v>
          </cell>
          <cell r="J1993">
            <v>912.67</v>
          </cell>
          <cell r="K1993">
            <v>-0.13</v>
          </cell>
        </row>
        <row r="1994">
          <cell r="A1994" t="str">
            <v>LU2347634581</v>
          </cell>
          <cell r="B1994" t="str">
            <v>AMUNDI FUNDS EMERGING MARKETS GREEN BOND</v>
          </cell>
          <cell r="C1994" t="str">
            <v>Class R2 GBP Hgd (C)</v>
          </cell>
          <cell r="D1994" t="str">
            <v>GBP</v>
          </cell>
          <cell r="E1994">
            <v>45747</v>
          </cell>
          <cell r="F1994">
            <v>91670.46</v>
          </cell>
          <cell r="G1994">
            <v>2056.0210000000002</v>
          </cell>
          <cell r="H1994">
            <v>44.59</v>
          </cell>
          <cell r="I1994">
            <v>0</v>
          </cell>
          <cell r="J1994">
            <v>44.59</v>
          </cell>
          <cell r="K1994">
            <v>0</v>
          </cell>
        </row>
        <row r="1995">
          <cell r="A1995" t="str">
            <v>LU2368111824</v>
          </cell>
          <cell r="B1995" t="str">
            <v>AMUNDI FUNDS EMERGING MARKETS GREEN BOND</v>
          </cell>
          <cell r="C1995" t="str">
            <v>Class R4 EUR Hgd (D)</v>
          </cell>
          <cell r="D1995" t="str">
            <v>EUR</v>
          </cell>
          <cell r="E1995">
            <v>45747</v>
          </cell>
          <cell r="F1995">
            <v>406188.81</v>
          </cell>
          <cell r="G1995">
            <v>10538</v>
          </cell>
          <cell r="H1995">
            <v>38.549999999999997</v>
          </cell>
          <cell r="I1995">
            <v>0</v>
          </cell>
          <cell r="J1995">
            <v>38.549999999999997</v>
          </cell>
          <cell r="K1995">
            <v>0</v>
          </cell>
        </row>
        <row r="1996">
          <cell r="A1996" t="str">
            <v>LU2368111741</v>
          </cell>
          <cell r="B1996" t="str">
            <v>AMUNDI FUNDS EMERGING MARKETS GREEN BOND</v>
          </cell>
          <cell r="C1996" t="str">
            <v>Class R4 GBP Hgd AD (D)</v>
          </cell>
          <cell r="D1996" t="str">
            <v>GBP</v>
          </cell>
          <cell r="E1996">
            <v>45747</v>
          </cell>
          <cell r="F1996">
            <v>548633.12</v>
          </cell>
          <cell r="G1996">
            <v>13577.041999999999</v>
          </cell>
          <cell r="H1996">
            <v>40.409999999999997</v>
          </cell>
          <cell r="I1996">
            <v>0</v>
          </cell>
          <cell r="J1996">
            <v>40.409999999999997</v>
          </cell>
          <cell r="K1996">
            <v>0</v>
          </cell>
        </row>
        <row r="1997">
          <cell r="A1997" t="str">
            <v>LU2138387845</v>
          </cell>
          <cell r="B1997" t="str">
            <v>AMUNDI FUNDS EMERGING MARKETS GREEN BOND</v>
          </cell>
          <cell r="C1997" t="str">
            <v>Class R2 USD (C)</v>
          </cell>
          <cell r="D1997" t="str">
            <v>USD</v>
          </cell>
          <cell r="E1997">
            <v>45747</v>
          </cell>
          <cell r="F1997">
            <v>4870.9399999999996</v>
          </cell>
          <cell r="G1997">
            <v>100</v>
          </cell>
          <cell r="H1997">
            <v>48.71</v>
          </cell>
          <cell r="I1997">
            <v>0</v>
          </cell>
          <cell r="J1997">
            <v>48.71</v>
          </cell>
          <cell r="K1997">
            <v>0</v>
          </cell>
        </row>
        <row r="1998">
          <cell r="A1998" t="str">
            <v>LU2259109952</v>
          </cell>
          <cell r="B1998" t="str">
            <v>AMUNDI FUNDS EMERGING MARKETS GREEN BOND</v>
          </cell>
          <cell r="C1998" t="str">
            <v>Class R2 GBP (C)</v>
          </cell>
          <cell r="D1998" t="str">
            <v>GBP</v>
          </cell>
          <cell r="E1998">
            <v>45747</v>
          </cell>
          <cell r="F1998">
            <v>8675.68</v>
          </cell>
          <cell r="G1998">
            <v>182.96899999999999</v>
          </cell>
          <cell r="H1998">
            <v>47.42</v>
          </cell>
          <cell r="I1998">
            <v>0</v>
          </cell>
          <cell r="J1998">
            <v>47.42</v>
          </cell>
          <cell r="K1998">
            <v>0.12</v>
          </cell>
        </row>
        <row r="1999">
          <cell r="A1999" t="str">
            <v>LU2347634318</v>
          </cell>
          <cell r="B1999" t="str">
            <v>AMUNDI FUNDS EMERGING MARKETS GREEN BOND</v>
          </cell>
          <cell r="C1999" t="str">
            <v>Class R4 GBP Hgd (C)</v>
          </cell>
          <cell r="D1999" t="str">
            <v>GBP</v>
          </cell>
          <cell r="E1999">
            <v>45747</v>
          </cell>
          <cell r="F1999">
            <v>111695.09</v>
          </cell>
          <cell r="G1999">
            <v>2481.2049999999999</v>
          </cell>
          <cell r="H1999">
            <v>45.02</v>
          </cell>
          <cell r="I1999">
            <v>0</v>
          </cell>
          <cell r="J1999">
            <v>45.02</v>
          </cell>
          <cell r="K1999">
            <v>0</v>
          </cell>
        </row>
        <row r="2000">
          <cell r="A2000" t="str">
            <v>LU2347636875</v>
          </cell>
          <cell r="B2000" t="str">
            <v>AMUNDI FUNDS EMERGING MARKETS GREEN BOND</v>
          </cell>
          <cell r="C2000" t="str">
            <v>Class R4 EUR Hgd (C)</v>
          </cell>
          <cell r="D2000" t="str">
            <v>EUR</v>
          </cell>
          <cell r="E2000">
            <v>45747</v>
          </cell>
          <cell r="F2000">
            <v>1497937.2</v>
          </cell>
          <cell r="G2000">
            <v>34513</v>
          </cell>
          <cell r="H2000">
            <v>43.4</v>
          </cell>
          <cell r="I2000">
            <v>0</v>
          </cell>
          <cell r="J2000">
            <v>43.4</v>
          </cell>
          <cell r="K2000">
            <v>-0.01</v>
          </cell>
        </row>
        <row r="2001">
          <cell r="A2001" t="str">
            <v>LU2138387688</v>
          </cell>
          <cell r="B2001" t="str">
            <v>AMUNDI FUNDS EMERGING MARKETS GREEN BOND</v>
          </cell>
          <cell r="C2001" t="str">
            <v>Class R USD (C)</v>
          </cell>
          <cell r="D2001" t="str">
            <v>USD</v>
          </cell>
          <cell r="E2001">
            <v>45747</v>
          </cell>
          <cell r="F2001">
            <v>4891.63</v>
          </cell>
          <cell r="G2001">
            <v>100</v>
          </cell>
          <cell r="H2001">
            <v>48.92</v>
          </cell>
          <cell r="I2001">
            <v>0</v>
          </cell>
          <cell r="J2001">
            <v>48.92</v>
          </cell>
          <cell r="K2001">
            <v>0</v>
          </cell>
        </row>
        <row r="2002">
          <cell r="A2002" t="str">
            <v>LU2259111008</v>
          </cell>
          <cell r="B2002" t="str">
            <v>AMUNDI FUNDS EMERGING MARKETS GREEN BOND</v>
          </cell>
          <cell r="C2002" t="str">
            <v>Class G EUR Hgd (C)</v>
          </cell>
          <cell r="D2002" t="str">
            <v>EUR</v>
          </cell>
          <cell r="E2002">
            <v>45747</v>
          </cell>
          <cell r="F2002">
            <v>11007328.76</v>
          </cell>
          <cell r="G2002">
            <v>2657669.4709999999</v>
          </cell>
          <cell r="H2002">
            <v>4.1420000000000003</v>
          </cell>
          <cell r="I2002">
            <v>0</v>
          </cell>
          <cell r="J2002">
            <v>4.266</v>
          </cell>
          <cell r="K2002">
            <v>-1E-3</v>
          </cell>
        </row>
        <row r="2003">
          <cell r="A2003" t="str">
            <v>LU2138390559</v>
          </cell>
          <cell r="B2003" t="str">
            <v>AMUNDI FUNDS EMERGING MARKETS GREEN BOND</v>
          </cell>
          <cell r="C2003" t="str">
            <v>Class G EUR (C)</v>
          </cell>
          <cell r="D2003" t="str">
            <v>EUR</v>
          </cell>
          <cell r="E2003">
            <v>45747</v>
          </cell>
          <cell r="F2003">
            <v>9296187.4600000009</v>
          </cell>
          <cell r="G2003">
            <v>1885431.902</v>
          </cell>
          <cell r="H2003">
            <v>4.931</v>
          </cell>
          <cell r="I2003">
            <v>0</v>
          </cell>
          <cell r="J2003">
            <v>5.0789999999999997</v>
          </cell>
          <cell r="K2003">
            <v>8.9999999999999993E-3</v>
          </cell>
        </row>
        <row r="2004">
          <cell r="A2004" t="str">
            <v>LU2138390989</v>
          </cell>
          <cell r="B2004" t="str">
            <v>AMUNDI FUNDS EMERGING MARKETS GREEN BOND</v>
          </cell>
          <cell r="C2004" t="str">
            <v>Class SE USD (C)</v>
          </cell>
          <cell r="D2004" t="str">
            <v>USD</v>
          </cell>
          <cell r="E2004">
            <v>45747</v>
          </cell>
          <cell r="F2004">
            <v>20317929.550000001</v>
          </cell>
          <cell r="G2004">
            <v>20500</v>
          </cell>
          <cell r="H2004">
            <v>991.12</v>
          </cell>
          <cell r="I2004">
            <v>0</v>
          </cell>
          <cell r="J2004">
            <v>991.12</v>
          </cell>
          <cell r="K2004">
            <v>-0.08</v>
          </cell>
        </row>
        <row r="2005">
          <cell r="A2005" t="str">
            <v>LU2138389544</v>
          </cell>
          <cell r="B2005" t="str">
            <v>AMUNDI FUNDS EMERGING MARKETS GREEN BOND</v>
          </cell>
          <cell r="C2005" t="str">
            <v>Class H EUR (C)</v>
          </cell>
          <cell r="D2005" t="str">
            <v>EUR</v>
          </cell>
          <cell r="E2005">
            <v>45747</v>
          </cell>
          <cell r="F2005">
            <v>5233.8500000000004</v>
          </cell>
          <cell r="G2005">
            <v>5</v>
          </cell>
          <cell r="H2005">
            <v>1046.77</v>
          </cell>
          <cell r="I2005">
            <v>0</v>
          </cell>
          <cell r="J2005">
            <v>1046.77</v>
          </cell>
          <cell r="K2005">
            <v>1.96</v>
          </cell>
        </row>
        <row r="2006">
          <cell r="A2006" t="str">
            <v>LU2279408756</v>
          </cell>
          <cell r="B2006" t="str">
            <v>AMUNDI FUNDS EMERGING MARKETS GREEN BOND</v>
          </cell>
          <cell r="C2006" t="str">
            <v>Class Z EUR Hgd (C)</v>
          </cell>
          <cell r="D2006" t="str">
            <v>EUR</v>
          </cell>
          <cell r="E2006">
            <v>45747</v>
          </cell>
          <cell r="F2006">
            <v>44797912.979999997</v>
          </cell>
          <cell r="G2006">
            <v>52266.175000000003</v>
          </cell>
          <cell r="H2006">
            <v>857.11</v>
          </cell>
          <cell r="I2006">
            <v>0</v>
          </cell>
          <cell r="J2006">
            <v>857.11</v>
          </cell>
          <cell r="K2006">
            <v>-0.11</v>
          </cell>
        </row>
        <row r="2007">
          <cell r="A2007" t="str">
            <v>LU2359306920</v>
          </cell>
          <cell r="B2007" t="str">
            <v>AMUNDI FUNDS EUROPEAN EQUITY ESG IMPROVERS</v>
          </cell>
          <cell r="C2007" t="str">
            <v>Class A2 EUR (C)</v>
          </cell>
          <cell r="D2007" t="str">
            <v>EUR</v>
          </cell>
          <cell r="E2007">
            <v>45747</v>
          </cell>
          <cell r="F2007">
            <v>10004138.43</v>
          </cell>
          <cell r="G2007">
            <v>173529.73499999999</v>
          </cell>
          <cell r="H2007">
            <v>57.65</v>
          </cell>
          <cell r="I2007">
            <v>0</v>
          </cell>
          <cell r="J2007">
            <v>60.24</v>
          </cell>
          <cell r="K2007">
            <v>-0.86</v>
          </cell>
        </row>
        <row r="2008">
          <cell r="A2008" t="str">
            <v>LU2151176349</v>
          </cell>
          <cell r="B2008" t="str">
            <v>AMUNDI FUNDS EUROPEAN EQUITY ESG IMPROVERS</v>
          </cell>
          <cell r="C2008" t="str">
            <v>Class A EUR ( C )</v>
          </cell>
          <cell r="D2008" t="str">
            <v>EUR</v>
          </cell>
          <cell r="E2008">
            <v>45747</v>
          </cell>
          <cell r="F2008">
            <v>67544107.670000002</v>
          </cell>
          <cell r="G2008">
            <v>900357.70600000001</v>
          </cell>
          <cell r="H2008">
            <v>75.02</v>
          </cell>
          <cell r="I2008">
            <v>0</v>
          </cell>
          <cell r="J2008">
            <v>75.02</v>
          </cell>
          <cell r="K2008">
            <v>-1.1100000000000001</v>
          </cell>
        </row>
        <row r="2009">
          <cell r="A2009" t="str">
            <v>LU2359307068</v>
          </cell>
          <cell r="B2009" t="str">
            <v>AMUNDI FUNDS EUROPEAN EQUITY ESG IMPROVERS</v>
          </cell>
          <cell r="C2009" t="str">
            <v>Class A USD (C)</v>
          </cell>
          <cell r="D2009" t="str">
            <v>USD</v>
          </cell>
          <cell r="E2009">
            <v>45747</v>
          </cell>
          <cell r="F2009">
            <v>88465.19</v>
          </cell>
          <cell r="G2009">
            <v>1666.931</v>
          </cell>
          <cell r="H2009">
            <v>53.07</v>
          </cell>
          <cell r="I2009">
            <v>0</v>
          </cell>
          <cell r="J2009">
            <v>55.46</v>
          </cell>
          <cell r="K2009">
            <v>-0.89</v>
          </cell>
        </row>
        <row r="2010">
          <cell r="A2010" t="str">
            <v>LU2359306847</v>
          </cell>
          <cell r="B2010" t="str">
            <v>AMUNDI FUNDS EUROPEAN EQUITY ESG IMPROVERS</v>
          </cell>
          <cell r="C2010" t="str">
            <v>Class A2 CHF (C)</v>
          </cell>
          <cell r="D2010" t="str">
            <v>CHF</v>
          </cell>
          <cell r="E2010">
            <v>45747</v>
          </cell>
          <cell r="F2010">
            <v>1794209.86</v>
          </cell>
          <cell r="G2010">
            <v>35294.675000000003</v>
          </cell>
          <cell r="H2010">
            <v>50.84</v>
          </cell>
          <cell r="I2010">
            <v>0</v>
          </cell>
          <cell r="J2010">
            <v>53.13</v>
          </cell>
          <cell r="K2010">
            <v>-0.63</v>
          </cell>
        </row>
        <row r="2011">
          <cell r="A2011" t="str">
            <v>LU2368112392</v>
          </cell>
          <cell r="B2011" t="str">
            <v>AMUNDI FUNDS EUROPEAN EQUITY ESG IMPROVERS</v>
          </cell>
          <cell r="C2011" t="str">
            <v>Class A CZK Hgd (C)</v>
          </cell>
          <cell r="D2011" t="str">
            <v>CZK</v>
          </cell>
          <cell r="E2011">
            <v>45747</v>
          </cell>
          <cell r="F2011">
            <v>3594298.26</v>
          </cell>
          <cell r="G2011">
            <v>2919.4920000000002</v>
          </cell>
          <cell r="H2011">
            <v>1231.1400000000001</v>
          </cell>
          <cell r="I2011">
            <v>0</v>
          </cell>
          <cell r="J2011">
            <v>1231.1400000000001</v>
          </cell>
          <cell r="K2011">
            <v>-18.29</v>
          </cell>
        </row>
        <row r="2012">
          <cell r="A2012" t="str">
            <v>LU2359307498</v>
          </cell>
          <cell r="B2012" t="str">
            <v>AMUNDI FUNDS EUROPEAN EQUITY ESG IMPROVERS</v>
          </cell>
          <cell r="C2012" t="str">
            <v>Class C EUR (C)</v>
          </cell>
          <cell r="D2012" t="str">
            <v>EUR</v>
          </cell>
          <cell r="E2012">
            <v>45747</v>
          </cell>
          <cell r="F2012">
            <v>363375.29</v>
          </cell>
          <cell r="G2012">
            <v>6525.0110000000004</v>
          </cell>
          <cell r="H2012">
            <v>55.69</v>
          </cell>
          <cell r="I2012">
            <v>0</v>
          </cell>
          <cell r="J2012">
            <v>55.69</v>
          </cell>
          <cell r="K2012">
            <v>-0.83</v>
          </cell>
        </row>
        <row r="2013">
          <cell r="A2013" t="str">
            <v>LU2151176695</v>
          </cell>
          <cell r="B2013" t="str">
            <v>AMUNDI FUNDS EUROPEAN EQUITY ESG IMPROVERS</v>
          </cell>
          <cell r="C2013" t="str">
            <v>Class E2 EUR ( C )</v>
          </cell>
          <cell r="D2013" t="str">
            <v>EUR</v>
          </cell>
          <cell r="E2013">
            <v>45747</v>
          </cell>
          <cell r="F2013">
            <v>87808684.519999996</v>
          </cell>
          <cell r="G2013">
            <v>11652707.845000001</v>
          </cell>
          <cell r="H2013">
            <v>7.5350000000000001</v>
          </cell>
          <cell r="I2013">
            <v>0</v>
          </cell>
          <cell r="J2013">
            <v>7.5350000000000001</v>
          </cell>
          <cell r="K2013">
            <v>-0.112</v>
          </cell>
        </row>
        <row r="2014">
          <cell r="A2014" t="str">
            <v>LU2151176778</v>
          </cell>
          <cell r="B2014" t="str">
            <v>AMUNDI FUNDS EUROPEAN EQUITY ESG IMPROVERS</v>
          </cell>
          <cell r="C2014" t="str">
            <v>Class F EUR ( C )</v>
          </cell>
          <cell r="D2014" t="str">
            <v>EUR</v>
          </cell>
          <cell r="E2014">
            <v>45747</v>
          </cell>
          <cell r="F2014">
            <v>4919404.3600000003</v>
          </cell>
          <cell r="G2014">
            <v>680258.33</v>
          </cell>
          <cell r="H2014">
            <v>7.2320000000000002</v>
          </cell>
          <cell r="I2014">
            <v>0</v>
          </cell>
          <cell r="J2014">
            <v>7.2320000000000002</v>
          </cell>
          <cell r="K2014">
            <v>-0.108</v>
          </cell>
        </row>
        <row r="2015">
          <cell r="A2015" t="str">
            <v>LU2151177073</v>
          </cell>
          <cell r="B2015" t="str">
            <v>AMUNDI FUNDS EUROPEAN EQUITY ESG IMPROVERS</v>
          </cell>
          <cell r="C2015" t="str">
            <v>Class I EUR ( C )</v>
          </cell>
          <cell r="D2015" t="str">
            <v>EUR</v>
          </cell>
          <cell r="E2015">
            <v>45747</v>
          </cell>
          <cell r="F2015">
            <v>3085763.11</v>
          </cell>
          <cell r="G2015">
            <v>1971</v>
          </cell>
          <cell r="H2015">
            <v>1565.58</v>
          </cell>
          <cell r="I2015">
            <v>0</v>
          </cell>
          <cell r="J2015">
            <v>1565.58</v>
          </cell>
          <cell r="K2015">
            <v>-23.15</v>
          </cell>
        </row>
        <row r="2016">
          <cell r="A2016" t="str">
            <v>LU2330497277</v>
          </cell>
          <cell r="B2016" t="str">
            <v>AMUNDI FUNDS EUROPEAN EQUITY ESG IMPROVERS</v>
          </cell>
          <cell r="C2016" t="str">
            <v>Class I2 EUR (C)</v>
          </cell>
          <cell r="D2016" t="str">
            <v>EUR</v>
          </cell>
          <cell r="E2016">
            <v>45747</v>
          </cell>
          <cell r="F2016">
            <v>13643.84</v>
          </cell>
          <cell r="G2016">
            <v>11.172000000000001</v>
          </cell>
          <cell r="H2016">
            <v>1221.25</v>
          </cell>
          <cell r="I2016">
            <v>0</v>
          </cell>
          <cell r="J2016">
            <v>1221.25</v>
          </cell>
          <cell r="K2016">
            <v>-18.07</v>
          </cell>
        </row>
        <row r="2017">
          <cell r="A2017" t="str">
            <v>LU2359306763</v>
          </cell>
          <cell r="B2017" t="str">
            <v>AMUNDI FUNDS EUROPEAN EQUITY ESG IMPROVERS</v>
          </cell>
          <cell r="C2017" t="str">
            <v>Class I2 GBP (C)</v>
          </cell>
          <cell r="D2017" t="str">
            <v>GBP</v>
          </cell>
          <cell r="E2017">
            <v>45747</v>
          </cell>
          <cell r="F2017">
            <v>5791.29</v>
          </cell>
          <cell r="G2017">
            <v>5</v>
          </cell>
          <cell r="H2017">
            <v>1158.26</v>
          </cell>
          <cell r="I2017">
            <v>0</v>
          </cell>
          <cell r="J2017">
            <v>1158.26</v>
          </cell>
          <cell r="K2017">
            <v>-16.36</v>
          </cell>
        </row>
        <row r="2018">
          <cell r="A2018" t="str">
            <v>LU2359307571</v>
          </cell>
          <cell r="B2018" t="str">
            <v>AMUNDI FUNDS EUROPEAN EQUITY ESG IMPROVERS</v>
          </cell>
          <cell r="C2018" t="str">
            <v>Class I2 USD (C)</v>
          </cell>
          <cell r="D2018" t="str">
            <v>USD</v>
          </cell>
          <cell r="E2018">
            <v>45747</v>
          </cell>
          <cell r="F2018">
            <v>5462.3</v>
          </cell>
          <cell r="G2018">
            <v>5</v>
          </cell>
          <cell r="H2018">
            <v>1092.46</v>
          </cell>
          <cell r="I2018">
            <v>0</v>
          </cell>
          <cell r="J2018">
            <v>1092.46</v>
          </cell>
          <cell r="K2018">
            <v>-18.309999999999999</v>
          </cell>
        </row>
        <row r="2019">
          <cell r="A2019" t="str">
            <v>LU2151176851</v>
          </cell>
          <cell r="B2019" t="str">
            <v>AMUNDI FUNDS EUROPEAN EQUITY ESG IMPROVERS</v>
          </cell>
          <cell r="C2019" t="str">
            <v>Class G EUR ( C )</v>
          </cell>
          <cell r="D2019" t="str">
            <v>EUR</v>
          </cell>
          <cell r="E2019">
            <v>45747</v>
          </cell>
          <cell r="F2019">
            <v>47508446.530000001</v>
          </cell>
          <cell r="G2019">
            <v>6382447.5449999999</v>
          </cell>
          <cell r="H2019">
            <v>7.444</v>
          </cell>
          <cell r="I2019">
            <v>0</v>
          </cell>
          <cell r="J2019">
            <v>7.444</v>
          </cell>
          <cell r="K2019">
            <v>-0.11</v>
          </cell>
        </row>
        <row r="2020">
          <cell r="A2020" t="str">
            <v>LU2151177230</v>
          </cell>
          <cell r="B2020" t="str">
            <v>AMUNDI FUNDS EUROPEAN EQUITY ESG IMPROVERS</v>
          </cell>
          <cell r="C2020" t="str">
            <v>Class M2 EUR ( C )</v>
          </cell>
          <cell r="D2020" t="str">
            <v>EUR</v>
          </cell>
          <cell r="E2020">
            <v>45747</v>
          </cell>
          <cell r="F2020">
            <v>20929818.379999999</v>
          </cell>
          <cell r="G2020">
            <v>13368.807000000001</v>
          </cell>
          <cell r="H2020">
            <v>1565.57</v>
          </cell>
          <cell r="I2020">
            <v>0</v>
          </cell>
          <cell r="J2020">
            <v>1565.57</v>
          </cell>
          <cell r="K2020">
            <v>-23.16</v>
          </cell>
        </row>
        <row r="2021">
          <cell r="A2021" t="str">
            <v>LU2359306508</v>
          </cell>
          <cell r="B2021" t="str">
            <v>AMUNDI FUNDS EUROPEAN EQUITY ESG IMPROVERS</v>
          </cell>
          <cell r="C2021" t="str">
            <v>Class R EUR (C)</v>
          </cell>
          <cell r="D2021" t="str">
            <v>EUR</v>
          </cell>
          <cell r="E2021">
            <v>45747</v>
          </cell>
          <cell r="F2021">
            <v>608495.03</v>
          </cell>
          <cell r="G2021">
            <v>10228.822</v>
          </cell>
          <cell r="H2021">
            <v>59.49</v>
          </cell>
          <cell r="I2021">
            <v>0</v>
          </cell>
          <cell r="J2021">
            <v>59.49</v>
          </cell>
          <cell r="K2021">
            <v>-0.88</v>
          </cell>
        </row>
        <row r="2022">
          <cell r="A2022" t="str">
            <v>LU2359307654</v>
          </cell>
          <cell r="B2022" t="str">
            <v>AMUNDI FUNDS EUROPEAN EQUITY ESG IMPROVERS</v>
          </cell>
          <cell r="C2022" t="str">
            <v>Class R2 EUR (C)</v>
          </cell>
          <cell r="D2022" t="str">
            <v>EUR</v>
          </cell>
          <cell r="E2022">
            <v>45747</v>
          </cell>
          <cell r="F2022">
            <v>791972.11</v>
          </cell>
          <cell r="G2022">
            <v>13481.646000000001</v>
          </cell>
          <cell r="H2022">
            <v>58.74</v>
          </cell>
          <cell r="I2022">
            <v>0</v>
          </cell>
          <cell r="J2022">
            <v>58.74</v>
          </cell>
          <cell r="K2022">
            <v>-0.87</v>
          </cell>
        </row>
        <row r="2023">
          <cell r="A2023" t="str">
            <v>LU2151177313</v>
          </cell>
          <cell r="B2023" t="str">
            <v>AMUNDI FUNDS EUROPEAN EQUITY ESG IMPROVERS</v>
          </cell>
          <cell r="C2023" t="str">
            <v>Class Z EUR ( C )</v>
          </cell>
          <cell r="D2023" t="str">
            <v>EUR</v>
          </cell>
          <cell r="E2023">
            <v>45747</v>
          </cell>
          <cell r="F2023">
            <v>79487311.659999996</v>
          </cell>
          <cell r="G2023">
            <v>50252.311000000002</v>
          </cell>
          <cell r="H2023">
            <v>1581.76</v>
          </cell>
          <cell r="I2023">
            <v>0</v>
          </cell>
          <cell r="J2023">
            <v>1581.76</v>
          </cell>
          <cell r="K2023">
            <v>-23.37</v>
          </cell>
        </row>
        <row r="2024">
          <cell r="A2024" t="str">
            <v>LU2151176935</v>
          </cell>
          <cell r="B2024" t="str">
            <v>AMUNDI FUNDS EUROPEAN EQUITY ESG IMPROVERS</v>
          </cell>
          <cell r="C2024" t="str">
            <v>Class H EUR ( C )</v>
          </cell>
          <cell r="D2024" t="str">
            <v>EUR</v>
          </cell>
          <cell r="E2024">
            <v>45747</v>
          </cell>
          <cell r="F2024">
            <v>4917513.67</v>
          </cell>
          <cell r="G2024">
            <v>3082.29</v>
          </cell>
          <cell r="H2024">
            <v>1595.41</v>
          </cell>
          <cell r="I2024">
            <v>0</v>
          </cell>
          <cell r="J2024">
            <v>1595.41</v>
          </cell>
          <cell r="K2024">
            <v>-23.54</v>
          </cell>
        </row>
        <row r="2025">
          <cell r="A2025" t="str">
            <v>LU2643913002</v>
          </cell>
          <cell r="B2025" t="str">
            <v>AMUNDI FUNDS US EQUITY ESG IMPROVERS</v>
          </cell>
          <cell r="C2025" t="str">
            <v>Class A2 USD (C)</v>
          </cell>
          <cell r="D2025" t="str">
            <v>USD</v>
          </cell>
          <cell r="E2025">
            <v>45747</v>
          </cell>
          <cell r="F2025">
            <v>285748.7</v>
          </cell>
          <cell r="G2025">
            <v>5400.482</v>
          </cell>
          <cell r="H2025">
            <v>52.91</v>
          </cell>
          <cell r="I2025">
            <v>0</v>
          </cell>
          <cell r="J2025">
            <v>55.29</v>
          </cell>
          <cell r="K2025">
            <v>0.21</v>
          </cell>
        </row>
        <row r="2026">
          <cell r="A2026" t="str">
            <v>LU2146567792</v>
          </cell>
          <cell r="B2026" t="str">
            <v>AMUNDI FUNDS US EQUITY ESG IMPROVERS</v>
          </cell>
          <cell r="C2026" t="str">
            <v>Class A EUR AD (D)</v>
          </cell>
          <cell r="D2026" t="str">
            <v>EUR</v>
          </cell>
          <cell r="E2026">
            <v>45747</v>
          </cell>
          <cell r="F2026">
            <v>4713430.24</v>
          </cell>
          <cell r="G2026">
            <v>67643.182000000001</v>
          </cell>
          <cell r="H2026">
            <v>69.680000000000007</v>
          </cell>
          <cell r="I2026">
            <v>0</v>
          </cell>
          <cell r="J2026">
            <v>72.819999999999993</v>
          </cell>
          <cell r="K2026">
            <v>0.42</v>
          </cell>
        </row>
        <row r="2027">
          <cell r="A2027" t="str">
            <v>LU2146567529</v>
          </cell>
          <cell r="B2027" t="str">
            <v>AMUNDI FUNDS US EQUITY ESG IMPROVERS</v>
          </cell>
          <cell r="C2027" t="str">
            <v>Class A EUR (C)</v>
          </cell>
          <cell r="D2027" t="str">
            <v>EUR</v>
          </cell>
          <cell r="E2027">
            <v>45747</v>
          </cell>
          <cell r="F2027">
            <v>59004795</v>
          </cell>
          <cell r="G2027">
            <v>846757.11199999996</v>
          </cell>
          <cell r="H2027">
            <v>69.680000000000007</v>
          </cell>
          <cell r="I2027">
            <v>0</v>
          </cell>
          <cell r="J2027">
            <v>72.819999999999993</v>
          </cell>
          <cell r="K2027">
            <v>0.42</v>
          </cell>
        </row>
        <row r="2028">
          <cell r="A2028" t="str">
            <v>LU2643912889</v>
          </cell>
          <cell r="B2028" t="str">
            <v>AMUNDI FUNDS US EQUITY ESG IMPROVERS</v>
          </cell>
          <cell r="C2028" t="str">
            <v>Class A USD AD (D)</v>
          </cell>
          <cell r="D2028" t="str">
            <v>USD</v>
          </cell>
          <cell r="E2028">
            <v>45747</v>
          </cell>
          <cell r="F2028">
            <v>626740.30000000005</v>
          </cell>
          <cell r="G2028">
            <v>11804.886</v>
          </cell>
          <cell r="H2028">
            <v>53.09</v>
          </cell>
          <cell r="I2028">
            <v>0</v>
          </cell>
          <cell r="J2028">
            <v>55.48</v>
          </cell>
          <cell r="K2028">
            <v>0.22</v>
          </cell>
        </row>
        <row r="2029">
          <cell r="A2029" t="str">
            <v>LU2146567289</v>
          </cell>
          <cell r="B2029" t="str">
            <v>AMUNDI FUNDS US EQUITY ESG IMPROVERS</v>
          </cell>
          <cell r="C2029" t="str">
            <v>Class A USD (C)</v>
          </cell>
          <cell r="D2029" t="str">
            <v>USD</v>
          </cell>
          <cell r="E2029">
            <v>45747</v>
          </cell>
          <cell r="F2029">
            <v>48581116.939999998</v>
          </cell>
          <cell r="G2029">
            <v>634115.06900000002</v>
          </cell>
          <cell r="H2029">
            <v>76.61</v>
          </cell>
          <cell r="I2029">
            <v>0</v>
          </cell>
          <cell r="J2029">
            <v>80.06</v>
          </cell>
          <cell r="K2029">
            <v>0.31</v>
          </cell>
        </row>
        <row r="2030">
          <cell r="A2030" t="str">
            <v>LU2146567875</v>
          </cell>
          <cell r="B2030" t="str">
            <v>AMUNDI FUNDS US EQUITY ESG IMPROVERS</v>
          </cell>
          <cell r="C2030" t="str">
            <v>Class A EUR Hgd (C)</v>
          </cell>
          <cell r="D2030" t="str">
            <v>EUR</v>
          </cell>
          <cell r="E2030">
            <v>45747</v>
          </cell>
          <cell r="F2030">
            <v>2100495.81</v>
          </cell>
          <cell r="G2030">
            <v>36957.256999999998</v>
          </cell>
          <cell r="H2030">
            <v>56.84</v>
          </cell>
          <cell r="I2030">
            <v>0</v>
          </cell>
          <cell r="J2030">
            <v>59.4</v>
          </cell>
          <cell r="K2030">
            <v>0.23</v>
          </cell>
        </row>
        <row r="2031">
          <cell r="A2031" t="str">
            <v>LU2146568170</v>
          </cell>
          <cell r="B2031" t="str">
            <v>AMUNDI FUNDS US EQUITY ESG IMPROVERS</v>
          </cell>
          <cell r="C2031" t="str">
            <v>Class C EUR (C)</v>
          </cell>
          <cell r="D2031" t="str">
            <v>EUR</v>
          </cell>
          <cell r="E2031">
            <v>45747</v>
          </cell>
          <cell r="F2031">
            <v>104626.01</v>
          </cell>
          <cell r="G2031">
            <v>1555.223</v>
          </cell>
          <cell r="H2031">
            <v>67.27</v>
          </cell>
          <cell r="I2031">
            <v>0</v>
          </cell>
          <cell r="J2031">
            <v>67.27</v>
          </cell>
          <cell r="K2031">
            <v>0.4</v>
          </cell>
        </row>
        <row r="2032">
          <cell r="A2032" t="str">
            <v>LU2146568097</v>
          </cell>
          <cell r="B2032" t="str">
            <v>AMUNDI FUNDS US EQUITY ESG IMPROVERS</v>
          </cell>
          <cell r="C2032" t="str">
            <v>Class C USD (C)</v>
          </cell>
          <cell r="D2032" t="str">
            <v>USD</v>
          </cell>
          <cell r="E2032">
            <v>45747</v>
          </cell>
          <cell r="F2032">
            <v>1184581.3400000001</v>
          </cell>
          <cell r="G2032">
            <v>19767.527999999998</v>
          </cell>
          <cell r="H2032">
            <v>59.93</v>
          </cell>
          <cell r="I2032">
            <v>0</v>
          </cell>
          <cell r="J2032">
            <v>59.93</v>
          </cell>
          <cell r="K2032">
            <v>0.24</v>
          </cell>
        </row>
        <row r="2033">
          <cell r="A2033" t="str">
            <v>LU2146568253</v>
          </cell>
          <cell r="B2033" t="str">
            <v>AMUNDI FUNDS US EQUITY ESG IMPROVERS</v>
          </cell>
          <cell r="C2033" t="str">
            <v>Class E2 EUR (C)</v>
          </cell>
          <cell r="D2033" t="str">
            <v>EUR</v>
          </cell>
          <cell r="E2033">
            <v>45747</v>
          </cell>
          <cell r="F2033">
            <v>6539124.5700000003</v>
          </cell>
          <cell r="G2033">
            <v>809667.13899999997</v>
          </cell>
          <cell r="H2033">
            <v>8.0760000000000005</v>
          </cell>
          <cell r="I2033">
            <v>0</v>
          </cell>
          <cell r="J2033">
            <v>8.3989999999999991</v>
          </cell>
          <cell r="K2033">
            <v>4.8000000000000001E-2</v>
          </cell>
        </row>
        <row r="2034">
          <cell r="A2034" t="str">
            <v>LU2643912616</v>
          </cell>
          <cell r="B2034" t="str">
            <v>AMUNDI FUNDS US EQUITY ESG IMPROVERS</v>
          </cell>
          <cell r="C2034" t="str">
            <v>Class F USD (C)</v>
          </cell>
          <cell r="D2034" t="str">
            <v>USD</v>
          </cell>
          <cell r="E2034">
            <v>45747</v>
          </cell>
          <cell r="F2034">
            <v>459687.37</v>
          </cell>
          <cell r="G2034">
            <v>87765.82</v>
          </cell>
          <cell r="H2034">
            <v>5.2380000000000004</v>
          </cell>
          <cell r="I2034">
            <v>0</v>
          </cell>
          <cell r="J2034">
            <v>5.2380000000000004</v>
          </cell>
          <cell r="K2034">
            <v>2.1000000000000001E-2</v>
          </cell>
        </row>
        <row r="2035">
          <cell r="A2035" t="str">
            <v>LU2146568337</v>
          </cell>
          <cell r="B2035" t="str">
            <v>AMUNDI FUNDS US EQUITY ESG IMPROVERS</v>
          </cell>
          <cell r="C2035" t="str">
            <v>Class F EUR (C)</v>
          </cell>
          <cell r="D2035" t="str">
            <v>EUR</v>
          </cell>
          <cell r="E2035">
            <v>45747</v>
          </cell>
          <cell r="F2035">
            <v>3966614.49</v>
          </cell>
          <cell r="G2035">
            <v>515356.723</v>
          </cell>
          <cell r="H2035">
            <v>7.6970000000000001</v>
          </cell>
          <cell r="I2035">
            <v>0</v>
          </cell>
          <cell r="J2035">
            <v>7.6970000000000001</v>
          </cell>
          <cell r="K2035">
            <v>4.5999999999999999E-2</v>
          </cell>
        </row>
        <row r="2036">
          <cell r="A2036" t="str">
            <v>LU2643912533</v>
          </cell>
          <cell r="B2036" t="str">
            <v>AMUNDI FUNDS US EQUITY ESG IMPROVERS</v>
          </cell>
          <cell r="C2036" t="str">
            <v>Class F EUR Hgd (C)</v>
          </cell>
          <cell r="D2036" t="str">
            <v>EUR</v>
          </cell>
          <cell r="E2036">
            <v>45747</v>
          </cell>
          <cell r="F2036">
            <v>1149189.67</v>
          </cell>
          <cell r="G2036">
            <v>226334.386</v>
          </cell>
          <cell r="H2036">
            <v>5.077</v>
          </cell>
          <cell r="I2036">
            <v>0</v>
          </cell>
          <cell r="J2036">
            <v>5.077</v>
          </cell>
          <cell r="K2036">
            <v>0.02</v>
          </cell>
        </row>
        <row r="2037">
          <cell r="A2037" t="str">
            <v>LU2643911642</v>
          </cell>
          <cell r="B2037" t="str">
            <v>AMUNDI FUNDS US EQUITY ESG IMPROVERS</v>
          </cell>
          <cell r="C2037" t="str">
            <v>Class I USD AD (D)</v>
          </cell>
          <cell r="D2037" t="str">
            <v>USD</v>
          </cell>
          <cell r="E2037">
            <v>45747</v>
          </cell>
          <cell r="F2037">
            <v>8437.74</v>
          </cell>
          <cell r="G2037">
            <v>7.8849999999999998</v>
          </cell>
          <cell r="H2037">
            <v>1070.0999999999999</v>
          </cell>
          <cell r="I2037">
            <v>0</v>
          </cell>
          <cell r="J2037">
            <v>1070.0999999999999</v>
          </cell>
          <cell r="K2037">
            <v>4.46</v>
          </cell>
        </row>
        <row r="2038">
          <cell r="A2038" t="str">
            <v>LU2146568683</v>
          </cell>
          <cell r="B2038" t="str">
            <v>AMUNDI FUNDS US EQUITY ESG IMPROVERS</v>
          </cell>
          <cell r="C2038" t="str">
            <v>Class I2 USD (C)</v>
          </cell>
          <cell r="D2038" t="str">
            <v>USD</v>
          </cell>
          <cell r="E2038">
            <v>45747</v>
          </cell>
          <cell r="F2038">
            <v>844570.21</v>
          </cell>
          <cell r="G2038">
            <v>532.37099999999998</v>
          </cell>
          <cell r="H2038">
            <v>1586.43</v>
          </cell>
          <cell r="I2038">
            <v>0</v>
          </cell>
          <cell r="J2038">
            <v>1586.43</v>
          </cell>
          <cell r="K2038">
            <v>6.6</v>
          </cell>
        </row>
        <row r="2039">
          <cell r="A2039" t="str">
            <v>LU2359306250</v>
          </cell>
          <cell r="B2039" t="str">
            <v>AMUNDI FUNDS US EQUITY ESG IMPROVERS</v>
          </cell>
          <cell r="C2039" t="str">
            <v>Class I2 GBP (C)</v>
          </cell>
          <cell r="D2039" t="str">
            <v>GBP</v>
          </cell>
          <cell r="E2039">
            <v>45747</v>
          </cell>
          <cell r="F2039">
            <v>6064.89</v>
          </cell>
          <cell r="G2039">
            <v>5</v>
          </cell>
          <cell r="H2039">
            <v>1212.98</v>
          </cell>
          <cell r="I2039">
            <v>0</v>
          </cell>
          <cell r="J2039">
            <v>1212.98</v>
          </cell>
          <cell r="K2039">
            <v>8.18</v>
          </cell>
        </row>
        <row r="2040">
          <cell r="A2040" t="str">
            <v>LU2146568501</v>
          </cell>
          <cell r="B2040" t="str">
            <v>AMUNDI FUNDS US EQUITY ESG IMPROVERS</v>
          </cell>
          <cell r="C2040" t="str">
            <v>Class I2 EUR (C)</v>
          </cell>
          <cell r="D2040" t="str">
            <v>EUR</v>
          </cell>
          <cell r="E2040">
            <v>45747</v>
          </cell>
          <cell r="F2040">
            <v>135882.1</v>
          </cell>
          <cell r="G2040">
            <v>93.861999999999995</v>
          </cell>
          <cell r="H2040">
            <v>1447.68</v>
          </cell>
          <cell r="I2040">
            <v>0</v>
          </cell>
          <cell r="J2040">
            <v>1447.68</v>
          </cell>
          <cell r="K2040">
            <v>8.82</v>
          </cell>
        </row>
        <row r="2041">
          <cell r="A2041" t="str">
            <v>LU2643912962</v>
          </cell>
          <cell r="B2041" t="str">
            <v>AMUNDI FUNDS US EQUITY ESG IMPROVERS</v>
          </cell>
          <cell r="C2041" t="str">
            <v>Class I EUR Hgd (C)</v>
          </cell>
          <cell r="D2041" t="str">
            <v>EUR</v>
          </cell>
          <cell r="E2041">
            <v>45747</v>
          </cell>
          <cell r="F2041">
            <v>106930.43</v>
          </cell>
          <cell r="G2041">
            <v>102.396</v>
          </cell>
          <cell r="H2041">
            <v>1044.28</v>
          </cell>
          <cell r="I2041">
            <v>0</v>
          </cell>
          <cell r="J2041">
            <v>1044.28</v>
          </cell>
          <cell r="K2041">
            <v>4.29</v>
          </cell>
        </row>
        <row r="2042">
          <cell r="A2042" t="str">
            <v>LU2146567446</v>
          </cell>
          <cell r="B2042" t="str">
            <v>AMUNDI FUNDS US EQUITY ESG IMPROVERS</v>
          </cell>
          <cell r="C2042" t="str">
            <v>Class I USD (C)</v>
          </cell>
          <cell r="D2042" t="str">
            <v>USD</v>
          </cell>
          <cell r="E2042">
            <v>45747</v>
          </cell>
          <cell r="F2042">
            <v>78473.22</v>
          </cell>
          <cell r="G2042">
            <v>66.224000000000004</v>
          </cell>
          <cell r="H2042">
            <v>1184.97</v>
          </cell>
          <cell r="I2042">
            <v>0</v>
          </cell>
          <cell r="J2042">
            <v>1184.97</v>
          </cell>
          <cell r="K2042">
            <v>4.9400000000000004</v>
          </cell>
        </row>
        <row r="2043">
          <cell r="A2043" t="str">
            <v>LU2146568766</v>
          </cell>
          <cell r="B2043" t="str">
            <v>AMUNDI FUNDS US EQUITY ESG IMPROVERS</v>
          </cell>
          <cell r="C2043" t="str">
            <v>Class M2 EUR (C)</v>
          </cell>
          <cell r="D2043" t="str">
            <v>EUR</v>
          </cell>
          <cell r="E2043">
            <v>45747</v>
          </cell>
          <cell r="F2043">
            <v>16742.38</v>
          </cell>
          <cell r="G2043">
            <v>10.103</v>
          </cell>
          <cell r="H2043">
            <v>1657.17</v>
          </cell>
          <cell r="I2043">
            <v>0</v>
          </cell>
          <cell r="J2043">
            <v>1657.17</v>
          </cell>
          <cell r="K2043">
            <v>10.09</v>
          </cell>
        </row>
        <row r="2044">
          <cell r="A2044" t="str">
            <v>LU2146569061</v>
          </cell>
          <cell r="B2044" t="str">
            <v>AMUNDI FUNDS US EQUITY ESG IMPROVERS</v>
          </cell>
          <cell r="C2044" t="str">
            <v>Class R2 EUR (C)</v>
          </cell>
          <cell r="D2044" t="str">
            <v>EUR</v>
          </cell>
          <cell r="E2044">
            <v>45747</v>
          </cell>
          <cell r="F2044">
            <v>83066.94</v>
          </cell>
          <cell r="G2044">
            <v>1493</v>
          </cell>
          <cell r="H2044">
            <v>55.64</v>
          </cell>
          <cell r="I2044">
            <v>0</v>
          </cell>
          <cell r="J2044">
            <v>55.64</v>
          </cell>
          <cell r="K2044">
            <v>0.34</v>
          </cell>
        </row>
        <row r="2045">
          <cell r="A2045" t="str">
            <v>LU2146568840</v>
          </cell>
          <cell r="B2045" t="str">
            <v>AMUNDI FUNDS US EQUITY ESG IMPROVERS</v>
          </cell>
          <cell r="C2045" t="str">
            <v>Class P2 USD (C)</v>
          </cell>
          <cell r="D2045" t="str">
            <v>USD</v>
          </cell>
          <cell r="E2045">
            <v>45747</v>
          </cell>
          <cell r="F2045">
            <v>8194.0499999999993</v>
          </cell>
          <cell r="G2045">
            <v>128.94399999999999</v>
          </cell>
          <cell r="H2045">
            <v>63.55</v>
          </cell>
          <cell r="I2045">
            <v>0</v>
          </cell>
          <cell r="J2045">
            <v>63.55</v>
          </cell>
          <cell r="K2045">
            <v>0.27</v>
          </cell>
        </row>
        <row r="2046">
          <cell r="A2046" t="str">
            <v>LU2146568923</v>
          </cell>
          <cell r="B2046" t="str">
            <v>AMUNDI FUNDS US EQUITY ESG IMPROVERS</v>
          </cell>
          <cell r="C2046" t="str">
            <v>Class R2 USD (C)</v>
          </cell>
          <cell r="D2046" t="str">
            <v>USD</v>
          </cell>
          <cell r="E2046">
            <v>45747</v>
          </cell>
          <cell r="F2046">
            <v>23351926.890000001</v>
          </cell>
          <cell r="G2046">
            <v>441188</v>
          </cell>
          <cell r="H2046">
            <v>52.93</v>
          </cell>
          <cell r="I2046">
            <v>0</v>
          </cell>
          <cell r="J2046">
            <v>52.93</v>
          </cell>
          <cell r="K2046">
            <v>0.22</v>
          </cell>
        </row>
        <row r="2047">
          <cell r="A2047" t="str">
            <v>LU2359306417</v>
          </cell>
          <cell r="B2047" t="str">
            <v>AMUNDI FUNDS US EQUITY ESG IMPROVERS</v>
          </cell>
          <cell r="C2047" t="str">
            <v>Class R USD (C)</v>
          </cell>
          <cell r="D2047" t="str">
            <v>USD</v>
          </cell>
          <cell r="E2047">
            <v>45747</v>
          </cell>
          <cell r="F2047">
            <v>145297.5</v>
          </cell>
          <cell r="G2047">
            <v>2551</v>
          </cell>
          <cell r="H2047">
            <v>56.96</v>
          </cell>
          <cell r="I2047">
            <v>0</v>
          </cell>
          <cell r="J2047">
            <v>56.96</v>
          </cell>
          <cell r="K2047">
            <v>0.24</v>
          </cell>
        </row>
        <row r="2048">
          <cell r="A2048" t="str">
            <v>LU2146568410</v>
          </cell>
          <cell r="B2048" t="str">
            <v>AMUNDI FUNDS US EQUITY ESG IMPROVERS</v>
          </cell>
          <cell r="C2048" t="str">
            <v>Class G EUR (C)</v>
          </cell>
          <cell r="D2048" t="str">
            <v>EUR</v>
          </cell>
          <cell r="E2048">
            <v>45747</v>
          </cell>
          <cell r="F2048">
            <v>2798868.21</v>
          </cell>
          <cell r="G2048">
            <v>355710.41700000002</v>
          </cell>
          <cell r="H2048">
            <v>7.8680000000000003</v>
          </cell>
          <cell r="I2048">
            <v>0</v>
          </cell>
          <cell r="J2048">
            <v>8.1039999999999992</v>
          </cell>
          <cell r="K2048">
            <v>4.7E-2</v>
          </cell>
        </row>
        <row r="2049">
          <cell r="A2049" t="str">
            <v>LU2643912707</v>
          </cell>
          <cell r="B2049" t="str">
            <v>AMUNDI FUNDS US EQUITY ESG IMPROVERS</v>
          </cell>
          <cell r="C2049" t="str">
            <v>Class G USD (C)</v>
          </cell>
          <cell r="D2049" t="str">
            <v>USD</v>
          </cell>
          <cell r="E2049">
            <v>45747</v>
          </cell>
          <cell r="F2049">
            <v>2483409.79</v>
          </cell>
          <cell r="G2049">
            <v>468920.30699999997</v>
          </cell>
          <cell r="H2049">
            <v>5.2960000000000003</v>
          </cell>
          <cell r="I2049">
            <v>0</v>
          </cell>
          <cell r="J2049">
            <v>5.4550000000000001</v>
          </cell>
          <cell r="K2049">
            <v>2.1999999999999999E-2</v>
          </cell>
        </row>
        <row r="2050">
          <cell r="A2050" t="str">
            <v>LU2643912459</v>
          </cell>
          <cell r="B2050" t="str">
            <v>AMUNDI FUNDS US EQUITY ESG IMPROVERS</v>
          </cell>
          <cell r="C2050" t="str">
            <v>Class G EUR Hgd (C)</v>
          </cell>
          <cell r="D2050" t="str">
            <v>EUR</v>
          </cell>
          <cell r="E2050">
            <v>45747</v>
          </cell>
          <cell r="F2050">
            <v>599045.02</v>
          </cell>
          <cell r="G2050">
            <v>116695.946</v>
          </cell>
          <cell r="H2050">
            <v>5.133</v>
          </cell>
          <cell r="I2050">
            <v>0</v>
          </cell>
          <cell r="J2050">
            <v>5.2869999999999999</v>
          </cell>
          <cell r="K2050">
            <v>0.02</v>
          </cell>
        </row>
        <row r="2051">
          <cell r="A2051" t="str">
            <v>LU2146569657</v>
          </cell>
          <cell r="B2051" t="str">
            <v>AMUNDI FUNDS US EQUITY ESG IMPROVERS</v>
          </cell>
          <cell r="C2051" t="str">
            <v>Class Z USD (C)</v>
          </cell>
          <cell r="D2051" t="str">
            <v>USD</v>
          </cell>
          <cell r="E2051">
            <v>45747</v>
          </cell>
          <cell r="F2051">
            <v>14348777.859999999</v>
          </cell>
          <cell r="G2051">
            <v>9030.5990000000002</v>
          </cell>
          <cell r="H2051">
            <v>1588.91</v>
          </cell>
          <cell r="I2051">
            <v>0</v>
          </cell>
          <cell r="J2051">
            <v>1588.91</v>
          </cell>
          <cell r="K2051">
            <v>6.64</v>
          </cell>
        </row>
        <row r="2052">
          <cell r="A2052" t="str">
            <v>LU2247575652</v>
          </cell>
          <cell r="B2052" t="str">
            <v>AMUNDI FUNDS QUANTITATIVE GLOBAL ABSOLUTE RETUR BD</v>
          </cell>
          <cell r="C2052" t="str">
            <v>Class A2 USD (C)</v>
          </cell>
          <cell r="D2052" t="str">
            <v>USD</v>
          </cell>
          <cell r="E2052">
            <v>45747</v>
          </cell>
          <cell r="F2052">
            <v>4893.3999999999996</v>
          </cell>
          <cell r="G2052">
            <v>100</v>
          </cell>
          <cell r="H2052">
            <v>48.93</v>
          </cell>
          <cell r="I2052">
            <v>0</v>
          </cell>
          <cell r="J2052">
            <v>50.4</v>
          </cell>
          <cell r="K2052">
            <v>0.06</v>
          </cell>
        </row>
        <row r="2053">
          <cell r="A2053" t="str">
            <v>LU2247576031</v>
          </cell>
          <cell r="B2053" t="str">
            <v>AMUNDI FUNDS QUANTITATIVE GLOBAL ABSOLUTE RETUR BD</v>
          </cell>
          <cell r="C2053" t="str">
            <v>Class I2 USD (C)</v>
          </cell>
          <cell r="D2053" t="str">
            <v>USD</v>
          </cell>
          <cell r="E2053">
            <v>45747</v>
          </cell>
          <cell r="F2053">
            <v>2534507.41</v>
          </cell>
          <cell r="G2053">
            <v>2505</v>
          </cell>
          <cell r="H2053">
            <v>1011.78</v>
          </cell>
          <cell r="I2053">
            <v>0</v>
          </cell>
          <cell r="J2053">
            <v>1011.78</v>
          </cell>
          <cell r="K2053">
            <v>1.39</v>
          </cell>
        </row>
        <row r="2054">
          <cell r="A2054" t="str">
            <v>LU2819203162</v>
          </cell>
          <cell r="B2054" t="str">
            <v>AMUNDI FUNDS QUANTITATIVE GLOBAL ABSOLUTE RETUR BD</v>
          </cell>
          <cell r="C2054" t="str">
            <v>Class I2 GBP (C)</v>
          </cell>
          <cell r="D2054" t="str">
            <v>GBP</v>
          </cell>
          <cell r="E2054">
            <v>45747</v>
          </cell>
          <cell r="F2054">
            <v>4674.43</v>
          </cell>
          <cell r="G2054">
            <v>5</v>
          </cell>
          <cell r="H2054">
            <v>934.89</v>
          </cell>
          <cell r="I2054">
            <v>0</v>
          </cell>
          <cell r="J2054">
            <v>934.89</v>
          </cell>
          <cell r="K2054">
            <v>3.71</v>
          </cell>
        </row>
        <row r="2055">
          <cell r="A2055" t="str">
            <v>LU2819203329</v>
          </cell>
          <cell r="B2055" t="str">
            <v>AMUNDI FUNDS QUANTITATIVE GLOBAL ABSOLUTE RETUR BD</v>
          </cell>
          <cell r="C2055" t="str">
            <v>Class J2 GBP (C)</v>
          </cell>
          <cell r="D2055" t="str">
            <v>GBP</v>
          </cell>
          <cell r="E2055">
            <v>45747</v>
          </cell>
          <cell r="F2055">
            <v>4678.6000000000004</v>
          </cell>
          <cell r="G2055">
            <v>5</v>
          </cell>
          <cell r="H2055">
            <v>935.72</v>
          </cell>
          <cell r="I2055">
            <v>0</v>
          </cell>
          <cell r="J2055">
            <v>935.72</v>
          </cell>
          <cell r="K2055">
            <v>3.72</v>
          </cell>
        </row>
        <row r="2056">
          <cell r="A2056" t="str">
            <v>LU2247575819</v>
          </cell>
          <cell r="B2056" t="str">
            <v>AMUNDI FUNDS QUANTITATIVE GLOBAL ABSOLUTE RETUR BD</v>
          </cell>
          <cell r="C2056" t="str">
            <v>Class R2 USD (C)</v>
          </cell>
          <cell r="D2056" t="str">
            <v>USD</v>
          </cell>
          <cell r="E2056">
            <v>45747</v>
          </cell>
          <cell r="F2056">
            <v>4991.87</v>
          </cell>
          <cell r="G2056">
            <v>100</v>
          </cell>
          <cell r="H2056">
            <v>49.92</v>
          </cell>
          <cell r="I2056">
            <v>0</v>
          </cell>
          <cell r="J2056">
            <v>49.92</v>
          </cell>
          <cell r="K2056">
            <v>7.0000000000000007E-2</v>
          </cell>
        </row>
        <row r="2057">
          <cell r="A2057" t="str">
            <v>LU2819203246</v>
          </cell>
          <cell r="B2057" t="str">
            <v>AMUNDI FUNDS QUANTITATIVE GLOBAL ABSOLUTE RETUR BD</v>
          </cell>
          <cell r="C2057" t="str">
            <v>Class R2 GBP (C)</v>
          </cell>
          <cell r="D2057" t="str">
            <v>GBP</v>
          </cell>
          <cell r="E2057">
            <v>45747</v>
          </cell>
          <cell r="F2057">
            <v>4662.47</v>
          </cell>
          <cell r="G2057">
            <v>100</v>
          </cell>
          <cell r="H2057">
            <v>46.62</v>
          </cell>
          <cell r="I2057">
            <v>0</v>
          </cell>
          <cell r="J2057">
            <v>46.62</v>
          </cell>
          <cell r="K2057">
            <v>0.18</v>
          </cell>
        </row>
        <row r="2058">
          <cell r="A2058" t="str">
            <v>LU2247577195</v>
          </cell>
          <cell r="B2058" t="str">
            <v>AMUNDI FUNDS QUANTITATIVE GLOBAL ABSOLUTE RETUR BD</v>
          </cell>
          <cell r="C2058" t="str">
            <v>Class H USD  ( C )</v>
          </cell>
          <cell r="D2058" t="str">
            <v>USD</v>
          </cell>
          <cell r="E2058">
            <v>45747</v>
          </cell>
          <cell r="F2058">
            <v>22496265.350000001</v>
          </cell>
          <cell r="G2058">
            <v>22000</v>
          </cell>
          <cell r="H2058">
            <v>1022.56</v>
          </cell>
          <cell r="I2058">
            <v>0</v>
          </cell>
          <cell r="J2058">
            <v>1022.56</v>
          </cell>
          <cell r="K2058">
            <v>1.43</v>
          </cell>
        </row>
        <row r="2059">
          <cell r="A2059" t="str">
            <v>LU2247576387</v>
          </cell>
          <cell r="B2059" t="str">
            <v>AMUNDI FUNDS QUANTITATIVE GLOBAL ABSOLUTE RETUR BD</v>
          </cell>
          <cell r="C2059" t="str">
            <v>Class Z USD (C)</v>
          </cell>
          <cell r="D2059" t="str">
            <v>USD</v>
          </cell>
          <cell r="E2059">
            <v>45747</v>
          </cell>
          <cell r="F2059">
            <v>22283157.780000001</v>
          </cell>
          <cell r="G2059">
            <v>21827.08</v>
          </cell>
          <cell r="H2059">
            <v>1020.9</v>
          </cell>
          <cell r="I2059">
            <v>0</v>
          </cell>
          <cell r="J2059">
            <v>1020.9</v>
          </cell>
          <cell r="K2059">
            <v>1.42</v>
          </cell>
        </row>
        <row r="2060">
          <cell r="A2060" t="str">
            <v>LU2247576205</v>
          </cell>
          <cell r="B2060" t="str">
            <v>AMUNDI FUNDS QUANTITATIVE GLOBAL ABSOLUTE RETUR BD</v>
          </cell>
          <cell r="C2060" t="str">
            <v>Class Z EUR Hgd (C)</v>
          </cell>
          <cell r="D2060" t="str">
            <v>EUR</v>
          </cell>
          <cell r="E2060">
            <v>45747</v>
          </cell>
          <cell r="F2060">
            <v>22698145.75</v>
          </cell>
          <cell r="G2060">
            <v>23800</v>
          </cell>
          <cell r="H2060">
            <v>953.7</v>
          </cell>
          <cell r="I2060">
            <v>0</v>
          </cell>
          <cell r="J2060">
            <v>953.7</v>
          </cell>
          <cell r="K2060">
            <v>1.27</v>
          </cell>
        </row>
        <row r="2061">
          <cell r="A2061" t="str">
            <v>LU2280506101</v>
          </cell>
          <cell r="B2061" t="str">
            <v>AMUNDI FUNDS GLOBAL CORPORATE ESG IMPROVERS BOND</v>
          </cell>
          <cell r="C2061" t="str">
            <v>Class A2 USD (C)</v>
          </cell>
          <cell r="D2061" t="str">
            <v>USD</v>
          </cell>
          <cell r="E2061">
            <v>45747</v>
          </cell>
          <cell r="F2061">
            <v>4840.59</v>
          </cell>
          <cell r="G2061">
            <v>100</v>
          </cell>
          <cell r="H2061">
            <v>48.41</v>
          </cell>
          <cell r="I2061">
            <v>0</v>
          </cell>
          <cell r="J2061">
            <v>48.41</v>
          </cell>
          <cell r="K2061">
            <v>0.03</v>
          </cell>
        </row>
        <row r="2062">
          <cell r="A2062" t="str">
            <v>LU2330497517</v>
          </cell>
          <cell r="B2062" t="str">
            <v>AMUNDI FUNDS GLOBAL CORPORATE ESG IMPROVERS BOND</v>
          </cell>
          <cell r="C2062" t="str">
            <v>Class A2 EUR Hgd (C)</v>
          </cell>
          <cell r="D2062" t="str">
            <v>EUR</v>
          </cell>
          <cell r="E2062">
            <v>45747</v>
          </cell>
          <cell r="F2062">
            <v>90112.37</v>
          </cell>
          <cell r="G2062">
            <v>2001</v>
          </cell>
          <cell r="H2062">
            <v>45.03</v>
          </cell>
          <cell r="I2062">
            <v>0</v>
          </cell>
          <cell r="J2062">
            <v>45.03</v>
          </cell>
          <cell r="K2062">
            <v>0.02</v>
          </cell>
        </row>
        <row r="2063">
          <cell r="A2063" t="str">
            <v>LU2450199125</v>
          </cell>
          <cell r="B2063" t="str">
            <v>AMUNDI FUNDS GLOBAL CORPORATE ESG IMPROVERS BOND</v>
          </cell>
          <cell r="C2063" t="str">
            <v>Class M2 EUR Hgd (C)</v>
          </cell>
          <cell r="D2063" t="str">
            <v>EUR</v>
          </cell>
          <cell r="E2063">
            <v>45747</v>
          </cell>
          <cell r="F2063">
            <v>23800002.800000001</v>
          </cell>
          <cell r="G2063">
            <v>23887.013999999999</v>
          </cell>
          <cell r="H2063">
            <v>996.36</v>
          </cell>
          <cell r="I2063">
            <v>0</v>
          </cell>
          <cell r="J2063">
            <v>996.36</v>
          </cell>
          <cell r="K2063">
            <v>0.57999999999999996</v>
          </cell>
        </row>
        <row r="2064">
          <cell r="A2064" t="str">
            <v>LU2280506879</v>
          </cell>
          <cell r="B2064" t="str">
            <v>AMUNDI FUNDS GLOBAL CORPORATE ESG IMPROVERS BOND</v>
          </cell>
          <cell r="C2064" t="str">
            <v>Class E2 EUR (C)</v>
          </cell>
          <cell r="D2064" t="str">
            <v>EUR</v>
          </cell>
          <cell r="E2064">
            <v>45747</v>
          </cell>
          <cell r="F2064">
            <v>588638.35</v>
          </cell>
          <cell r="G2064">
            <v>108807.6</v>
          </cell>
          <cell r="H2064">
            <v>5.41</v>
          </cell>
          <cell r="I2064">
            <v>0</v>
          </cell>
          <cell r="J2064">
            <v>5.41</v>
          </cell>
          <cell r="K2064">
            <v>1.4E-2</v>
          </cell>
        </row>
        <row r="2065">
          <cell r="A2065" t="str">
            <v>LU2280506523</v>
          </cell>
          <cell r="B2065" t="str">
            <v>AMUNDI FUNDS GLOBAL CORPORATE ESG IMPROVERS BOND</v>
          </cell>
          <cell r="C2065" t="str">
            <v>Class F EUR (C)</v>
          </cell>
          <cell r="D2065" t="str">
            <v>EUR</v>
          </cell>
          <cell r="E2065">
            <v>45747</v>
          </cell>
          <cell r="F2065">
            <v>500487.97</v>
          </cell>
          <cell r="G2065">
            <v>92042.576000000001</v>
          </cell>
          <cell r="H2065">
            <v>5.4379999999999997</v>
          </cell>
          <cell r="I2065">
            <v>0</v>
          </cell>
          <cell r="J2065">
            <v>5.4379999999999997</v>
          </cell>
          <cell r="K2065">
            <v>1.4E-2</v>
          </cell>
        </row>
        <row r="2066">
          <cell r="A2066" t="str">
            <v>LU2280507257</v>
          </cell>
          <cell r="B2066" t="str">
            <v>AMUNDI FUNDS GLOBAL CORPORATE ESG IMPROVERS BOND</v>
          </cell>
          <cell r="C2066" t="str">
            <v>Class I2 USD (C)</v>
          </cell>
          <cell r="D2066" t="str">
            <v>USD</v>
          </cell>
          <cell r="E2066">
            <v>45747</v>
          </cell>
          <cell r="F2066">
            <v>4974.8599999999997</v>
          </cell>
          <cell r="G2066">
            <v>5</v>
          </cell>
          <cell r="H2066">
            <v>994.97</v>
          </cell>
          <cell r="I2066">
            <v>0</v>
          </cell>
          <cell r="J2066">
            <v>994.97</v>
          </cell>
          <cell r="K2066">
            <v>0.62</v>
          </cell>
        </row>
        <row r="2067">
          <cell r="A2067" t="str">
            <v>LU2359305872</v>
          </cell>
          <cell r="B2067" t="str">
            <v>AMUNDI FUNDS GLOBAL CORPORATE ESG IMPROVERS BOND</v>
          </cell>
          <cell r="C2067" t="str">
            <v>Class I2 GBP (C)</v>
          </cell>
          <cell r="D2067" t="str">
            <v>GBP</v>
          </cell>
          <cell r="E2067">
            <v>45747</v>
          </cell>
          <cell r="F2067">
            <v>5179.43</v>
          </cell>
          <cell r="G2067">
            <v>5</v>
          </cell>
          <cell r="H2067">
            <v>1035.8900000000001</v>
          </cell>
          <cell r="I2067">
            <v>0</v>
          </cell>
          <cell r="J2067">
            <v>1035.8900000000001</v>
          </cell>
          <cell r="K2067">
            <v>3.34</v>
          </cell>
        </row>
        <row r="2068">
          <cell r="A2068" t="str">
            <v>LU2359305443</v>
          </cell>
          <cell r="B2068" t="str">
            <v>AMUNDI FUNDS GLOBAL CORPORATE ESG IMPROVERS BOND</v>
          </cell>
          <cell r="C2068" t="str">
            <v>Class I2 USD AD (D)</v>
          </cell>
          <cell r="D2068" t="str">
            <v>USD</v>
          </cell>
          <cell r="E2068">
            <v>45747</v>
          </cell>
          <cell r="F2068">
            <v>4445.8</v>
          </cell>
          <cell r="G2068">
            <v>5</v>
          </cell>
          <cell r="H2068">
            <v>889.16</v>
          </cell>
          <cell r="I2068">
            <v>0</v>
          </cell>
          <cell r="J2068">
            <v>889.16</v>
          </cell>
          <cell r="K2068">
            <v>0.56000000000000005</v>
          </cell>
        </row>
        <row r="2069">
          <cell r="A2069" t="str">
            <v>LU2330497608</v>
          </cell>
          <cell r="B2069" t="str">
            <v>AMUNDI FUNDS GLOBAL CORPORATE ESG IMPROVERS BOND</v>
          </cell>
          <cell r="C2069" t="str">
            <v>Class I2 EUR Hgd (C)</v>
          </cell>
          <cell r="D2069" t="str">
            <v>EUR</v>
          </cell>
          <cell r="E2069">
            <v>45747</v>
          </cell>
          <cell r="F2069">
            <v>10085175.949999999</v>
          </cell>
          <cell r="G2069">
            <v>10908.748</v>
          </cell>
          <cell r="H2069">
            <v>924.5</v>
          </cell>
          <cell r="I2069">
            <v>0</v>
          </cell>
          <cell r="J2069">
            <v>924.5</v>
          </cell>
          <cell r="K2069">
            <v>0.52</v>
          </cell>
        </row>
        <row r="2070">
          <cell r="A2070" t="str">
            <v>LU2280506366</v>
          </cell>
          <cell r="B2070" t="str">
            <v>AMUNDI FUNDS GLOBAL CORPORATE ESG IMPROVERS BOND</v>
          </cell>
          <cell r="C2070" t="str">
            <v>Class G EUR (C)</v>
          </cell>
          <cell r="D2070" t="str">
            <v>EUR</v>
          </cell>
          <cell r="E2070">
            <v>45747</v>
          </cell>
          <cell r="F2070">
            <v>5838320.21</v>
          </cell>
          <cell r="G2070">
            <v>1064785.176</v>
          </cell>
          <cell r="H2070">
            <v>5.4829999999999997</v>
          </cell>
          <cell r="I2070">
            <v>0</v>
          </cell>
          <cell r="J2070">
            <v>5.4829999999999997</v>
          </cell>
          <cell r="K2070">
            <v>1.4E-2</v>
          </cell>
        </row>
        <row r="2071">
          <cell r="A2071" t="str">
            <v>LU2280507091</v>
          </cell>
          <cell r="B2071" t="str">
            <v>AMUNDI FUNDS GLOBAL CORPORATE ESG IMPROVERS BOND</v>
          </cell>
          <cell r="C2071" t="str">
            <v>Class R2 USD (C)</v>
          </cell>
          <cell r="D2071" t="str">
            <v>USD</v>
          </cell>
          <cell r="E2071">
            <v>45747</v>
          </cell>
          <cell r="F2071">
            <v>4927.32</v>
          </cell>
          <cell r="G2071">
            <v>100</v>
          </cell>
          <cell r="H2071">
            <v>49.27</v>
          </cell>
          <cell r="I2071">
            <v>0</v>
          </cell>
          <cell r="J2071">
            <v>49.27</v>
          </cell>
          <cell r="K2071">
            <v>0.03</v>
          </cell>
        </row>
        <row r="2072">
          <cell r="A2072" t="str">
            <v>LU2280507331</v>
          </cell>
          <cell r="B2072" t="str">
            <v>AMUNDI FUNDS GLOBAL CORPORATE ESG IMPROVERS BOND</v>
          </cell>
          <cell r="C2072" t="str">
            <v>Class Z USD (C)</v>
          </cell>
          <cell r="D2072" t="str">
            <v>USD</v>
          </cell>
          <cell r="E2072">
            <v>45747</v>
          </cell>
          <cell r="F2072">
            <v>47916279.689999998</v>
          </cell>
          <cell r="G2072">
            <v>47860.152000000002</v>
          </cell>
          <cell r="H2072">
            <v>1001.17</v>
          </cell>
          <cell r="I2072">
            <v>0</v>
          </cell>
          <cell r="J2072">
            <v>1001.17</v>
          </cell>
          <cell r="K2072">
            <v>0.64</v>
          </cell>
        </row>
        <row r="2073">
          <cell r="A2073" t="str">
            <v>LU2280507505</v>
          </cell>
          <cell r="B2073" t="str">
            <v>AMUNDI FUNDS GLOBAL CORPORATE ESG IMPROVERS BOND</v>
          </cell>
          <cell r="C2073" t="str">
            <v>Class H USD (C)</v>
          </cell>
          <cell r="D2073" t="str">
            <v>USD</v>
          </cell>
          <cell r="E2073">
            <v>45747</v>
          </cell>
          <cell r="F2073">
            <v>5010.9399999999996</v>
          </cell>
          <cell r="G2073">
            <v>5</v>
          </cell>
          <cell r="H2073">
            <v>1002.19</v>
          </cell>
          <cell r="I2073">
            <v>0</v>
          </cell>
          <cell r="J2073">
            <v>1002.19</v>
          </cell>
          <cell r="K2073">
            <v>0.65</v>
          </cell>
        </row>
        <row r="2074">
          <cell r="A2074" t="str">
            <v>LU2330497780</v>
          </cell>
          <cell r="B2074" t="str">
            <v>AMUNDI FUNDS GLOBAL CORPORATE ESG IMPROVERS BOND</v>
          </cell>
          <cell r="C2074" t="str">
            <v>Class Z EUR Hgd (C)</v>
          </cell>
          <cell r="D2074" t="str">
            <v>EUR</v>
          </cell>
          <cell r="E2074">
            <v>45747</v>
          </cell>
          <cell r="F2074">
            <v>744586.75</v>
          </cell>
          <cell r="G2074">
            <v>800</v>
          </cell>
          <cell r="H2074">
            <v>930.73</v>
          </cell>
          <cell r="I2074">
            <v>0</v>
          </cell>
          <cell r="J2074">
            <v>930.73</v>
          </cell>
          <cell r="K2074">
            <v>0.54</v>
          </cell>
        </row>
        <row r="2075">
          <cell r="A2075" t="str">
            <v>LU2280507844</v>
          </cell>
          <cell r="B2075" t="str">
            <v>AMUNDI FUNDS GLOBAL HIGH YIELD ESG IMPROVERS BOND</v>
          </cell>
          <cell r="C2075" t="str">
            <v>Class A2 USD (C)</v>
          </cell>
          <cell r="D2075" t="str">
            <v>USD</v>
          </cell>
          <cell r="E2075">
            <v>45747</v>
          </cell>
          <cell r="F2075">
            <v>74559.44</v>
          </cell>
          <cell r="G2075">
            <v>1378.7</v>
          </cell>
          <cell r="H2075">
            <v>54.08</v>
          </cell>
          <cell r="I2075">
            <v>0</v>
          </cell>
          <cell r="J2075">
            <v>54.08</v>
          </cell>
          <cell r="K2075">
            <v>-0.05</v>
          </cell>
        </row>
        <row r="2076">
          <cell r="A2076" t="str">
            <v>LU2280508578</v>
          </cell>
          <cell r="B2076" t="str">
            <v>AMUNDI FUNDS GLOBAL HIGH YIELD ESG IMPROVERS BOND</v>
          </cell>
          <cell r="C2076" t="str">
            <v>Class E2 EUR (C)</v>
          </cell>
          <cell r="D2076" t="str">
            <v>EUR</v>
          </cell>
          <cell r="E2076">
            <v>45747</v>
          </cell>
          <cell r="F2076">
            <v>152475.91</v>
          </cell>
          <cell r="G2076">
            <v>25417.046999999999</v>
          </cell>
          <cell r="H2076">
            <v>5.9989999999999997</v>
          </cell>
          <cell r="I2076">
            <v>0</v>
          </cell>
          <cell r="J2076">
            <v>5.9989999999999997</v>
          </cell>
          <cell r="K2076">
            <v>6.0000000000000001E-3</v>
          </cell>
        </row>
        <row r="2077">
          <cell r="A2077" t="str">
            <v>LU2490079436</v>
          </cell>
          <cell r="B2077" t="str">
            <v>AMUNDI FUNDS GLOBAL HIGH YIELD ESG IMPROVERS BOND</v>
          </cell>
          <cell r="C2077" t="str">
            <v>Class F EUR (C)</v>
          </cell>
          <cell r="D2077" t="str">
            <v>EUR</v>
          </cell>
          <cell r="E2077">
            <v>45747</v>
          </cell>
          <cell r="F2077">
            <v>967573.44</v>
          </cell>
          <cell r="G2077">
            <v>162643.69699999999</v>
          </cell>
          <cell r="H2077">
            <v>5.9489999999999998</v>
          </cell>
          <cell r="I2077">
            <v>0</v>
          </cell>
          <cell r="J2077">
            <v>5.9489999999999998</v>
          </cell>
          <cell r="K2077">
            <v>5.0000000000000001E-3</v>
          </cell>
        </row>
        <row r="2078">
          <cell r="A2078" t="str">
            <v>LU2280508909</v>
          </cell>
          <cell r="B2078" t="str">
            <v>AMUNDI FUNDS GLOBAL HIGH YIELD ESG IMPROVERS BOND</v>
          </cell>
          <cell r="C2078" t="str">
            <v>Class I2 USD (C)</v>
          </cell>
          <cell r="D2078" t="str">
            <v>USD</v>
          </cell>
          <cell r="E2078">
            <v>45747</v>
          </cell>
          <cell r="F2078">
            <v>5591.8</v>
          </cell>
          <cell r="G2078">
            <v>5</v>
          </cell>
          <cell r="H2078">
            <v>1118.3599999999999</v>
          </cell>
          <cell r="I2078">
            <v>0</v>
          </cell>
          <cell r="J2078">
            <v>1118.3599999999999</v>
          </cell>
          <cell r="K2078">
            <v>-1.02</v>
          </cell>
        </row>
        <row r="2079">
          <cell r="A2079" t="str">
            <v>LU2359304719</v>
          </cell>
          <cell r="B2079" t="str">
            <v>AMUNDI FUNDS GLOBAL HIGH YIELD ESG IMPROVERS BOND</v>
          </cell>
          <cell r="C2079" t="str">
            <v>Class I2 GBP (C)</v>
          </cell>
          <cell r="D2079" t="str">
            <v>GBP</v>
          </cell>
          <cell r="E2079">
            <v>45747</v>
          </cell>
          <cell r="F2079">
            <v>5850.13</v>
          </cell>
          <cell r="G2079">
            <v>5</v>
          </cell>
          <cell r="H2079">
            <v>1170.03</v>
          </cell>
          <cell r="I2079">
            <v>0</v>
          </cell>
          <cell r="J2079">
            <v>1170.03</v>
          </cell>
          <cell r="K2079">
            <v>1.98</v>
          </cell>
        </row>
        <row r="2080">
          <cell r="A2080" t="str">
            <v>LU2477811702</v>
          </cell>
          <cell r="B2080" t="str">
            <v>AMUNDI FUNDS GLOBAL HIGH YIELD ESG IMPROVERS BOND</v>
          </cell>
          <cell r="C2080" t="str">
            <v>Class I2 SEK Hgd (C)</v>
          </cell>
          <cell r="D2080" t="str">
            <v>SEK</v>
          </cell>
          <cell r="E2080">
            <v>45747</v>
          </cell>
          <cell r="F2080">
            <v>426026396.13999999</v>
          </cell>
          <cell r="G2080">
            <v>37355</v>
          </cell>
          <cell r="H2080">
            <v>11404.8</v>
          </cell>
          <cell r="I2080">
            <v>0</v>
          </cell>
          <cell r="J2080">
            <v>11404.8</v>
          </cell>
          <cell r="K2080">
            <v>-11.25</v>
          </cell>
        </row>
        <row r="2081">
          <cell r="A2081" t="str">
            <v>LU2490079519</v>
          </cell>
          <cell r="B2081" t="str">
            <v>AMUNDI FUNDS GLOBAL HIGH YIELD ESG IMPROVERS BOND</v>
          </cell>
          <cell r="C2081" t="str">
            <v>Class G EUR (C)</v>
          </cell>
          <cell r="D2081" t="str">
            <v>EUR</v>
          </cell>
          <cell r="E2081">
            <v>45747</v>
          </cell>
          <cell r="F2081">
            <v>313750.39</v>
          </cell>
          <cell r="G2081">
            <v>52318.978000000003</v>
          </cell>
          <cell r="H2081">
            <v>5.9969999999999999</v>
          </cell>
          <cell r="I2081">
            <v>0</v>
          </cell>
          <cell r="J2081">
            <v>5.9969999999999999</v>
          </cell>
          <cell r="K2081">
            <v>6.0000000000000001E-3</v>
          </cell>
        </row>
        <row r="2082">
          <cell r="A2082" t="str">
            <v>LU2450199398</v>
          </cell>
          <cell r="B2082" t="str">
            <v>AMUNDI FUNDS GLOBAL HIGH YIELD ESG IMPROVERS BOND</v>
          </cell>
          <cell r="C2082" t="str">
            <v>Class M2 EUR Hgd (C)</v>
          </cell>
          <cell r="D2082" t="str">
            <v>EUR</v>
          </cell>
          <cell r="E2082">
            <v>45747</v>
          </cell>
          <cell r="F2082">
            <v>107635.64</v>
          </cell>
          <cell r="G2082">
            <v>100</v>
          </cell>
          <cell r="H2082">
            <v>1076.3599999999999</v>
          </cell>
          <cell r="I2082">
            <v>0</v>
          </cell>
          <cell r="J2082">
            <v>1076.3599999999999</v>
          </cell>
          <cell r="K2082">
            <v>-1.04</v>
          </cell>
        </row>
        <row r="2083">
          <cell r="A2083" t="str">
            <v>LU2280508735</v>
          </cell>
          <cell r="B2083" t="str">
            <v>AMUNDI FUNDS GLOBAL HIGH YIELD ESG IMPROVERS BOND</v>
          </cell>
          <cell r="C2083" t="str">
            <v>Class R2 USD (C)</v>
          </cell>
          <cell r="D2083" t="str">
            <v>USD</v>
          </cell>
          <cell r="E2083">
            <v>45747</v>
          </cell>
          <cell r="F2083">
            <v>5539.74</v>
          </cell>
          <cell r="G2083">
            <v>100</v>
          </cell>
          <cell r="H2083">
            <v>55.4</v>
          </cell>
          <cell r="I2083">
            <v>0</v>
          </cell>
          <cell r="J2083">
            <v>55.4</v>
          </cell>
          <cell r="K2083">
            <v>-0.05</v>
          </cell>
        </row>
        <row r="2084">
          <cell r="A2084" t="str">
            <v>LU2280509030</v>
          </cell>
          <cell r="B2084" t="str">
            <v>AMUNDI FUNDS GLOBAL HIGH YIELD ESG IMPROVERS BOND</v>
          </cell>
          <cell r="C2084" t="str">
            <v>Class Z USD (C)</v>
          </cell>
          <cell r="D2084" t="str">
            <v>USD</v>
          </cell>
          <cell r="E2084">
            <v>45747</v>
          </cell>
          <cell r="F2084">
            <v>25540133.52</v>
          </cell>
          <cell r="G2084">
            <v>22692.213</v>
          </cell>
          <cell r="H2084">
            <v>1125.5</v>
          </cell>
          <cell r="I2084">
            <v>0</v>
          </cell>
          <cell r="J2084">
            <v>1125.5</v>
          </cell>
          <cell r="K2084">
            <v>-1.01</v>
          </cell>
        </row>
        <row r="2085">
          <cell r="A2085" t="str">
            <v>LU2344284976</v>
          </cell>
          <cell r="B2085" t="str">
            <v>AMUNDI FUNDS GLOBAL EQUITY ESG IMPROVERS</v>
          </cell>
          <cell r="C2085" t="str">
            <v>Class A2 USD (C)</v>
          </cell>
          <cell r="D2085" t="str">
            <v>USD</v>
          </cell>
          <cell r="E2085">
            <v>45747</v>
          </cell>
          <cell r="F2085">
            <v>279757.93</v>
          </cell>
          <cell r="G2085">
            <v>4498.0280000000002</v>
          </cell>
          <cell r="H2085">
            <v>62.2</v>
          </cell>
          <cell r="I2085">
            <v>0</v>
          </cell>
          <cell r="J2085">
            <v>62.2</v>
          </cell>
          <cell r="K2085">
            <v>7.0000000000000007E-2</v>
          </cell>
        </row>
        <row r="2086">
          <cell r="A2086" t="str">
            <v>LU2643912376</v>
          </cell>
          <cell r="B2086" t="str">
            <v>AMUNDI FUNDS GLOBAL EQUITY ESG IMPROVERS</v>
          </cell>
          <cell r="C2086" t="str">
            <v>Class A2 EUR (C)</v>
          </cell>
          <cell r="D2086" t="str">
            <v>EUR</v>
          </cell>
          <cell r="E2086">
            <v>45747</v>
          </cell>
          <cell r="F2086">
            <v>35453831.600000001</v>
          </cell>
          <cell r="G2086">
            <v>570896.02500000002</v>
          </cell>
          <cell r="H2086">
            <v>62.1</v>
          </cell>
          <cell r="I2086">
            <v>0</v>
          </cell>
          <cell r="J2086">
            <v>64.89</v>
          </cell>
          <cell r="K2086">
            <v>0.19</v>
          </cell>
        </row>
        <row r="2087">
          <cell r="A2087" t="str">
            <v>LU2643911998</v>
          </cell>
          <cell r="B2087" t="str">
            <v>AMUNDI FUNDS GLOBAL EQUITY ESG IMPROVERS</v>
          </cell>
          <cell r="C2087" t="str">
            <v>Class C EUR (C)</v>
          </cell>
          <cell r="D2087" t="str">
            <v>EUR</v>
          </cell>
          <cell r="E2087">
            <v>45747</v>
          </cell>
          <cell r="F2087">
            <v>39212.44</v>
          </cell>
          <cell r="G2087">
            <v>640.029</v>
          </cell>
          <cell r="H2087">
            <v>61.27</v>
          </cell>
          <cell r="I2087">
            <v>0</v>
          </cell>
          <cell r="J2087">
            <v>61.27</v>
          </cell>
          <cell r="K2087">
            <v>0.19</v>
          </cell>
        </row>
        <row r="2088">
          <cell r="A2088" t="str">
            <v>LU2643912020</v>
          </cell>
          <cell r="B2088" t="str">
            <v>AMUNDI FUNDS GLOBAL EQUITY ESG IMPROVERS</v>
          </cell>
          <cell r="C2088" t="str">
            <v>Class C USD (C)</v>
          </cell>
          <cell r="D2088" t="str">
            <v>USD</v>
          </cell>
          <cell r="E2088">
            <v>45747</v>
          </cell>
          <cell r="F2088">
            <v>10312.82</v>
          </cell>
          <cell r="G2088">
            <v>173.71700000000001</v>
          </cell>
          <cell r="H2088">
            <v>59.37</v>
          </cell>
          <cell r="I2088">
            <v>0</v>
          </cell>
          <cell r="J2088">
            <v>59.37</v>
          </cell>
          <cell r="K2088">
            <v>7.0000000000000007E-2</v>
          </cell>
        </row>
        <row r="2089">
          <cell r="A2089" t="str">
            <v>LU2344286328</v>
          </cell>
          <cell r="B2089" t="str">
            <v>AMUNDI FUNDS GLOBAL EQUITY ESG IMPROVERS</v>
          </cell>
          <cell r="C2089" t="str">
            <v>Class E2 EUR (C)</v>
          </cell>
          <cell r="D2089" t="str">
            <v>EUR</v>
          </cell>
          <cell r="E2089">
            <v>45747</v>
          </cell>
          <cell r="F2089">
            <v>9250350.7699999996</v>
          </cell>
          <cell r="G2089">
            <v>1358200.554</v>
          </cell>
          <cell r="H2089">
            <v>6.81</v>
          </cell>
          <cell r="I2089">
            <v>0</v>
          </cell>
          <cell r="J2089">
            <v>6.81</v>
          </cell>
          <cell r="K2089">
            <v>0.02</v>
          </cell>
        </row>
        <row r="2090">
          <cell r="A2090" t="str">
            <v>LU2490079782</v>
          </cell>
          <cell r="B2090" t="str">
            <v>AMUNDI FUNDS GLOBAL EQUITY ESG IMPROVERS</v>
          </cell>
          <cell r="C2090" t="str">
            <v>Class F EUR (C)</v>
          </cell>
          <cell r="D2090" t="str">
            <v>EUR</v>
          </cell>
          <cell r="E2090">
            <v>45747</v>
          </cell>
          <cell r="F2090">
            <v>1698116.03</v>
          </cell>
          <cell r="G2090">
            <v>249320.595</v>
          </cell>
          <cell r="H2090">
            <v>6.8109999999999999</v>
          </cell>
          <cell r="I2090">
            <v>0</v>
          </cell>
          <cell r="J2090">
            <v>6.8109999999999999</v>
          </cell>
          <cell r="K2090">
            <v>2.1000000000000001E-2</v>
          </cell>
        </row>
        <row r="2091">
          <cell r="A2091" t="str">
            <v>LU2344285353</v>
          </cell>
          <cell r="B2091" t="str">
            <v>AMUNDI FUNDS GLOBAL EQUITY ESG IMPROVERS</v>
          </cell>
          <cell r="C2091" t="str">
            <v>Class I2 USD (C)</v>
          </cell>
          <cell r="D2091" t="str">
            <v>USD</v>
          </cell>
          <cell r="E2091">
            <v>45747</v>
          </cell>
          <cell r="F2091">
            <v>75505309.079999998</v>
          </cell>
          <cell r="G2091">
            <v>58610.379000000001</v>
          </cell>
          <cell r="H2091">
            <v>1288.26</v>
          </cell>
          <cell r="I2091">
            <v>0</v>
          </cell>
          <cell r="J2091">
            <v>1288.26</v>
          </cell>
          <cell r="K2091">
            <v>1.56</v>
          </cell>
        </row>
        <row r="2092">
          <cell r="A2092" t="str">
            <v>LU2344285510</v>
          </cell>
          <cell r="B2092" t="str">
            <v>AMUNDI FUNDS GLOBAL EQUITY ESG IMPROVERS</v>
          </cell>
          <cell r="C2092" t="str">
            <v>Class I2 EUR Hgd (C)</v>
          </cell>
          <cell r="D2092" t="str">
            <v>EUR</v>
          </cell>
          <cell r="E2092">
            <v>45747</v>
          </cell>
          <cell r="F2092">
            <v>75893916.219999999</v>
          </cell>
          <cell r="G2092">
            <v>56302.563000000002</v>
          </cell>
          <cell r="H2092">
            <v>1347.97</v>
          </cell>
          <cell r="I2092">
            <v>0</v>
          </cell>
          <cell r="J2092">
            <v>1347.97</v>
          </cell>
          <cell r="K2092">
            <v>1.56</v>
          </cell>
        </row>
        <row r="2093">
          <cell r="A2093" t="str">
            <v>LU2440106289</v>
          </cell>
          <cell r="B2093" t="str">
            <v>AMUNDI FUNDS GLOBAL EQUITY ESG IMPROVERS</v>
          </cell>
          <cell r="C2093" t="str">
            <v>Class M2 EUR (C)</v>
          </cell>
          <cell r="D2093" t="str">
            <v>EUR</v>
          </cell>
          <cell r="E2093">
            <v>45747</v>
          </cell>
          <cell r="F2093">
            <v>288036124.88999999</v>
          </cell>
          <cell r="G2093">
            <v>211676.935</v>
          </cell>
          <cell r="H2093">
            <v>1360.73</v>
          </cell>
          <cell r="I2093">
            <v>0</v>
          </cell>
          <cell r="J2093">
            <v>1360.73</v>
          </cell>
          <cell r="K2093">
            <v>4.28</v>
          </cell>
        </row>
        <row r="2094">
          <cell r="A2094" t="str">
            <v>LU2344285601</v>
          </cell>
          <cell r="B2094" t="str">
            <v>AMUNDI FUNDS GLOBAL EQUITY ESG IMPROVERS</v>
          </cell>
          <cell r="C2094" t="str">
            <v>Class R2 USD (C)</v>
          </cell>
          <cell r="D2094" t="str">
            <v>USD</v>
          </cell>
          <cell r="E2094">
            <v>45747</v>
          </cell>
          <cell r="F2094">
            <v>7639.89</v>
          </cell>
          <cell r="G2094">
            <v>120</v>
          </cell>
          <cell r="H2094">
            <v>63.67</v>
          </cell>
          <cell r="I2094">
            <v>0</v>
          </cell>
          <cell r="J2094">
            <v>63.67</v>
          </cell>
          <cell r="K2094">
            <v>0.08</v>
          </cell>
        </row>
        <row r="2095">
          <cell r="A2095" t="str">
            <v>LU2490079865</v>
          </cell>
          <cell r="B2095" t="str">
            <v>AMUNDI FUNDS GLOBAL EQUITY ESG IMPROVERS</v>
          </cell>
          <cell r="C2095" t="str">
            <v>Class G EUR (C)</v>
          </cell>
          <cell r="D2095" t="str">
            <v>EUR</v>
          </cell>
          <cell r="E2095">
            <v>45747</v>
          </cell>
          <cell r="F2095">
            <v>1915498.51</v>
          </cell>
          <cell r="G2095">
            <v>276218.011</v>
          </cell>
          <cell r="H2095">
            <v>6.9349999999999996</v>
          </cell>
          <cell r="I2095">
            <v>0</v>
          </cell>
          <cell r="J2095">
            <v>6.9349999999999996</v>
          </cell>
          <cell r="K2095">
            <v>2.1999999999999999E-2</v>
          </cell>
        </row>
        <row r="2096">
          <cell r="A2096" t="str">
            <v>LU2344285940</v>
          </cell>
          <cell r="B2096" t="str">
            <v>AMUNDI FUNDS GLOBAL EQUITY ESG IMPROVERS</v>
          </cell>
          <cell r="C2096" t="str">
            <v>Class Z USD (C)</v>
          </cell>
          <cell r="D2096" t="str">
            <v>USD</v>
          </cell>
          <cell r="E2096">
            <v>45747</v>
          </cell>
          <cell r="F2096">
            <v>16327628.789999999</v>
          </cell>
          <cell r="G2096">
            <v>12533.967000000001</v>
          </cell>
          <cell r="H2096">
            <v>1302.67</v>
          </cell>
          <cell r="I2096">
            <v>0</v>
          </cell>
          <cell r="J2096">
            <v>1302.67</v>
          </cell>
          <cell r="K2096">
            <v>1.6</v>
          </cell>
        </row>
        <row r="2097">
          <cell r="A2097" t="str">
            <v>LU2344286245</v>
          </cell>
          <cell r="B2097" t="str">
            <v>AMUNDI FUNDS GLOBAL EQUITY ESG IMPROVERS</v>
          </cell>
          <cell r="C2097" t="str">
            <v>Class H EUR (C)</v>
          </cell>
          <cell r="D2097" t="str">
            <v>EUR</v>
          </cell>
          <cell r="E2097">
            <v>45747</v>
          </cell>
          <cell r="F2097">
            <v>3145142.2</v>
          </cell>
          <cell r="G2097">
            <v>2211.9540000000002</v>
          </cell>
          <cell r="H2097">
            <v>1421.88</v>
          </cell>
          <cell r="I2097">
            <v>0</v>
          </cell>
          <cell r="J2097">
            <v>1421.88</v>
          </cell>
          <cell r="K2097">
            <v>4.5199999999999996</v>
          </cell>
        </row>
        <row r="2098">
          <cell r="A2098" t="str">
            <v>LU2386146430</v>
          </cell>
          <cell r="B2098" t="str">
            <v>AMUNDI FUNDS EMERGING MARKETS EQUITY ESG IMPROVERS</v>
          </cell>
          <cell r="C2098" t="str">
            <v>Class A2 EUR (C)</v>
          </cell>
          <cell r="D2098" t="str">
            <v>EUR</v>
          </cell>
          <cell r="E2098">
            <v>45747</v>
          </cell>
          <cell r="F2098">
            <v>5598.07</v>
          </cell>
          <cell r="G2098">
            <v>100</v>
          </cell>
          <cell r="H2098">
            <v>55.98</v>
          </cell>
          <cell r="I2098">
            <v>0</v>
          </cell>
          <cell r="J2098">
            <v>58.5</v>
          </cell>
          <cell r="K2098">
            <v>-0.65</v>
          </cell>
        </row>
        <row r="2099">
          <cell r="A2099" t="str">
            <v>LU2551097079</v>
          </cell>
          <cell r="B2099" t="str">
            <v>AMUNDI FUNDS EMERGING MARKETS EQUITY ESG IMPROVERS</v>
          </cell>
          <cell r="C2099" t="str">
            <v>Class A3 EUR (C)</v>
          </cell>
          <cell r="D2099" t="str">
            <v>EUR</v>
          </cell>
          <cell r="E2099">
            <v>45747</v>
          </cell>
          <cell r="F2099">
            <v>141240976.97</v>
          </cell>
          <cell r="G2099">
            <v>2319210.463</v>
          </cell>
          <cell r="H2099">
            <v>60.9</v>
          </cell>
          <cell r="I2099">
            <v>0</v>
          </cell>
          <cell r="J2099">
            <v>60.9</v>
          </cell>
          <cell r="K2099">
            <v>-0.71</v>
          </cell>
        </row>
        <row r="2100">
          <cell r="A2100" t="str">
            <v>LU2386146513</v>
          </cell>
          <cell r="B2100" t="str">
            <v>AMUNDI FUNDS EMERGING MARKETS EQUITY ESG IMPROVERS</v>
          </cell>
          <cell r="C2100" t="str">
            <v>Class A2 USD (C)</v>
          </cell>
          <cell r="D2100" t="str">
            <v>USD</v>
          </cell>
          <cell r="E2100">
            <v>45747</v>
          </cell>
          <cell r="F2100">
            <v>5458.71</v>
          </cell>
          <cell r="G2100">
            <v>100</v>
          </cell>
          <cell r="H2100">
            <v>54.59</v>
          </cell>
          <cell r="I2100">
            <v>0</v>
          </cell>
          <cell r="J2100">
            <v>57.05</v>
          </cell>
          <cell r="K2100">
            <v>-0.74</v>
          </cell>
        </row>
        <row r="2101">
          <cell r="A2101" t="str">
            <v>LU2386147164</v>
          </cell>
          <cell r="B2101" t="str">
            <v>AMUNDI FUNDS EMERGING MARKETS EQUITY ESG IMPROVERS</v>
          </cell>
          <cell r="C2101" t="str">
            <v>Class E2 EUR (C)</v>
          </cell>
          <cell r="D2101" t="str">
            <v>EUR</v>
          </cell>
          <cell r="E2101">
            <v>45747</v>
          </cell>
          <cell r="F2101">
            <v>5602.15</v>
          </cell>
          <cell r="G2101">
            <v>1000</v>
          </cell>
          <cell r="H2101">
            <v>5.6020000000000003</v>
          </cell>
          <cell r="I2101">
            <v>0</v>
          </cell>
          <cell r="J2101">
            <v>5.6020000000000003</v>
          </cell>
          <cell r="K2101">
            <v>-6.5000000000000002E-2</v>
          </cell>
        </row>
        <row r="2102">
          <cell r="A2102" t="str">
            <v>LU2490078628</v>
          </cell>
          <cell r="B2102" t="str">
            <v>AMUNDI FUNDS EMERGING MARKETS EQUITY ESG IMPROVERS</v>
          </cell>
          <cell r="C2102" t="str">
            <v>Class F EUR (C)</v>
          </cell>
          <cell r="D2102" t="str">
            <v>EUR</v>
          </cell>
          <cell r="E2102">
            <v>45747</v>
          </cell>
          <cell r="F2102">
            <v>382284.7</v>
          </cell>
          <cell r="G2102">
            <v>67447.626000000004</v>
          </cell>
          <cell r="H2102">
            <v>5.6680000000000001</v>
          </cell>
          <cell r="I2102">
            <v>0</v>
          </cell>
          <cell r="J2102">
            <v>5.6680000000000001</v>
          </cell>
          <cell r="K2102">
            <v>-6.3E-2</v>
          </cell>
        </row>
        <row r="2103">
          <cell r="A2103" t="str">
            <v>LU2386146604</v>
          </cell>
          <cell r="B2103" t="str">
            <v>AMUNDI FUNDS EMERGING MARKETS EQUITY ESG IMPROVERS</v>
          </cell>
          <cell r="C2103" t="str">
            <v>Class I2 USD (C)</v>
          </cell>
          <cell r="D2103" t="str">
            <v>USD</v>
          </cell>
          <cell r="E2103">
            <v>45747</v>
          </cell>
          <cell r="F2103">
            <v>37199083.850000001</v>
          </cell>
          <cell r="G2103">
            <v>32967.428</v>
          </cell>
          <cell r="H2103">
            <v>1128.3599999999999</v>
          </cell>
          <cell r="I2103">
            <v>0</v>
          </cell>
          <cell r="J2103">
            <v>1128.3599999999999</v>
          </cell>
          <cell r="K2103">
            <v>-15.26</v>
          </cell>
        </row>
        <row r="2104">
          <cell r="A2104" t="str">
            <v>LU2490078891</v>
          </cell>
          <cell r="B2104" t="str">
            <v>AMUNDI FUNDS EMERGING MARKETS EQUITY ESG IMPROVERS</v>
          </cell>
          <cell r="C2104" t="str">
            <v>Class G EUR (C)</v>
          </cell>
          <cell r="D2104" t="str">
            <v>EUR</v>
          </cell>
          <cell r="E2104">
            <v>45747</v>
          </cell>
          <cell r="F2104">
            <v>542060.35</v>
          </cell>
          <cell r="G2104">
            <v>94139.09</v>
          </cell>
          <cell r="H2104">
            <v>5.758</v>
          </cell>
          <cell r="I2104">
            <v>0</v>
          </cell>
          <cell r="J2104">
            <v>5.758</v>
          </cell>
          <cell r="K2104">
            <v>-6.4000000000000001E-2</v>
          </cell>
        </row>
        <row r="2105">
          <cell r="A2105" t="str">
            <v>LU2386147081</v>
          </cell>
          <cell r="B2105" t="str">
            <v>AMUNDI FUNDS EMERGING MARKETS EQUITY ESG IMPROVERS</v>
          </cell>
          <cell r="C2105" t="str">
            <v>Class R2 USD (C)</v>
          </cell>
          <cell r="D2105" t="str">
            <v>USD</v>
          </cell>
          <cell r="E2105">
            <v>45747</v>
          </cell>
          <cell r="F2105">
            <v>5593.93</v>
          </cell>
          <cell r="G2105">
            <v>100</v>
          </cell>
          <cell r="H2105">
            <v>55.94</v>
          </cell>
          <cell r="I2105">
            <v>0</v>
          </cell>
          <cell r="J2105">
            <v>55.94</v>
          </cell>
          <cell r="K2105">
            <v>-0.76</v>
          </cell>
        </row>
        <row r="2106">
          <cell r="A2106" t="str">
            <v>LU2386146786</v>
          </cell>
          <cell r="B2106" t="str">
            <v>AMUNDI FUNDS EMERGING MARKETS EQUITY ESG IMPROVERS</v>
          </cell>
          <cell r="C2106" t="str">
            <v>Class H USD QD (D)</v>
          </cell>
          <cell r="D2106" t="str">
            <v>USD</v>
          </cell>
          <cell r="E2106">
            <v>45747</v>
          </cell>
          <cell r="F2106">
            <v>15953418.109999999</v>
          </cell>
          <cell r="G2106">
            <v>14917.026</v>
          </cell>
          <cell r="H2106">
            <v>1069.48</v>
          </cell>
          <cell r="I2106">
            <v>4.384792</v>
          </cell>
          <cell r="J2106">
            <v>1069.48</v>
          </cell>
          <cell r="K2106">
            <v>-18.87</v>
          </cell>
        </row>
        <row r="2107">
          <cell r="A2107" t="str">
            <v>LU2386146943</v>
          </cell>
          <cell r="B2107" t="str">
            <v>AMUNDI FUNDS EMERGING MARKETS EQUITY ESG IMPROVERS</v>
          </cell>
          <cell r="C2107" t="str">
            <v>Class Z USD QD (D)</v>
          </cell>
          <cell r="D2107" t="str">
            <v>USD</v>
          </cell>
          <cell r="E2107">
            <v>45747</v>
          </cell>
          <cell r="F2107">
            <v>20341629.309999999</v>
          </cell>
          <cell r="G2107">
            <v>18221.862000000001</v>
          </cell>
          <cell r="H2107">
            <v>1116.33</v>
          </cell>
          <cell r="I2107">
            <v>3.9604339999999998</v>
          </cell>
          <cell r="J2107">
            <v>1116.33</v>
          </cell>
          <cell r="K2107">
            <v>-19.09</v>
          </cell>
        </row>
        <row r="2108">
          <cell r="A2108" t="str">
            <v>LU2440810880</v>
          </cell>
          <cell r="B2108" t="str">
            <v>AMUNDI FUNDS CHINA A SHARES</v>
          </cell>
          <cell r="C2108" t="str">
            <v>Class A USD (C)</v>
          </cell>
          <cell r="D2108" t="str">
            <v>USD</v>
          </cell>
          <cell r="E2108">
            <v>45747</v>
          </cell>
          <cell r="F2108">
            <v>3750.26</v>
          </cell>
          <cell r="G2108">
            <v>100</v>
          </cell>
          <cell r="H2108">
            <v>37.5</v>
          </cell>
          <cell r="I2108">
            <v>0</v>
          </cell>
          <cell r="J2108">
            <v>39.19</v>
          </cell>
          <cell r="K2108">
            <v>-0.12</v>
          </cell>
        </row>
        <row r="2109">
          <cell r="A2109" t="str">
            <v>LU2440810708</v>
          </cell>
          <cell r="B2109" t="str">
            <v>AMUNDI FUNDS CHINA A SHARES</v>
          </cell>
          <cell r="C2109" t="str">
            <v>Class A2 USD (C)</v>
          </cell>
          <cell r="D2109" t="str">
            <v>USD</v>
          </cell>
          <cell r="E2109">
            <v>45747</v>
          </cell>
          <cell r="F2109">
            <v>3730.43</v>
          </cell>
          <cell r="G2109">
            <v>100</v>
          </cell>
          <cell r="H2109">
            <v>37.299999999999997</v>
          </cell>
          <cell r="I2109">
            <v>0</v>
          </cell>
          <cell r="J2109">
            <v>38.979999999999997</v>
          </cell>
          <cell r="K2109">
            <v>-0.12</v>
          </cell>
        </row>
        <row r="2110">
          <cell r="A2110" t="str">
            <v>LU2440811342</v>
          </cell>
          <cell r="B2110" t="str">
            <v>AMUNDI FUNDS CHINA A SHARES</v>
          </cell>
          <cell r="C2110" t="str">
            <v>Class E2 EUR (C)</v>
          </cell>
          <cell r="D2110" t="str">
            <v>EUR</v>
          </cell>
          <cell r="E2110">
            <v>45747</v>
          </cell>
          <cell r="F2110">
            <v>90041.47</v>
          </cell>
          <cell r="G2110">
            <v>25387.544000000002</v>
          </cell>
          <cell r="H2110">
            <v>3.5470000000000002</v>
          </cell>
          <cell r="I2110">
            <v>0</v>
          </cell>
          <cell r="J2110">
            <v>3.5470000000000002</v>
          </cell>
          <cell r="K2110">
            <v>-4.0000000000000001E-3</v>
          </cell>
        </row>
        <row r="2111">
          <cell r="A2111" t="str">
            <v>LU2440811698</v>
          </cell>
          <cell r="B2111" t="str">
            <v>AMUNDI FUNDS CHINA A SHARES</v>
          </cell>
          <cell r="C2111" t="str">
            <v>Class F EUR (C)</v>
          </cell>
          <cell r="D2111" t="str">
            <v>EUR</v>
          </cell>
          <cell r="E2111">
            <v>45747</v>
          </cell>
          <cell r="F2111">
            <v>237107.8</v>
          </cell>
          <cell r="G2111">
            <v>68516.106</v>
          </cell>
          <cell r="H2111">
            <v>3.4609999999999999</v>
          </cell>
          <cell r="I2111">
            <v>0</v>
          </cell>
          <cell r="J2111">
            <v>3.4609999999999999</v>
          </cell>
          <cell r="K2111">
            <v>-4.0000000000000001E-3</v>
          </cell>
        </row>
        <row r="2112">
          <cell r="A2112" t="str">
            <v>LU2440810963</v>
          </cell>
          <cell r="B2112" t="str">
            <v>AMUNDI FUNDS CHINA A SHARES</v>
          </cell>
          <cell r="C2112" t="str">
            <v>Class I2 USD (C)</v>
          </cell>
          <cell r="D2112" t="str">
            <v>USD</v>
          </cell>
          <cell r="E2112">
            <v>45747</v>
          </cell>
          <cell r="F2112">
            <v>3839.25</v>
          </cell>
          <cell r="G2112">
            <v>5</v>
          </cell>
          <cell r="H2112">
            <v>767.85</v>
          </cell>
          <cell r="I2112">
            <v>0</v>
          </cell>
          <cell r="J2112">
            <v>767.85</v>
          </cell>
          <cell r="K2112">
            <v>-2.34</v>
          </cell>
        </row>
        <row r="2113">
          <cell r="A2113" t="str">
            <v>LU2440811003</v>
          </cell>
          <cell r="B2113" t="str">
            <v>AMUNDI FUNDS CHINA A SHARES</v>
          </cell>
          <cell r="C2113" t="str">
            <v>Class I USD (C)</v>
          </cell>
          <cell r="D2113" t="str">
            <v>USD</v>
          </cell>
          <cell r="E2113">
            <v>45747</v>
          </cell>
          <cell r="F2113">
            <v>3849.69</v>
          </cell>
          <cell r="G2113">
            <v>5</v>
          </cell>
          <cell r="H2113">
            <v>769.94</v>
          </cell>
          <cell r="I2113">
            <v>0</v>
          </cell>
          <cell r="J2113">
            <v>769.94</v>
          </cell>
          <cell r="K2113">
            <v>-2.34</v>
          </cell>
        </row>
        <row r="2114">
          <cell r="A2114" t="str">
            <v>LU2440811425</v>
          </cell>
          <cell r="B2114" t="str">
            <v>AMUNDI FUNDS CHINA A SHARES</v>
          </cell>
          <cell r="C2114" t="str">
            <v>Class G EUR (C)</v>
          </cell>
          <cell r="D2114" t="str">
            <v>EUR</v>
          </cell>
          <cell r="E2114">
            <v>45747</v>
          </cell>
          <cell r="F2114">
            <v>610995.78</v>
          </cell>
          <cell r="G2114">
            <v>173697.91200000001</v>
          </cell>
          <cell r="H2114">
            <v>3.5179999999999998</v>
          </cell>
          <cell r="I2114">
            <v>0</v>
          </cell>
          <cell r="J2114">
            <v>3.5179999999999998</v>
          </cell>
          <cell r="K2114">
            <v>-4.0000000000000001E-3</v>
          </cell>
        </row>
        <row r="2115">
          <cell r="A2115" t="str">
            <v>LU2440811185</v>
          </cell>
          <cell r="B2115" t="str">
            <v>AMUNDI FUNDS CHINA A SHARES</v>
          </cell>
          <cell r="C2115" t="str">
            <v>Class R2 USD (C)</v>
          </cell>
          <cell r="D2115" t="str">
            <v>USD</v>
          </cell>
          <cell r="E2115">
            <v>45747</v>
          </cell>
          <cell r="F2115">
            <v>3811.22</v>
          </cell>
          <cell r="G2115">
            <v>100</v>
          </cell>
          <cell r="H2115">
            <v>38.11</v>
          </cell>
          <cell r="I2115">
            <v>0</v>
          </cell>
          <cell r="J2115">
            <v>38.11</v>
          </cell>
          <cell r="K2115">
            <v>-0.12</v>
          </cell>
        </row>
        <row r="2116">
          <cell r="A2116" t="str">
            <v>LU2440811268</v>
          </cell>
          <cell r="B2116" t="str">
            <v>AMUNDI FUNDS CHINA A SHARES</v>
          </cell>
          <cell r="C2116" t="str">
            <v>Class R USD (C)</v>
          </cell>
          <cell r="D2116" t="str">
            <v>USD</v>
          </cell>
          <cell r="E2116">
            <v>45747</v>
          </cell>
          <cell r="F2116">
            <v>3826.26</v>
          </cell>
          <cell r="G2116">
            <v>100</v>
          </cell>
          <cell r="H2116">
            <v>38.26</v>
          </cell>
          <cell r="I2116">
            <v>0</v>
          </cell>
          <cell r="J2116">
            <v>38.26</v>
          </cell>
          <cell r="K2116">
            <v>-0.12</v>
          </cell>
        </row>
        <row r="2117">
          <cell r="A2117" t="str">
            <v>LU2440811771</v>
          </cell>
          <cell r="B2117" t="str">
            <v>AMUNDI FUNDS CHINA A SHARES</v>
          </cell>
          <cell r="C2117" t="str">
            <v>Class Z USD (C)</v>
          </cell>
          <cell r="D2117" t="str">
            <v>USD</v>
          </cell>
          <cell r="E2117">
            <v>45747</v>
          </cell>
          <cell r="F2117">
            <v>11031239.15</v>
          </cell>
          <cell r="G2117">
            <v>14293.491</v>
          </cell>
          <cell r="H2117">
            <v>771.77</v>
          </cell>
          <cell r="I2117">
            <v>0</v>
          </cell>
          <cell r="J2117">
            <v>771.77</v>
          </cell>
          <cell r="K2117">
            <v>-2.33</v>
          </cell>
        </row>
        <row r="2118">
          <cell r="A2118" t="str">
            <v>LU2534776955</v>
          </cell>
          <cell r="B2118" t="str">
            <v>AMUNDI FUNDS CHINA RMB AGGREGATE BOND</v>
          </cell>
          <cell r="C2118" t="str">
            <v>Class A2 USD (C)</v>
          </cell>
          <cell r="D2118" t="str">
            <v>USD</v>
          </cell>
          <cell r="E2118">
            <v>45747</v>
          </cell>
          <cell r="F2118">
            <v>5351.48</v>
          </cell>
          <cell r="G2118">
            <v>100</v>
          </cell>
          <cell r="H2118">
            <v>53.51</v>
          </cell>
          <cell r="I2118">
            <v>0</v>
          </cell>
          <cell r="J2118">
            <v>55.12</v>
          </cell>
          <cell r="K2118">
            <v>0.06</v>
          </cell>
        </row>
        <row r="2119">
          <cell r="A2119" t="str">
            <v>LU2534777094</v>
          </cell>
          <cell r="B2119" t="str">
            <v>AMUNDI FUNDS CHINA RMB AGGREGATE BOND</v>
          </cell>
          <cell r="C2119" t="str">
            <v>Class A USD (C)</v>
          </cell>
          <cell r="D2119" t="str">
            <v>USD</v>
          </cell>
          <cell r="E2119">
            <v>45747</v>
          </cell>
          <cell r="F2119">
            <v>5363.57</v>
          </cell>
          <cell r="G2119">
            <v>100</v>
          </cell>
          <cell r="H2119">
            <v>53.64</v>
          </cell>
          <cell r="I2119">
            <v>0</v>
          </cell>
          <cell r="J2119">
            <v>53.64</v>
          </cell>
          <cell r="K2119">
            <v>7.0000000000000007E-2</v>
          </cell>
        </row>
        <row r="2120">
          <cell r="A2120" t="str">
            <v>LU2534778738</v>
          </cell>
          <cell r="B2120" t="str">
            <v>AMUNDI FUNDS CHINA RMB AGGREGATE BOND</v>
          </cell>
          <cell r="C2120" t="str">
            <v>Class A2 EUR Hgd (C)</v>
          </cell>
          <cell r="D2120" t="str">
            <v>EUR</v>
          </cell>
          <cell r="E2120">
            <v>45747</v>
          </cell>
          <cell r="F2120">
            <v>113335.98</v>
          </cell>
          <cell r="G2120">
            <v>2000</v>
          </cell>
          <cell r="H2120">
            <v>56.67</v>
          </cell>
          <cell r="I2120">
            <v>0</v>
          </cell>
          <cell r="J2120">
            <v>58.37</v>
          </cell>
          <cell r="K2120">
            <v>0.03</v>
          </cell>
        </row>
        <row r="2121">
          <cell r="A2121" t="str">
            <v>LU2534778225</v>
          </cell>
          <cell r="B2121" t="str">
            <v>AMUNDI FUNDS CHINA RMB AGGREGATE BOND</v>
          </cell>
          <cell r="C2121" t="str">
            <v>Class A2 USD Hgd (C)</v>
          </cell>
          <cell r="D2121" t="str">
            <v>USD</v>
          </cell>
          <cell r="E2121">
            <v>45747</v>
          </cell>
          <cell r="F2121">
            <v>117810.2</v>
          </cell>
          <cell r="G2121">
            <v>2000</v>
          </cell>
          <cell r="H2121">
            <v>58.91</v>
          </cell>
          <cell r="I2121">
            <v>0</v>
          </cell>
          <cell r="J2121">
            <v>60.68</v>
          </cell>
          <cell r="K2121">
            <v>0.04</v>
          </cell>
        </row>
        <row r="2122">
          <cell r="A2122" t="str">
            <v>LU2534777763</v>
          </cell>
          <cell r="B2122" t="str">
            <v>AMUNDI FUNDS CHINA RMB AGGREGATE BOND</v>
          </cell>
          <cell r="C2122" t="str">
            <v>Class E2 EUR AD (D)</v>
          </cell>
          <cell r="D2122" t="str">
            <v>EUR</v>
          </cell>
          <cell r="E2122">
            <v>45747</v>
          </cell>
          <cell r="F2122">
            <v>5233.46</v>
          </cell>
          <cell r="G2122">
            <v>1039.2090000000001</v>
          </cell>
          <cell r="H2122">
            <v>5.0359999999999996</v>
          </cell>
          <cell r="I2122">
            <v>0</v>
          </cell>
          <cell r="J2122">
            <v>5.0359999999999996</v>
          </cell>
          <cell r="K2122">
            <v>1.6E-2</v>
          </cell>
        </row>
        <row r="2123">
          <cell r="A2123" t="str">
            <v>LU2534777250</v>
          </cell>
          <cell r="B2123" t="str">
            <v>AMUNDI FUNDS CHINA RMB AGGREGATE BOND</v>
          </cell>
          <cell r="C2123" t="str">
            <v>Class F EUR AD (D)</v>
          </cell>
          <cell r="D2123" t="str">
            <v>EUR</v>
          </cell>
          <cell r="E2123">
            <v>45747</v>
          </cell>
          <cell r="F2123">
            <v>5172.7299999999996</v>
          </cell>
          <cell r="G2123">
            <v>1030.9449999999999</v>
          </cell>
          <cell r="H2123">
            <v>5.0170000000000003</v>
          </cell>
          <cell r="I2123">
            <v>0</v>
          </cell>
          <cell r="J2123">
            <v>5.0170000000000003</v>
          </cell>
          <cell r="K2123">
            <v>1.4999999999999999E-2</v>
          </cell>
        </row>
        <row r="2124">
          <cell r="A2124" t="str">
            <v>LU2534779116</v>
          </cell>
          <cell r="B2124" t="str">
            <v>AMUNDI FUNDS CHINA RMB AGGREGATE BOND</v>
          </cell>
          <cell r="C2124" t="str">
            <v>Class I2 USD (C)</v>
          </cell>
          <cell r="D2124" t="str">
            <v>USD</v>
          </cell>
          <cell r="E2124">
            <v>45747</v>
          </cell>
          <cell r="F2124">
            <v>5480.13</v>
          </cell>
          <cell r="G2124">
            <v>5</v>
          </cell>
          <cell r="H2124">
            <v>1096.03</v>
          </cell>
          <cell r="I2124">
            <v>0</v>
          </cell>
          <cell r="J2124">
            <v>1096.03</v>
          </cell>
          <cell r="K2124">
            <v>1.34</v>
          </cell>
        </row>
        <row r="2125">
          <cell r="A2125" t="str">
            <v>LU2534779207</v>
          </cell>
          <cell r="B2125" t="str">
            <v>AMUNDI FUNDS CHINA RMB AGGREGATE BOND</v>
          </cell>
          <cell r="C2125" t="str">
            <v>Class I USD (C)</v>
          </cell>
          <cell r="D2125" t="str">
            <v>USD</v>
          </cell>
          <cell r="E2125">
            <v>45747</v>
          </cell>
          <cell r="F2125">
            <v>5470.61</v>
          </cell>
          <cell r="G2125">
            <v>5</v>
          </cell>
          <cell r="H2125">
            <v>1094.1199999999999</v>
          </cell>
          <cell r="I2125">
            <v>0</v>
          </cell>
          <cell r="J2125">
            <v>1094.1199999999999</v>
          </cell>
          <cell r="K2125">
            <v>1.4</v>
          </cell>
        </row>
        <row r="2126">
          <cell r="A2126" t="str">
            <v>LU2534778654</v>
          </cell>
          <cell r="B2126" t="str">
            <v>AMUNDI FUNDS CHINA RMB AGGREGATE BOND</v>
          </cell>
          <cell r="C2126" t="str">
            <v>Class I2 EUR Hgd (C)</v>
          </cell>
          <cell r="D2126" t="str">
            <v>EUR</v>
          </cell>
          <cell r="E2126">
            <v>45747</v>
          </cell>
          <cell r="F2126">
            <v>116063.54</v>
          </cell>
          <cell r="G2126">
            <v>100</v>
          </cell>
          <cell r="H2126">
            <v>1160.6400000000001</v>
          </cell>
          <cell r="I2126">
            <v>0</v>
          </cell>
          <cell r="J2126">
            <v>1160.6400000000001</v>
          </cell>
          <cell r="K2126">
            <v>0.77</v>
          </cell>
        </row>
        <row r="2127">
          <cell r="A2127" t="str">
            <v>LU2534778068</v>
          </cell>
          <cell r="B2127" t="str">
            <v>AMUNDI FUNDS CHINA RMB AGGREGATE BOND</v>
          </cell>
          <cell r="C2127" t="str">
            <v>Class I2 USD Hgd (C)</v>
          </cell>
          <cell r="D2127" t="str">
            <v>USD</v>
          </cell>
          <cell r="E2127">
            <v>45747</v>
          </cell>
          <cell r="F2127">
            <v>120628.85</v>
          </cell>
          <cell r="G2127">
            <v>100</v>
          </cell>
          <cell r="H2127">
            <v>1206.29</v>
          </cell>
          <cell r="I2127">
            <v>0</v>
          </cell>
          <cell r="J2127">
            <v>1206.29</v>
          </cell>
          <cell r="K2127">
            <v>0.86</v>
          </cell>
        </row>
        <row r="2128">
          <cell r="A2128" t="str">
            <v>LU2534777680</v>
          </cell>
          <cell r="B2128" t="str">
            <v>AMUNDI FUNDS CHINA RMB AGGREGATE BOND</v>
          </cell>
          <cell r="C2128" t="str">
            <v>Class G EUR Hgd (C)</v>
          </cell>
          <cell r="D2128" t="str">
            <v>EUR</v>
          </cell>
          <cell r="E2128">
            <v>45747</v>
          </cell>
          <cell r="F2128">
            <v>112938.56</v>
          </cell>
          <cell r="G2128">
            <v>20000</v>
          </cell>
          <cell r="H2128">
            <v>5.6470000000000002</v>
          </cell>
          <cell r="I2128">
            <v>0</v>
          </cell>
          <cell r="J2128">
            <v>5.6470000000000002</v>
          </cell>
          <cell r="K2128">
            <v>3.0000000000000001E-3</v>
          </cell>
        </row>
        <row r="2129">
          <cell r="A2129" t="str">
            <v>LU2534777334</v>
          </cell>
          <cell r="B2129" t="str">
            <v>AMUNDI FUNDS CHINA RMB AGGREGATE BOND</v>
          </cell>
          <cell r="C2129" t="str">
            <v>Class G EUR AD (D)</v>
          </cell>
          <cell r="D2129" t="str">
            <v>EUR</v>
          </cell>
          <cell r="E2129">
            <v>45747</v>
          </cell>
          <cell r="F2129">
            <v>6243.67</v>
          </cell>
          <cell r="G2129">
            <v>1243.3409999999999</v>
          </cell>
          <cell r="H2129">
            <v>5.0220000000000002</v>
          </cell>
          <cell r="I2129">
            <v>0</v>
          </cell>
          <cell r="J2129">
            <v>5.0220000000000002</v>
          </cell>
          <cell r="K2129">
            <v>1.6E-2</v>
          </cell>
        </row>
        <row r="2130">
          <cell r="A2130" t="str">
            <v>LU2534777177</v>
          </cell>
          <cell r="B2130" t="str">
            <v>AMUNDI FUNDS CHINA RMB AGGREGATE BOND</v>
          </cell>
          <cell r="C2130" t="str">
            <v>Class M2 EUR (C)</v>
          </cell>
          <cell r="D2130" t="str">
            <v>EUR</v>
          </cell>
          <cell r="E2130">
            <v>45747</v>
          </cell>
          <cell r="F2130">
            <v>5338.23</v>
          </cell>
          <cell r="G2130">
            <v>5</v>
          </cell>
          <cell r="H2130">
            <v>1067.6500000000001</v>
          </cell>
          <cell r="I2130">
            <v>0</v>
          </cell>
          <cell r="J2130">
            <v>1067.6500000000001</v>
          </cell>
          <cell r="K2130">
            <v>3.37</v>
          </cell>
        </row>
        <row r="2131">
          <cell r="A2131" t="str">
            <v>LU2534778902</v>
          </cell>
          <cell r="B2131" t="str">
            <v>AMUNDI FUNDS CHINA RMB AGGREGATE BOND</v>
          </cell>
          <cell r="C2131" t="str">
            <v>Class R2 USD (C)</v>
          </cell>
          <cell r="D2131" t="str">
            <v>USD</v>
          </cell>
          <cell r="E2131">
            <v>45747</v>
          </cell>
          <cell r="F2131">
            <v>5454.94</v>
          </cell>
          <cell r="G2131">
            <v>100</v>
          </cell>
          <cell r="H2131">
            <v>54.55</v>
          </cell>
          <cell r="I2131">
            <v>0</v>
          </cell>
          <cell r="J2131">
            <v>54.55</v>
          </cell>
          <cell r="K2131">
            <v>7.0000000000000007E-2</v>
          </cell>
        </row>
        <row r="2132">
          <cell r="A2132" t="str">
            <v>LU2534779389</v>
          </cell>
          <cell r="B2132" t="str">
            <v>AMUNDI FUNDS CHINA RMB AGGREGATE BOND</v>
          </cell>
          <cell r="C2132" t="str">
            <v>Class R USD (C)</v>
          </cell>
          <cell r="D2132" t="str">
            <v>USD</v>
          </cell>
          <cell r="E2132">
            <v>45747</v>
          </cell>
          <cell r="F2132">
            <v>5450.35</v>
          </cell>
          <cell r="G2132">
            <v>100</v>
          </cell>
          <cell r="H2132">
            <v>54.5</v>
          </cell>
          <cell r="I2132">
            <v>0</v>
          </cell>
          <cell r="J2132">
            <v>54.5</v>
          </cell>
          <cell r="K2132">
            <v>0.06</v>
          </cell>
        </row>
        <row r="2133">
          <cell r="A2133" t="str">
            <v>LU2534778571</v>
          </cell>
          <cell r="B2133" t="str">
            <v>AMUNDI FUNDS CHINA RMB AGGREGATE BOND</v>
          </cell>
          <cell r="C2133" t="str">
            <v>Class R2 EUR Hgd (C)</v>
          </cell>
          <cell r="D2133" t="str">
            <v>EUR</v>
          </cell>
          <cell r="E2133">
            <v>45747</v>
          </cell>
          <cell r="F2133">
            <v>115529.88</v>
          </cell>
          <cell r="G2133">
            <v>2000</v>
          </cell>
          <cell r="H2133">
            <v>57.76</v>
          </cell>
          <cell r="I2133">
            <v>0</v>
          </cell>
          <cell r="J2133">
            <v>57.76</v>
          </cell>
          <cell r="K2133">
            <v>0.03</v>
          </cell>
        </row>
        <row r="2134">
          <cell r="A2134" t="str">
            <v>LU2534777920</v>
          </cell>
          <cell r="B2134" t="str">
            <v>AMUNDI FUNDS CHINA RMB AGGREGATE BOND</v>
          </cell>
          <cell r="C2134" t="str">
            <v>Class R2 USD Hgd (C)</v>
          </cell>
          <cell r="D2134" t="str">
            <v>USD</v>
          </cell>
          <cell r="E2134">
            <v>45747</v>
          </cell>
          <cell r="F2134">
            <v>120084.84</v>
          </cell>
          <cell r="G2134">
            <v>2000</v>
          </cell>
          <cell r="H2134">
            <v>60.04</v>
          </cell>
          <cell r="I2134">
            <v>0</v>
          </cell>
          <cell r="J2134">
            <v>60.04</v>
          </cell>
          <cell r="K2134">
            <v>0.04</v>
          </cell>
        </row>
        <row r="2135">
          <cell r="A2135" t="str">
            <v>LU2534778811</v>
          </cell>
          <cell r="B2135" t="str">
            <v>AMUNDI FUNDS CHINA RMB AGGREGATE BOND</v>
          </cell>
          <cell r="C2135" t="str">
            <v>Class Z USD (C)</v>
          </cell>
          <cell r="D2135" t="str">
            <v>USD</v>
          </cell>
          <cell r="E2135">
            <v>45747</v>
          </cell>
          <cell r="F2135">
            <v>44946998.380000003</v>
          </cell>
          <cell r="G2135">
            <v>41000</v>
          </cell>
          <cell r="H2135">
            <v>1096.27</v>
          </cell>
          <cell r="I2135">
            <v>0</v>
          </cell>
          <cell r="J2135">
            <v>1096.27</v>
          </cell>
          <cell r="K2135">
            <v>1.47</v>
          </cell>
        </row>
        <row r="2136">
          <cell r="A2136" t="str">
            <v>LU2534777847</v>
          </cell>
          <cell r="B2136" t="str">
            <v>AMUNDI FUNDS CHINA RMB AGGREGATE BOND</v>
          </cell>
          <cell r="C2136" t="str">
            <v>Class Z USD Hgd (C)</v>
          </cell>
          <cell r="D2136" t="str">
            <v>USD</v>
          </cell>
          <cell r="E2136">
            <v>45747</v>
          </cell>
          <cell r="F2136">
            <v>120946.52</v>
          </cell>
          <cell r="G2136">
            <v>100</v>
          </cell>
          <cell r="H2136">
            <v>1209.47</v>
          </cell>
          <cell r="I2136">
            <v>0</v>
          </cell>
          <cell r="J2136">
            <v>1209.47</v>
          </cell>
          <cell r="K2136">
            <v>0.88</v>
          </cell>
        </row>
        <row r="2137">
          <cell r="A2137" t="str">
            <v>LU2534778498</v>
          </cell>
          <cell r="B2137" t="str">
            <v>AMUNDI FUNDS CHINA RMB AGGREGATE BOND</v>
          </cell>
          <cell r="C2137" t="str">
            <v>Class Z EUR Hgd (C)</v>
          </cell>
          <cell r="D2137" t="str">
            <v>EUR</v>
          </cell>
          <cell r="E2137">
            <v>45747</v>
          </cell>
          <cell r="F2137">
            <v>116328.66</v>
          </cell>
          <cell r="G2137">
            <v>100</v>
          </cell>
          <cell r="H2137">
            <v>1163.29</v>
          </cell>
          <cell r="I2137">
            <v>0</v>
          </cell>
          <cell r="J2137">
            <v>1163.29</v>
          </cell>
          <cell r="K2137">
            <v>0.79</v>
          </cell>
        </row>
        <row r="2138">
          <cell r="A2138" t="str">
            <v>LU2531474588</v>
          </cell>
          <cell r="B2138" t="str">
            <v>AMUNDI FUNDS NET ZERO AMBITION GLOBAL EQUITY</v>
          </cell>
          <cell r="C2138" t="str">
            <v>Class A USD (C)</v>
          </cell>
          <cell r="D2138" t="str">
            <v>USD</v>
          </cell>
          <cell r="E2138">
            <v>45747</v>
          </cell>
          <cell r="F2138">
            <v>7140.35</v>
          </cell>
          <cell r="G2138">
            <v>100</v>
          </cell>
          <cell r="H2138">
            <v>71.400000000000006</v>
          </cell>
          <cell r="I2138">
            <v>0</v>
          </cell>
          <cell r="J2138">
            <v>74.61</v>
          </cell>
          <cell r="K2138">
            <v>-0.35</v>
          </cell>
        </row>
        <row r="2139">
          <cell r="A2139" t="str">
            <v>LU2644250693</v>
          </cell>
          <cell r="B2139" t="str">
            <v>AMUNDI FUNDS NET ZERO AMBITION GLOBAL EQUITY</v>
          </cell>
          <cell r="C2139" t="str">
            <v>Class A2 EUR (C)</v>
          </cell>
          <cell r="D2139" t="str">
            <v>EUR</v>
          </cell>
          <cell r="E2139">
            <v>45747</v>
          </cell>
          <cell r="F2139">
            <v>1389034.22</v>
          </cell>
          <cell r="G2139">
            <v>26687.657999999999</v>
          </cell>
          <cell r="H2139">
            <v>52.05</v>
          </cell>
          <cell r="I2139">
            <v>0</v>
          </cell>
          <cell r="J2139">
            <v>52.05</v>
          </cell>
          <cell r="K2139">
            <v>-0.1</v>
          </cell>
        </row>
        <row r="2140">
          <cell r="A2140" t="str">
            <v>LU2762361132</v>
          </cell>
          <cell r="B2140" t="str">
            <v>AMUNDI FUNDS NET ZERO AMBITION GLOBAL EQUITY</v>
          </cell>
          <cell r="C2140" t="str">
            <v>Class A2 CHF Hgd (C)</v>
          </cell>
          <cell r="D2140" t="str">
            <v>CHF</v>
          </cell>
          <cell r="E2140">
            <v>45747</v>
          </cell>
          <cell r="F2140">
            <v>121367.95</v>
          </cell>
          <cell r="G2140">
            <v>2540.5500000000002</v>
          </cell>
          <cell r="H2140">
            <v>47.77</v>
          </cell>
          <cell r="I2140">
            <v>0</v>
          </cell>
          <cell r="J2140">
            <v>47.77</v>
          </cell>
          <cell r="K2140">
            <v>-0.19</v>
          </cell>
        </row>
        <row r="2141">
          <cell r="A2141" t="str">
            <v>LU2531478225</v>
          </cell>
          <cell r="B2141" t="str">
            <v>AMUNDI FUNDS NET ZERO AMBITION GLOBAL EQUITY</v>
          </cell>
          <cell r="C2141" t="str">
            <v>Class A2 USD (C)</v>
          </cell>
          <cell r="D2141" t="str">
            <v>USD</v>
          </cell>
          <cell r="E2141">
            <v>45747</v>
          </cell>
          <cell r="F2141">
            <v>7157.73</v>
          </cell>
          <cell r="G2141">
            <v>100</v>
          </cell>
          <cell r="H2141">
            <v>71.58</v>
          </cell>
          <cell r="I2141">
            <v>0</v>
          </cell>
          <cell r="J2141">
            <v>74.8</v>
          </cell>
          <cell r="K2141">
            <v>-0.27</v>
          </cell>
        </row>
        <row r="2142">
          <cell r="A2142" t="str">
            <v>LU2531477250</v>
          </cell>
          <cell r="B2142" t="str">
            <v>AMUNDI FUNDS NET ZERO AMBITION GLOBAL EQUITY</v>
          </cell>
          <cell r="C2142" t="str">
            <v>Class E2 EUR (C)</v>
          </cell>
          <cell r="D2142" t="str">
            <v>EUR</v>
          </cell>
          <cell r="E2142">
            <v>45747</v>
          </cell>
          <cell r="F2142">
            <v>8029.82</v>
          </cell>
          <cell r="G2142">
            <v>1168.7850000000001</v>
          </cell>
          <cell r="H2142">
            <v>6.87</v>
          </cell>
          <cell r="I2142">
            <v>0</v>
          </cell>
          <cell r="J2142">
            <v>6.87</v>
          </cell>
          <cell r="K2142">
            <v>-1.2999999999999999E-2</v>
          </cell>
        </row>
        <row r="2143">
          <cell r="A2143" t="str">
            <v>LU2531477508</v>
          </cell>
          <cell r="B2143" t="str">
            <v>AMUNDI FUNDS NET ZERO AMBITION GLOBAL EQUITY</v>
          </cell>
          <cell r="C2143" t="str">
            <v>Class F EUR (C)</v>
          </cell>
          <cell r="D2143" t="str">
            <v>EUR</v>
          </cell>
          <cell r="E2143">
            <v>45747</v>
          </cell>
          <cell r="F2143">
            <v>6719.3</v>
          </cell>
          <cell r="G2143">
            <v>1000</v>
          </cell>
          <cell r="H2143">
            <v>6.7190000000000003</v>
          </cell>
          <cell r="I2143">
            <v>0</v>
          </cell>
          <cell r="J2143">
            <v>6.7190000000000003</v>
          </cell>
          <cell r="K2143">
            <v>-2.1000000000000001E-2</v>
          </cell>
        </row>
        <row r="2144">
          <cell r="A2144" t="str">
            <v>LU2531478142</v>
          </cell>
          <cell r="B2144" t="str">
            <v>AMUNDI FUNDS NET ZERO AMBITION GLOBAL EQUITY</v>
          </cell>
          <cell r="C2144" t="str">
            <v>Class I USD (C)</v>
          </cell>
          <cell r="D2144" t="str">
            <v>USD</v>
          </cell>
          <cell r="E2144">
            <v>45747</v>
          </cell>
          <cell r="F2144">
            <v>7255.47</v>
          </cell>
          <cell r="G2144">
            <v>5</v>
          </cell>
          <cell r="H2144">
            <v>1451.09</v>
          </cell>
          <cell r="I2144">
            <v>0</v>
          </cell>
          <cell r="J2144">
            <v>1451.09</v>
          </cell>
          <cell r="K2144">
            <v>-6.98</v>
          </cell>
        </row>
        <row r="2145">
          <cell r="A2145" t="str">
            <v>LU2531478068</v>
          </cell>
          <cell r="B2145" t="str">
            <v>AMUNDI FUNDS NET ZERO AMBITION GLOBAL EQUITY</v>
          </cell>
          <cell r="C2145" t="str">
            <v>Class I2 USD (C)</v>
          </cell>
          <cell r="D2145" t="str">
            <v>USD</v>
          </cell>
          <cell r="E2145">
            <v>45747</v>
          </cell>
          <cell r="F2145">
            <v>7318.41</v>
          </cell>
          <cell r="G2145">
            <v>5</v>
          </cell>
          <cell r="H2145">
            <v>1463.68</v>
          </cell>
          <cell r="I2145">
            <v>0</v>
          </cell>
          <cell r="J2145">
            <v>1463.68</v>
          </cell>
          <cell r="K2145">
            <v>-5.49</v>
          </cell>
        </row>
        <row r="2146">
          <cell r="A2146" t="str">
            <v>LU2531477417</v>
          </cell>
          <cell r="B2146" t="str">
            <v>AMUNDI FUNDS NET ZERO AMBITION GLOBAL EQUITY</v>
          </cell>
          <cell r="C2146" t="str">
            <v>Class G EUR (C)</v>
          </cell>
          <cell r="D2146" t="str">
            <v>EUR</v>
          </cell>
          <cell r="E2146">
            <v>45747</v>
          </cell>
          <cell r="F2146">
            <v>26289.24</v>
          </cell>
          <cell r="G2146">
            <v>3859.944</v>
          </cell>
          <cell r="H2146">
            <v>6.8109999999999999</v>
          </cell>
          <cell r="I2146">
            <v>0</v>
          </cell>
          <cell r="J2146">
            <v>6.8109999999999999</v>
          </cell>
          <cell r="K2146">
            <v>-1.7000000000000001E-2</v>
          </cell>
        </row>
        <row r="2147">
          <cell r="A2147" t="str">
            <v>LU2531477680</v>
          </cell>
          <cell r="B2147" t="str">
            <v>AMUNDI FUNDS NET ZERO AMBITION GLOBAL EQUITY</v>
          </cell>
          <cell r="C2147" t="str">
            <v>Class M2 EUR (C)</v>
          </cell>
          <cell r="D2147" t="str">
            <v>EUR</v>
          </cell>
          <cell r="E2147">
            <v>45747</v>
          </cell>
          <cell r="F2147">
            <v>6999.86</v>
          </cell>
          <cell r="G2147">
            <v>5</v>
          </cell>
          <cell r="H2147">
            <v>1399.97</v>
          </cell>
          <cell r="I2147">
            <v>0</v>
          </cell>
          <cell r="J2147">
            <v>1399.97</v>
          </cell>
          <cell r="K2147">
            <v>-2.5299999999999998</v>
          </cell>
        </row>
        <row r="2148">
          <cell r="A2148" t="str">
            <v>LU2531477920</v>
          </cell>
          <cell r="B2148" t="str">
            <v>AMUNDI FUNDS NET ZERO AMBITION GLOBAL EQUITY</v>
          </cell>
          <cell r="C2148" t="str">
            <v>Class R USD (C)</v>
          </cell>
          <cell r="D2148" t="str">
            <v>USD</v>
          </cell>
          <cell r="E2148">
            <v>45747</v>
          </cell>
          <cell r="F2148">
            <v>7222.81</v>
          </cell>
          <cell r="G2148">
            <v>100</v>
          </cell>
          <cell r="H2148">
            <v>72.23</v>
          </cell>
          <cell r="I2148">
            <v>0</v>
          </cell>
          <cell r="J2148">
            <v>72.23</v>
          </cell>
          <cell r="K2148">
            <v>-0.35</v>
          </cell>
        </row>
        <row r="2149">
          <cell r="A2149" t="str">
            <v>LU2531477847</v>
          </cell>
          <cell r="B2149" t="str">
            <v>AMUNDI FUNDS NET ZERO AMBITION GLOBAL EQUITY</v>
          </cell>
          <cell r="C2149" t="str">
            <v>Class R2 USD (C)</v>
          </cell>
          <cell r="D2149" t="str">
            <v>USD</v>
          </cell>
          <cell r="E2149">
            <v>45747</v>
          </cell>
          <cell r="F2149">
            <v>7268.99</v>
          </cell>
          <cell r="G2149">
            <v>100</v>
          </cell>
          <cell r="H2149">
            <v>72.69</v>
          </cell>
          <cell r="I2149">
            <v>0</v>
          </cell>
          <cell r="J2149">
            <v>72.69</v>
          </cell>
          <cell r="K2149">
            <v>-0.27</v>
          </cell>
        </row>
        <row r="2150">
          <cell r="A2150" t="str">
            <v>LU2531477177</v>
          </cell>
          <cell r="B2150" t="str">
            <v>AMUNDI FUNDS NET ZERO AMBITION GLOBAL EQUITY</v>
          </cell>
          <cell r="C2150" t="str">
            <v>Class Z USD (C)</v>
          </cell>
          <cell r="D2150" t="str">
            <v>USD</v>
          </cell>
          <cell r="E2150">
            <v>45747</v>
          </cell>
          <cell r="F2150">
            <v>20348284.969999999</v>
          </cell>
          <cell r="G2150">
            <v>13978.816999999999</v>
          </cell>
          <cell r="H2150">
            <v>1455.65</v>
          </cell>
          <cell r="I2150">
            <v>0</v>
          </cell>
          <cell r="J2150">
            <v>1455.65</v>
          </cell>
          <cell r="K2150">
            <v>-6.99</v>
          </cell>
        </row>
        <row r="2151">
          <cell r="A2151" t="str">
            <v>LU2531475809</v>
          </cell>
          <cell r="B2151" t="str">
            <v>AMUNDI FUNDS NET ZERO AMBITION GLOBAL CORPORATE BD</v>
          </cell>
          <cell r="C2151" t="str">
            <v>Class A2 USD (C)</v>
          </cell>
          <cell r="D2151" t="str">
            <v>USD</v>
          </cell>
          <cell r="E2151">
            <v>45747</v>
          </cell>
          <cell r="F2151">
            <v>5221.43</v>
          </cell>
          <cell r="G2151">
            <v>100</v>
          </cell>
          <cell r="H2151">
            <v>52.21</v>
          </cell>
          <cell r="I2151">
            <v>0</v>
          </cell>
          <cell r="J2151">
            <v>53.78</v>
          </cell>
          <cell r="K2151">
            <v>0.03</v>
          </cell>
        </row>
        <row r="2152">
          <cell r="A2152" t="str">
            <v>LU2762361306</v>
          </cell>
          <cell r="B2152" t="str">
            <v>AMUNDI FUNDS NET ZERO AMBITION GLOBAL CORPORATE BD</v>
          </cell>
          <cell r="C2152" t="str">
            <v>Class A2 CHF Hgd (C)</v>
          </cell>
          <cell r="D2152" t="str">
            <v>CHF</v>
          </cell>
          <cell r="E2152">
            <v>45747</v>
          </cell>
          <cell r="F2152">
            <v>327248.78999999998</v>
          </cell>
          <cell r="G2152">
            <v>6477.143</v>
          </cell>
          <cell r="H2152">
            <v>50.52</v>
          </cell>
          <cell r="I2152">
            <v>0</v>
          </cell>
          <cell r="J2152">
            <v>50.52</v>
          </cell>
          <cell r="K2152">
            <v>0.02</v>
          </cell>
        </row>
        <row r="2153">
          <cell r="A2153" t="str">
            <v>LU2531475981</v>
          </cell>
          <cell r="B2153" t="str">
            <v>AMUNDI FUNDS NET ZERO AMBITION GLOBAL CORPORATE BD</v>
          </cell>
          <cell r="C2153" t="str">
            <v>Class A USD (C)</v>
          </cell>
          <cell r="D2153" t="str">
            <v>USD</v>
          </cell>
          <cell r="E2153">
            <v>45747</v>
          </cell>
          <cell r="F2153">
            <v>5224.8599999999997</v>
          </cell>
          <cell r="G2153">
            <v>100</v>
          </cell>
          <cell r="H2153">
            <v>52.25</v>
          </cell>
          <cell r="I2153">
            <v>0</v>
          </cell>
          <cell r="J2153">
            <v>53.82</v>
          </cell>
          <cell r="K2153">
            <v>0.04</v>
          </cell>
        </row>
        <row r="2154">
          <cell r="A2154" t="str">
            <v>LU2531475122</v>
          </cell>
          <cell r="B2154" t="str">
            <v>AMUNDI FUNDS NET ZERO AMBITION GLOBAL CORPORATE BD</v>
          </cell>
          <cell r="C2154" t="str">
            <v>Class F EUR (C)</v>
          </cell>
          <cell r="D2154" t="str">
            <v>EUR</v>
          </cell>
          <cell r="E2154">
            <v>45747</v>
          </cell>
          <cell r="F2154">
            <v>4922.04</v>
          </cell>
          <cell r="G2154">
            <v>950</v>
          </cell>
          <cell r="H2154">
            <v>5.181</v>
          </cell>
          <cell r="I2154">
            <v>0</v>
          </cell>
          <cell r="J2154">
            <v>5.181</v>
          </cell>
          <cell r="K2154">
            <v>1.2999999999999999E-2</v>
          </cell>
        </row>
        <row r="2155">
          <cell r="A2155" t="str">
            <v>LU2531475635</v>
          </cell>
          <cell r="B2155" t="str">
            <v>AMUNDI FUNDS NET ZERO AMBITION GLOBAL CORPORATE BD</v>
          </cell>
          <cell r="C2155" t="str">
            <v>Class I2 USD (C)</v>
          </cell>
          <cell r="D2155" t="str">
            <v>USD</v>
          </cell>
          <cell r="E2155">
            <v>45747</v>
          </cell>
          <cell r="F2155">
            <v>5247.97</v>
          </cell>
          <cell r="G2155">
            <v>5</v>
          </cell>
          <cell r="H2155">
            <v>1049.5899999999999</v>
          </cell>
          <cell r="I2155">
            <v>0</v>
          </cell>
          <cell r="J2155">
            <v>1049.5899999999999</v>
          </cell>
          <cell r="K2155">
            <v>0.77</v>
          </cell>
        </row>
        <row r="2156">
          <cell r="A2156" t="str">
            <v>LU2531475718</v>
          </cell>
          <cell r="B2156" t="str">
            <v>AMUNDI FUNDS NET ZERO AMBITION GLOBAL CORPORATE BD</v>
          </cell>
          <cell r="C2156" t="str">
            <v>Class I USD (C)</v>
          </cell>
          <cell r="D2156" t="str">
            <v>USD</v>
          </cell>
          <cell r="E2156">
            <v>45747</v>
          </cell>
          <cell r="F2156">
            <v>5248.91</v>
          </cell>
          <cell r="G2156">
            <v>5</v>
          </cell>
          <cell r="H2156">
            <v>1049.78</v>
          </cell>
          <cell r="I2156">
            <v>0</v>
          </cell>
          <cell r="J2156">
            <v>1049.78</v>
          </cell>
          <cell r="K2156">
            <v>0.77</v>
          </cell>
        </row>
        <row r="2157">
          <cell r="A2157" t="str">
            <v>LU2801257929</v>
          </cell>
          <cell r="B2157" t="str">
            <v>AMUNDI FUNDS NET ZERO AMBITION GLOBAL CORPORATE BD</v>
          </cell>
          <cell r="C2157" t="str">
            <v>Class J20 USD (C)</v>
          </cell>
          <cell r="D2157" t="str">
            <v>USD</v>
          </cell>
          <cell r="E2157">
            <v>45747</v>
          </cell>
          <cell r="F2157">
            <v>139800486.36000001</v>
          </cell>
          <cell r="G2157">
            <v>132000</v>
          </cell>
          <cell r="H2157">
            <v>1059.0899999999999</v>
          </cell>
          <cell r="I2157">
            <v>0</v>
          </cell>
          <cell r="J2157">
            <v>1059.0899999999999</v>
          </cell>
          <cell r="K2157">
            <v>0.8</v>
          </cell>
        </row>
        <row r="2158">
          <cell r="A2158" t="str">
            <v>LU2531475049</v>
          </cell>
          <cell r="B2158" t="str">
            <v>AMUNDI FUNDS NET ZERO AMBITION GLOBAL CORPORATE BD</v>
          </cell>
          <cell r="C2158" t="str">
            <v>Class G EUR (C)</v>
          </cell>
          <cell r="D2158" t="str">
            <v>EUR</v>
          </cell>
          <cell r="E2158">
            <v>45747</v>
          </cell>
          <cell r="F2158">
            <v>5192.5</v>
          </cell>
          <cell r="G2158">
            <v>1000</v>
          </cell>
          <cell r="H2158">
            <v>5.1929999999999996</v>
          </cell>
          <cell r="I2158">
            <v>0</v>
          </cell>
          <cell r="J2158">
            <v>5.1929999999999996</v>
          </cell>
          <cell r="K2158">
            <v>1.4E-2</v>
          </cell>
        </row>
        <row r="2159">
          <cell r="A2159" t="str">
            <v>LU2531474828</v>
          </cell>
          <cell r="B2159" t="str">
            <v>AMUNDI FUNDS NET ZERO AMBITION GLOBAL CORPORATE BD</v>
          </cell>
          <cell r="C2159" t="str">
            <v>Class G EUR Hgd (C)</v>
          </cell>
          <cell r="D2159" t="str">
            <v>EUR</v>
          </cell>
          <cell r="E2159">
            <v>45747</v>
          </cell>
          <cell r="F2159">
            <v>4905.4399999999996</v>
          </cell>
          <cell r="G2159">
            <v>950</v>
          </cell>
          <cell r="H2159">
            <v>5.1639999999999997</v>
          </cell>
          <cell r="I2159">
            <v>0</v>
          </cell>
          <cell r="J2159">
            <v>5.1639999999999997</v>
          </cell>
          <cell r="K2159">
            <v>4.0000000000000001E-3</v>
          </cell>
        </row>
        <row r="2160">
          <cell r="A2160" t="str">
            <v>LU2531475395</v>
          </cell>
          <cell r="B2160" t="str">
            <v>AMUNDI FUNDS NET ZERO AMBITION GLOBAL CORPORATE BD</v>
          </cell>
          <cell r="C2160" t="str">
            <v>Class M2 EUR (C)</v>
          </cell>
          <cell r="D2160" t="str">
            <v>EUR</v>
          </cell>
          <cell r="E2160">
            <v>45747</v>
          </cell>
          <cell r="F2160">
            <v>5218.4399999999996</v>
          </cell>
          <cell r="G2160">
            <v>5</v>
          </cell>
          <cell r="H2160">
            <v>1043.69</v>
          </cell>
          <cell r="I2160">
            <v>0</v>
          </cell>
          <cell r="J2160">
            <v>1043.69</v>
          </cell>
          <cell r="K2160">
            <v>2.79</v>
          </cell>
        </row>
        <row r="2161">
          <cell r="A2161" t="str">
            <v>LU2531475478</v>
          </cell>
          <cell r="B2161" t="str">
            <v>AMUNDI FUNDS NET ZERO AMBITION GLOBAL CORPORATE BD</v>
          </cell>
          <cell r="C2161" t="str">
            <v>Class R2 USD (C)</v>
          </cell>
          <cell r="D2161" t="str">
            <v>USD</v>
          </cell>
          <cell r="E2161">
            <v>45747</v>
          </cell>
          <cell r="F2161">
            <v>4977.1499999999996</v>
          </cell>
          <cell r="G2161">
            <v>95</v>
          </cell>
          <cell r="H2161">
            <v>52.39</v>
          </cell>
          <cell r="I2161">
            <v>0</v>
          </cell>
          <cell r="J2161">
            <v>52.39</v>
          </cell>
          <cell r="K2161">
            <v>0.04</v>
          </cell>
        </row>
        <row r="2162">
          <cell r="A2162" t="str">
            <v>LU2531475551</v>
          </cell>
          <cell r="B2162" t="str">
            <v>AMUNDI FUNDS NET ZERO AMBITION GLOBAL CORPORATE BD</v>
          </cell>
          <cell r="C2162" t="str">
            <v>Class R USD (C)</v>
          </cell>
          <cell r="D2162" t="str">
            <v>USD</v>
          </cell>
          <cell r="E2162">
            <v>45747</v>
          </cell>
          <cell r="F2162">
            <v>5243.28</v>
          </cell>
          <cell r="G2162">
            <v>100</v>
          </cell>
          <cell r="H2162">
            <v>52.43</v>
          </cell>
          <cell r="I2162">
            <v>0</v>
          </cell>
          <cell r="J2162">
            <v>52.43</v>
          </cell>
          <cell r="K2162">
            <v>0.03</v>
          </cell>
        </row>
        <row r="2163">
          <cell r="A2163" t="str">
            <v>LU2531478571</v>
          </cell>
          <cell r="B2163" t="str">
            <v>AMUNDI FUNDS NET ZERO AMBITION GLOBAL CORPORATE BD</v>
          </cell>
          <cell r="C2163" t="str">
            <v>Class Z EUR Hgd QTD (D)</v>
          </cell>
          <cell r="D2163" t="str">
            <v>EUR</v>
          </cell>
          <cell r="E2163">
            <v>45747</v>
          </cell>
          <cell r="F2163">
            <v>5042.1400000000003</v>
          </cell>
          <cell r="G2163">
            <v>5</v>
          </cell>
          <cell r="H2163">
            <v>1008.43</v>
          </cell>
          <cell r="I2163">
            <v>0</v>
          </cell>
          <cell r="J2163">
            <v>1008.43</v>
          </cell>
          <cell r="K2163">
            <v>0.69</v>
          </cell>
        </row>
        <row r="2164">
          <cell r="A2164" t="str">
            <v>LU2531478498</v>
          </cell>
          <cell r="B2164" t="str">
            <v>AMUNDI FUNDS NET ZERO AMBITION GLOBAL CORPORATE BD</v>
          </cell>
          <cell r="C2164" t="str">
            <v>Class Z EUR Hgd (C)</v>
          </cell>
          <cell r="D2164" t="str">
            <v>EUR</v>
          </cell>
          <cell r="E2164">
            <v>45747</v>
          </cell>
          <cell r="F2164">
            <v>70416109.530000001</v>
          </cell>
          <cell r="G2164">
            <v>62187.803999999996</v>
          </cell>
          <cell r="H2164">
            <v>1132.31</v>
          </cell>
          <cell r="I2164">
            <v>0</v>
          </cell>
          <cell r="J2164">
            <v>1132.31</v>
          </cell>
          <cell r="K2164">
            <v>0.78</v>
          </cell>
        </row>
        <row r="2165">
          <cell r="A2165" t="str">
            <v>LU2531474745</v>
          </cell>
          <cell r="B2165" t="str">
            <v>AMUNDI FUNDS NET ZERO AMBITION GLOBAL CORPORATE BD</v>
          </cell>
          <cell r="C2165" t="str">
            <v>Class Z USD (C)</v>
          </cell>
          <cell r="D2165" t="str">
            <v>USD</v>
          </cell>
          <cell r="E2165">
            <v>45747</v>
          </cell>
          <cell r="F2165">
            <v>24389031.829999998</v>
          </cell>
          <cell r="G2165">
            <v>20500</v>
          </cell>
          <cell r="H2165">
            <v>1189.71</v>
          </cell>
          <cell r="I2165">
            <v>0</v>
          </cell>
          <cell r="J2165">
            <v>1189.71</v>
          </cell>
          <cell r="K2165">
            <v>0.89</v>
          </cell>
        </row>
        <row r="2166">
          <cell r="A2166" t="str">
            <v>LU2531474661</v>
          </cell>
          <cell r="B2166" t="str">
            <v>AMUNDI FUNDS NET ZERO AMBITION GLOBAL CORPORATE BD</v>
          </cell>
          <cell r="C2166" t="str">
            <v>Class Z USD QTD (D)</v>
          </cell>
          <cell r="D2166" t="str">
            <v>USD</v>
          </cell>
          <cell r="E2166">
            <v>45747</v>
          </cell>
          <cell r="F2166">
            <v>5101.43</v>
          </cell>
          <cell r="G2166">
            <v>5</v>
          </cell>
          <cell r="H2166">
            <v>1020.29</v>
          </cell>
          <cell r="I2166">
            <v>0</v>
          </cell>
          <cell r="J2166">
            <v>1020.29</v>
          </cell>
          <cell r="K2166">
            <v>0.76</v>
          </cell>
        </row>
        <row r="2167">
          <cell r="A2167" t="str">
            <v>LU2533008764</v>
          </cell>
          <cell r="B2167" t="str">
            <v>AMUNDI FUNDS NET ZERO AMBITION GLOBAL CORPORATE BD</v>
          </cell>
          <cell r="C2167" t="str">
            <v>Class H EUR Hgd (C)</v>
          </cell>
          <cell r="D2167" t="str">
            <v>EUR</v>
          </cell>
          <cell r="E2167">
            <v>45747</v>
          </cell>
          <cell r="F2167">
            <v>37466629.850000001</v>
          </cell>
          <cell r="G2167">
            <v>33041.389000000003</v>
          </cell>
          <cell r="H2167">
            <v>1133.93</v>
          </cell>
          <cell r="I2167">
            <v>0</v>
          </cell>
          <cell r="J2167">
            <v>1133.93</v>
          </cell>
          <cell r="K2167">
            <v>0.79</v>
          </cell>
        </row>
        <row r="2168">
          <cell r="A2168" t="str">
            <v>LU2569079259</v>
          </cell>
          <cell r="B2168" t="str">
            <v>AMUNDI FUNDS NET ZERO AMBITION EMERGING MARKETS EQ</v>
          </cell>
          <cell r="C2168" t="str">
            <v>Class A2 USD (C)</v>
          </cell>
          <cell r="D2168" t="str">
            <v>USD</v>
          </cell>
          <cell r="E2168">
            <v>45747</v>
          </cell>
          <cell r="F2168">
            <v>5081.7700000000004</v>
          </cell>
          <cell r="G2168">
            <v>100</v>
          </cell>
          <cell r="H2168">
            <v>50.82</v>
          </cell>
          <cell r="I2168">
            <v>0</v>
          </cell>
          <cell r="J2168">
            <v>53.11</v>
          </cell>
          <cell r="K2168">
            <v>-0.79</v>
          </cell>
        </row>
        <row r="2169">
          <cell r="A2169" t="str">
            <v>LU2956482017</v>
          </cell>
          <cell r="B2169" t="str">
            <v>AMUNDI FUNDS NET ZERO AMBITION EMERGING MARKETS EQ</v>
          </cell>
          <cell r="C2169" t="str">
            <v>Class A EUR (C)</v>
          </cell>
          <cell r="D2169" t="str">
            <v>EUR</v>
          </cell>
          <cell r="E2169">
            <v>45747</v>
          </cell>
          <cell r="F2169">
            <v>4840.46</v>
          </cell>
          <cell r="G2169">
            <v>100</v>
          </cell>
          <cell r="H2169">
            <v>48.4</v>
          </cell>
          <cell r="I2169">
            <v>0</v>
          </cell>
          <cell r="J2169">
            <v>48.4</v>
          </cell>
          <cell r="K2169">
            <v>-0.66</v>
          </cell>
        </row>
        <row r="2170">
          <cell r="A2170" t="str">
            <v>LU2762361215</v>
          </cell>
          <cell r="B2170" t="str">
            <v>AMUNDI FUNDS NET ZERO AMBITION EMERGING MARKETS EQ</v>
          </cell>
          <cell r="C2170" t="str">
            <v>Class A2 CHF Hgd (C)</v>
          </cell>
          <cell r="D2170" t="str">
            <v>CHF</v>
          </cell>
          <cell r="E2170">
            <v>45747</v>
          </cell>
          <cell r="F2170">
            <v>16614.73</v>
          </cell>
          <cell r="G2170">
            <v>344.11700000000002</v>
          </cell>
          <cell r="H2170">
            <v>48.28</v>
          </cell>
          <cell r="I2170">
            <v>0</v>
          </cell>
          <cell r="J2170">
            <v>48.28</v>
          </cell>
          <cell r="K2170">
            <v>-0.76</v>
          </cell>
        </row>
        <row r="2171">
          <cell r="A2171" t="str">
            <v>LU2569079176</v>
          </cell>
          <cell r="B2171" t="str">
            <v>AMUNDI FUNDS NET ZERO AMBITION EMERGING MARKETS EQ</v>
          </cell>
          <cell r="C2171" t="str">
            <v>Class A USD (C)</v>
          </cell>
          <cell r="D2171" t="str">
            <v>USD</v>
          </cell>
          <cell r="E2171">
            <v>45747</v>
          </cell>
          <cell r="F2171">
            <v>5103.42</v>
          </cell>
          <cell r="G2171">
            <v>100</v>
          </cell>
          <cell r="H2171">
            <v>51.03</v>
          </cell>
          <cell r="I2171">
            <v>0</v>
          </cell>
          <cell r="J2171">
            <v>53.33</v>
          </cell>
          <cell r="K2171">
            <v>-0.8</v>
          </cell>
        </row>
        <row r="2172">
          <cell r="A2172" t="str">
            <v>LU2569079762</v>
          </cell>
          <cell r="B2172" t="str">
            <v>AMUNDI FUNDS NET ZERO AMBITION EMERGING MARKETS EQ</v>
          </cell>
          <cell r="C2172" t="str">
            <v>Class E2 EUR (C)</v>
          </cell>
          <cell r="D2172" t="str">
            <v>EUR</v>
          </cell>
          <cell r="E2172">
            <v>45747</v>
          </cell>
          <cell r="F2172">
            <v>5131.1400000000003</v>
          </cell>
          <cell r="G2172">
            <v>1000</v>
          </cell>
          <cell r="H2172">
            <v>5.1310000000000002</v>
          </cell>
          <cell r="I2172">
            <v>0</v>
          </cell>
          <cell r="J2172">
            <v>5.1310000000000002</v>
          </cell>
          <cell r="K2172">
            <v>-7.0000000000000007E-2</v>
          </cell>
        </row>
        <row r="2173">
          <cell r="A2173" t="str">
            <v>LU2569079846</v>
          </cell>
          <cell r="B2173" t="str">
            <v>AMUNDI FUNDS NET ZERO AMBITION EMERGING MARKETS EQ</v>
          </cell>
          <cell r="C2173" t="str">
            <v>Class F EUR (C)</v>
          </cell>
          <cell r="D2173" t="str">
            <v>EUR</v>
          </cell>
          <cell r="E2173">
            <v>45747</v>
          </cell>
          <cell r="F2173">
            <v>5031.78</v>
          </cell>
          <cell r="G2173">
            <v>1000</v>
          </cell>
          <cell r="H2173">
            <v>5.032</v>
          </cell>
          <cell r="I2173">
            <v>0</v>
          </cell>
          <cell r="J2173">
            <v>5.032</v>
          </cell>
          <cell r="K2173">
            <v>-6.8000000000000005E-2</v>
          </cell>
        </row>
        <row r="2174">
          <cell r="A2174" t="str">
            <v>LU2569080265</v>
          </cell>
          <cell r="B2174" t="str">
            <v>AMUNDI FUNDS NET ZERO AMBITION EMERGING MARKETS EQ</v>
          </cell>
          <cell r="C2174" t="str">
            <v>Class H EUR (C)</v>
          </cell>
          <cell r="D2174" t="str">
            <v>EUR</v>
          </cell>
          <cell r="E2174">
            <v>45747</v>
          </cell>
          <cell r="F2174">
            <v>5281.47</v>
          </cell>
          <cell r="G2174">
            <v>5</v>
          </cell>
          <cell r="H2174">
            <v>1056.29</v>
          </cell>
          <cell r="I2174">
            <v>0</v>
          </cell>
          <cell r="J2174">
            <v>1056.29</v>
          </cell>
          <cell r="K2174">
            <v>-14.19</v>
          </cell>
        </row>
        <row r="2175">
          <cell r="A2175" t="str">
            <v>LU2569079416</v>
          </cell>
          <cell r="B2175" t="str">
            <v>AMUNDI FUNDS NET ZERO AMBITION EMERGING MARKETS EQ</v>
          </cell>
          <cell r="C2175" t="str">
            <v>Class I2 USD (C)</v>
          </cell>
          <cell r="D2175" t="str">
            <v>USD</v>
          </cell>
          <cell r="E2175">
            <v>45747</v>
          </cell>
          <cell r="F2175">
            <v>5200.1000000000004</v>
          </cell>
          <cell r="G2175">
            <v>5</v>
          </cell>
          <cell r="H2175">
            <v>1040.02</v>
          </cell>
          <cell r="I2175">
            <v>0</v>
          </cell>
          <cell r="J2175">
            <v>1040.02</v>
          </cell>
          <cell r="K2175">
            <v>-16.059999999999999</v>
          </cell>
        </row>
        <row r="2176">
          <cell r="A2176" t="str">
            <v>LU2569079333</v>
          </cell>
          <cell r="B2176" t="str">
            <v>AMUNDI FUNDS NET ZERO AMBITION EMERGING MARKETS EQ</v>
          </cell>
          <cell r="C2176" t="str">
            <v>Class I USD (C)</v>
          </cell>
          <cell r="D2176" t="str">
            <v>USD</v>
          </cell>
          <cell r="E2176">
            <v>45747</v>
          </cell>
          <cell r="F2176">
            <v>5207.82</v>
          </cell>
          <cell r="G2176">
            <v>5</v>
          </cell>
          <cell r="H2176">
            <v>1041.56</v>
          </cell>
          <cell r="I2176">
            <v>0</v>
          </cell>
          <cell r="J2176">
            <v>1041.56</v>
          </cell>
          <cell r="K2176">
            <v>-16.079999999999998</v>
          </cell>
        </row>
        <row r="2177">
          <cell r="A2177" t="str">
            <v>LU2569079929</v>
          </cell>
          <cell r="B2177" t="str">
            <v>AMUNDI FUNDS NET ZERO AMBITION EMERGING MARKETS EQ</v>
          </cell>
          <cell r="C2177" t="str">
            <v>Class G EUR (C)</v>
          </cell>
          <cell r="D2177" t="str">
            <v>EUR</v>
          </cell>
          <cell r="E2177">
            <v>45747</v>
          </cell>
          <cell r="F2177">
            <v>5096.6899999999996</v>
          </cell>
          <cell r="G2177">
            <v>1000</v>
          </cell>
          <cell r="H2177">
            <v>5.0970000000000004</v>
          </cell>
          <cell r="I2177">
            <v>0</v>
          </cell>
          <cell r="J2177">
            <v>5.0970000000000004</v>
          </cell>
          <cell r="K2177">
            <v>-6.9000000000000006E-2</v>
          </cell>
        </row>
        <row r="2178">
          <cell r="A2178" t="str">
            <v>LU2569080000</v>
          </cell>
          <cell r="B2178" t="str">
            <v>AMUNDI FUNDS NET ZERO AMBITION EMERGING MARKETS EQ</v>
          </cell>
          <cell r="C2178" t="str">
            <v>Class M2 EUR (C)</v>
          </cell>
          <cell r="D2178" t="str">
            <v>EUR</v>
          </cell>
          <cell r="E2178">
            <v>45747</v>
          </cell>
          <cell r="F2178">
            <v>5229.1400000000003</v>
          </cell>
          <cell r="G2178">
            <v>5</v>
          </cell>
          <cell r="H2178">
            <v>1045.829</v>
          </cell>
          <cell r="I2178">
            <v>0</v>
          </cell>
          <cell r="J2178">
            <v>1045.829</v>
          </cell>
          <cell r="K2178">
            <v>-14.084</v>
          </cell>
        </row>
        <row r="2179">
          <cell r="A2179" t="str">
            <v>LU2569079689</v>
          </cell>
          <cell r="B2179" t="str">
            <v>AMUNDI FUNDS NET ZERO AMBITION EMERGING MARKETS EQ</v>
          </cell>
          <cell r="C2179" t="str">
            <v>Class R2 USD (C)</v>
          </cell>
          <cell r="D2179" t="str">
            <v>USD</v>
          </cell>
          <cell r="E2179">
            <v>45747</v>
          </cell>
          <cell r="F2179">
            <v>5170.59</v>
          </cell>
          <cell r="G2179">
            <v>100</v>
          </cell>
          <cell r="H2179">
            <v>51.71</v>
          </cell>
          <cell r="I2179">
            <v>0</v>
          </cell>
          <cell r="J2179">
            <v>51.71</v>
          </cell>
          <cell r="K2179">
            <v>-0.8</v>
          </cell>
        </row>
        <row r="2180">
          <cell r="A2180" t="str">
            <v>LU2569079507</v>
          </cell>
          <cell r="B2180" t="str">
            <v>AMUNDI FUNDS NET ZERO AMBITION EMERGING MARKETS EQ</v>
          </cell>
          <cell r="C2180" t="str">
            <v>Class R USD (C)</v>
          </cell>
          <cell r="D2180" t="str">
            <v>USD</v>
          </cell>
          <cell r="E2180">
            <v>45747</v>
          </cell>
          <cell r="F2180">
            <v>5184.37</v>
          </cell>
          <cell r="G2180">
            <v>100</v>
          </cell>
          <cell r="H2180">
            <v>51.84</v>
          </cell>
          <cell r="I2180">
            <v>0</v>
          </cell>
          <cell r="J2180">
            <v>51.84</v>
          </cell>
          <cell r="K2180">
            <v>-0.8</v>
          </cell>
        </row>
        <row r="2181">
          <cell r="A2181" t="str">
            <v>LU2569080182</v>
          </cell>
          <cell r="B2181" t="str">
            <v>AMUNDI FUNDS NET ZERO AMBITION EMERGING MARKETS EQ</v>
          </cell>
          <cell r="C2181" t="str">
            <v>Class Z USD (C)</v>
          </cell>
          <cell r="D2181" t="str">
            <v>USD</v>
          </cell>
          <cell r="E2181">
            <v>45747</v>
          </cell>
          <cell r="F2181">
            <v>14063032.720000001</v>
          </cell>
          <cell r="G2181">
            <v>13455</v>
          </cell>
          <cell r="H2181">
            <v>1045.19</v>
          </cell>
          <cell r="I2181">
            <v>0</v>
          </cell>
          <cell r="J2181">
            <v>1045.19</v>
          </cell>
          <cell r="K2181">
            <v>-16.11</v>
          </cell>
        </row>
        <row r="2182">
          <cell r="A2182" t="str">
            <v>LU2559894055</v>
          </cell>
          <cell r="B2182" t="str">
            <v>AMUNDI FUNDS NET ZERO AMBITION US CORPORATE BOND</v>
          </cell>
          <cell r="C2182" t="str">
            <v>Class A2 USD (C)</v>
          </cell>
          <cell r="D2182" t="str">
            <v>USD</v>
          </cell>
          <cell r="E2182">
            <v>45747</v>
          </cell>
          <cell r="F2182">
            <v>5458.65</v>
          </cell>
          <cell r="G2182">
            <v>100</v>
          </cell>
          <cell r="H2182">
            <v>54.59</v>
          </cell>
          <cell r="I2182">
            <v>0</v>
          </cell>
          <cell r="J2182">
            <v>56.23</v>
          </cell>
          <cell r="K2182">
            <v>0.1</v>
          </cell>
        </row>
        <row r="2183">
          <cell r="A2183" t="str">
            <v>LU2762361488</v>
          </cell>
          <cell r="B2183" t="str">
            <v>AMUNDI FUNDS NET ZERO AMBITION US CORPORATE BOND</v>
          </cell>
          <cell r="C2183" t="str">
            <v>Class A2 CHF Hgd (C)</v>
          </cell>
          <cell r="D2183" t="str">
            <v>CHF</v>
          </cell>
          <cell r="E2183">
            <v>45747</v>
          </cell>
          <cell r="F2183">
            <v>85032.13</v>
          </cell>
          <cell r="G2183">
            <v>1713.8489999999999</v>
          </cell>
          <cell r="H2183">
            <v>49.61</v>
          </cell>
          <cell r="I2183">
            <v>0</v>
          </cell>
          <cell r="J2183">
            <v>49.61</v>
          </cell>
          <cell r="K2183">
            <v>0.08</v>
          </cell>
        </row>
        <row r="2184">
          <cell r="A2184" t="str">
            <v>LU2559893917</v>
          </cell>
          <cell r="B2184" t="str">
            <v>AMUNDI FUNDS NET ZERO AMBITION US CORPORATE BOND</v>
          </cell>
          <cell r="C2184" t="str">
            <v>Class A USD (C)</v>
          </cell>
          <cell r="D2184" t="str">
            <v>USD</v>
          </cell>
          <cell r="E2184">
            <v>45747</v>
          </cell>
          <cell r="F2184">
            <v>5471.86</v>
          </cell>
          <cell r="G2184">
            <v>100</v>
          </cell>
          <cell r="H2184">
            <v>54.72</v>
          </cell>
          <cell r="I2184">
            <v>0</v>
          </cell>
          <cell r="J2184">
            <v>56.36</v>
          </cell>
          <cell r="K2184">
            <v>0.1</v>
          </cell>
        </row>
        <row r="2185">
          <cell r="A2185" t="str">
            <v>LU2559895375</v>
          </cell>
          <cell r="B2185" t="str">
            <v>AMUNDI FUNDS NET ZERO AMBITION US CORPORATE BOND</v>
          </cell>
          <cell r="C2185" t="str">
            <v>Class E2 EUR (C)</v>
          </cell>
          <cell r="D2185" t="str">
            <v>EUR</v>
          </cell>
          <cell r="E2185">
            <v>45747</v>
          </cell>
          <cell r="F2185">
            <v>5352.95</v>
          </cell>
          <cell r="G2185">
            <v>1000</v>
          </cell>
          <cell r="H2185">
            <v>5.3529999999999998</v>
          </cell>
          <cell r="I2185">
            <v>0</v>
          </cell>
          <cell r="J2185">
            <v>5.3529999999999998</v>
          </cell>
          <cell r="K2185">
            <v>0.02</v>
          </cell>
        </row>
        <row r="2186">
          <cell r="A2186" t="str">
            <v>LU2559894642</v>
          </cell>
          <cell r="B2186" t="str">
            <v>AMUNDI FUNDS NET ZERO AMBITION US CORPORATE BOND</v>
          </cell>
          <cell r="C2186" t="str">
            <v>Class F EUR (C)</v>
          </cell>
          <cell r="D2186" t="str">
            <v>EUR</v>
          </cell>
          <cell r="E2186">
            <v>45747</v>
          </cell>
          <cell r="F2186">
            <v>5291.82</v>
          </cell>
          <cell r="G2186">
            <v>1000</v>
          </cell>
          <cell r="H2186">
            <v>5.2919999999999998</v>
          </cell>
          <cell r="I2186">
            <v>0</v>
          </cell>
          <cell r="J2186">
            <v>5.2919999999999998</v>
          </cell>
          <cell r="K2186">
            <v>0.02</v>
          </cell>
        </row>
        <row r="2187">
          <cell r="A2187" t="str">
            <v>LU2559894212</v>
          </cell>
          <cell r="B2187" t="str">
            <v>AMUNDI FUNDS NET ZERO AMBITION US CORPORATE BOND</v>
          </cell>
          <cell r="C2187" t="str">
            <v>Class I2 USD (C)</v>
          </cell>
          <cell r="D2187" t="str">
            <v>USD</v>
          </cell>
          <cell r="E2187">
            <v>45747</v>
          </cell>
          <cell r="F2187">
            <v>10915454.83</v>
          </cell>
          <cell r="G2187">
            <v>9834.5419999999995</v>
          </cell>
          <cell r="H2187">
            <v>1109.9100000000001</v>
          </cell>
          <cell r="I2187">
            <v>0</v>
          </cell>
          <cell r="J2187">
            <v>1109.9100000000001</v>
          </cell>
          <cell r="K2187">
            <v>2.0299999999999998</v>
          </cell>
        </row>
        <row r="2188">
          <cell r="A2188" t="str">
            <v>LU2559894139</v>
          </cell>
          <cell r="B2188" t="str">
            <v>AMUNDI FUNDS NET ZERO AMBITION US CORPORATE BOND</v>
          </cell>
          <cell r="C2188" t="str">
            <v>Class I USD (C)</v>
          </cell>
          <cell r="D2188" t="str">
            <v>USD</v>
          </cell>
          <cell r="E2188">
            <v>45747</v>
          </cell>
          <cell r="F2188">
            <v>5549.88</v>
          </cell>
          <cell r="G2188">
            <v>5</v>
          </cell>
          <cell r="H2188">
            <v>1109.98</v>
          </cell>
          <cell r="I2188">
            <v>0</v>
          </cell>
          <cell r="J2188">
            <v>1109.98</v>
          </cell>
          <cell r="K2188">
            <v>2.14</v>
          </cell>
        </row>
        <row r="2189">
          <cell r="A2189" t="str">
            <v>LU2559894725</v>
          </cell>
          <cell r="B2189" t="str">
            <v>AMUNDI FUNDS NET ZERO AMBITION US CORPORATE BOND</v>
          </cell>
          <cell r="C2189" t="str">
            <v>Class G EUR (C)</v>
          </cell>
          <cell r="D2189" t="str">
            <v>EUR</v>
          </cell>
          <cell r="E2189">
            <v>45747</v>
          </cell>
          <cell r="F2189">
            <v>5328.16</v>
          </cell>
          <cell r="G2189">
            <v>1000</v>
          </cell>
          <cell r="H2189">
            <v>5.3280000000000003</v>
          </cell>
          <cell r="I2189">
            <v>0</v>
          </cell>
          <cell r="J2189">
            <v>5.3280000000000003</v>
          </cell>
          <cell r="K2189">
            <v>0.02</v>
          </cell>
        </row>
        <row r="2190">
          <cell r="A2190" t="str">
            <v>LU2559894568</v>
          </cell>
          <cell r="B2190" t="str">
            <v>AMUNDI FUNDS NET ZERO AMBITION US CORPORATE BOND</v>
          </cell>
          <cell r="C2190" t="str">
            <v>Class M2 EUR (C)</v>
          </cell>
          <cell r="D2190" t="str">
            <v>EUR</v>
          </cell>
          <cell r="E2190">
            <v>45747</v>
          </cell>
          <cell r="F2190">
            <v>5412.6</v>
          </cell>
          <cell r="G2190">
            <v>5</v>
          </cell>
          <cell r="H2190">
            <v>1082.52</v>
          </cell>
          <cell r="I2190">
            <v>0</v>
          </cell>
          <cell r="J2190">
            <v>1082.52</v>
          </cell>
          <cell r="K2190">
            <v>4.07</v>
          </cell>
        </row>
        <row r="2191">
          <cell r="A2191" t="str">
            <v>LU2559894485</v>
          </cell>
          <cell r="B2191" t="str">
            <v>AMUNDI FUNDS NET ZERO AMBITION US CORPORATE BOND</v>
          </cell>
          <cell r="C2191" t="str">
            <v>Class R2 USD (C)</v>
          </cell>
          <cell r="D2191" t="str">
            <v>USD</v>
          </cell>
          <cell r="E2191">
            <v>45747</v>
          </cell>
          <cell r="F2191">
            <v>5528.99</v>
          </cell>
          <cell r="G2191">
            <v>100</v>
          </cell>
          <cell r="H2191">
            <v>55.29</v>
          </cell>
          <cell r="I2191">
            <v>0</v>
          </cell>
          <cell r="J2191">
            <v>55.29</v>
          </cell>
          <cell r="K2191">
            <v>0.1</v>
          </cell>
        </row>
        <row r="2192">
          <cell r="A2192" t="str">
            <v>LU2559894303</v>
          </cell>
          <cell r="B2192" t="str">
            <v>AMUNDI FUNDS NET ZERO AMBITION US CORPORATE BOND</v>
          </cell>
          <cell r="C2192" t="str">
            <v>Class R USD (C)</v>
          </cell>
          <cell r="D2192" t="str">
            <v>USD</v>
          </cell>
          <cell r="E2192">
            <v>45747</v>
          </cell>
          <cell r="F2192">
            <v>5537.43</v>
          </cell>
          <cell r="G2192">
            <v>100</v>
          </cell>
          <cell r="H2192">
            <v>55.37</v>
          </cell>
          <cell r="I2192">
            <v>0</v>
          </cell>
          <cell r="J2192">
            <v>55.37</v>
          </cell>
          <cell r="K2192">
            <v>0.1</v>
          </cell>
        </row>
        <row r="2193">
          <cell r="A2193" t="str">
            <v>LU2559895029</v>
          </cell>
          <cell r="B2193" t="str">
            <v>AMUNDI FUNDS NET ZERO AMBITION US CORPORATE BOND</v>
          </cell>
          <cell r="C2193" t="str">
            <v>Class Z USD (C)</v>
          </cell>
          <cell r="D2193" t="str">
            <v>USD</v>
          </cell>
          <cell r="E2193">
            <v>45747</v>
          </cell>
          <cell r="F2193">
            <v>10395440.380000001</v>
          </cell>
          <cell r="G2193">
            <v>9352</v>
          </cell>
          <cell r="H2193">
            <v>1111.57</v>
          </cell>
          <cell r="I2193">
            <v>0</v>
          </cell>
          <cell r="J2193">
            <v>1111.57</v>
          </cell>
          <cell r="K2193">
            <v>2.14</v>
          </cell>
        </row>
        <row r="2194">
          <cell r="A2194" t="str">
            <v>LU2559894998</v>
          </cell>
          <cell r="B2194" t="str">
            <v>AMUNDI FUNDS NET ZERO AMBITION US CORPORATE BOND</v>
          </cell>
          <cell r="C2194" t="str">
            <v>Class H USD (C)</v>
          </cell>
          <cell r="D2194" t="str">
            <v>USD</v>
          </cell>
          <cell r="E2194">
            <v>45747</v>
          </cell>
          <cell r="F2194">
            <v>12736734.18</v>
          </cell>
          <cell r="G2194">
            <v>11394.661</v>
          </cell>
          <cell r="H2194">
            <v>1117.78</v>
          </cell>
          <cell r="I2194">
            <v>0</v>
          </cell>
          <cell r="J2194">
            <v>1117.78</v>
          </cell>
          <cell r="K2194">
            <v>2.0699999999999998</v>
          </cell>
        </row>
        <row r="2195">
          <cell r="A2195" t="str">
            <v>LU2559895292</v>
          </cell>
          <cell r="B2195" t="str">
            <v>AMUNDI FUNDS NET ZERO AMBITION US CORPORATE BOND</v>
          </cell>
          <cell r="C2195" t="str">
            <v>Class Z USD QTD (D)</v>
          </cell>
          <cell r="D2195" t="str">
            <v>USD</v>
          </cell>
          <cell r="E2195">
            <v>45747</v>
          </cell>
          <cell r="F2195">
            <v>5023.8999999999996</v>
          </cell>
          <cell r="G2195">
            <v>5</v>
          </cell>
          <cell r="H2195">
            <v>1004.78</v>
          </cell>
          <cell r="I2195">
            <v>0</v>
          </cell>
          <cell r="J2195">
            <v>1004.78</v>
          </cell>
          <cell r="K2195">
            <v>1.94</v>
          </cell>
        </row>
        <row r="2196">
          <cell r="A2196" t="str">
            <v>LU2665726118</v>
          </cell>
          <cell r="B2196" t="str">
            <v>AMUNDI FUNDS GLOBAL SHORT TERM BOND</v>
          </cell>
          <cell r="C2196" t="str">
            <v>Class A2 USD (C)</v>
          </cell>
          <cell r="D2196" t="str">
            <v>USD</v>
          </cell>
          <cell r="E2196">
            <v>45747</v>
          </cell>
          <cell r="F2196">
            <v>5378.41</v>
          </cell>
          <cell r="G2196">
            <v>100</v>
          </cell>
          <cell r="H2196">
            <v>53.78</v>
          </cell>
          <cell r="I2196">
            <v>0</v>
          </cell>
          <cell r="J2196">
            <v>53.78</v>
          </cell>
          <cell r="K2196">
            <v>-0.01</v>
          </cell>
        </row>
        <row r="2197">
          <cell r="A2197" t="str">
            <v>LU2665725904</v>
          </cell>
          <cell r="B2197" t="str">
            <v>AMUNDI FUNDS GLOBAL SHORT TERM BOND</v>
          </cell>
          <cell r="C2197" t="str">
            <v>Class A USD (C)</v>
          </cell>
          <cell r="D2197" t="str">
            <v>USD</v>
          </cell>
          <cell r="E2197">
            <v>45747</v>
          </cell>
          <cell r="F2197">
            <v>5383.34</v>
          </cell>
          <cell r="G2197">
            <v>100</v>
          </cell>
          <cell r="H2197">
            <v>53.83</v>
          </cell>
          <cell r="I2197">
            <v>0</v>
          </cell>
          <cell r="J2197">
            <v>53.83</v>
          </cell>
          <cell r="K2197">
            <v>0</v>
          </cell>
        </row>
        <row r="2198">
          <cell r="A2198" t="str">
            <v>LU2665726209</v>
          </cell>
          <cell r="B2198" t="str">
            <v>AMUNDI FUNDS GLOBAL SHORT TERM BOND</v>
          </cell>
          <cell r="C2198" t="str">
            <v>Class E2 EUR (C)</v>
          </cell>
          <cell r="D2198" t="str">
            <v>EUR</v>
          </cell>
          <cell r="E2198">
            <v>45747</v>
          </cell>
          <cell r="F2198">
            <v>195234.36</v>
          </cell>
          <cell r="G2198">
            <v>35739.237999999998</v>
          </cell>
          <cell r="H2198">
            <v>5.4630000000000001</v>
          </cell>
          <cell r="I2198">
            <v>0</v>
          </cell>
          <cell r="J2198">
            <v>5.4630000000000001</v>
          </cell>
          <cell r="K2198">
            <v>1.0999999999999999E-2</v>
          </cell>
        </row>
        <row r="2199">
          <cell r="A2199" t="str">
            <v>LU2665728163</v>
          </cell>
          <cell r="B2199" t="str">
            <v>AMUNDI FUNDS GLOBAL SHORT TERM BOND</v>
          </cell>
          <cell r="C2199" t="str">
            <v>Class I2 USD (C)</v>
          </cell>
          <cell r="D2199" t="str">
            <v>USD</v>
          </cell>
          <cell r="E2199">
            <v>45747</v>
          </cell>
          <cell r="F2199">
            <v>5399.08</v>
          </cell>
          <cell r="G2199">
            <v>5</v>
          </cell>
          <cell r="H2199">
            <v>1079.82</v>
          </cell>
          <cell r="I2199">
            <v>0</v>
          </cell>
          <cell r="J2199">
            <v>1079.82</v>
          </cell>
          <cell r="K2199">
            <v>0.01</v>
          </cell>
        </row>
        <row r="2200">
          <cell r="A2200" t="str">
            <v>LU2665726464</v>
          </cell>
          <cell r="B2200" t="str">
            <v>AMUNDI FUNDS GLOBAL SHORT TERM BOND</v>
          </cell>
          <cell r="C2200" t="str">
            <v>Class I USD (C)</v>
          </cell>
          <cell r="D2200" t="str">
            <v>USD</v>
          </cell>
          <cell r="E2200">
            <v>45747</v>
          </cell>
          <cell r="F2200">
            <v>5398.92</v>
          </cell>
          <cell r="G2200">
            <v>5</v>
          </cell>
          <cell r="H2200">
            <v>1079.78</v>
          </cell>
          <cell r="I2200">
            <v>0</v>
          </cell>
          <cell r="J2200">
            <v>1079.78</v>
          </cell>
          <cell r="K2200">
            <v>0.05</v>
          </cell>
        </row>
        <row r="2201">
          <cell r="A2201" t="str">
            <v>LU2665726035</v>
          </cell>
          <cell r="B2201" t="str">
            <v>AMUNDI FUNDS GLOBAL SHORT TERM BOND</v>
          </cell>
          <cell r="C2201" t="str">
            <v>Class G EUR Hgd (C)</v>
          </cell>
          <cell r="D2201" t="str">
            <v>EUR</v>
          </cell>
          <cell r="E2201">
            <v>45747</v>
          </cell>
          <cell r="F2201">
            <v>279227.62</v>
          </cell>
          <cell r="G2201">
            <v>53128.192999999999</v>
          </cell>
          <cell r="H2201">
            <v>5.2560000000000002</v>
          </cell>
          <cell r="I2201">
            <v>0</v>
          </cell>
          <cell r="J2201">
            <v>5.2560000000000002</v>
          </cell>
          <cell r="K2201">
            <v>0</v>
          </cell>
        </row>
        <row r="2202">
          <cell r="A2202" t="str">
            <v>LU2665726621</v>
          </cell>
          <cell r="B2202" t="str">
            <v>AMUNDI FUNDS GLOBAL SHORT TERM BOND</v>
          </cell>
          <cell r="C2202" t="str">
            <v>Class M2 EUR (C)</v>
          </cell>
          <cell r="D2202" t="str">
            <v>EUR</v>
          </cell>
          <cell r="E2202">
            <v>45747</v>
          </cell>
          <cell r="F2202">
            <v>5481.72</v>
          </cell>
          <cell r="G2202">
            <v>5</v>
          </cell>
          <cell r="H2202">
            <v>1096.3399999999999</v>
          </cell>
          <cell r="I2202">
            <v>0</v>
          </cell>
          <cell r="J2202">
            <v>1096.3399999999999</v>
          </cell>
          <cell r="K2202">
            <v>2.12</v>
          </cell>
        </row>
        <row r="2203">
          <cell r="A2203" t="str">
            <v>LU2665726977</v>
          </cell>
          <cell r="B2203" t="str">
            <v>AMUNDI FUNDS GLOBAL SHORT TERM BOND</v>
          </cell>
          <cell r="C2203" t="str">
            <v>Class R USD (C)</v>
          </cell>
          <cell r="D2203" t="str">
            <v>USD</v>
          </cell>
          <cell r="E2203">
            <v>45747</v>
          </cell>
          <cell r="F2203">
            <v>5395.61</v>
          </cell>
          <cell r="G2203">
            <v>100</v>
          </cell>
          <cell r="H2203">
            <v>53.96</v>
          </cell>
          <cell r="I2203">
            <v>0</v>
          </cell>
          <cell r="J2203">
            <v>53.96</v>
          </cell>
          <cell r="K2203">
            <v>0.01</v>
          </cell>
        </row>
        <row r="2204">
          <cell r="A2204" t="str">
            <v>LU2665727199</v>
          </cell>
          <cell r="B2204" t="str">
            <v>AMUNDI FUNDS GLOBAL SHORT TERM BOND</v>
          </cell>
          <cell r="C2204" t="str">
            <v>Class R2 USD (C)</v>
          </cell>
          <cell r="D2204" t="str">
            <v>USD</v>
          </cell>
          <cell r="E2204">
            <v>45747</v>
          </cell>
          <cell r="F2204">
            <v>5395.82</v>
          </cell>
          <cell r="G2204">
            <v>100</v>
          </cell>
          <cell r="H2204">
            <v>53.96</v>
          </cell>
          <cell r="I2204">
            <v>0</v>
          </cell>
          <cell r="J2204">
            <v>53.96</v>
          </cell>
          <cell r="K2204">
            <v>0</v>
          </cell>
        </row>
        <row r="2205">
          <cell r="A2205" t="str">
            <v>LU2665726894</v>
          </cell>
          <cell r="B2205" t="str">
            <v>AMUNDI FUNDS GLOBAL SHORT TERM BOND</v>
          </cell>
          <cell r="C2205" t="str">
            <v>Class Z USD (C)</v>
          </cell>
          <cell r="D2205" t="str">
            <v>USD</v>
          </cell>
          <cell r="E2205">
            <v>45747</v>
          </cell>
          <cell r="F2205">
            <v>108790564.34</v>
          </cell>
          <cell r="G2205">
            <v>100720.198</v>
          </cell>
          <cell r="H2205">
            <v>1080.1300000000001</v>
          </cell>
          <cell r="I2205">
            <v>0</v>
          </cell>
          <cell r="J2205">
            <v>1080.1300000000001</v>
          </cell>
          <cell r="K2205">
            <v>7.0000000000000007E-2</v>
          </cell>
        </row>
        <row r="2206">
          <cell r="A2206" t="str">
            <v>LU2665726381</v>
          </cell>
          <cell r="B2206" t="str">
            <v>AMUNDI FUNDS GLOBAL SHORT TERM BOND</v>
          </cell>
          <cell r="C2206" t="str">
            <v>Class H EUR (C)</v>
          </cell>
          <cell r="D2206" t="str">
            <v>EUR</v>
          </cell>
          <cell r="E2206">
            <v>45747</v>
          </cell>
          <cell r="F2206">
            <v>5495.87</v>
          </cell>
          <cell r="G2206">
            <v>5</v>
          </cell>
          <cell r="H2206">
            <v>1099.17</v>
          </cell>
          <cell r="I2206">
            <v>0</v>
          </cell>
          <cell r="J2206">
            <v>1099.17</v>
          </cell>
          <cell r="K2206">
            <v>2.15</v>
          </cell>
        </row>
        <row r="2207">
          <cell r="A2207" t="str">
            <v>LU2762362023</v>
          </cell>
          <cell r="B2207" t="str">
            <v>AMUNDI FUNDS GLOBAL SHORT TERM BOND</v>
          </cell>
          <cell r="C2207" t="str">
            <v>Class Z EUR Hgd (C)</v>
          </cell>
          <cell r="D2207" t="str">
            <v>EUR</v>
          </cell>
          <cell r="E2207">
            <v>45747</v>
          </cell>
          <cell r="F2207">
            <v>10279802.279999999</v>
          </cell>
          <cell r="G2207">
            <v>10000</v>
          </cell>
          <cell r="H2207">
            <v>1027.98</v>
          </cell>
          <cell r="I2207">
            <v>0</v>
          </cell>
          <cell r="J2207">
            <v>1027.98</v>
          </cell>
          <cell r="K2207">
            <v>0</v>
          </cell>
        </row>
        <row r="2208">
          <cell r="A2208" t="str">
            <v>LU2665730904</v>
          </cell>
          <cell r="B2208" t="str">
            <v>AMUNDI FUNDS EMERGING MARKET EQUITY FOCUS EX-CHINA</v>
          </cell>
          <cell r="C2208" t="str">
            <v>Class A2 USD (C)</v>
          </cell>
          <cell r="D2208" t="str">
            <v>USD</v>
          </cell>
          <cell r="E2208">
            <v>45747</v>
          </cell>
          <cell r="F2208">
            <v>4988110.5599999996</v>
          </cell>
          <cell r="G2208">
            <v>90920.051999999996</v>
          </cell>
          <cell r="H2208">
            <v>54.86</v>
          </cell>
          <cell r="I2208">
            <v>0</v>
          </cell>
          <cell r="J2208">
            <v>54.86</v>
          </cell>
          <cell r="K2208">
            <v>-0.96</v>
          </cell>
        </row>
        <row r="2209">
          <cell r="A2209" t="str">
            <v>LU2778930888</v>
          </cell>
          <cell r="B2209" t="str">
            <v>AMUNDI FUNDS EMERGING MARKET EQUITY FOCUS EX-CHINA</v>
          </cell>
          <cell r="C2209" t="str">
            <v>Class A EUR Hgd (C)</v>
          </cell>
          <cell r="D2209" t="str">
            <v>EUR</v>
          </cell>
          <cell r="E2209">
            <v>45747</v>
          </cell>
          <cell r="F2209">
            <v>375497.73</v>
          </cell>
          <cell r="G2209">
            <v>7816.8069999999998</v>
          </cell>
          <cell r="H2209">
            <v>48.04</v>
          </cell>
          <cell r="I2209">
            <v>0</v>
          </cell>
          <cell r="J2209">
            <v>50.2</v>
          </cell>
          <cell r="K2209">
            <v>-0.84</v>
          </cell>
        </row>
        <row r="2210">
          <cell r="A2210" t="str">
            <v>LU2778930706</v>
          </cell>
          <cell r="B2210" t="str">
            <v>AMUNDI FUNDS EMERGING MARKET EQUITY FOCUS EX-CHINA</v>
          </cell>
          <cell r="C2210" t="str">
            <v>Class A EUR (C)</v>
          </cell>
          <cell r="D2210" t="str">
            <v>EUR</v>
          </cell>
          <cell r="E2210">
            <v>45747</v>
          </cell>
          <cell r="F2210">
            <v>4891.3</v>
          </cell>
          <cell r="G2210">
            <v>100</v>
          </cell>
          <cell r="H2210">
            <v>48.91</v>
          </cell>
          <cell r="I2210">
            <v>0</v>
          </cell>
          <cell r="J2210">
            <v>51.11</v>
          </cell>
          <cell r="K2210">
            <v>-0.76</v>
          </cell>
        </row>
        <row r="2211">
          <cell r="A2211" t="str">
            <v>LU2665730813</v>
          </cell>
          <cell r="B2211" t="str">
            <v>AMUNDI FUNDS EMERGING MARKET EQUITY FOCUS EX-CHINA</v>
          </cell>
          <cell r="C2211" t="str">
            <v>Class A USD (C)</v>
          </cell>
          <cell r="D2211" t="str">
            <v>USD</v>
          </cell>
          <cell r="E2211">
            <v>45747</v>
          </cell>
          <cell r="F2211">
            <v>5486.51</v>
          </cell>
          <cell r="G2211">
            <v>100</v>
          </cell>
          <cell r="H2211">
            <v>54.87</v>
          </cell>
          <cell r="I2211">
            <v>0</v>
          </cell>
          <cell r="J2211">
            <v>54.87</v>
          </cell>
          <cell r="K2211">
            <v>-0.96</v>
          </cell>
        </row>
        <row r="2212">
          <cell r="A2212" t="str">
            <v>LU2665725227</v>
          </cell>
          <cell r="B2212" t="str">
            <v>AMUNDI FUNDS EMERGING MARKET EQUITY FOCUS EX-CHINA</v>
          </cell>
          <cell r="C2212" t="str">
            <v>Class E2 EUR (C)</v>
          </cell>
          <cell r="D2212" t="str">
            <v>EUR</v>
          </cell>
          <cell r="E2212">
            <v>45747</v>
          </cell>
          <cell r="F2212">
            <v>5515.81</v>
          </cell>
          <cell r="G2212">
            <v>1000</v>
          </cell>
          <cell r="H2212">
            <v>5.516</v>
          </cell>
          <cell r="I2212">
            <v>0</v>
          </cell>
          <cell r="J2212">
            <v>5.516</v>
          </cell>
          <cell r="K2212">
            <v>-8.5000000000000006E-2</v>
          </cell>
        </row>
        <row r="2213">
          <cell r="A2213" t="str">
            <v>LU2665725573</v>
          </cell>
          <cell r="B2213" t="str">
            <v>AMUNDI FUNDS EMERGING MARKET EQUITY FOCUS EX-CHINA</v>
          </cell>
          <cell r="C2213" t="str">
            <v>Class F EUR (C)</v>
          </cell>
          <cell r="D2213" t="str">
            <v>EUR</v>
          </cell>
          <cell r="E2213">
            <v>45747</v>
          </cell>
          <cell r="F2213">
            <v>5438.06</v>
          </cell>
          <cell r="G2213">
            <v>1000</v>
          </cell>
          <cell r="H2213">
            <v>5.4379999999999997</v>
          </cell>
          <cell r="I2213">
            <v>0</v>
          </cell>
          <cell r="J2213">
            <v>5.4379999999999997</v>
          </cell>
          <cell r="K2213">
            <v>-8.4000000000000005E-2</v>
          </cell>
        </row>
        <row r="2214">
          <cell r="A2214" t="str">
            <v>LU2665725144</v>
          </cell>
          <cell r="B2214" t="str">
            <v>AMUNDI FUNDS EMERGING MARKET EQUITY FOCUS EX-CHINA</v>
          </cell>
          <cell r="C2214" t="str">
            <v>Class I2 USD (C)</v>
          </cell>
          <cell r="D2214" t="str">
            <v>USD</v>
          </cell>
          <cell r="E2214">
            <v>45747</v>
          </cell>
          <cell r="F2214">
            <v>5570.75</v>
          </cell>
          <cell r="G2214">
            <v>5</v>
          </cell>
          <cell r="H2214">
            <v>1114.1500000000001</v>
          </cell>
          <cell r="I2214">
            <v>0</v>
          </cell>
          <cell r="J2214">
            <v>1114.1500000000001</v>
          </cell>
          <cell r="K2214">
            <v>-19.260000000000002</v>
          </cell>
        </row>
        <row r="2215">
          <cell r="A2215" t="str">
            <v>LU2665725060</v>
          </cell>
          <cell r="B2215" t="str">
            <v>AMUNDI FUNDS EMERGING MARKET EQUITY FOCUS EX-CHINA</v>
          </cell>
          <cell r="C2215" t="str">
            <v>Class I USD (C)</v>
          </cell>
          <cell r="D2215" t="str">
            <v>USD</v>
          </cell>
          <cell r="E2215">
            <v>45747</v>
          </cell>
          <cell r="F2215">
            <v>5548.87</v>
          </cell>
          <cell r="G2215">
            <v>5</v>
          </cell>
          <cell r="H2215">
            <v>1109.77</v>
          </cell>
          <cell r="I2215">
            <v>0</v>
          </cell>
          <cell r="J2215">
            <v>1109.77</v>
          </cell>
          <cell r="K2215">
            <v>-19.43</v>
          </cell>
        </row>
        <row r="2216">
          <cell r="A2216" t="str">
            <v>LU2665725730</v>
          </cell>
          <cell r="B2216" t="str">
            <v>AMUNDI FUNDS EMERGING MARKET EQUITY FOCUS EX-CHINA</v>
          </cell>
          <cell r="C2216" t="str">
            <v>Class G EUR (C)</v>
          </cell>
          <cell r="D2216" t="str">
            <v>EUR</v>
          </cell>
          <cell r="E2216">
            <v>45747</v>
          </cell>
          <cell r="F2216">
            <v>46118.13</v>
          </cell>
          <cell r="G2216">
            <v>8443.2919999999995</v>
          </cell>
          <cell r="H2216">
            <v>5.4619999999999997</v>
          </cell>
          <cell r="I2216">
            <v>0</v>
          </cell>
          <cell r="J2216">
            <v>5.4619999999999997</v>
          </cell>
          <cell r="K2216">
            <v>-8.5999999999999993E-2</v>
          </cell>
        </row>
        <row r="2217">
          <cell r="A2217" t="str">
            <v>LU2665725656</v>
          </cell>
          <cell r="B2217" t="str">
            <v>AMUNDI FUNDS EMERGING MARKET EQUITY FOCUS EX-CHINA</v>
          </cell>
          <cell r="C2217" t="str">
            <v>Class M2 EUR (C)</v>
          </cell>
          <cell r="D2217" t="str">
            <v>EUR</v>
          </cell>
          <cell r="E2217">
            <v>45747</v>
          </cell>
          <cell r="F2217">
            <v>5576.58</v>
          </cell>
          <cell r="G2217">
            <v>5</v>
          </cell>
          <cell r="H2217">
            <v>1115.32</v>
          </cell>
          <cell r="I2217">
            <v>0</v>
          </cell>
          <cell r="J2217">
            <v>1115.32</v>
          </cell>
          <cell r="K2217">
            <v>-17.07</v>
          </cell>
        </row>
        <row r="2218">
          <cell r="A2218" t="str">
            <v>LU2665725490</v>
          </cell>
          <cell r="B2218" t="str">
            <v>AMUNDI FUNDS EMERGING MARKET EQUITY FOCUS EX-CHINA</v>
          </cell>
          <cell r="C2218" t="str">
            <v>Class R USD (C)</v>
          </cell>
          <cell r="D2218" t="str">
            <v>USD</v>
          </cell>
          <cell r="E2218">
            <v>45747</v>
          </cell>
          <cell r="F2218">
            <v>5538.84</v>
          </cell>
          <cell r="G2218">
            <v>100</v>
          </cell>
          <cell r="H2218">
            <v>55.39</v>
          </cell>
          <cell r="I2218">
            <v>0</v>
          </cell>
          <cell r="J2218">
            <v>55.39</v>
          </cell>
          <cell r="K2218">
            <v>-0.97</v>
          </cell>
        </row>
        <row r="2219">
          <cell r="A2219" t="str">
            <v>LU2665728080</v>
          </cell>
          <cell r="B2219" t="str">
            <v>AMUNDI FUNDS EMERGING MARKET EQUITY FOCUS EX-CHINA</v>
          </cell>
          <cell r="C2219" t="str">
            <v>Class R2 USD (C)</v>
          </cell>
          <cell r="D2219" t="str">
            <v>USD</v>
          </cell>
          <cell r="E2219">
            <v>45747</v>
          </cell>
          <cell r="F2219">
            <v>5554.44</v>
          </cell>
          <cell r="G2219">
            <v>100</v>
          </cell>
          <cell r="H2219">
            <v>55.54</v>
          </cell>
          <cell r="I2219">
            <v>0</v>
          </cell>
          <cell r="J2219">
            <v>55.54</v>
          </cell>
          <cell r="K2219">
            <v>-0.97</v>
          </cell>
        </row>
        <row r="2220">
          <cell r="A2220" t="str">
            <v>LU2778931001</v>
          </cell>
          <cell r="B2220" t="str">
            <v>AMUNDI FUNDS EMERGING MARKET EQUITY FOCUS EX-CHINA</v>
          </cell>
          <cell r="C2220" t="str">
            <v>Class R EUR Hgd (C)</v>
          </cell>
          <cell r="D2220" t="str">
            <v>EUR</v>
          </cell>
          <cell r="E2220">
            <v>45747</v>
          </cell>
          <cell r="F2220">
            <v>96922.01</v>
          </cell>
          <cell r="G2220">
            <v>2000</v>
          </cell>
          <cell r="H2220">
            <v>48.46</v>
          </cell>
          <cell r="I2220">
            <v>0</v>
          </cell>
          <cell r="J2220">
            <v>48.46</v>
          </cell>
          <cell r="K2220">
            <v>-0.84</v>
          </cell>
        </row>
        <row r="2221">
          <cell r="A2221" t="str">
            <v>LU2778930961</v>
          </cell>
          <cell r="B2221" t="str">
            <v>AMUNDI FUNDS EMERGING MARKET EQUITY FOCUS EX-CHINA</v>
          </cell>
          <cell r="C2221" t="str">
            <v>Class R EUR (C)</v>
          </cell>
          <cell r="D2221" t="str">
            <v>EUR</v>
          </cell>
          <cell r="E2221">
            <v>45747</v>
          </cell>
          <cell r="F2221">
            <v>4931.43</v>
          </cell>
          <cell r="G2221">
            <v>100</v>
          </cell>
          <cell r="H2221">
            <v>49.31</v>
          </cell>
          <cell r="I2221">
            <v>0</v>
          </cell>
          <cell r="J2221">
            <v>49.31</v>
          </cell>
          <cell r="K2221">
            <v>-0.77</v>
          </cell>
        </row>
        <row r="2222">
          <cell r="A2222" t="str">
            <v>LU2665725813</v>
          </cell>
          <cell r="B2222" t="str">
            <v>AMUNDI FUNDS EMERGING MARKET EQUITY FOCUS EX-CHINA</v>
          </cell>
          <cell r="C2222" t="str">
            <v>Class Z USD (C)</v>
          </cell>
          <cell r="D2222" t="str">
            <v>USD</v>
          </cell>
          <cell r="E2222">
            <v>45747</v>
          </cell>
          <cell r="F2222">
            <v>47413506.539999999</v>
          </cell>
          <cell r="G2222">
            <v>42559.444000000003</v>
          </cell>
          <cell r="H2222">
            <v>1114.05</v>
          </cell>
          <cell r="I2222">
            <v>0</v>
          </cell>
          <cell r="J2222">
            <v>1114.05</v>
          </cell>
          <cell r="K2222">
            <v>-19.489999999999998</v>
          </cell>
        </row>
        <row r="2223">
          <cell r="A2223" t="str">
            <v>LU2665729484</v>
          </cell>
          <cell r="B2223" t="str">
            <v>AMUNDI FUNDS ASIA INCOME ESG BOND</v>
          </cell>
          <cell r="C2223" t="str">
            <v>Class A2 USD (C)</v>
          </cell>
          <cell r="D2223" t="str">
            <v>USD</v>
          </cell>
          <cell r="E2223">
            <v>45747</v>
          </cell>
          <cell r="F2223">
            <v>1762813.54</v>
          </cell>
          <cell r="G2223">
            <v>32637.152999999998</v>
          </cell>
          <cell r="H2223">
            <v>54.01</v>
          </cell>
          <cell r="I2223">
            <v>0</v>
          </cell>
          <cell r="J2223">
            <v>54.01</v>
          </cell>
          <cell r="K2223">
            <v>-0.05</v>
          </cell>
        </row>
        <row r="2224">
          <cell r="A2224" t="str">
            <v>LU2801257762</v>
          </cell>
          <cell r="B2224" t="str">
            <v>AMUNDI FUNDS ASIA INCOME ESG BOND</v>
          </cell>
          <cell r="C2224" t="str">
            <v>Class A2 USD MTD3 (D)</v>
          </cell>
          <cell r="D2224" t="str">
            <v>USD</v>
          </cell>
          <cell r="E2224">
            <v>45747</v>
          </cell>
          <cell r="F2224">
            <v>5033.1099999999997</v>
          </cell>
          <cell r="G2224">
            <v>103.749</v>
          </cell>
          <cell r="H2224">
            <v>48.51</v>
          </cell>
          <cell r="I2224">
            <v>0</v>
          </cell>
          <cell r="J2224">
            <v>48.51</v>
          </cell>
          <cell r="K2224">
            <v>-0.05</v>
          </cell>
        </row>
        <row r="2225">
          <cell r="A2225" t="str">
            <v>LU2665726548</v>
          </cell>
          <cell r="B2225" t="str">
            <v>AMUNDI FUNDS ASIA INCOME ESG BOND</v>
          </cell>
          <cell r="C2225" t="str">
            <v>Class A2 USD MGI (D)</v>
          </cell>
          <cell r="D2225" t="str">
            <v>USD</v>
          </cell>
          <cell r="E2225">
            <v>45747</v>
          </cell>
          <cell r="F2225">
            <v>6397.98</v>
          </cell>
          <cell r="G2225">
            <v>128.12700000000001</v>
          </cell>
          <cell r="H2225">
            <v>49.93</v>
          </cell>
          <cell r="I2225">
            <v>0</v>
          </cell>
          <cell r="J2225">
            <v>49.93</v>
          </cell>
          <cell r="K2225">
            <v>-0.05</v>
          </cell>
        </row>
        <row r="2226">
          <cell r="A2226" t="str">
            <v>LU2801257846</v>
          </cell>
          <cell r="B2226" t="str">
            <v>AMUNDI FUNDS ASIA INCOME ESG BOND</v>
          </cell>
          <cell r="C2226" t="str">
            <v>Class A2 HKD MTD3 (D)</v>
          </cell>
          <cell r="D2226" t="str">
            <v>HKD</v>
          </cell>
          <cell r="E2226">
            <v>45747</v>
          </cell>
          <cell r="F2226">
            <v>39147.22</v>
          </cell>
          <cell r="G2226">
            <v>808.26900000000001</v>
          </cell>
          <cell r="H2226">
            <v>48.43</v>
          </cell>
          <cell r="I2226">
            <v>0</v>
          </cell>
          <cell r="J2226">
            <v>48.43</v>
          </cell>
          <cell r="K2226">
            <v>-0.04</v>
          </cell>
        </row>
        <row r="2227">
          <cell r="A2227" t="str">
            <v>LU2665729641</v>
          </cell>
          <cell r="B2227" t="str">
            <v>AMUNDI FUNDS ASIA INCOME ESG BOND</v>
          </cell>
          <cell r="C2227" t="str">
            <v>Class A2 SGD HGD MGI (D)</v>
          </cell>
          <cell r="D2227" t="str">
            <v>SGD</v>
          </cell>
          <cell r="E2227">
            <v>45747</v>
          </cell>
          <cell r="F2227">
            <v>5398937.3499999996</v>
          </cell>
          <cell r="G2227">
            <v>111002.292</v>
          </cell>
          <cell r="H2227">
            <v>48.64</v>
          </cell>
          <cell r="I2227">
            <v>0</v>
          </cell>
          <cell r="J2227">
            <v>48.64</v>
          </cell>
          <cell r="K2227">
            <v>-0.04</v>
          </cell>
        </row>
        <row r="2228">
          <cell r="A2228" t="str">
            <v>LU2665729302</v>
          </cell>
          <cell r="B2228" t="str">
            <v>AMUNDI FUNDS ASIA INCOME ESG BOND</v>
          </cell>
          <cell r="C2228" t="str">
            <v>Class A USD (C)</v>
          </cell>
          <cell r="D2228" t="str">
            <v>USD</v>
          </cell>
          <cell r="E2228">
            <v>45747</v>
          </cell>
          <cell r="F2228">
            <v>5411.66</v>
          </cell>
          <cell r="G2228">
            <v>100</v>
          </cell>
          <cell r="H2228">
            <v>54.12</v>
          </cell>
          <cell r="I2228">
            <v>0</v>
          </cell>
          <cell r="J2228">
            <v>54.12</v>
          </cell>
          <cell r="K2228">
            <v>-0.04</v>
          </cell>
        </row>
        <row r="2229">
          <cell r="A2229" t="str">
            <v>LU2665729724</v>
          </cell>
          <cell r="B2229" t="str">
            <v>AMUNDI FUNDS ASIA INCOME ESG BOND</v>
          </cell>
          <cell r="C2229" t="str">
            <v>Class E2 EUR (C)</v>
          </cell>
          <cell r="D2229" t="str">
            <v>EUR</v>
          </cell>
          <cell r="E2229">
            <v>45747</v>
          </cell>
          <cell r="F2229">
            <v>24780.81</v>
          </cell>
          <cell r="G2229">
            <v>4588.8630000000003</v>
          </cell>
          <cell r="H2229">
            <v>5.4</v>
          </cell>
          <cell r="I2229">
            <v>0</v>
          </cell>
          <cell r="J2229">
            <v>5.4</v>
          </cell>
          <cell r="K2229">
            <v>5.0000000000000001E-3</v>
          </cell>
        </row>
        <row r="2230">
          <cell r="A2230" t="str">
            <v>LU2665730227</v>
          </cell>
          <cell r="B2230" t="str">
            <v>AMUNDI FUNDS ASIA INCOME ESG BOND</v>
          </cell>
          <cell r="C2230" t="str">
            <v>Class I2 USD (C)</v>
          </cell>
          <cell r="D2230" t="str">
            <v>USD</v>
          </cell>
          <cell r="E2230">
            <v>45747</v>
          </cell>
          <cell r="F2230">
            <v>5460.28</v>
          </cell>
          <cell r="G2230">
            <v>5</v>
          </cell>
          <cell r="H2230">
            <v>1092.06</v>
          </cell>
          <cell r="I2230">
            <v>0</v>
          </cell>
          <cell r="J2230">
            <v>1092.06</v>
          </cell>
          <cell r="K2230">
            <v>-0.9</v>
          </cell>
        </row>
        <row r="2231">
          <cell r="A2231" t="str">
            <v>LU2665730144</v>
          </cell>
          <cell r="B2231" t="str">
            <v>AMUNDI FUNDS ASIA INCOME ESG BOND</v>
          </cell>
          <cell r="C2231" t="str">
            <v>Class I USD (C)</v>
          </cell>
          <cell r="D2231" t="str">
            <v>USD</v>
          </cell>
          <cell r="E2231">
            <v>45747</v>
          </cell>
          <cell r="F2231">
            <v>5464.24</v>
          </cell>
          <cell r="G2231">
            <v>5</v>
          </cell>
          <cell r="H2231">
            <v>1092.8499999999999</v>
          </cell>
          <cell r="I2231">
            <v>0</v>
          </cell>
          <cell r="J2231">
            <v>1092.8499999999999</v>
          </cell>
          <cell r="K2231">
            <v>-0.89</v>
          </cell>
        </row>
        <row r="2232">
          <cell r="A2232" t="str">
            <v>LU2665729997</v>
          </cell>
          <cell r="B2232" t="str">
            <v>AMUNDI FUNDS ASIA INCOME ESG BOND</v>
          </cell>
          <cell r="C2232" t="str">
            <v>Class G EUR Hgd (C)</v>
          </cell>
          <cell r="D2232" t="str">
            <v>EUR</v>
          </cell>
          <cell r="E2232">
            <v>45747</v>
          </cell>
          <cell r="F2232">
            <v>38711.980000000003</v>
          </cell>
          <cell r="G2232">
            <v>7327.7439999999997</v>
          </cell>
          <cell r="H2232">
            <v>5.2830000000000004</v>
          </cell>
          <cell r="I2232">
            <v>0</v>
          </cell>
          <cell r="J2232">
            <v>5.2830000000000004</v>
          </cell>
          <cell r="K2232">
            <v>-5.0000000000000001E-3</v>
          </cell>
        </row>
        <row r="2233">
          <cell r="A2233" t="str">
            <v>LU2665730490</v>
          </cell>
          <cell r="B2233" t="str">
            <v>AMUNDI FUNDS ASIA INCOME ESG BOND</v>
          </cell>
          <cell r="C2233" t="str">
            <v>Class M2 EUR (C)</v>
          </cell>
          <cell r="D2233" t="str">
            <v>EUR</v>
          </cell>
          <cell r="E2233">
            <v>45747</v>
          </cell>
          <cell r="F2233">
            <v>5452.32</v>
          </cell>
          <cell r="G2233">
            <v>5</v>
          </cell>
          <cell r="H2233">
            <v>1090.46</v>
          </cell>
          <cell r="I2233">
            <v>0</v>
          </cell>
          <cell r="J2233">
            <v>1090.46</v>
          </cell>
          <cell r="K2233">
            <v>1.21</v>
          </cell>
        </row>
        <row r="2234">
          <cell r="A2234" t="str">
            <v>LU2665730573</v>
          </cell>
          <cell r="B2234" t="str">
            <v>AMUNDI FUNDS ASIA INCOME ESG BOND</v>
          </cell>
          <cell r="C2234" t="str">
            <v>Class R USD (C)</v>
          </cell>
          <cell r="D2234" t="str">
            <v>USD</v>
          </cell>
          <cell r="E2234">
            <v>45747</v>
          </cell>
          <cell r="F2234">
            <v>5448.26</v>
          </cell>
          <cell r="G2234">
            <v>100</v>
          </cell>
          <cell r="H2234">
            <v>54.48</v>
          </cell>
          <cell r="I2234">
            <v>0</v>
          </cell>
          <cell r="J2234">
            <v>54.48</v>
          </cell>
          <cell r="K2234">
            <v>-0.05</v>
          </cell>
        </row>
        <row r="2235">
          <cell r="A2235" t="str">
            <v>LU2665730656</v>
          </cell>
          <cell r="B2235" t="str">
            <v>AMUNDI FUNDS ASIA INCOME ESG BOND</v>
          </cell>
          <cell r="C2235" t="str">
            <v>Class R2 USD (C)</v>
          </cell>
          <cell r="D2235" t="str">
            <v>USD</v>
          </cell>
          <cell r="E2235">
            <v>45747</v>
          </cell>
          <cell r="F2235">
            <v>5440.83</v>
          </cell>
          <cell r="G2235">
            <v>100</v>
          </cell>
          <cell r="H2235">
            <v>54.41</v>
          </cell>
          <cell r="I2235">
            <v>0</v>
          </cell>
          <cell r="J2235">
            <v>54.41</v>
          </cell>
          <cell r="K2235">
            <v>-0.04</v>
          </cell>
        </row>
        <row r="2236">
          <cell r="A2236" t="str">
            <v>LU2665730730</v>
          </cell>
          <cell r="B2236" t="str">
            <v>AMUNDI FUNDS ASIA INCOME ESG BOND</v>
          </cell>
          <cell r="C2236" t="str">
            <v>Class Z USD (C)</v>
          </cell>
          <cell r="D2236" t="str">
            <v>USD</v>
          </cell>
          <cell r="E2236">
            <v>45747</v>
          </cell>
          <cell r="F2236">
            <v>46625150.93</v>
          </cell>
          <cell r="G2236">
            <v>42620.186999999998</v>
          </cell>
          <cell r="H2236">
            <v>1093.97</v>
          </cell>
          <cell r="I2236">
            <v>0</v>
          </cell>
          <cell r="J2236">
            <v>1093.97</v>
          </cell>
          <cell r="K2236">
            <v>-0.89</v>
          </cell>
        </row>
        <row r="2237">
          <cell r="A2237" t="str">
            <v>LU2665730060</v>
          </cell>
          <cell r="B2237" t="str">
            <v>AMUNDI FUNDS ASIA INCOME ESG BOND</v>
          </cell>
          <cell r="C2237" t="str">
            <v>Class H EUR (C)</v>
          </cell>
          <cell r="D2237" t="str">
            <v>EUR</v>
          </cell>
          <cell r="E2237">
            <v>45747</v>
          </cell>
          <cell r="F2237">
            <v>3759209.04</v>
          </cell>
          <cell r="G2237">
            <v>3436.0360000000001</v>
          </cell>
          <cell r="H2237">
            <v>1094.05</v>
          </cell>
          <cell r="I2237">
            <v>0</v>
          </cell>
          <cell r="J2237">
            <v>1094.05</v>
          </cell>
          <cell r="K2237">
            <v>1.24</v>
          </cell>
        </row>
        <row r="2238">
          <cell r="A2238" t="str">
            <v>LU2665724923</v>
          </cell>
          <cell r="B2238" t="str">
            <v>AMUNDI FUNDS CHINA NEW ENERGY</v>
          </cell>
          <cell r="C2238" t="str">
            <v>Class A2 USD (C)</v>
          </cell>
          <cell r="D2238" t="str">
            <v>USD</v>
          </cell>
          <cell r="E2238">
            <v>45747</v>
          </cell>
          <cell r="F2238">
            <v>4991.0200000000004</v>
          </cell>
          <cell r="G2238">
            <v>100</v>
          </cell>
          <cell r="H2238">
            <v>49.91</v>
          </cell>
          <cell r="I2238">
            <v>0</v>
          </cell>
          <cell r="J2238">
            <v>52.16</v>
          </cell>
          <cell r="K2238">
            <v>-0.67</v>
          </cell>
        </row>
        <row r="2239">
          <cell r="A2239" t="str">
            <v>LU2665728916</v>
          </cell>
          <cell r="B2239" t="str">
            <v>AMUNDI FUNDS CHINA NEW ENERGY</v>
          </cell>
          <cell r="C2239" t="str">
            <v>Class E2 EUR (C)</v>
          </cell>
          <cell r="D2239" t="str">
            <v>EUR</v>
          </cell>
          <cell r="E2239">
            <v>45747</v>
          </cell>
          <cell r="F2239">
            <v>5157.9799999999996</v>
          </cell>
          <cell r="G2239">
            <v>1000</v>
          </cell>
          <cell r="H2239">
            <v>5.1580000000000004</v>
          </cell>
          <cell r="I2239">
            <v>0</v>
          </cell>
          <cell r="J2239">
            <v>5.1580000000000004</v>
          </cell>
          <cell r="K2239">
            <v>-5.8999999999999997E-2</v>
          </cell>
        </row>
        <row r="2240">
          <cell r="A2240" t="str">
            <v>LU2764858226</v>
          </cell>
          <cell r="B2240" t="str">
            <v>AMUNDI FUNDS CHINA NEW ENERGY</v>
          </cell>
          <cell r="C2240" t="str">
            <v>Class F2 EUR (C)</v>
          </cell>
          <cell r="D2240" t="str">
            <v>EUR</v>
          </cell>
          <cell r="E2240">
            <v>45747</v>
          </cell>
          <cell r="F2240">
            <v>5128.8100000000004</v>
          </cell>
          <cell r="G2240">
            <v>1000</v>
          </cell>
          <cell r="H2240">
            <v>5.1289999999999996</v>
          </cell>
          <cell r="I2240">
            <v>0</v>
          </cell>
          <cell r="J2240">
            <v>5.1289999999999996</v>
          </cell>
          <cell r="K2240">
            <v>-5.8999999999999997E-2</v>
          </cell>
        </row>
        <row r="2241">
          <cell r="A2241" t="str">
            <v>LU2665728676</v>
          </cell>
          <cell r="B2241" t="str">
            <v>AMUNDI FUNDS CHINA NEW ENERGY</v>
          </cell>
          <cell r="C2241" t="str">
            <v>Class I2 USD (C)</v>
          </cell>
          <cell r="D2241" t="str">
            <v>USD</v>
          </cell>
          <cell r="E2241">
            <v>45747</v>
          </cell>
          <cell r="F2241">
            <v>5019.2</v>
          </cell>
          <cell r="G2241">
            <v>5</v>
          </cell>
          <cell r="H2241">
            <v>1003.84</v>
          </cell>
          <cell r="I2241">
            <v>0</v>
          </cell>
          <cell r="J2241">
            <v>1003.84</v>
          </cell>
          <cell r="K2241">
            <v>-13.38</v>
          </cell>
        </row>
        <row r="2242">
          <cell r="A2242" t="str">
            <v>LU2764858499</v>
          </cell>
          <cell r="B2242" t="str">
            <v>AMUNDI FUNDS CHINA NEW ENERGY</v>
          </cell>
          <cell r="C2242" t="str">
            <v>Class G2 EUR (C)</v>
          </cell>
          <cell r="D2242" t="str">
            <v>EUR</v>
          </cell>
          <cell r="E2242">
            <v>45747</v>
          </cell>
          <cell r="F2242">
            <v>6162.63</v>
          </cell>
          <cell r="G2242">
            <v>1197.864</v>
          </cell>
          <cell r="H2242">
            <v>5.1449999999999996</v>
          </cell>
          <cell r="I2242">
            <v>0</v>
          </cell>
          <cell r="J2242">
            <v>5.1449999999999996</v>
          </cell>
          <cell r="K2242">
            <v>-5.8999999999999997E-2</v>
          </cell>
        </row>
        <row r="2243">
          <cell r="A2243" t="str">
            <v>LU2764858572</v>
          </cell>
          <cell r="B2243" t="str">
            <v>AMUNDI FUNDS CHINA NEW ENERGY</v>
          </cell>
          <cell r="C2243" t="str">
            <v>Class M2 EUR (C)</v>
          </cell>
          <cell r="D2243" t="str">
            <v>EUR</v>
          </cell>
          <cell r="E2243">
            <v>45747</v>
          </cell>
          <cell r="F2243">
            <v>5181.62</v>
          </cell>
          <cell r="G2243">
            <v>5</v>
          </cell>
          <cell r="H2243">
            <v>1036.32</v>
          </cell>
          <cell r="I2243">
            <v>0</v>
          </cell>
          <cell r="J2243">
            <v>1036.32</v>
          </cell>
          <cell r="K2243">
            <v>-11.78</v>
          </cell>
        </row>
        <row r="2244">
          <cell r="A2244" t="str">
            <v>LU2665728833</v>
          </cell>
          <cell r="B2244" t="str">
            <v>AMUNDI FUNDS CHINA NEW ENERGY</v>
          </cell>
          <cell r="C2244" t="str">
            <v>Class R2 USD (C)</v>
          </cell>
          <cell r="D2244" t="str">
            <v>USD</v>
          </cell>
          <cell r="E2244">
            <v>45747</v>
          </cell>
          <cell r="F2244">
            <v>5011.6400000000003</v>
          </cell>
          <cell r="G2244">
            <v>100</v>
          </cell>
          <cell r="H2244">
            <v>50.12</v>
          </cell>
          <cell r="I2244">
            <v>0</v>
          </cell>
          <cell r="J2244">
            <v>50.12</v>
          </cell>
          <cell r="K2244">
            <v>-0.67</v>
          </cell>
        </row>
        <row r="2245">
          <cell r="A2245" t="str">
            <v>LU2995468456</v>
          </cell>
          <cell r="B2245" t="str">
            <v>AMUNDI FUNDS CHINA NEW ENERGY</v>
          </cell>
          <cell r="C2245" t="str">
            <v>Class Z3 USD (C)</v>
          </cell>
          <cell r="D2245" t="str">
            <v>USD</v>
          </cell>
          <cell r="E2245">
            <v>45747</v>
          </cell>
          <cell r="F2245">
            <v>5160.83</v>
          </cell>
          <cell r="G2245">
            <v>5.3</v>
          </cell>
          <cell r="H2245">
            <v>973.74</v>
          </cell>
          <cell r="I2245">
            <v>0</v>
          </cell>
          <cell r="J2245">
            <v>973.74</v>
          </cell>
          <cell r="K2245">
            <v>-12.96</v>
          </cell>
        </row>
        <row r="2246">
          <cell r="A2246" t="str">
            <v>LU2764858655</v>
          </cell>
          <cell r="B2246" t="str">
            <v>AMUNDI FUNDS CHINA NEW ENERGY</v>
          </cell>
          <cell r="C2246" t="str">
            <v>Class H EUR (C)</v>
          </cell>
          <cell r="D2246" t="str">
            <v>EUR</v>
          </cell>
          <cell r="E2246">
            <v>45747</v>
          </cell>
          <cell r="F2246">
            <v>5193.97</v>
          </cell>
          <cell r="G2246">
            <v>5</v>
          </cell>
          <cell r="H2246">
            <v>1038.79</v>
          </cell>
          <cell r="I2246">
            <v>0</v>
          </cell>
          <cell r="J2246">
            <v>1038.79</v>
          </cell>
          <cell r="K2246">
            <v>-11.77</v>
          </cell>
        </row>
        <row r="2247">
          <cell r="A2247" t="str">
            <v>LU2665729211</v>
          </cell>
          <cell r="B2247" t="str">
            <v>AMUNDI FUNDS CHINA NEW ENERGY</v>
          </cell>
          <cell r="C2247" t="str">
            <v>Class Z USD (C)</v>
          </cell>
          <cell r="D2247" t="str">
            <v>USD</v>
          </cell>
          <cell r="E2247">
            <v>45747</v>
          </cell>
          <cell r="F2247">
            <v>6169558.2400000002</v>
          </cell>
          <cell r="G2247">
            <v>6140.741</v>
          </cell>
          <cell r="H2247">
            <v>1004.69</v>
          </cell>
          <cell r="I2247">
            <v>0</v>
          </cell>
          <cell r="J2247">
            <v>1004.69</v>
          </cell>
          <cell r="K2247">
            <v>-13.38</v>
          </cell>
        </row>
        <row r="2248">
          <cell r="A2248" t="str">
            <v>LU2665727355</v>
          </cell>
          <cell r="B2248" t="str">
            <v>AMUNDI FUNDS ASIA MULTI ASSET TARGET INCOME</v>
          </cell>
          <cell r="C2248" t="str">
            <v>Class A2 USD (C)</v>
          </cell>
          <cell r="D2248" t="str">
            <v>USD</v>
          </cell>
          <cell r="E2248">
            <v>45747</v>
          </cell>
          <cell r="F2248">
            <v>5174.92</v>
          </cell>
          <cell r="G2248">
            <v>100</v>
          </cell>
          <cell r="H2248">
            <v>51.75</v>
          </cell>
          <cell r="I2248">
            <v>0</v>
          </cell>
          <cell r="J2248">
            <v>54.08</v>
          </cell>
          <cell r="K2248">
            <v>-0.39</v>
          </cell>
        </row>
        <row r="2249">
          <cell r="A2249" t="str">
            <v>LU2665727439</v>
          </cell>
          <cell r="B2249" t="str">
            <v>AMUNDI FUNDS ASIA MULTI ASSET TARGET INCOME</v>
          </cell>
          <cell r="C2249" t="str">
            <v>Class E2 EUR (C)</v>
          </cell>
          <cell r="D2249" t="str">
            <v>EUR</v>
          </cell>
          <cell r="E2249">
            <v>45747</v>
          </cell>
          <cell r="F2249">
            <v>5192.05</v>
          </cell>
          <cell r="G2249">
            <v>1000</v>
          </cell>
          <cell r="H2249">
            <v>5.1920000000000002</v>
          </cell>
          <cell r="I2249">
            <v>0</v>
          </cell>
          <cell r="J2249">
            <v>5.1920000000000002</v>
          </cell>
          <cell r="K2249">
            <v>-0.03</v>
          </cell>
        </row>
        <row r="2250">
          <cell r="A2250" t="str">
            <v>LU2665727785</v>
          </cell>
          <cell r="B2250" t="str">
            <v>AMUNDI FUNDS ASIA MULTI ASSET TARGET INCOME</v>
          </cell>
          <cell r="C2250" t="str">
            <v>Class I2 USD (C)</v>
          </cell>
          <cell r="D2250" t="str">
            <v>USD</v>
          </cell>
          <cell r="E2250">
            <v>45747</v>
          </cell>
          <cell r="F2250">
            <v>12684207.77</v>
          </cell>
          <cell r="G2250">
            <v>12165</v>
          </cell>
          <cell r="H2250">
            <v>1042.68</v>
          </cell>
          <cell r="I2250">
            <v>0</v>
          </cell>
          <cell r="J2250">
            <v>1042.68</v>
          </cell>
          <cell r="K2250">
            <v>-7.9</v>
          </cell>
        </row>
        <row r="2251">
          <cell r="A2251" t="str">
            <v>LU2665728247</v>
          </cell>
          <cell r="B2251" t="str">
            <v>AMUNDI FUNDS ASIA MULTI ASSET TARGET INCOME</v>
          </cell>
          <cell r="C2251" t="str">
            <v>Class J2 EUR Hgd (C)</v>
          </cell>
          <cell r="D2251" t="str">
            <v>EUR</v>
          </cell>
          <cell r="E2251">
            <v>45747</v>
          </cell>
          <cell r="F2251">
            <v>102813.48</v>
          </cell>
          <cell r="G2251">
            <v>100</v>
          </cell>
          <cell r="H2251">
            <v>1028.1300000000001</v>
          </cell>
          <cell r="I2251">
            <v>0</v>
          </cell>
          <cell r="J2251">
            <v>1028.1300000000001</v>
          </cell>
          <cell r="K2251">
            <v>-7.85</v>
          </cell>
        </row>
        <row r="2252">
          <cell r="A2252" t="str">
            <v>LU2665729567</v>
          </cell>
          <cell r="B2252" t="str">
            <v>AMUNDI FUNDS ASIA MULTI ASSET TARGET INCOME</v>
          </cell>
          <cell r="C2252" t="str">
            <v>Class J2 USD (C)</v>
          </cell>
          <cell r="D2252" t="str">
            <v>USD</v>
          </cell>
          <cell r="E2252">
            <v>45747</v>
          </cell>
          <cell r="F2252">
            <v>15666960.449999999</v>
          </cell>
          <cell r="G2252">
            <v>15000</v>
          </cell>
          <cell r="H2252">
            <v>1044.46</v>
          </cell>
          <cell r="I2252">
            <v>0</v>
          </cell>
          <cell r="J2252">
            <v>1044.46</v>
          </cell>
          <cell r="K2252">
            <v>-7.9</v>
          </cell>
        </row>
        <row r="2253">
          <cell r="A2253" t="str">
            <v>LU2665727512</v>
          </cell>
          <cell r="B2253" t="str">
            <v>AMUNDI FUNDS ASIA MULTI ASSET TARGET INCOME</v>
          </cell>
          <cell r="C2253" t="str">
            <v>Class G2 EUR Hgd (C)</v>
          </cell>
          <cell r="D2253" t="str">
            <v>EUR</v>
          </cell>
          <cell r="E2253">
            <v>45747</v>
          </cell>
          <cell r="F2253">
            <v>101558.8</v>
          </cell>
          <cell r="G2253">
            <v>20000</v>
          </cell>
          <cell r="H2253">
            <v>5.0780000000000003</v>
          </cell>
          <cell r="I2253">
            <v>0</v>
          </cell>
          <cell r="J2253">
            <v>5.0780000000000003</v>
          </cell>
          <cell r="K2253">
            <v>-3.9E-2</v>
          </cell>
        </row>
        <row r="2254">
          <cell r="A2254" t="str">
            <v>LU2665727868</v>
          </cell>
          <cell r="B2254" t="str">
            <v>AMUNDI FUNDS ASIA MULTI ASSET TARGET INCOME</v>
          </cell>
          <cell r="C2254" t="str">
            <v>Class M2 EUR (C)</v>
          </cell>
          <cell r="D2254" t="str">
            <v>EUR</v>
          </cell>
          <cell r="E2254">
            <v>45747</v>
          </cell>
          <cell r="F2254">
            <v>5233.1000000000004</v>
          </cell>
          <cell r="G2254">
            <v>5</v>
          </cell>
          <cell r="H2254">
            <v>1046.6199999999999</v>
          </cell>
          <cell r="I2254">
            <v>0</v>
          </cell>
          <cell r="J2254">
            <v>1046.6199999999999</v>
          </cell>
          <cell r="K2254">
            <v>-5.88</v>
          </cell>
        </row>
        <row r="2255">
          <cell r="A2255" t="str">
            <v>LU2665727942</v>
          </cell>
          <cell r="B2255" t="str">
            <v>AMUNDI FUNDS ASIA MULTI ASSET TARGET INCOME</v>
          </cell>
          <cell r="C2255" t="str">
            <v>Class R2 USD (C)</v>
          </cell>
          <cell r="D2255" t="str">
            <v>USD</v>
          </cell>
          <cell r="E2255">
            <v>45747</v>
          </cell>
          <cell r="F2255">
            <v>5199.21</v>
          </cell>
          <cell r="G2255">
            <v>100</v>
          </cell>
          <cell r="H2255">
            <v>51.99</v>
          </cell>
          <cell r="I2255">
            <v>0</v>
          </cell>
          <cell r="J2255">
            <v>51.99</v>
          </cell>
          <cell r="K2255">
            <v>-0.4</v>
          </cell>
        </row>
        <row r="2256">
          <cell r="A2256" t="str">
            <v>LU2665727603</v>
          </cell>
          <cell r="B2256" t="str">
            <v>AMUNDI FUNDS ASIA MULTI ASSET TARGET INCOME</v>
          </cell>
          <cell r="C2256" t="str">
            <v>Class H EUR (C)</v>
          </cell>
          <cell r="D2256" t="str">
            <v>EUR</v>
          </cell>
          <cell r="E2256">
            <v>45747</v>
          </cell>
          <cell r="F2256">
            <v>7364900.4900000002</v>
          </cell>
          <cell r="G2256">
            <v>7015</v>
          </cell>
          <cell r="H2256">
            <v>1049.8800000000001</v>
          </cell>
          <cell r="I2256">
            <v>0</v>
          </cell>
          <cell r="J2256">
            <v>1049.8800000000001</v>
          </cell>
          <cell r="K2256">
            <v>-5.85</v>
          </cell>
        </row>
        <row r="2257">
          <cell r="A2257" t="str">
            <v>LU2769868725</v>
          </cell>
          <cell r="B2257" t="str">
            <v>AMUNDI FUNDS EUROPEAN EQUITY</v>
          </cell>
          <cell r="C2257" t="str">
            <v>Class A2 EUR (C)</v>
          </cell>
          <cell r="D2257" t="str">
            <v>EUR</v>
          </cell>
          <cell r="E2257">
            <v>45747</v>
          </cell>
          <cell r="F2257">
            <v>5217.7</v>
          </cell>
          <cell r="G2257">
            <v>100</v>
          </cell>
          <cell r="H2257">
            <v>52.18</v>
          </cell>
          <cell r="I2257">
            <v>0</v>
          </cell>
          <cell r="J2257">
            <v>52.18</v>
          </cell>
          <cell r="K2257">
            <v>-0.82</v>
          </cell>
        </row>
        <row r="2258">
          <cell r="A2258" t="str">
            <v>LU2769868568</v>
          </cell>
          <cell r="B2258" t="str">
            <v>AMUNDI FUNDS EUROPEAN EQUITY</v>
          </cell>
          <cell r="C2258" t="str">
            <v>Class A EUR (C)</v>
          </cell>
          <cell r="D2258" t="str">
            <v>EUR</v>
          </cell>
          <cell r="E2258">
            <v>45747</v>
          </cell>
          <cell r="F2258">
            <v>5220.6000000000004</v>
          </cell>
          <cell r="G2258">
            <v>100</v>
          </cell>
          <cell r="H2258">
            <v>52.21</v>
          </cell>
          <cell r="I2258">
            <v>0</v>
          </cell>
          <cell r="J2258">
            <v>52.21</v>
          </cell>
          <cell r="K2258">
            <v>-0.81</v>
          </cell>
        </row>
        <row r="2259">
          <cell r="A2259" t="str">
            <v>LU2769868998</v>
          </cell>
          <cell r="B2259" t="str">
            <v>AMUNDI FUNDS EUROPEAN EQUITY</v>
          </cell>
          <cell r="C2259" t="str">
            <v>Class E2 EUR (C)</v>
          </cell>
          <cell r="D2259" t="str">
            <v>EUR</v>
          </cell>
          <cell r="E2259">
            <v>45747</v>
          </cell>
          <cell r="F2259">
            <v>5220.63</v>
          </cell>
          <cell r="G2259">
            <v>1000</v>
          </cell>
          <cell r="H2259">
            <v>5.2210000000000001</v>
          </cell>
          <cell r="I2259">
            <v>0</v>
          </cell>
          <cell r="J2259">
            <v>5.2210000000000001</v>
          </cell>
          <cell r="K2259">
            <v>-8.1000000000000003E-2</v>
          </cell>
        </row>
        <row r="2260">
          <cell r="A2260" t="str">
            <v>LU2769869020</v>
          </cell>
          <cell r="B2260" t="str">
            <v>AMUNDI FUNDS EUROPEAN EQUITY</v>
          </cell>
          <cell r="C2260" t="str">
            <v>Class F EUR (C)</v>
          </cell>
          <cell r="D2260" t="str">
            <v>EUR</v>
          </cell>
          <cell r="E2260">
            <v>45747</v>
          </cell>
          <cell r="F2260">
            <v>29234.89</v>
          </cell>
          <cell r="G2260">
            <v>5609.3850000000002</v>
          </cell>
          <cell r="H2260">
            <v>5.2119999999999997</v>
          </cell>
          <cell r="I2260">
            <v>0</v>
          </cell>
          <cell r="J2260">
            <v>5.2119999999999997</v>
          </cell>
          <cell r="K2260">
            <v>-8.2000000000000003E-2</v>
          </cell>
        </row>
        <row r="2261">
          <cell r="A2261" t="str">
            <v>LU2769869533</v>
          </cell>
          <cell r="B2261" t="str">
            <v>AMUNDI FUNDS EUROPEAN EQUITY</v>
          </cell>
          <cell r="C2261" t="str">
            <v>Class I2 EUR (C)</v>
          </cell>
          <cell r="D2261" t="str">
            <v>EUR</v>
          </cell>
          <cell r="E2261">
            <v>45747</v>
          </cell>
          <cell r="F2261">
            <v>10647290.300000001</v>
          </cell>
          <cell r="G2261">
            <v>10174.67</v>
          </cell>
          <cell r="H2261">
            <v>1046.45</v>
          </cell>
          <cell r="I2261">
            <v>0</v>
          </cell>
          <cell r="J2261">
            <v>1046.45</v>
          </cell>
          <cell r="K2261">
            <v>-16.34</v>
          </cell>
        </row>
        <row r="2262">
          <cell r="A2262" t="str">
            <v>LU2769869459</v>
          </cell>
          <cell r="B2262" t="str">
            <v>AMUNDI FUNDS EUROPEAN EQUITY</v>
          </cell>
          <cell r="C2262" t="str">
            <v>Class I EUR (C)</v>
          </cell>
          <cell r="D2262" t="str">
            <v>EUR</v>
          </cell>
          <cell r="E2262">
            <v>45747</v>
          </cell>
          <cell r="F2262">
            <v>5233.7700000000004</v>
          </cell>
          <cell r="G2262">
            <v>5</v>
          </cell>
          <cell r="H2262">
            <v>1046.75</v>
          </cell>
          <cell r="I2262">
            <v>0</v>
          </cell>
          <cell r="J2262">
            <v>1046.75</v>
          </cell>
          <cell r="K2262">
            <v>-16.34</v>
          </cell>
        </row>
        <row r="2263">
          <cell r="A2263" t="str">
            <v>LU2769869293</v>
          </cell>
          <cell r="B2263" t="str">
            <v>AMUNDI FUNDS EUROPEAN EQUITY</v>
          </cell>
          <cell r="C2263" t="str">
            <v>Class G EUR (C)</v>
          </cell>
          <cell r="D2263" t="str">
            <v>EUR</v>
          </cell>
          <cell r="E2263">
            <v>45747</v>
          </cell>
          <cell r="F2263">
            <v>5446.78</v>
          </cell>
          <cell r="G2263">
            <v>1043.748</v>
          </cell>
          <cell r="H2263">
            <v>5.218</v>
          </cell>
          <cell r="I2263">
            <v>0</v>
          </cell>
          <cell r="J2263">
            <v>5.218</v>
          </cell>
          <cell r="K2263">
            <v>-8.2000000000000003E-2</v>
          </cell>
        </row>
        <row r="2264">
          <cell r="A2264" t="str">
            <v>LU2769869707</v>
          </cell>
          <cell r="B2264" t="str">
            <v>AMUNDI FUNDS EUROPEAN EQUITY</v>
          </cell>
          <cell r="C2264" t="str">
            <v>Class M EUR (C)</v>
          </cell>
          <cell r="D2264" t="str">
            <v>EUR</v>
          </cell>
          <cell r="E2264">
            <v>45747</v>
          </cell>
          <cell r="F2264">
            <v>5233.7700000000004</v>
          </cell>
          <cell r="G2264">
            <v>5</v>
          </cell>
          <cell r="H2264">
            <v>1046.75</v>
          </cell>
          <cell r="I2264">
            <v>0</v>
          </cell>
          <cell r="J2264">
            <v>1046.75</v>
          </cell>
          <cell r="K2264">
            <v>-16.34</v>
          </cell>
        </row>
        <row r="2265">
          <cell r="A2265" t="str">
            <v>LU2769869962</v>
          </cell>
          <cell r="B2265" t="str">
            <v>AMUNDI FUNDS EUROPEAN EQUITY</v>
          </cell>
          <cell r="C2265" t="str">
            <v>Class R2 EUR (C)</v>
          </cell>
          <cell r="D2265" t="str">
            <v>EUR</v>
          </cell>
          <cell r="E2265">
            <v>45747</v>
          </cell>
          <cell r="F2265">
            <v>5228.33</v>
          </cell>
          <cell r="G2265">
            <v>100</v>
          </cell>
          <cell r="H2265">
            <v>52.28</v>
          </cell>
          <cell r="I2265">
            <v>0</v>
          </cell>
          <cell r="J2265">
            <v>52.28</v>
          </cell>
          <cell r="K2265">
            <v>-0.82</v>
          </cell>
        </row>
        <row r="2266">
          <cell r="A2266" t="str">
            <v>LU2769869889</v>
          </cell>
          <cell r="B2266" t="str">
            <v>AMUNDI FUNDS EUROPEAN EQUITY</v>
          </cell>
          <cell r="C2266" t="str">
            <v>Class R EUR (C)</v>
          </cell>
          <cell r="D2266" t="str">
            <v>EUR</v>
          </cell>
          <cell r="E2266">
            <v>45747</v>
          </cell>
          <cell r="F2266">
            <v>5230.41</v>
          </cell>
          <cell r="G2266">
            <v>100</v>
          </cell>
          <cell r="H2266">
            <v>52.3</v>
          </cell>
          <cell r="I2266">
            <v>0</v>
          </cell>
          <cell r="J2266">
            <v>52.3</v>
          </cell>
          <cell r="K2266">
            <v>-0.82</v>
          </cell>
        </row>
        <row r="2267">
          <cell r="A2267" t="str">
            <v>LU2819203675</v>
          </cell>
          <cell r="B2267" t="str">
            <v>AMUNDI FUNDS EUROPEAN EQUITY</v>
          </cell>
          <cell r="C2267" t="str">
            <v>Class SE2 EUR (C)</v>
          </cell>
          <cell r="D2267" t="str">
            <v>EUR</v>
          </cell>
          <cell r="E2267">
            <v>45747</v>
          </cell>
          <cell r="F2267">
            <v>28379103.600000001</v>
          </cell>
          <cell r="G2267">
            <v>29000</v>
          </cell>
          <cell r="H2267">
            <v>978.59</v>
          </cell>
          <cell r="I2267">
            <v>0</v>
          </cell>
          <cell r="J2267">
            <v>978.59</v>
          </cell>
          <cell r="K2267">
            <v>-15.25</v>
          </cell>
        </row>
        <row r="2268">
          <cell r="A2268" t="str">
            <v>LU2769870036</v>
          </cell>
          <cell r="B2268" t="str">
            <v>AMUNDI FUNDS EUROPEAN EQUITY</v>
          </cell>
          <cell r="C2268" t="str">
            <v>Class Z EUR (C)</v>
          </cell>
          <cell r="D2268" t="str">
            <v>EUR</v>
          </cell>
          <cell r="E2268">
            <v>45747</v>
          </cell>
          <cell r="F2268">
            <v>50790044.439999998</v>
          </cell>
          <cell r="G2268">
            <v>49610.159</v>
          </cell>
          <cell r="H2268">
            <v>1023.78</v>
          </cell>
          <cell r="I2268">
            <v>0</v>
          </cell>
          <cell r="J2268">
            <v>1023.78</v>
          </cell>
          <cell r="K2268">
            <v>-15.97</v>
          </cell>
        </row>
        <row r="2269">
          <cell r="A2269" t="str">
            <v>LU2769869376</v>
          </cell>
          <cell r="B2269" t="str">
            <v>AMUNDI FUNDS EUROPEAN EQUITY</v>
          </cell>
          <cell r="C2269" t="str">
            <v>Class H EUR (C)</v>
          </cell>
          <cell r="D2269" t="str">
            <v>EUR</v>
          </cell>
          <cell r="E2269">
            <v>45747</v>
          </cell>
          <cell r="F2269">
            <v>13824351.48</v>
          </cell>
          <cell r="G2269">
            <v>13460.816999999999</v>
          </cell>
          <cell r="H2269">
            <v>1027.01</v>
          </cell>
          <cell r="I2269">
            <v>0</v>
          </cell>
          <cell r="J2269">
            <v>1027.01</v>
          </cell>
          <cell r="K2269">
            <v>-16</v>
          </cell>
        </row>
        <row r="2270">
          <cell r="A2270" t="str">
            <v>LU2823264341</v>
          </cell>
          <cell r="B2270" t="str">
            <v>AMUNDI FUNDS - EUROPE EX UK EQUITY</v>
          </cell>
          <cell r="C2270" t="str">
            <v>Class A2 EUR (C)</v>
          </cell>
          <cell r="D2270" t="str">
            <v>EUR</v>
          </cell>
          <cell r="E2270">
            <v>45747</v>
          </cell>
          <cell r="F2270">
            <v>4976.5600000000004</v>
          </cell>
          <cell r="G2270">
            <v>100</v>
          </cell>
          <cell r="H2270">
            <v>49.77</v>
          </cell>
          <cell r="I2270">
            <v>0</v>
          </cell>
          <cell r="J2270">
            <v>49.77</v>
          </cell>
          <cell r="K2270">
            <v>-0.92</v>
          </cell>
        </row>
        <row r="2271">
          <cell r="A2271" t="str">
            <v>LU2823264267</v>
          </cell>
          <cell r="B2271" t="str">
            <v>AMUNDI FUNDS - EUROPE EX UK EQUITY</v>
          </cell>
          <cell r="C2271" t="str">
            <v>Class A EUR (C)</v>
          </cell>
          <cell r="D2271" t="str">
            <v>EUR</v>
          </cell>
          <cell r="E2271">
            <v>45747</v>
          </cell>
          <cell r="F2271">
            <v>4983.84</v>
          </cell>
          <cell r="G2271">
            <v>100</v>
          </cell>
          <cell r="H2271">
            <v>49.84</v>
          </cell>
          <cell r="I2271">
            <v>0</v>
          </cell>
          <cell r="J2271">
            <v>49.84</v>
          </cell>
          <cell r="K2271">
            <v>-0.92</v>
          </cell>
        </row>
        <row r="2272">
          <cell r="A2272" t="str">
            <v>LU2823264853</v>
          </cell>
          <cell r="B2272" t="str">
            <v>AMUNDI FUNDS - EUROPE EX UK EQUITY</v>
          </cell>
          <cell r="C2272" t="str">
            <v>Class I2 EUR (C)</v>
          </cell>
          <cell r="D2272" t="str">
            <v>EUR</v>
          </cell>
          <cell r="E2272">
            <v>45747</v>
          </cell>
          <cell r="F2272">
            <v>5015.8900000000003</v>
          </cell>
          <cell r="G2272">
            <v>5</v>
          </cell>
          <cell r="H2272">
            <v>1003.18</v>
          </cell>
          <cell r="I2272">
            <v>0</v>
          </cell>
          <cell r="J2272">
            <v>1003.18</v>
          </cell>
          <cell r="K2272">
            <v>-18.579999999999998</v>
          </cell>
        </row>
        <row r="2273">
          <cell r="A2273" t="str">
            <v>LU2823264770</v>
          </cell>
          <cell r="B2273" t="str">
            <v>AMUNDI FUNDS - EUROPE EX UK EQUITY</v>
          </cell>
          <cell r="C2273" t="str">
            <v>Class I EUR (C)</v>
          </cell>
          <cell r="D2273" t="str">
            <v>EUR</v>
          </cell>
          <cell r="E2273">
            <v>45747</v>
          </cell>
          <cell r="F2273">
            <v>5019.5600000000004</v>
          </cell>
          <cell r="G2273">
            <v>5</v>
          </cell>
          <cell r="H2273">
            <v>1003.91</v>
          </cell>
          <cell r="I2273">
            <v>0</v>
          </cell>
          <cell r="J2273">
            <v>1003.91</v>
          </cell>
          <cell r="K2273">
            <v>-18.59</v>
          </cell>
        </row>
        <row r="2274">
          <cell r="A2274" t="str">
            <v>LU2995469181</v>
          </cell>
          <cell r="B2274" t="str">
            <v>AMUNDI FUNDS - EUROPE EX UK EQUITY</v>
          </cell>
          <cell r="C2274" t="str">
            <v>Class J22 GBP (C)</v>
          </cell>
          <cell r="D2274" t="str">
            <v>GBP</v>
          </cell>
          <cell r="E2274">
            <v>45747</v>
          </cell>
          <cell r="F2274">
            <v>14207155.390000001</v>
          </cell>
          <cell r="G2274">
            <v>14810.243</v>
          </cell>
          <cell r="H2274">
            <v>959.28</v>
          </cell>
          <cell r="I2274">
            <v>0</v>
          </cell>
          <cell r="J2274">
            <v>959.28</v>
          </cell>
          <cell r="K2274">
            <v>-17.11</v>
          </cell>
        </row>
        <row r="2275">
          <cell r="A2275" t="str">
            <v>LU2823265587</v>
          </cell>
          <cell r="B2275" t="str">
            <v>AMUNDI FUNDS - EUROPE EX UK EQUITY</v>
          </cell>
          <cell r="C2275" t="str">
            <v>Class J14 EUR AD (D)</v>
          </cell>
          <cell r="D2275" t="str">
            <v>EUR</v>
          </cell>
          <cell r="E2275">
            <v>45747</v>
          </cell>
          <cell r="F2275">
            <v>5269601.6399999997</v>
          </cell>
          <cell r="G2275">
            <v>5226.3500000000004</v>
          </cell>
          <cell r="H2275">
            <v>1008.28</v>
          </cell>
          <cell r="I2275">
            <v>0</v>
          </cell>
          <cell r="J2275">
            <v>1008.28</v>
          </cell>
          <cell r="K2275">
            <v>-18.61</v>
          </cell>
        </row>
        <row r="2276">
          <cell r="A2276" t="str">
            <v>LU2823265660</v>
          </cell>
          <cell r="B2276" t="str">
            <v>AMUNDI FUNDS - EUROPE EX UK EQUITY</v>
          </cell>
          <cell r="C2276" t="str">
            <v>Class J14 GBP AD (D)</v>
          </cell>
          <cell r="D2276" t="str">
            <v>GBP</v>
          </cell>
          <cell r="E2276">
            <v>45747</v>
          </cell>
          <cell r="F2276">
            <v>721143431.75999999</v>
          </cell>
          <cell r="G2276">
            <v>721739.76699999999</v>
          </cell>
          <cell r="H2276">
            <v>999.17</v>
          </cell>
          <cell r="I2276">
            <v>0</v>
          </cell>
          <cell r="J2276">
            <v>999.17</v>
          </cell>
          <cell r="K2276">
            <v>-17.78</v>
          </cell>
        </row>
        <row r="2277">
          <cell r="A2277" t="str">
            <v>LU2823265744</v>
          </cell>
          <cell r="B2277" t="str">
            <v>AMUNDI FUNDS - EUROPE EX UK EQUITY</v>
          </cell>
          <cell r="C2277" t="str">
            <v>Class J14 USD AD (D)</v>
          </cell>
          <cell r="D2277" t="str">
            <v>USD</v>
          </cell>
          <cell r="E2277">
            <v>45747</v>
          </cell>
          <cell r="F2277">
            <v>97651878.939999998</v>
          </cell>
          <cell r="G2277">
            <v>95944.357999999993</v>
          </cell>
          <cell r="H2277">
            <v>1017.8</v>
          </cell>
          <cell r="I2277">
            <v>0</v>
          </cell>
          <cell r="J2277">
            <v>1017.8</v>
          </cell>
          <cell r="K2277">
            <v>-20.8</v>
          </cell>
        </row>
        <row r="2278">
          <cell r="A2278" t="str">
            <v>LU2995469264</v>
          </cell>
          <cell r="B2278" t="str">
            <v>AMUNDI FUNDS - EUROPE EX UK EQUITY</v>
          </cell>
          <cell r="C2278" t="str">
            <v>Class J22 EUR (C)</v>
          </cell>
          <cell r="D2278" t="str">
            <v>EUR</v>
          </cell>
          <cell r="E2278">
            <v>45747</v>
          </cell>
          <cell r="F2278">
            <v>4754.8999999999996</v>
          </cell>
          <cell r="G2278">
            <v>5</v>
          </cell>
          <cell r="H2278">
            <v>950.98</v>
          </cell>
          <cell r="I2278">
            <v>0</v>
          </cell>
          <cell r="J2278">
            <v>950.98</v>
          </cell>
          <cell r="K2278">
            <v>-17.59</v>
          </cell>
        </row>
        <row r="2279">
          <cell r="A2279" t="str">
            <v>LU2823265314</v>
          </cell>
          <cell r="B2279" t="str">
            <v>AMUNDI FUNDS - EUROPE EX UK EQUITY</v>
          </cell>
          <cell r="C2279" t="str">
            <v>Class R2 EUR (C)</v>
          </cell>
          <cell r="D2279" t="str">
            <v>EUR</v>
          </cell>
          <cell r="E2279">
            <v>45747</v>
          </cell>
          <cell r="F2279">
            <v>5005.2700000000004</v>
          </cell>
          <cell r="G2279">
            <v>100</v>
          </cell>
          <cell r="H2279">
            <v>50.05</v>
          </cell>
          <cell r="I2279">
            <v>0</v>
          </cell>
          <cell r="J2279">
            <v>50.05</v>
          </cell>
          <cell r="K2279">
            <v>-0.93</v>
          </cell>
        </row>
        <row r="2280">
          <cell r="A2280" t="str">
            <v>LU2823265405</v>
          </cell>
          <cell r="B2280" t="str">
            <v>AMUNDI FUNDS - EUROPE EX UK EQUITY</v>
          </cell>
          <cell r="C2280" t="str">
            <v>Class R2 GBP (C)</v>
          </cell>
          <cell r="D2280" t="str">
            <v>GBP</v>
          </cell>
          <cell r="E2280">
            <v>45747</v>
          </cell>
          <cell r="F2280">
            <v>4216.26</v>
          </cell>
          <cell r="G2280">
            <v>85</v>
          </cell>
          <cell r="H2280">
            <v>49.6</v>
          </cell>
          <cell r="I2280">
            <v>0</v>
          </cell>
          <cell r="J2280">
            <v>49.6</v>
          </cell>
          <cell r="K2280">
            <v>-0.89</v>
          </cell>
        </row>
        <row r="2281">
          <cell r="A2281" t="str">
            <v>LU2823265231</v>
          </cell>
          <cell r="B2281" t="str">
            <v>AMUNDI FUNDS - EUROPE EX UK EQUITY</v>
          </cell>
          <cell r="C2281" t="str">
            <v>Class R EUR (C)</v>
          </cell>
          <cell r="D2281" t="str">
            <v>EUR</v>
          </cell>
          <cell r="E2281">
            <v>45747</v>
          </cell>
          <cell r="F2281">
            <v>5010.92</v>
          </cell>
          <cell r="G2281">
            <v>100</v>
          </cell>
          <cell r="H2281">
            <v>50.11</v>
          </cell>
          <cell r="I2281">
            <v>0</v>
          </cell>
          <cell r="J2281">
            <v>50.11</v>
          </cell>
          <cell r="K2281">
            <v>-0.93</v>
          </cell>
        </row>
        <row r="2282">
          <cell r="A2282" t="str">
            <v>LU2823265827</v>
          </cell>
          <cell r="B2282" t="str">
            <v>AMUNDI FUNDS - EUROPE EX UK EQUITY</v>
          </cell>
          <cell r="C2282" t="str">
            <v>Class Z EUR (C)</v>
          </cell>
          <cell r="D2282" t="str">
            <v>EUR</v>
          </cell>
          <cell r="E2282">
            <v>45747</v>
          </cell>
          <cell r="F2282">
            <v>1005.37</v>
          </cell>
          <cell r="G2282">
            <v>1</v>
          </cell>
          <cell r="H2282">
            <v>1005.37</v>
          </cell>
          <cell r="I2282">
            <v>0</v>
          </cell>
          <cell r="J2282">
            <v>1005.37</v>
          </cell>
          <cell r="K2282">
            <v>-18.600000000000001</v>
          </cell>
        </row>
        <row r="2283">
          <cell r="A2283" t="str">
            <v>LU0281585215</v>
          </cell>
          <cell r="B2283" t="str">
            <v>Amundi S.F. - Euro Curve 10 + Year</v>
          </cell>
          <cell r="C2283" t="str">
            <v>Class A Distributing Annually</v>
          </cell>
          <cell r="D2283" t="str">
            <v>EUR</v>
          </cell>
          <cell r="E2283">
            <v>45747</v>
          </cell>
          <cell r="F2283">
            <v>1094309.1399999999</v>
          </cell>
          <cell r="G2283">
            <v>14758.973</v>
          </cell>
          <cell r="H2283">
            <v>74.150000000000006</v>
          </cell>
          <cell r="I2283">
            <v>0</v>
          </cell>
          <cell r="J2283">
            <v>76.37</v>
          </cell>
          <cell r="K2283">
            <v>-0.02</v>
          </cell>
        </row>
        <row r="2284">
          <cell r="A2284" t="str">
            <v>LU0271691981</v>
          </cell>
          <cell r="B2284" t="str">
            <v>Amundi S.F. - Euro Curve 10 + Year</v>
          </cell>
          <cell r="C2284" t="str">
            <v>Class E Non - Distributing</v>
          </cell>
          <cell r="D2284" t="str">
            <v>EUR</v>
          </cell>
          <cell r="E2284">
            <v>45747</v>
          </cell>
          <cell r="F2284">
            <v>24329917.510000002</v>
          </cell>
          <cell r="G2284">
            <v>3438939.4530000002</v>
          </cell>
          <cell r="H2284">
            <v>7.0750000000000002</v>
          </cell>
          <cell r="I2284">
            <v>0</v>
          </cell>
          <cell r="J2284">
            <v>7.0750000000000002</v>
          </cell>
          <cell r="K2284">
            <v>-3.0000000000000001E-3</v>
          </cell>
        </row>
        <row r="2285">
          <cell r="A2285" t="str">
            <v>LU0857391741</v>
          </cell>
          <cell r="B2285" t="str">
            <v>Amundi S.F. - Euro Curve 10 + Year</v>
          </cell>
          <cell r="C2285" t="str">
            <v>Class E Distributing Quarterly Target</v>
          </cell>
          <cell r="D2285" t="str">
            <v>EUR</v>
          </cell>
          <cell r="E2285">
            <v>45747</v>
          </cell>
          <cell r="F2285">
            <v>2822719.29</v>
          </cell>
          <cell r="G2285">
            <v>619528.17099999997</v>
          </cell>
          <cell r="H2285">
            <v>4.556</v>
          </cell>
          <cell r="I2285">
            <v>0</v>
          </cell>
          <cell r="J2285">
            <v>4.556</v>
          </cell>
          <cell r="K2285">
            <v>-2E-3</v>
          </cell>
        </row>
        <row r="2286">
          <cell r="A2286" t="str">
            <v>LU0271692013</v>
          </cell>
          <cell r="B2286" t="str">
            <v>Amundi S.F. - Euro Curve 10 + Year</v>
          </cell>
          <cell r="C2286" t="str">
            <v>Class F Non - Distributing</v>
          </cell>
          <cell r="D2286" t="str">
            <v>EUR</v>
          </cell>
          <cell r="E2286">
            <v>45747</v>
          </cell>
          <cell r="F2286">
            <v>6609988.0599999996</v>
          </cell>
          <cell r="G2286">
            <v>1039522.895</v>
          </cell>
          <cell r="H2286">
            <v>6.359</v>
          </cell>
          <cell r="I2286">
            <v>0</v>
          </cell>
          <cell r="J2286">
            <v>6.359</v>
          </cell>
          <cell r="K2286">
            <v>-3.0000000000000001E-3</v>
          </cell>
        </row>
        <row r="2287">
          <cell r="A2287" t="str">
            <v>LU0433266516</v>
          </cell>
          <cell r="B2287" t="str">
            <v>Amundi S.F. - Euro Curve 10 + Year</v>
          </cell>
          <cell r="C2287" t="str">
            <v>Class I Non - Distributing</v>
          </cell>
          <cell r="D2287" t="str">
            <v>EUR</v>
          </cell>
          <cell r="E2287">
            <v>45747</v>
          </cell>
          <cell r="F2287">
            <v>7854.7</v>
          </cell>
          <cell r="G2287">
            <v>5</v>
          </cell>
          <cell r="H2287">
            <v>1570.94</v>
          </cell>
          <cell r="I2287">
            <v>0</v>
          </cell>
          <cell r="J2287">
            <v>1570.94</v>
          </cell>
          <cell r="K2287">
            <v>-0.55000000000000004</v>
          </cell>
        </row>
        <row r="2288">
          <cell r="A2288" t="str">
            <v>LU0332132397</v>
          </cell>
          <cell r="B2288" t="str">
            <v>Amundi S.F. - Euro Curve 10 + Year</v>
          </cell>
          <cell r="C2288" t="str">
            <v>Class H Non - Distributing</v>
          </cell>
          <cell r="D2288" t="str">
            <v>EUR</v>
          </cell>
          <cell r="E2288">
            <v>45747</v>
          </cell>
          <cell r="F2288">
            <v>27510379.649999999</v>
          </cell>
          <cell r="G2288">
            <v>16820.972000000002</v>
          </cell>
          <cell r="H2288">
            <v>1635.48</v>
          </cell>
          <cell r="I2288">
            <v>0</v>
          </cell>
          <cell r="J2288">
            <v>1668.19</v>
          </cell>
          <cell r="K2288">
            <v>-0.6</v>
          </cell>
        </row>
        <row r="2289">
          <cell r="A2289" t="str">
            <v>LU0536711285</v>
          </cell>
          <cell r="B2289" t="str">
            <v>Amundi S.F. - Euro Curve 7-10 Year</v>
          </cell>
          <cell r="C2289" t="str">
            <v>Class A Distributing</v>
          </cell>
          <cell r="D2289" t="str">
            <v>EUR</v>
          </cell>
          <cell r="E2289">
            <v>45747</v>
          </cell>
          <cell r="F2289">
            <v>8959.16</v>
          </cell>
          <cell r="G2289">
            <v>140.005</v>
          </cell>
          <cell r="H2289">
            <v>63.99</v>
          </cell>
          <cell r="I2289">
            <v>7.7140000000000004E-3</v>
          </cell>
          <cell r="J2289">
            <v>65.91</v>
          </cell>
          <cell r="K2289">
            <v>-0.06</v>
          </cell>
        </row>
        <row r="2290">
          <cell r="A2290" t="str">
            <v>LU0536711103</v>
          </cell>
          <cell r="B2290" t="str">
            <v>Amundi S.F. - Euro Curve 7-10 Year</v>
          </cell>
          <cell r="C2290" t="str">
            <v>Class A Distributing Annually</v>
          </cell>
          <cell r="D2290" t="str">
            <v>EUR</v>
          </cell>
          <cell r="E2290">
            <v>45747</v>
          </cell>
          <cell r="F2290">
            <v>11204848.76</v>
          </cell>
          <cell r="G2290">
            <v>165263.68900000001</v>
          </cell>
          <cell r="H2290">
            <v>67.8</v>
          </cell>
          <cell r="I2290">
            <v>0</v>
          </cell>
          <cell r="J2290">
            <v>69.83</v>
          </cell>
          <cell r="K2290">
            <v>-0.05</v>
          </cell>
        </row>
        <row r="2291">
          <cell r="A2291" t="str">
            <v>LU0367810172</v>
          </cell>
          <cell r="B2291" t="str">
            <v>Amundi S.F. - Euro Curve 7-10 Year</v>
          </cell>
          <cell r="C2291" t="str">
            <v>Class A Non - Distributing</v>
          </cell>
          <cell r="D2291" t="str">
            <v>EUR</v>
          </cell>
          <cell r="E2291">
            <v>45747</v>
          </cell>
          <cell r="F2291">
            <v>6924639.2000000002</v>
          </cell>
          <cell r="G2291">
            <v>86980.686000000002</v>
          </cell>
          <cell r="H2291">
            <v>79.61</v>
          </cell>
          <cell r="I2291">
            <v>0</v>
          </cell>
          <cell r="J2291">
            <v>82</v>
          </cell>
          <cell r="K2291">
            <v>-0.06</v>
          </cell>
        </row>
        <row r="2292">
          <cell r="A2292" t="str">
            <v>LU0536711442</v>
          </cell>
          <cell r="B2292" t="str">
            <v>Amundi S.F. - Euro Curve 7-10 Year</v>
          </cell>
          <cell r="C2292" t="str">
            <v>Class C Non - Distributing</v>
          </cell>
          <cell r="D2292" t="str">
            <v>EUR</v>
          </cell>
          <cell r="E2292">
            <v>45747</v>
          </cell>
          <cell r="F2292">
            <v>8695.26</v>
          </cell>
          <cell r="G2292">
            <v>145.167</v>
          </cell>
          <cell r="H2292">
            <v>59.9</v>
          </cell>
          <cell r="I2292">
            <v>0</v>
          </cell>
          <cell r="J2292">
            <v>59.9</v>
          </cell>
          <cell r="K2292">
            <v>-0.05</v>
          </cell>
        </row>
        <row r="2293">
          <cell r="A2293" t="str">
            <v>LU0271693920</v>
          </cell>
          <cell r="B2293" t="str">
            <v>Amundi S.F. - Euro Curve 7-10 Year</v>
          </cell>
          <cell r="C2293" t="str">
            <v>Class E Non - Distributing</v>
          </cell>
          <cell r="D2293" t="str">
            <v>EUR</v>
          </cell>
          <cell r="E2293">
            <v>45747</v>
          </cell>
          <cell r="F2293">
            <v>19934064.379999999</v>
          </cell>
          <cell r="G2293">
            <v>2704259.4180000001</v>
          </cell>
          <cell r="H2293">
            <v>7.3710000000000004</v>
          </cell>
          <cell r="I2293">
            <v>0</v>
          </cell>
          <cell r="J2293">
            <v>7.3710000000000004</v>
          </cell>
          <cell r="K2293">
            <v>-7.0000000000000001E-3</v>
          </cell>
        </row>
        <row r="2294">
          <cell r="A2294" t="str">
            <v>LU0857391824</v>
          </cell>
          <cell r="B2294" t="str">
            <v>Amundi S.F. - Euro Curve 7-10 Year</v>
          </cell>
          <cell r="C2294" t="str">
            <v>Class E Distributing Quarterly Target</v>
          </cell>
          <cell r="D2294" t="str">
            <v>EUR</v>
          </cell>
          <cell r="E2294">
            <v>45747</v>
          </cell>
          <cell r="F2294">
            <v>600810.66</v>
          </cell>
          <cell r="G2294">
            <v>125890.113</v>
          </cell>
          <cell r="H2294">
            <v>4.7729999999999997</v>
          </cell>
          <cell r="I2294">
            <v>0</v>
          </cell>
          <cell r="J2294">
            <v>4.7729999999999997</v>
          </cell>
          <cell r="K2294">
            <v>-4.0000000000000001E-3</v>
          </cell>
        </row>
        <row r="2295">
          <cell r="A2295" t="str">
            <v>LU0271694654</v>
          </cell>
          <cell r="B2295" t="str">
            <v>Amundi S.F. - Euro Curve 7-10 Year</v>
          </cell>
          <cell r="C2295" t="str">
            <v>Class F Non - Distributing</v>
          </cell>
          <cell r="D2295" t="str">
            <v>EUR</v>
          </cell>
          <cell r="E2295">
            <v>45747</v>
          </cell>
          <cell r="F2295">
            <v>2629908.77</v>
          </cell>
          <cell r="G2295">
            <v>397088.23700000002</v>
          </cell>
          <cell r="H2295">
            <v>6.6230000000000002</v>
          </cell>
          <cell r="I2295">
            <v>0</v>
          </cell>
          <cell r="J2295">
            <v>6.6230000000000002</v>
          </cell>
          <cell r="K2295">
            <v>-6.0000000000000001E-3</v>
          </cell>
        </row>
        <row r="2296">
          <cell r="A2296" t="str">
            <v>LU0433266433</v>
          </cell>
          <cell r="B2296" t="str">
            <v>Amundi S.F. - Euro Curve 7-10 Year</v>
          </cell>
          <cell r="C2296" t="str">
            <v>Class I Non - Distributing</v>
          </cell>
          <cell r="D2296" t="str">
            <v>EUR</v>
          </cell>
          <cell r="E2296">
            <v>45747</v>
          </cell>
          <cell r="F2296">
            <v>464753.65</v>
          </cell>
          <cell r="G2296">
            <v>315.28899999999999</v>
          </cell>
          <cell r="H2296">
            <v>1474.06</v>
          </cell>
          <cell r="I2296">
            <v>0</v>
          </cell>
          <cell r="J2296">
            <v>1474.06</v>
          </cell>
          <cell r="K2296">
            <v>-1.1499999999999999</v>
          </cell>
        </row>
        <row r="2297">
          <cell r="A2297" t="str">
            <v>LU1706854665</v>
          </cell>
          <cell r="B2297" t="str">
            <v>Amundi S.F. - Euro Curve 7-10 Year</v>
          </cell>
          <cell r="C2297" t="str">
            <v>Class R Distributing</v>
          </cell>
          <cell r="D2297" t="str">
            <v>EUR</v>
          </cell>
          <cell r="E2297">
            <v>45747</v>
          </cell>
          <cell r="F2297">
            <v>4709.2700000000004</v>
          </cell>
          <cell r="G2297">
            <v>104.53100000000001</v>
          </cell>
          <cell r="H2297">
            <v>45.05</v>
          </cell>
          <cell r="I2297">
            <v>6.7920000000000003E-3</v>
          </cell>
          <cell r="J2297">
            <v>45.05</v>
          </cell>
          <cell r="K2297">
            <v>-0.04</v>
          </cell>
        </row>
        <row r="2298">
          <cell r="A2298" t="str">
            <v>LU1706853857</v>
          </cell>
          <cell r="B2298" t="str">
            <v>Amundi S.F. - Euro Curve 7-10 Year</v>
          </cell>
          <cell r="C2298" t="str">
            <v>Class R Non - Distributing</v>
          </cell>
          <cell r="D2298" t="str">
            <v>EUR</v>
          </cell>
          <cell r="E2298">
            <v>45747</v>
          </cell>
          <cell r="F2298">
            <v>58362.38</v>
          </cell>
          <cell r="G2298">
            <v>1227.8489999999999</v>
          </cell>
          <cell r="H2298">
            <v>47.53</v>
          </cell>
          <cell r="I2298">
            <v>0</v>
          </cell>
          <cell r="J2298">
            <v>47.53</v>
          </cell>
          <cell r="K2298">
            <v>-0.04</v>
          </cell>
        </row>
        <row r="2299">
          <cell r="A2299" t="str">
            <v>LU0332132041</v>
          </cell>
          <cell r="B2299" t="str">
            <v>Amundi S.F. - Euro Curve 7-10 Year</v>
          </cell>
          <cell r="C2299" t="str">
            <v>Class H Non - Distributing</v>
          </cell>
          <cell r="D2299" t="str">
            <v>EUR</v>
          </cell>
          <cell r="E2299">
            <v>45747</v>
          </cell>
          <cell r="F2299">
            <v>26761766.75</v>
          </cell>
          <cell r="G2299">
            <v>16751.838</v>
          </cell>
          <cell r="H2299">
            <v>1597.54</v>
          </cell>
          <cell r="I2299">
            <v>0</v>
          </cell>
          <cell r="J2299">
            <v>1629.49</v>
          </cell>
          <cell r="K2299">
            <v>-1.27</v>
          </cell>
        </row>
        <row r="2300">
          <cell r="A2300" t="str">
            <v>LU0271695388</v>
          </cell>
          <cell r="B2300" t="str">
            <v>Amundi S.F. - EUR Commodities</v>
          </cell>
          <cell r="C2300" t="str">
            <v>Class A Non - Distributing</v>
          </cell>
          <cell r="D2300" t="str">
            <v>EUR</v>
          </cell>
          <cell r="E2300">
            <v>45747</v>
          </cell>
          <cell r="F2300">
            <v>31755185.829999998</v>
          </cell>
          <cell r="G2300">
            <v>1080363.3859999999</v>
          </cell>
          <cell r="H2300">
            <v>29.39</v>
          </cell>
          <cell r="I2300">
            <v>0</v>
          </cell>
          <cell r="J2300">
            <v>30.57</v>
          </cell>
          <cell r="K2300">
            <v>0.05</v>
          </cell>
        </row>
        <row r="2301">
          <cell r="A2301" t="str">
            <v>LU1694769693</v>
          </cell>
          <cell r="B2301" t="str">
            <v>Amundi S.F. - EUR Commodities</v>
          </cell>
          <cell r="C2301" t="str">
            <v>Class A Hedged Non - Distributing</v>
          </cell>
          <cell r="D2301" t="str">
            <v>CHF</v>
          </cell>
          <cell r="E2301">
            <v>45747</v>
          </cell>
          <cell r="F2301">
            <v>185904.23</v>
          </cell>
          <cell r="G2301">
            <v>5050.7830000000004</v>
          </cell>
          <cell r="H2301">
            <v>36.81</v>
          </cell>
          <cell r="I2301">
            <v>0</v>
          </cell>
          <cell r="J2301">
            <v>38.28</v>
          </cell>
          <cell r="K2301">
            <v>7.0000000000000007E-2</v>
          </cell>
        </row>
        <row r="2302">
          <cell r="A2302" t="str">
            <v>LU1694769859</v>
          </cell>
          <cell r="B2302" t="str">
            <v>Amundi S.F. - EUR Commodities</v>
          </cell>
          <cell r="C2302" t="str">
            <v>Class A Hedged Non - Distributing</v>
          </cell>
          <cell r="D2302" t="str">
            <v>USD</v>
          </cell>
          <cell r="E2302">
            <v>45747</v>
          </cell>
          <cell r="F2302">
            <v>16178450.810000001</v>
          </cell>
          <cell r="G2302">
            <v>367757.02600000001</v>
          </cell>
          <cell r="H2302">
            <v>43.99</v>
          </cell>
          <cell r="I2302">
            <v>0</v>
          </cell>
          <cell r="J2302">
            <v>45.75</v>
          </cell>
          <cell r="K2302">
            <v>0.08</v>
          </cell>
        </row>
        <row r="2303">
          <cell r="A2303" t="str">
            <v>LU0372625102</v>
          </cell>
          <cell r="B2303" t="str">
            <v>Amundi S.F. - EUR Commodities</v>
          </cell>
          <cell r="C2303" t="str">
            <v>Class C Non - Distributing</v>
          </cell>
          <cell r="D2303" t="str">
            <v>EUR</v>
          </cell>
          <cell r="E2303">
            <v>45747</v>
          </cell>
          <cell r="F2303">
            <v>480203.19</v>
          </cell>
          <cell r="G2303">
            <v>29513.675999999999</v>
          </cell>
          <cell r="H2303">
            <v>16.27</v>
          </cell>
          <cell r="I2303">
            <v>0</v>
          </cell>
          <cell r="J2303">
            <v>16.27</v>
          </cell>
          <cell r="K2303">
            <v>0.03</v>
          </cell>
        </row>
        <row r="2304">
          <cell r="A2304" t="str">
            <v>LU1694770196</v>
          </cell>
          <cell r="B2304" t="str">
            <v>Amundi S.F. - EUR Commodities</v>
          </cell>
          <cell r="C2304" t="str">
            <v>Class C Hedged Non - Distributing</v>
          </cell>
          <cell r="D2304" t="str">
            <v>USD</v>
          </cell>
          <cell r="E2304">
            <v>45747</v>
          </cell>
          <cell r="F2304">
            <v>144065.67000000001</v>
          </cell>
          <cell r="G2304">
            <v>3074.2249999999999</v>
          </cell>
          <cell r="H2304">
            <v>46.86</v>
          </cell>
          <cell r="I2304">
            <v>0</v>
          </cell>
          <cell r="J2304">
            <v>46.86</v>
          </cell>
          <cell r="K2304">
            <v>0.09</v>
          </cell>
        </row>
        <row r="2305">
          <cell r="A2305" t="str">
            <v>LU0273973874</v>
          </cell>
          <cell r="B2305" t="str">
            <v>Amundi S.F. - EUR Commodities</v>
          </cell>
          <cell r="C2305" t="str">
            <v>Class E Non - Distributing</v>
          </cell>
          <cell r="D2305" t="str">
            <v>EUR</v>
          </cell>
          <cell r="E2305">
            <v>45747</v>
          </cell>
          <cell r="F2305">
            <v>2935972.23</v>
          </cell>
          <cell r="G2305">
            <v>1116320.9040000001</v>
          </cell>
          <cell r="H2305">
            <v>2.63</v>
          </cell>
          <cell r="I2305">
            <v>0</v>
          </cell>
          <cell r="J2305">
            <v>2.63</v>
          </cell>
          <cell r="K2305">
            <v>5.0000000000000001E-3</v>
          </cell>
        </row>
        <row r="2306">
          <cell r="A2306" t="str">
            <v>LU0273974336</v>
          </cell>
          <cell r="B2306" t="str">
            <v>Amundi S.F. - EUR Commodities</v>
          </cell>
          <cell r="C2306" t="str">
            <v>Class F Non - Distributing</v>
          </cell>
          <cell r="D2306" t="str">
            <v>EUR</v>
          </cell>
          <cell r="E2306">
            <v>45747</v>
          </cell>
          <cell r="F2306">
            <v>2158661.12</v>
          </cell>
          <cell r="G2306">
            <v>940152.34499999997</v>
          </cell>
          <cell r="H2306">
            <v>2.2959999999999998</v>
          </cell>
          <cell r="I2306">
            <v>0</v>
          </cell>
          <cell r="J2306">
            <v>2.2959999999999998</v>
          </cell>
          <cell r="K2306">
            <v>4.0000000000000001E-3</v>
          </cell>
        </row>
        <row r="2307">
          <cell r="A2307" t="str">
            <v>LU1694770352</v>
          </cell>
          <cell r="B2307" t="str">
            <v>Amundi S.F. - EUR Commodities</v>
          </cell>
          <cell r="C2307" t="str">
            <v>Class I Distributing Annually</v>
          </cell>
          <cell r="D2307" t="str">
            <v>EUR</v>
          </cell>
          <cell r="E2307">
            <v>45747</v>
          </cell>
          <cell r="F2307">
            <v>92383.64</v>
          </cell>
          <cell r="G2307">
            <v>176</v>
          </cell>
          <cell r="H2307">
            <v>524.91</v>
          </cell>
          <cell r="I2307">
            <v>0</v>
          </cell>
          <cell r="J2307">
            <v>524.91</v>
          </cell>
          <cell r="K2307">
            <v>1.04</v>
          </cell>
        </row>
        <row r="2308">
          <cell r="A2308" t="str">
            <v>LU0271695461</v>
          </cell>
          <cell r="B2308" t="str">
            <v>Amundi S.F. - EUR Commodities</v>
          </cell>
          <cell r="C2308" t="str">
            <v>Class I Non - Distributing</v>
          </cell>
          <cell r="D2308" t="str">
            <v>EUR</v>
          </cell>
          <cell r="E2308">
            <v>45747</v>
          </cell>
          <cell r="F2308">
            <v>20781594.68</v>
          </cell>
          <cell r="G2308">
            <v>35084.241999999998</v>
          </cell>
          <cell r="H2308">
            <v>592.33000000000004</v>
          </cell>
          <cell r="I2308">
            <v>0</v>
          </cell>
          <cell r="J2308">
            <v>592.33000000000004</v>
          </cell>
          <cell r="K2308">
            <v>1.1599999999999999</v>
          </cell>
        </row>
        <row r="2309">
          <cell r="A2309" t="str">
            <v>LU0419230916</v>
          </cell>
          <cell r="B2309" t="str">
            <v>Amundi S.F. - EUR Commodities</v>
          </cell>
          <cell r="C2309" t="str">
            <v>Class I Hedge Non - Distributing</v>
          </cell>
          <cell r="D2309" t="str">
            <v>USD</v>
          </cell>
          <cell r="E2309">
            <v>45747</v>
          </cell>
          <cell r="F2309">
            <v>10453730.279999999</v>
          </cell>
          <cell r="G2309">
            <v>10124.912</v>
          </cell>
          <cell r="H2309">
            <v>1032.48</v>
          </cell>
          <cell r="I2309">
            <v>0</v>
          </cell>
          <cell r="J2309">
            <v>1032.48</v>
          </cell>
          <cell r="K2309">
            <v>2.08</v>
          </cell>
        </row>
        <row r="2310">
          <cell r="A2310" t="str">
            <v>LU1706853931</v>
          </cell>
          <cell r="B2310" t="str">
            <v>Amundi S.F. - EUR Commodities</v>
          </cell>
          <cell r="C2310" t="str">
            <v>Class R Non - Distributing</v>
          </cell>
          <cell r="D2310" t="str">
            <v>EUR</v>
          </cell>
          <cell r="E2310">
            <v>45747</v>
          </cell>
          <cell r="F2310">
            <v>717076.58</v>
          </cell>
          <cell r="G2310">
            <v>11763.388000000001</v>
          </cell>
          <cell r="H2310">
            <v>60.96</v>
          </cell>
          <cell r="I2310">
            <v>0</v>
          </cell>
          <cell r="J2310">
            <v>60.96</v>
          </cell>
          <cell r="K2310">
            <v>0.12</v>
          </cell>
        </row>
        <row r="2311">
          <cell r="A2311" t="str">
            <v>LU1706854582</v>
          </cell>
          <cell r="B2311" t="str">
            <v>Amundi S.F. - EUR Commodities</v>
          </cell>
          <cell r="C2311" t="str">
            <v>Class R Hedged Non - Distributing</v>
          </cell>
          <cell r="D2311" t="str">
            <v>USD</v>
          </cell>
          <cell r="E2311">
            <v>45747</v>
          </cell>
          <cell r="F2311">
            <v>328619.62</v>
          </cell>
          <cell r="G2311">
            <v>5485.9380000000001</v>
          </cell>
          <cell r="H2311">
            <v>59.9</v>
          </cell>
          <cell r="I2311">
            <v>0</v>
          </cell>
          <cell r="J2311">
            <v>62.3</v>
          </cell>
          <cell r="K2311">
            <v>0.12</v>
          </cell>
        </row>
        <row r="2312">
          <cell r="A2312" t="str">
            <v>LU0484923635</v>
          </cell>
          <cell r="B2312" t="str">
            <v>Amundi S.F. - EUR Commodities</v>
          </cell>
          <cell r="C2312" t="str">
            <v>Class H Distributing Annually</v>
          </cell>
          <cell r="D2312" t="str">
            <v>EUR</v>
          </cell>
          <cell r="E2312">
            <v>45747</v>
          </cell>
          <cell r="F2312">
            <v>3760.6</v>
          </cell>
          <cell r="G2312">
            <v>5</v>
          </cell>
          <cell r="H2312">
            <v>752.12</v>
          </cell>
          <cell r="I2312">
            <v>0</v>
          </cell>
          <cell r="J2312">
            <v>767.16</v>
          </cell>
          <cell r="K2312">
            <v>1.47</v>
          </cell>
        </row>
        <row r="2313">
          <cell r="A2313" t="str">
            <v>LU0271872185</v>
          </cell>
          <cell r="B2313" t="str">
            <v>Amundi S.F. - EUR Commodities</v>
          </cell>
          <cell r="C2313" t="str">
            <v>Class H Non - Distributing</v>
          </cell>
          <cell r="D2313" t="str">
            <v>EUR</v>
          </cell>
          <cell r="E2313">
            <v>45747</v>
          </cell>
          <cell r="F2313">
            <v>28103300.120000001</v>
          </cell>
          <cell r="G2313">
            <v>49114.264999999999</v>
          </cell>
          <cell r="H2313">
            <v>572.20000000000005</v>
          </cell>
          <cell r="I2313">
            <v>0</v>
          </cell>
          <cell r="J2313">
            <v>583.64</v>
          </cell>
          <cell r="K2313">
            <v>1.1200000000000001</v>
          </cell>
        </row>
        <row r="2314">
          <cell r="A2314" t="str">
            <v>LU1772191695</v>
          </cell>
          <cell r="B2314" t="str">
            <v>Amundi S.F. - EUR Commodities</v>
          </cell>
          <cell r="C2314" t="str">
            <v>Class H Hedged Non - Distributing</v>
          </cell>
          <cell r="D2314" t="str">
            <v>USD</v>
          </cell>
          <cell r="E2314">
            <v>45747</v>
          </cell>
          <cell r="F2314">
            <v>3208630.22</v>
          </cell>
          <cell r="G2314">
            <v>2385.0619999999999</v>
          </cell>
          <cell r="H2314">
            <v>1345.3</v>
          </cell>
          <cell r="I2314">
            <v>0</v>
          </cell>
          <cell r="J2314">
            <v>1345.3</v>
          </cell>
          <cell r="K2314">
            <v>2.68</v>
          </cell>
        </row>
        <row r="2315">
          <cell r="A2315" t="str">
            <v>LU1410363276</v>
          </cell>
          <cell r="B2315" t="str">
            <v>Amundi S.F. - Abs Return Multi-Strategy Control</v>
          </cell>
          <cell r="C2315" t="str">
            <v>Class A Non - Distributing</v>
          </cell>
          <cell r="D2315" t="str">
            <v>EUR</v>
          </cell>
          <cell r="E2315">
            <v>45747</v>
          </cell>
          <cell r="F2315">
            <v>7937.77</v>
          </cell>
          <cell r="G2315">
            <v>154.15</v>
          </cell>
          <cell r="H2315">
            <v>51.49</v>
          </cell>
          <cell r="I2315">
            <v>0</v>
          </cell>
          <cell r="J2315">
            <v>53.55</v>
          </cell>
          <cell r="K2315">
            <v>-0.15</v>
          </cell>
        </row>
        <row r="2316">
          <cell r="A2316" t="str">
            <v>LU1410363359</v>
          </cell>
          <cell r="B2316" t="str">
            <v>Amundi S.F. - Abs Return Multi-Strategy Control</v>
          </cell>
          <cell r="C2316" t="str">
            <v>Class E Non - Distributing</v>
          </cell>
          <cell r="D2316" t="str">
            <v>EUR</v>
          </cell>
          <cell r="E2316">
            <v>45747</v>
          </cell>
          <cell r="F2316">
            <v>238806.81</v>
          </cell>
          <cell r="G2316">
            <v>46585.353000000003</v>
          </cell>
          <cell r="H2316">
            <v>5.1260000000000003</v>
          </cell>
          <cell r="I2316">
            <v>0</v>
          </cell>
          <cell r="J2316">
            <v>5.1260000000000003</v>
          </cell>
          <cell r="K2316">
            <v>-1.4E-2</v>
          </cell>
        </row>
        <row r="2317">
          <cell r="A2317" t="str">
            <v>LU1706854822</v>
          </cell>
          <cell r="B2317" t="str">
            <v>Amundi S.F. - Abs Return Multi-Strategy Control</v>
          </cell>
          <cell r="C2317" t="str">
            <v>Class R Non - Distributing</v>
          </cell>
          <cell r="D2317" t="str">
            <v>EUR</v>
          </cell>
          <cell r="E2317">
            <v>45747</v>
          </cell>
          <cell r="F2317">
            <v>5247.56</v>
          </cell>
          <cell r="G2317">
            <v>100</v>
          </cell>
          <cell r="H2317">
            <v>52.48</v>
          </cell>
          <cell r="I2317">
            <v>0</v>
          </cell>
          <cell r="J2317">
            <v>52.48</v>
          </cell>
          <cell r="K2317">
            <v>-0.14000000000000001</v>
          </cell>
        </row>
        <row r="2318">
          <cell r="A2318" t="str">
            <v>LU1410363433</v>
          </cell>
          <cell r="B2318" t="str">
            <v>Amundi S.F. - Abs Return Multi-Strategy Control</v>
          </cell>
          <cell r="C2318" t="str">
            <v>Class H Non - Distributing</v>
          </cell>
          <cell r="D2318" t="str">
            <v>EUR</v>
          </cell>
          <cell r="E2318">
            <v>45747</v>
          </cell>
          <cell r="F2318">
            <v>117357752.31</v>
          </cell>
          <cell r="G2318">
            <v>109774.06299999999</v>
          </cell>
          <cell r="H2318">
            <v>1069.08</v>
          </cell>
          <cell r="I2318">
            <v>0</v>
          </cell>
          <cell r="J2318">
            <v>1090.46</v>
          </cell>
          <cell r="K2318">
            <v>-2.92</v>
          </cell>
        </row>
        <row r="2319">
          <cell r="A2319" t="str">
            <v>LU2357810188</v>
          </cell>
          <cell r="B2319" t="str">
            <v>Amundi S.F. - Diversified Short-Term Bond ESG</v>
          </cell>
          <cell r="C2319" t="str">
            <v>Class A Distributing Annually</v>
          </cell>
          <cell r="D2319" t="str">
            <v>EUR</v>
          </cell>
          <cell r="E2319">
            <v>45747</v>
          </cell>
          <cell r="F2319">
            <v>10335856.949999999</v>
          </cell>
          <cell r="G2319">
            <v>205153.70800000001</v>
          </cell>
          <cell r="H2319">
            <v>50.38</v>
          </cell>
          <cell r="I2319">
            <v>0</v>
          </cell>
          <cell r="J2319">
            <v>51.39</v>
          </cell>
          <cell r="K2319">
            <v>-0.04</v>
          </cell>
        </row>
        <row r="2320">
          <cell r="A2320" t="str">
            <v>LU1706854152</v>
          </cell>
          <cell r="B2320" t="str">
            <v>Amundi S.F. - Diversified Short-Term Bond ESG</v>
          </cell>
          <cell r="C2320" t="str">
            <v>Class A Non - Distributing</v>
          </cell>
          <cell r="D2320" t="str">
            <v>EUR</v>
          </cell>
          <cell r="E2320">
            <v>45747</v>
          </cell>
          <cell r="F2320">
            <v>321886082.32999998</v>
          </cell>
          <cell r="G2320">
            <v>5736305.1490000002</v>
          </cell>
          <cell r="H2320">
            <v>56.11</v>
          </cell>
          <cell r="I2320">
            <v>0</v>
          </cell>
          <cell r="J2320">
            <v>57.23</v>
          </cell>
          <cell r="K2320">
            <v>-0.05</v>
          </cell>
        </row>
        <row r="2321">
          <cell r="A2321" t="str">
            <v>LU1499628912</v>
          </cell>
          <cell r="B2321" t="str">
            <v>Amundi S.F. - Diversified Short-Term Bond ESG</v>
          </cell>
          <cell r="C2321" t="str">
            <v>Class E Non - Distributing</v>
          </cell>
          <cell r="D2321" t="str">
            <v>EUR</v>
          </cell>
          <cell r="E2321">
            <v>45747</v>
          </cell>
          <cell r="F2321">
            <v>382393856.95999998</v>
          </cell>
          <cell r="G2321">
            <v>67359291.658999994</v>
          </cell>
          <cell r="H2321">
            <v>5.6769999999999996</v>
          </cell>
          <cell r="I2321">
            <v>0</v>
          </cell>
          <cell r="J2321">
            <v>5.6769999999999996</v>
          </cell>
          <cell r="K2321">
            <v>-5.0000000000000001E-3</v>
          </cell>
        </row>
        <row r="2322">
          <cell r="A2322" t="str">
            <v>LU1706854319</v>
          </cell>
          <cell r="B2322" t="str">
            <v>Amundi S.F. - Diversified Short-Term Bond ESG</v>
          </cell>
          <cell r="C2322" t="str">
            <v>Class E Non - Distributing</v>
          </cell>
          <cell r="D2322" t="str">
            <v>USD</v>
          </cell>
          <cell r="E2322">
            <v>45747</v>
          </cell>
          <cell r="F2322">
            <v>413061844.29000002</v>
          </cell>
          <cell r="G2322">
            <v>67359291.658999994</v>
          </cell>
          <cell r="H2322">
            <v>6.1319999999999997</v>
          </cell>
          <cell r="I2322">
            <v>0</v>
          </cell>
          <cell r="J2322">
            <v>6.1319999999999997</v>
          </cell>
          <cell r="K2322">
            <v>-1.7000000000000001E-2</v>
          </cell>
        </row>
        <row r="2323">
          <cell r="A2323" t="str">
            <v>LU1706854236</v>
          </cell>
          <cell r="B2323" t="str">
            <v>Amundi S.F. - Diversified Short-Term Bond ESG</v>
          </cell>
          <cell r="C2323" t="str">
            <v>Class E Distributing Quarterly</v>
          </cell>
          <cell r="D2323" t="str">
            <v>EUR</v>
          </cell>
          <cell r="E2323">
            <v>45747</v>
          </cell>
          <cell r="F2323">
            <v>5700.24</v>
          </cell>
          <cell r="G2323">
            <v>1106.856</v>
          </cell>
          <cell r="H2323">
            <v>5.15</v>
          </cell>
          <cell r="I2323">
            <v>0</v>
          </cell>
          <cell r="J2323">
            <v>5.15</v>
          </cell>
          <cell r="K2323">
            <v>-4.0000000000000001E-3</v>
          </cell>
        </row>
        <row r="2324">
          <cell r="A2324" t="str">
            <v>LU2357810428</v>
          </cell>
          <cell r="B2324" t="str">
            <v>Amundi S.F. - Diversified Short-Term Bond ESG</v>
          </cell>
          <cell r="C2324" t="str">
            <v>Class F Non - Distributing</v>
          </cell>
          <cell r="D2324" t="str">
            <v>EUR</v>
          </cell>
          <cell r="E2324">
            <v>45747</v>
          </cell>
          <cell r="F2324">
            <v>9002991.3300000001</v>
          </cell>
          <cell r="G2324">
            <v>1653560.081</v>
          </cell>
          <cell r="H2324">
            <v>5.4450000000000003</v>
          </cell>
          <cell r="I2324">
            <v>0</v>
          </cell>
          <cell r="J2324">
            <v>5.4450000000000003</v>
          </cell>
          <cell r="K2324">
            <v>-4.0000000000000001E-3</v>
          </cell>
        </row>
        <row r="2325">
          <cell r="A2325" t="str">
            <v>LU1706854400</v>
          </cell>
          <cell r="B2325" t="str">
            <v>Amundi S.F. - Diversified Short-Term Bond ESG</v>
          </cell>
          <cell r="C2325" t="str">
            <v>Class I Non - Distributing</v>
          </cell>
          <cell r="D2325" t="str">
            <v>EUR</v>
          </cell>
          <cell r="E2325">
            <v>45747</v>
          </cell>
          <cell r="F2325">
            <v>324058369.5</v>
          </cell>
          <cell r="G2325">
            <v>280557.30599999998</v>
          </cell>
          <cell r="H2325">
            <v>1155.05</v>
          </cell>
          <cell r="I2325">
            <v>0</v>
          </cell>
          <cell r="J2325">
            <v>1155.05</v>
          </cell>
          <cell r="K2325">
            <v>-0.93</v>
          </cell>
        </row>
        <row r="2326">
          <cell r="A2326" t="str">
            <v>LU2357810931</v>
          </cell>
          <cell r="B2326" t="str">
            <v>Amundi S.F. - Diversified Short-Term Bond ESG</v>
          </cell>
          <cell r="C2326" t="str">
            <v>Class R Distributing Annually</v>
          </cell>
          <cell r="D2326" t="str">
            <v>EUR</v>
          </cell>
          <cell r="E2326">
            <v>45747</v>
          </cell>
          <cell r="F2326">
            <v>11163.78</v>
          </cell>
          <cell r="G2326">
            <v>219.98099999999999</v>
          </cell>
          <cell r="H2326">
            <v>50.75</v>
          </cell>
          <cell r="I2326">
            <v>0</v>
          </cell>
          <cell r="J2326">
            <v>50.75</v>
          </cell>
          <cell r="K2326">
            <v>-0.04</v>
          </cell>
        </row>
        <row r="2327">
          <cell r="A2327" t="str">
            <v>LU2357810774</v>
          </cell>
          <cell r="B2327" t="str">
            <v>Amundi S.F. - Diversified Short-Term Bond ESG</v>
          </cell>
          <cell r="C2327" t="str">
            <v>Class R Non - Distributing</v>
          </cell>
          <cell r="D2327" t="str">
            <v>EUR</v>
          </cell>
          <cell r="E2327">
            <v>45747</v>
          </cell>
          <cell r="F2327">
            <v>231561545.28</v>
          </cell>
          <cell r="G2327">
            <v>4127762.6770000001</v>
          </cell>
          <cell r="H2327">
            <v>56.1</v>
          </cell>
          <cell r="I2327">
            <v>0</v>
          </cell>
          <cell r="J2327">
            <v>56.1</v>
          </cell>
          <cell r="K2327">
            <v>-0.04</v>
          </cell>
        </row>
        <row r="2328">
          <cell r="A2328" t="str">
            <v>LU2357810691</v>
          </cell>
          <cell r="B2328" t="str">
            <v>Amundi S.F. - Diversified Short-Term Bond ESG</v>
          </cell>
          <cell r="C2328" t="str">
            <v>Class H Distributing Annually</v>
          </cell>
          <cell r="D2328" t="str">
            <v>EUR</v>
          </cell>
          <cell r="E2328">
            <v>45747</v>
          </cell>
          <cell r="F2328">
            <v>326353.09999999998</v>
          </cell>
          <cell r="G2328">
            <v>321.85300000000001</v>
          </cell>
          <cell r="H2328">
            <v>1013.98</v>
          </cell>
          <cell r="I2328">
            <v>0</v>
          </cell>
          <cell r="J2328">
            <v>1034.26</v>
          </cell>
          <cell r="K2328">
            <v>-0.83</v>
          </cell>
        </row>
        <row r="2329">
          <cell r="A2329" t="str">
            <v>LU1503126044</v>
          </cell>
          <cell r="B2329" t="str">
            <v>Amundi S.F. - Diversified Short-Term Bond ESG</v>
          </cell>
          <cell r="C2329" t="str">
            <v>Class H Non - Distributing</v>
          </cell>
          <cell r="D2329" t="str">
            <v>EUR</v>
          </cell>
          <cell r="E2329">
            <v>45747</v>
          </cell>
          <cell r="F2329">
            <v>92044030.840000004</v>
          </cell>
          <cell r="G2329">
            <v>78812.065000000002</v>
          </cell>
          <cell r="H2329">
            <v>1167.8900000000001</v>
          </cell>
          <cell r="I2329">
            <v>0</v>
          </cell>
          <cell r="J2329">
            <v>1191.25</v>
          </cell>
          <cell r="K2329">
            <v>-0.95</v>
          </cell>
        </row>
        <row r="2330">
          <cell r="A2330" t="str">
            <v>LU1889052269</v>
          </cell>
          <cell r="B2330" t="str">
            <v>Amundi S.F. - Diversified Short-Term Bond ESG</v>
          </cell>
          <cell r="C2330" t="str">
            <v>Class H Distributing Quarterly</v>
          </cell>
          <cell r="D2330" t="str">
            <v>EUR</v>
          </cell>
          <cell r="E2330">
            <v>45747</v>
          </cell>
          <cell r="F2330">
            <v>1278.3800000000001</v>
          </cell>
          <cell r="G2330">
            <v>1.2270000000000001</v>
          </cell>
          <cell r="H2330">
            <v>1041.8699999999999</v>
          </cell>
          <cell r="I2330">
            <v>0</v>
          </cell>
          <cell r="J2330">
            <v>1041.8699999999999</v>
          </cell>
          <cell r="K2330">
            <v>-0.88</v>
          </cell>
        </row>
        <row r="2331">
          <cell r="A2331" t="str">
            <v>LU2035036107</v>
          </cell>
          <cell r="B2331" t="str">
            <v>Amundi S.F. - Global High Yield Opportunities 2025</v>
          </cell>
          <cell r="C2331" t="str">
            <v>Class B Distributing Annually</v>
          </cell>
          <cell r="D2331" t="str">
            <v>EUR</v>
          </cell>
          <cell r="E2331">
            <v>45747</v>
          </cell>
          <cell r="F2331">
            <v>79092611.620000005</v>
          </cell>
          <cell r="G2331">
            <v>15786550.897</v>
          </cell>
          <cell r="H2331">
            <v>5.01</v>
          </cell>
          <cell r="I2331">
            <v>0</v>
          </cell>
          <cell r="J2331">
            <v>5.01</v>
          </cell>
          <cell r="K2331">
            <v>5.6000000000000001E-2</v>
          </cell>
        </row>
        <row r="2332">
          <cell r="A2332" t="str">
            <v>LU2035036016</v>
          </cell>
          <cell r="B2332" t="str">
            <v>Amundi S.F. - Global High Yield Opportunities 2025</v>
          </cell>
          <cell r="C2332" t="str">
            <v>Class B Hedged Distributing Annually</v>
          </cell>
          <cell r="D2332" t="str">
            <v>EUR</v>
          </cell>
          <cell r="E2332">
            <v>45747</v>
          </cell>
          <cell r="F2332">
            <v>70324990.769999996</v>
          </cell>
          <cell r="G2332">
            <v>14034061.918</v>
          </cell>
          <cell r="H2332">
            <v>5.0110000000000001</v>
          </cell>
          <cell r="I2332">
            <v>0</v>
          </cell>
          <cell r="J2332">
            <v>5.0110000000000001</v>
          </cell>
          <cell r="K2332">
            <v>-2E-3</v>
          </cell>
        </row>
        <row r="2333">
          <cell r="A2333" t="str">
            <v>LU2035036362</v>
          </cell>
          <cell r="B2333" t="str">
            <v>Amundi S.F. - Global High Yield Opportunities 2025</v>
          </cell>
          <cell r="C2333" t="str">
            <v>Class E Distributing Annually</v>
          </cell>
          <cell r="D2333" t="str">
            <v>EUR</v>
          </cell>
          <cell r="E2333">
            <v>45747</v>
          </cell>
          <cell r="F2333">
            <v>10375322.310000001</v>
          </cell>
          <cell r="G2333">
            <v>2067518.311</v>
          </cell>
          <cell r="H2333">
            <v>5.0179999999999998</v>
          </cell>
          <cell r="I2333">
            <v>0</v>
          </cell>
          <cell r="J2333">
            <v>5.0179999999999998</v>
          </cell>
          <cell r="K2333">
            <v>5.6000000000000001E-2</v>
          </cell>
        </row>
        <row r="2334">
          <cell r="A2334" t="str">
            <v>LU2345345560</v>
          </cell>
          <cell r="B2334" t="str">
            <v>Amundi S.F. - High Potential Bond</v>
          </cell>
          <cell r="C2334" t="str">
            <v>Class A Distributing Annually</v>
          </cell>
          <cell r="D2334" t="str">
            <v>EUR</v>
          </cell>
          <cell r="E2334">
            <v>45747</v>
          </cell>
          <cell r="F2334">
            <v>2823090.52</v>
          </cell>
          <cell r="G2334">
            <v>54393.216999999997</v>
          </cell>
          <cell r="H2334">
            <v>51.9</v>
          </cell>
          <cell r="I2334">
            <v>0</v>
          </cell>
          <cell r="J2334">
            <v>53.46</v>
          </cell>
          <cell r="K2334">
            <v>-0.02</v>
          </cell>
        </row>
        <row r="2335">
          <cell r="A2335" t="str">
            <v>LU2345346022</v>
          </cell>
          <cell r="B2335" t="str">
            <v>Amundi S.F. - High Potential Bond</v>
          </cell>
          <cell r="C2335" t="str">
            <v>Class A Non - Distributing</v>
          </cell>
          <cell r="D2335" t="str">
            <v>EUR</v>
          </cell>
          <cell r="E2335">
            <v>45747</v>
          </cell>
          <cell r="F2335">
            <v>975075.66</v>
          </cell>
          <cell r="G2335">
            <v>17120</v>
          </cell>
          <cell r="H2335">
            <v>56.96</v>
          </cell>
          <cell r="I2335">
            <v>0</v>
          </cell>
          <cell r="J2335">
            <v>58.67</v>
          </cell>
          <cell r="K2335">
            <v>-0.01</v>
          </cell>
        </row>
        <row r="2336">
          <cell r="A2336" t="str">
            <v>LU2345345727</v>
          </cell>
          <cell r="B2336" t="str">
            <v>Amundi S.F. - High Potential Bond</v>
          </cell>
          <cell r="C2336" t="str">
            <v>Class A Hedged Non - Distributing</v>
          </cell>
          <cell r="D2336" t="str">
            <v>EUR</v>
          </cell>
          <cell r="E2336">
            <v>45747</v>
          </cell>
          <cell r="F2336">
            <v>122751.92</v>
          </cell>
          <cell r="G2336">
            <v>2306</v>
          </cell>
          <cell r="H2336">
            <v>53.23</v>
          </cell>
          <cell r="I2336">
            <v>0</v>
          </cell>
          <cell r="J2336">
            <v>54.83</v>
          </cell>
          <cell r="K2336">
            <v>-7.0000000000000007E-2</v>
          </cell>
        </row>
        <row r="2337">
          <cell r="A2337" t="str">
            <v>LU2345345487</v>
          </cell>
          <cell r="B2337" t="str">
            <v>Amundi S.F. - High Potential Bond</v>
          </cell>
          <cell r="C2337" t="str">
            <v>Class A Hedged Distributing Annually</v>
          </cell>
          <cell r="D2337" t="str">
            <v>EUR</v>
          </cell>
          <cell r="E2337">
            <v>45747</v>
          </cell>
          <cell r="F2337">
            <v>200758.91</v>
          </cell>
          <cell r="G2337">
            <v>4133.7520000000004</v>
          </cell>
          <cell r="H2337">
            <v>48.57</v>
          </cell>
          <cell r="I2337">
            <v>0</v>
          </cell>
          <cell r="J2337">
            <v>50.03</v>
          </cell>
          <cell r="K2337">
            <v>-0.06</v>
          </cell>
        </row>
        <row r="2338">
          <cell r="A2338" t="str">
            <v>LU2338909281</v>
          </cell>
          <cell r="B2338" t="str">
            <v>Amundi S.F. - High Potential Bond</v>
          </cell>
          <cell r="C2338" t="str">
            <v>Class E Non - Distributing</v>
          </cell>
          <cell r="D2338" t="str">
            <v>EUR</v>
          </cell>
          <cell r="E2338">
            <v>45747</v>
          </cell>
          <cell r="F2338">
            <v>16467299.26</v>
          </cell>
          <cell r="G2338">
            <v>2875140.807</v>
          </cell>
          <cell r="H2338">
            <v>5.7270000000000003</v>
          </cell>
          <cell r="I2338">
            <v>0</v>
          </cell>
          <cell r="J2338">
            <v>5.7270000000000003</v>
          </cell>
          <cell r="K2338">
            <v>-2E-3</v>
          </cell>
        </row>
        <row r="2339">
          <cell r="A2339" t="str">
            <v>LU2321584760</v>
          </cell>
          <cell r="B2339" t="str">
            <v>Amundi S.F. - High Potential Bond</v>
          </cell>
          <cell r="C2339" t="str">
            <v>Class E Hedged Distributing Annually</v>
          </cell>
          <cell r="D2339" t="str">
            <v>EUR</v>
          </cell>
          <cell r="E2339">
            <v>45747</v>
          </cell>
          <cell r="F2339">
            <v>8451682.8100000005</v>
          </cell>
          <cell r="G2339">
            <v>1737344.219</v>
          </cell>
          <cell r="H2339">
            <v>4.8650000000000002</v>
          </cell>
          <cell r="I2339">
            <v>0</v>
          </cell>
          <cell r="J2339">
            <v>4.8650000000000002</v>
          </cell>
          <cell r="K2339">
            <v>-6.0000000000000001E-3</v>
          </cell>
        </row>
        <row r="2340">
          <cell r="A2340" t="str">
            <v>LU2321588597</v>
          </cell>
          <cell r="B2340" t="str">
            <v>Amundi S.F. - High Potential Bond</v>
          </cell>
          <cell r="C2340" t="str">
            <v>Class G Distributing Annually</v>
          </cell>
          <cell r="D2340" t="str">
            <v>EUR</v>
          </cell>
          <cell r="E2340">
            <v>45747</v>
          </cell>
          <cell r="F2340">
            <v>4440472.2</v>
          </cell>
          <cell r="G2340">
            <v>855679.95499999996</v>
          </cell>
          <cell r="H2340">
            <v>5.1890000000000001</v>
          </cell>
          <cell r="I2340">
            <v>0</v>
          </cell>
          <cell r="J2340">
            <v>5.1890000000000001</v>
          </cell>
          <cell r="K2340">
            <v>-2E-3</v>
          </cell>
        </row>
        <row r="2341">
          <cell r="A2341" t="str">
            <v>LU2338909364</v>
          </cell>
          <cell r="B2341" t="str">
            <v>Amundi S.F. - High Potential Bond</v>
          </cell>
          <cell r="C2341" t="str">
            <v>Class G Hedged Non - Distributing</v>
          </cell>
          <cell r="D2341" t="str">
            <v>EUR</v>
          </cell>
          <cell r="E2341">
            <v>45747</v>
          </cell>
          <cell r="F2341">
            <v>5174531.09</v>
          </cell>
          <cell r="G2341">
            <v>972551.75699999998</v>
          </cell>
          <cell r="H2341">
            <v>5.3209999999999997</v>
          </cell>
          <cell r="I2341">
            <v>0</v>
          </cell>
          <cell r="J2341">
            <v>5.3209999999999997</v>
          </cell>
          <cell r="K2341">
            <v>-7.0000000000000001E-3</v>
          </cell>
        </row>
        <row r="2342">
          <cell r="A2342" t="str">
            <v>LU2321590148</v>
          </cell>
          <cell r="B2342" t="str">
            <v>Amundi S.F. - High Potential Bond</v>
          </cell>
          <cell r="C2342" t="str">
            <v>Class G Hedged Distributing Annually</v>
          </cell>
          <cell r="D2342" t="str">
            <v>EUR</v>
          </cell>
          <cell r="E2342">
            <v>45747</v>
          </cell>
          <cell r="F2342">
            <v>2295478.9700000002</v>
          </cell>
          <cell r="G2342">
            <v>472284.81800000003</v>
          </cell>
          <cell r="H2342">
            <v>4.8600000000000003</v>
          </cell>
          <cell r="I2342">
            <v>0</v>
          </cell>
          <cell r="J2342">
            <v>4.8600000000000003</v>
          </cell>
          <cell r="K2342">
            <v>-7.0000000000000001E-3</v>
          </cell>
        </row>
        <row r="2343">
          <cell r="A2343" t="str">
            <v>LU1437672998</v>
          </cell>
          <cell r="B2343" t="str">
            <v>Amundi Investment Funds - Tactical Allocation Fund</v>
          </cell>
          <cell r="C2343" t="str">
            <v>Class E Non - Distributing</v>
          </cell>
          <cell r="D2343" t="str">
            <v>EUR</v>
          </cell>
          <cell r="E2343">
            <v>45747</v>
          </cell>
          <cell r="F2343">
            <v>9188139.8699999992</v>
          </cell>
          <cell r="G2343">
            <v>2251885.1839999999</v>
          </cell>
          <cell r="H2343">
            <v>4.08</v>
          </cell>
          <cell r="I2343">
            <v>0</v>
          </cell>
          <cell r="J2343">
            <v>4.2430000000000003</v>
          </cell>
          <cell r="K2343">
            <v>-3.2000000000000001E-2</v>
          </cell>
        </row>
        <row r="2344">
          <cell r="A2344" t="str">
            <v>LU2091515960</v>
          </cell>
          <cell r="B2344" t="str">
            <v>Amundi Investment Funds - Tactical Allocation Fund</v>
          </cell>
          <cell r="C2344" t="str">
            <v>Class H Non - Distributing</v>
          </cell>
          <cell r="D2344" t="str">
            <v>EUR</v>
          </cell>
          <cell r="E2344">
            <v>45747</v>
          </cell>
          <cell r="F2344">
            <v>3611.05</v>
          </cell>
          <cell r="G2344">
            <v>5</v>
          </cell>
          <cell r="H2344">
            <v>722.21</v>
          </cell>
          <cell r="I2344">
            <v>0</v>
          </cell>
          <cell r="J2344">
            <v>722.21</v>
          </cell>
          <cell r="K2344">
            <v>-5.64</v>
          </cell>
        </row>
        <row r="2345">
          <cell r="A2345" t="str">
            <v>LU1437673020</v>
          </cell>
          <cell r="B2345" t="str">
            <v>Amundi Investment Funds - Tactical Allocation Fund</v>
          </cell>
          <cell r="C2345" t="str">
            <v>Class M Non - Distributing</v>
          </cell>
          <cell r="D2345" t="str">
            <v>EUR</v>
          </cell>
          <cell r="E2345">
            <v>45747</v>
          </cell>
          <cell r="F2345">
            <v>45860413.479999997</v>
          </cell>
          <cell r="G2345">
            <v>1020987.1090000001</v>
          </cell>
          <cell r="H2345">
            <v>44.92</v>
          </cell>
          <cell r="I2345">
            <v>0</v>
          </cell>
          <cell r="J2345">
            <v>44.92</v>
          </cell>
          <cell r="K2345">
            <v>-0.35</v>
          </cell>
        </row>
        <row r="2346">
          <cell r="A2346" t="str">
            <v>LU1437673293</v>
          </cell>
          <cell r="B2346" t="str">
            <v>Amundi Investment Funds - Tactical Alloc Bond Fund</v>
          </cell>
          <cell r="C2346" t="str">
            <v>Class E Non - Distributing</v>
          </cell>
          <cell r="D2346" t="str">
            <v>EUR</v>
          </cell>
          <cell r="E2346">
            <v>45747</v>
          </cell>
          <cell r="F2346">
            <v>9508294.2899999991</v>
          </cell>
          <cell r="G2346">
            <v>1354890.71</v>
          </cell>
          <cell r="H2346">
            <v>7.0179999999999998</v>
          </cell>
          <cell r="I2346">
            <v>0</v>
          </cell>
          <cell r="J2346">
            <v>7.0179999999999998</v>
          </cell>
          <cell r="K2346">
            <v>-2E-3</v>
          </cell>
        </row>
        <row r="2347">
          <cell r="A2347" t="str">
            <v>LU2091515887</v>
          </cell>
          <cell r="B2347" t="str">
            <v>Amundi Investment Funds - Tactical Alloc Bond Fund</v>
          </cell>
          <cell r="C2347" t="str">
            <v>Class H Non - Distributing</v>
          </cell>
          <cell r="D2347" t="str">
            <v>EUR</v>
          </cell>
          <cell r="E2347">
            <v>45747</v>
          </cell>
          <cell r="F2347">
            <v>4760.55</v>
          </cell>
          <cell r="G2347">
            <v>5</v>
          </cell>
          <cell r="H2347">
            <v>952.11</v>
          </cell>
          <cell r="I2347">
            <v>0</v>
          </cell>
          <cell r="J2347">
            <v>952.11</v>
          </cell>
          <cell r="K2347">
            <v>-0.19</v>
          </cell>
        </row>
        <row r="2348">
          <cell r="A2348" t="str">
            <v>LU1437673376</v>
          </cell>
          <cell r="B2348" t="str">
            <v>Amundi Investment Funds - Tactical Alloc Bond Fund</v>
          </cell>
          <cell r="C2348" t="str">
            <v>Class M Non - Distributing</v>
          </cell>
          <cell r="D2348" t="str">
            <v>EUR</v>
          </cell>
          <cell r="E2348">
            <v>45747</v>
          </cell>
          <cell r="F2348">
            <v>61665163.039999999</v>
          </cell>
          <cell r="G2348">
            <v>40602.493000000002</v>
          </cell>
          <cell r="H2348">
            <v>1518.75</v>
          </cell>
          <cell r="I2348">
            <v>0</v>
          </cell>
          <cell r="J2348">
            <v>1549.13</v>
          </cell>
          <cell r="K2348">
            <v>-0.35</v>
          </cell>
        </row>
        <row r="2349">
          <cell r="A2349" t="str">
            <v>LU2050942452</v>
          </cell>
          <cell r="B2349" t="str">
            <v>Amundi Investment Funds - Optimiser</v>
          </cell>
          <cell r="C2349" t="str">
            <v>Class I Non - Distributing</v>
          </cell>
          <cell r="D2349" t="str">
            <v>EUR</v>
          </cell>
          <cell r="E2349">
            <v>45747</v>
          </cell>
          <cell r="F2349">
            <v>1075.01</v>
          </cell>
          <cell r="G2349">
            <v>1</v>
          </cell>
          <cell r="H2349">
            <v>1075.01</v>
          </cell>
          <cell r="I2349">
            <v>0</v>
          </cell>
          <cell r="J2349">
            <v>1075.01</v>
          </cell>
          <cell r="K2349">
            <v>-8.8800000000000008</v>
          </cell>
        </row>
        <row r="2350">
          <cell r="A2350" t="str">
            <v>LU2114357127</v>
          </cell>
          <cell r="B2350" t="str">
            <v>Amundi Investment Funds - Optimiser</v>
          </cell>
          <cell r="C2350" t="str">
            <v>Class X Non - Distributing</v>
          </cell>
          <cell r="D2350" t="str">
            <v>EUR</v>
          </cell>
          <cell r="E2350">
            <v>45747</v>
          </cell>
          <cell r="F2350">
            <v>16482819.57</v>
          </cell>
          <cell r="G2350">
            <v>15995.339</v>
          </cell>
          <cell r="H2350">
            <v>1030.48</v>
          </cell>
          <cell r="I2350">
            <v>0</v>
          </cell>
          <cell r="J2350">
            <v>1030.48</v>
          </cell>
          <cell r="K2350">
            <v>-8.48</v>
          </cell>
        </row>
        <row r="2351">
          <cell r="A2351" t="str">
            <v>LU2091515705</v>
          </cell>
          <cell r="B2351" t="str">
            <v>Amundi Investment Funds - Optimiser</v>
          </cell>
          <cell r="C2351" t="str">
            <v>Class H Non - Distributing</v>
          </cell>
          <cell r="D2351" t="str">
            <v>EUR</v>
          </cell>
          <cell r="E2351">
            <v>45747</v>
          </cell>
          <cell r="F2351">
            <v>54684236.829999998</v>
          </cell>
          <cell r="G2351">
            <v>52188.86</v>
          </cell>
          <cell r="H2351">
            <v>1047.81</v>
          </cell>
          <cell r="I2351">
            <v>0</v>
          </cell>
          <cell r="J2351">
            <v>1047.81</v>
          </cell>
          <cell r="K2351">
            <v>-8.65</v>
          </cell>
        </row>
        <row r="2352">
          <cell r="A2352" t="str">
            <v>LU1437672725</v>
          </cell>
          <cell r="B2352" t="str">
            <v>Amundi Investment Funds - Optimiser</v>
          </cell>
          <cell r="C2352" t="str">
            <v>Class M Non - Distributing</v>
          </cell>
          <cell r="D2352" t="str">
            <v>EUR</v>
          </cell>
          <cell r="E2352">
            <v>45747</v>
          </cell>
          <cell r="F2352">
            <v>157952891.05000001</v>
          </cell>
          <cell r="G2352">
            <v>87544.001000000004</v>
          </cell>
          <cell r="H2352">
            <v>1804.27</v>
          </cell>
          <cell r="I2352">
            <v>0</v>
          </cell>
          <cell r="J2352">
            <v>1840.36</v>
          </cell>
          <cell r="K2352">
            <v>-14.92</v>
          </cell>
        </row>
        <row r="2353">
          <cell r="A2353" t="str">
            <v>LU2091515457</v>
          </cell>
          <cell r="B2353" t="str">
            <v>Amundi Investment Funds - Dynamic Allocation Fund</v>
          </cell>
          <cell r="C2353" t="str">
            <v>Class H Non - Distributing</v>
          </cell>
          <cell r="D2353" t="str">
            <v>EUR</v>
          </cell>
          <cell r="E2353">
            <v>45747</v>
          </cell>
          <cell r="F2353">
            <v>2960.42</v>
          </cell>
          <cell r="G2353">
            <v>5</v>
          </cell>
          <cell r="H2353">
            <v>592.08000000000004</v>
          </cell>
          <cell r="I2353">
            <v>0</v>
          </cell>
          <cell r="J2353">
            <v>592.08000000000004</v>
          </cell>
          <cell r="K2353">
            <v>-0.37</v>
          </cell>
        </row>
        <row r="2354">
          <cell r="A2354" t="str">
            <v>LU1437672568</v>
          </cell>
          <cell r="B2354" t="str">
            <v>Amundi Investment Funds - Dynamic Allocation Fund</v>
          </cell>
          <cell r="C2354" t="str">
            <v>Class M Non - Distributing</v>
          </cell>
          <cell r="D2354" t="str">
            <v>EUR</v>
          </cell>
          <cell r="E2354">
            <v>45747</v>
          </cell>
          <cell r="F2354">
            <v>178122880.09999999</v>
          </cell>
          <cell r="G2354">
            <v>947178.37199999997</v>
          </cell>
          <cell r="H2354">
            <v>188.06</v>
          </cell>
          <cell r="I2354">
            <v>0</v>
          </cell>
          <cell r="J2354">
            <v>191.82</v>
          </cell>
          <cell r="K2354">
            <v>-0.12</v>
          </cell>
        </row>
        <row r="2355">
          <cell r="A2355" t="str">
            <v>LU1599403737</v>
          </cell>
          <cell r="B2355" t="str">
            <v>Amundi Investment Funds - Emerging Markets So Bond</v>
          </cell>
          <cell r="C2355" t="str">
            <v>Class A Non - Distributing</v>
          </cell>
          <cell r="D2355" t="str">
            <v>USD</v>
          </cell>
          <cell r="E2355">
            <v>45747</v>
          </cell>
          <cell r="F2355">
            <v>6145.55</v>
          </cell>
          <cell r="G2355">
            <v>100</v>
          </cell>
          <cell r="H2355">
            <v>61.46</v>
          </cell>
          <cell r="I2355">
            <v>0</v>
          </cell>
          <cell r="J2355">
            <v>61.46</v>
          </cell>
          <cell r="K2355">
            <v>-0.17</v>
          </cell>
        </row>
        <row r="2356">
          <cell r="A2356" t="str">
            <v>LU1599403810</v>
          </cell>
          <cell r="B2356" t="str">
            <v>Amundi Investment Funds - Emerging Markets So Bond</v>
          </cell>
          <cell r="C2356" t="str">
            <v>Class I Non - Distributing</v>
          </cell>
          <cell r="D2356" t="str">
            <v>USD</v>
          </cell>
          <cell r="E2356">
            <v>45747</v>
          </cell>
          <cell r="F2356">
            <v>19015232.469999999</v>
          </cell>
          <cell r="G2356">
            <v>14424</v>
          </cell>
          <cell r="H2356">
            <v>1318.31</v>
          </cell>
          <cell r="I2356">
            <v>0</v>
          </cell>
          <cell r="J2356">
            <v>1318.31</v>
          </cell>
          <cell r="K2356">
            <v>-3.66</v>
          </cell>
        </row>
        <row r="2357">
          <cell r="A2357" t="str">
            <v>LU1599404115</v>
          </cell>
          <cell r="B2357" t="str">
            <v>Amundi Investment Funds - Emerging Markets So Bond</v>
          </cell>
          <cell r="C2357" t="str">
            <v>Class S Non - Distributing</v>
          </cell>
          <cell r="D2357" t="str">
            <v>USD</v>
          </cell>
          <cell r="E2357">
            <v>45747</v>
          </cell>
          <cell r="F2357">
            <v>61163034.109999999</v>
          </cell>
          <cell r="G2357">
            <v>46165.788999999997</v>
          </cell>
          <cell r="H2357">
            <v>1324.86</v>
          </cell>
          <cell r="I2357">
            <v>0</v>
          </cell>
          <cell r="J2357">
            <v>1324.86</v>
          </cell>
          <cell r="K2357">
            <v>-3.68</v>
          </cell>
        </row>
        <row r="2358">
          <cell r="A2358" t="str">
            <v>LU2091515531</v>
          </cell>
          <cell r="B2358" t="str">
            <v>Amundi Investment Funds - Emerging Markets So Bond</v>
          </cell>
          <cell r="C2358" t="str">
            <v>Class H Non - Distributing</v>
          </cell>
          <cell r="D2358" t="str">
            <v>EUR</v>
          </cell>
          <cell r="E2358">
            <v>45747</v>
          </cell>
          <cell r="F2358">
            <v>38827528.310000002</v>
          </cell>
          <cell r="G2358">
            <v>33268</v>
          </cell>
          <cell r="H2358">
            <v>1167.1099999999999</v>
          </cell>
          <cell r="I2358">
            <v>0</v>
          </cell>
          <cell r="J2358">
            <v>1167.1099999999999</v>
          </cell>
          <cell r="K2358">
            <v>-0.98</v>
          </cell>
        </row>
        <row r="2359">
          <cell r="A2359" t="str">
            <v>LU1599403901</v>
          </cell>
          <cell r="B2359" t="str">
            <v>Amundi Investment Funds - Emerging Markets So Bond</v>
          </cell>
          <cell r="C2359" t="str">
            <v>Class M Non - Distributing</v>
          </cell>
          <cell r="D2359" t="str">
            <v>USD</v>
          </cell>
          <cell r="E2359">
            <v>45747</v>
          </cell>
          <cell r="F2359">
            <v>6486.21</v>
          </cell>
          <cell r="G2359">
            <v>5</v>
          </cell>
          <cell r="H2359">
            <v>1297.24</v>
          </cell>
          <cell r="I2359">
            <v>0</v>
          </cell>
          <cell r="J2359">
            <v>1323.18</v>
          </cell>
          <cell r="K2359">
            <v>-3.62</v>
          </cell>
        </row>
        <row r="2360">
          <cell r="A2360" t="str">
            <v>LU2091516000</v>
          </cell>
          <cell r="B2360" t="str">
            <v>Amundi Investment Funds - Tactical Allocati Pillar</v>
          </cell>
          <cell r="C2360" t="str">
            <v>Class M Non - Distributing</v>
          </cell>
          <cell r="D2360" t="str">
            <v>EUR</v>
          </cell>
          <cell r="E2360">
            <v>45747</v>
          </cell>
          <cell r="F2360">
            <v>58495666.979999997</v>
          </cell>
          <cell r="G2360">
            <v>69797.664000000004</v>
          </cell>
          <cell r="H2360">
            <v>838.07</v>
          </cell>
          <cell r="I2360">
            <v>0</v>
          </cell>
          <cell r="J2360">
            <v>838.07</v>
          </cell>
          <cell r="K2360">
            <v>-3.13</v>
          </cell>
        </row>
        <row r="2361">
          <cell r="A2361" t="str">
            <v>LU1599403653</v>
          </cell>
          <cell r="B2361" t="str">
            <v>Amundi Investment Funds - Multi-Asset Teodorico</v>
          </cell>
          <cell r="C2361" t="str">
            <v>Class I Quarterly Distributing</v>
          </cell>
          <cell r="D2361" t="str">
            <v>EUR</v>
          </cell>
          <cell r="E2361">
            <v>45747</v>
          </cell>
          <cell r="F2361">
            <v>470361891.04000002</v>
          </cell>
          <cell r="G2361">
            <v>454530.93099999998</v>
          </cell>
          <cell r="H2361">
            <v>1034.83</v>
          </cell>
          <cell r="I2361">
            <v>0</v>
          </cell>
          <cell r="J2361">
            <v>1034.83</v>
          </cell>
          <cell r="K2361">
            <v>-2.71</v>
          </cell>
        </row>
        <row r="2362">
          <cell r="A2362" t="str">
            <v>LU2091516182</v>
          </cell>
          <cell r="B2362" t="str">
            <v>Amundi Investment Funds - Tactical Portfolio Incom</v>
          </cell>
          <cell r="C2362" t="str">
            <v>Class M Distributing Ex-Dividend</v>
          </cell>
          <cell r="D2362" t="str">
            <v>EUR</v>
          </cell>
          <cell r="E2362">
            <v>45747</v>
          </cell>
          <cell r="F2362">
            <v>111628253.45999999</v>
          </cell>
          <cell r="G2362">
            <v>109081.88099999999</v>
          </cell>
          <cell r="H2362">
            <v>1023.34</v>
          </cell>
          <cell r="I2362">
            <v>0</v>
          </cell>
          <cell r="J2362">
            <v>1023.34</v>
          </cell>
          <cell r="K2362">
            <v>-9.93</v>
          </cell>
        </row>
        <row r="2363">
          <cell r="A2363" t="str">
            <v>LU2041153979</v>
          </cell>
          <cell r="B2363" t="str">
            <v>Amundi Investment Funds - Tactical Unconstrai Bond</v>
          </cell>
          <cell r="C2363" t="str">
            <v>Class M Non - Distributing</v>
          </cell>
          <cell r="D2363" t="str">
            <v>EUR</v>
          </cell>
          <cell r="E2363">
            <v>45747</v>
          </cell>
          <cell r="F2363">
            <v>183078579.19</v>
          </cell>
          <cell r="G2363">
            <v>186284.01699999999</v>
          </cell>
          <cell r="H2363">
            <v>982.79</v>
          </cell>
          <cell r="I2363">
            <v>0</v>
          </cell>
          <cell r="J2363">
            <v>982.79</v>
          </cell>
          <cell r="K2363">
            <v>-1.31</v>
          </cell>
        </row>
        <row r="2364">
          <cell r="A2364" t="str">
            <v>LU2535297928</v>
          </cell>
          <cell r="B2364" t="str">
            <v>Amundi Investment Funds - China RMB Sovereign Bond</v>
          </cell>
          <cell r="C2364" t="str">
            <v>Class A2 Non - Distributing</v>
          </cell>
          <cell r="D2364" t="str">
            <v>USD</v>
          </cell>
          <cell r="E2364">
            <v>45747</v>
          </cell>
          <cell r="F2364">
            <v>5246.56</v>
          </cell>
          <cell r="G2364">
            <v>100</v>
          </cell>
          <cell r="H2364">
            <v>52.47</v>
          </cell>
          <cell r="I2364">
            <v>0</v>
          </cell>
          <cell r="J2364">
            <v>54.04</v>
          </cell>
          <cell r="K2364">
            <v>0.12</v>
          </cell>
        </row>
        <row r="2365">
          <cell r="A2365" t="str">
            <v>LU2535297845</v>
          </cell>
          <cell r="B2365" t="str">
            <v>Amundi Investment Funds - China RMB Sovereign Bond</v>
          </cell>
          <cell r="C2365" t="str">
            <v>Class A Non - Distributing</v>
          </cell>
          <cell r="D2365" t="str">
            <v>USD</v>
          </cell>
          <cell r="E2365">
            <v>45747</v>
          </cell>
          <cell r="F2365">
            <v>5255.57</v>
          </cell>
          <cell r="G2365">
            <v>100</v>
          </cell>
          <cell r="H2365">
            <v>52.56</v>
          </cell>
          <cell r="I2365">
            <v>0</v>
          </cell>
          <cell r="J2365">
            <v>54.14</v>
          </cell>
          <cell r="K2365">
            <v>0.12</v>
          </cell>
        </row>
        <row r="2366">
          <cell r="A2366" t="str">
            <v>LU2535298496</v>
          </cell>
          <cell r="B2366" t="str">
            <v>Amundi Investment Funds - China RMB Sovereign Bond</v>
          </cell>
          <cell r="C2366" t="str">
            <v>Class I2 Non - Distributing</v>
          </cell>
          <cell r="D2366" t="str">
            <v>USD</v>
          </cell>
          <cell r="E2366">
            <v>45747</v>
          </cell>
          <cell r="F2366">
            <v>5369.37</v>
          </cell>
          <cell r="G2366">
            <v>5</v>
          </cell>
          <cell r="H2366">
            <v>1073.8699999999999</v>
          </cell>
          <cell r="I2366">
            <v>0</v>
          </cell>
          <cell r="J2366">
            <v>1073.8699999999999</v>
          </cell>
          <cell r="K2366">
            <v>2.4</v>
          </cell>
        </row>
        <row r="2367">
          <cell r="A2367" t="str">
            <v>LU2535298652</v>
          </cell>
          <cell r="B2367" t="str">
            <v>Amundi Investment Funds - China RMB Sovereign Bond</v>
          </cell>
          <cell r="C2367" t="str">
            <v>Class I2 Hedged Non - Distributing</v>
          </cell>
          <cell r="D2367" t="str">
            <v>CHF</v>
          </cell>
          <cell r="E2367">
            <v>45747</v>
          </cell>
          <cell r="F2367">
            <v>110713.14</v>
          </cell>
          <cell r="G2367">
            <v>100</v>
          </cell>
          <cell r="H2367">
            <v>1107.1300000000001</v>
          </cell>
          <cell r="I2367">
            <v>0</v>
          </cell>
          <cell r="J2367">
            <v>1107.1300000000001</v>
          </cell>
          <cell r="K2367">
            <v>1.86</v>
          </cell>
        </row>
        <row r="2368">
          <cell r="A2368" t="str">
            <v>LU2535298736</v>
          </cell>
          <cell r="B2368" t="str">
            <v>Amundi Investment Funds - China RMB Sovereign Bond</v>
          </cell>
          <cell r="C2368" t="str">
            <v>Class I2 Hedged Non - Distributing</v>
          </cell>
          <cell r="D2368" t="str">
            <v>CAD</v>
          </cell>
          <cell r="E2368">
            <v>45747</v>
          </cell>
          <cell r="F2368">
            <v>118905.59</v>
          </cell>
          <cell r="G2368">
            <v>100</v>
          </cell>
          <cell r="H2368">
            <v>1189.06</v>
          </cell>
          <cell r="I2368">
            <v>0</v>
          </cell>
          <cell r="J2368">
            <v>1189.06</v>
          </cell>
          <cell r="K2368">
            <v>2.02</v>
          </cell>
        </row>
        <row r="2369">
          <cell r="A2369" t="str">
            <v>LU2535298579</v>
          </cell>
          <cell r="B2369" t="str">
            <v>Amundi Investment Funds - China RMB Sovereign Bond</v>
          </cell>
          <cell r="C2369" t="str">
            <v>Class I2 Hedged Non - Distributing</v>
          </cell>
          <cell r="D2369" t="str">
            <v>EUR</v>
          </cell>
          <cell r="E2369">
            <v>45747</v>
          </cell>
          <cell r="F2369">
            <v>116529.66</v>
          </cell>
          <cell r="G2369">
            <v>100</v>
          </cell>
          <cell r="H2369">
            <v>1165.3</v>
          </cell>
          <cell r="I2369">
            <v>0</v>
          </cell>
          <cell r="J2369">
            <v>1165.3</v>
          </cell>
          <cell r="K2369">
            <v>1.97</v>
          </cell>
        </row>
        <row r="2370">
          <cell r="A2370" t="str">
            <v>LU2535298223</v>
          </cell>
          <cell r="B2370" t="str">
            <v>Amundi Investment Funds - China RMB Sovereign Bond</v>
          </cell>
          <cell r="C2370" t="str">
            <v>Class I2 Hedged Non - Distributing</v>
          </cell>
          <cell r="D2370" t="str">
            <v>USD</v>
          </cell>
          <cell r="E2370">
            <v>45747</v>
          </cell>
          <cell r="F2370">
            <v>120961.95</v>
          </cell>
          <cell r="G2370">
            <v>100</v>
          </cell>
          <cell r="H2370">
            <v>1209.6199999999999</v>
          </cell>
          <cell r="I2370">
            <v>0</v>
          </cell>
          <cell r="J2370">
            <v>1209.6199999999999</v>
          </cell>
          <cell r="K2370">
            <v>2.1</v>
          </cell>
        </row>
        <row r="2371">
          <cell r="A2371" t="str">
            <v>LU2535298140</v>
          </cell>
          <cell r="B2371" t="str">
            <v>Amundi Investment Funds - China RMB Sovereign Bond</v>
          </cell>
          <cell r="C2371" t="str">
            <v>Class R2 Non - Distributing</v>
          </cell>
          <cell r="D2371" t="str">
            <v>USD</v>
          </cell>
          <cell r="E2371">
            <v>45747</v>
          </cell>
          <cell r="F2371">
            <v>5340.38</v>
          </cell>
          <cell r="G2371">
            <v>100</v>
          </cell>
          <cell r="H2371">
            <v>53.4</v>
          </cell>
          <cell r="I2371">
            <v>0</v>
          </cell>
          <cell r="J2371">
            <v>53.4</v>
          </cell>
          <cell r="K2371">
            <v>0.11</v>
          </cell>
        </row>
        <row r="2372">
          <cell r="A2372" t="str">
            <v>LU2535298066</v>
          </cell>
          <cell r="B2372" t="str">
            <v>Amundi Investment Funds - China RMB Sovereign Bond</v>
          </cell>
          <cell r="C2372" t="str">
            <v>Class R Non - Distributing</v>
          </cell>
          <cell r="D2372" t="str">
            <v>USD</v>
          </cell>
          <cell r="E2372">
            <v>45747</v>
          </cell>
          <cell r="F2372">
            <v>5332.26</v>
          </cell>
          <cell r="G2372">
            <v>100</v>
          </cell>
          <cell r="H2372">
            <v>53.32</v>
          </cell>
          <cell r="I2372">
            <v>0</v>
          </cell>
          <cell r="J2372">
            <v>53.32</v>
          </cell>
          <cell r="K2372">
            <v>0.12</v>
          </cell>
        </row>
        <row r="2373">
          <cell r="A2373" t="str">
            <v>LU2535299031</v>
          </cell>
          <cell r="B2373" t="str">
            <v>Amundi Investment Funds - China RMB Sovereign Bond</v>
          </cell>
          <cell r="C2373" t="str">
            <v>Class Z Non - Distributing</v>
          </cell>
          <cell r="D2373" t="str">
            <v>USD</v>
          </cell>
          <cell r="E2373">
            <v>45747</v>
          </cell>
          <cell r="F2373">
            <v>45589432.509999998</v>
          </cell>
          <cell r="G2373">
            <v>42516.677000000003</v>
          </cell>
          <cell r="H2373">
            <v>1072.27</v>
          </cell>
          <cell r="I2373">
            <v>0</v>
          </cell>
          <cell r="J2373">
            <v>1072.27</v>
          </cell>
          <cell r="K2373">
            <v>2.54</v>
          </cell>
        </row>
        <row r="2374">
          <cell r="A2374" t="str">
            <v>LU2535298819</v>
          </cell>
          <cell r="B2374" t="str">
            <v>Amundi Investment Funds - China RMB Sovereign Bond</v>
          </cell>
          <cell r="C2374" t="str">
            <v>Class Z Hedged Non - Distributing</v>
          </cell>
          <cell r="D2374" t="str">
            <v>EUR</v>
          </cell>
          <cell r="E2374">
            <v>45747</v>
          </cell>
          <cell r="F2374">
            <v>116842.46</v>
          </cell>
          <cell r="G2374">
            <v>100</v>
          </cell>
          <cell r="H2374">
            <v>1168.42</v>
          </cell>
          <cell r="I2374">
            <v>0</v>
          </cell>
          <cell r="J2374">
            <v>1168.42</v>
          </cell>
          <cell r="K2374">
            <v>1.99</v>
          </cell>
        </row>
        <row r="2375">
          <cell r="A2375" t="str">
            <v>LU1826339258</v>
          </cell>
          <cell r="B2375" t="str">
            <v>Amundi Soluzioni Italia - Progetto C 09/2023</v>
          </cell>
          <cell r="C2375" t="str">
            <v>Class E Distributing Annually</v>
          </cell>
          <cell r="D2375" t="str">
            <v>EUR</v>
          </cell>
          <cell r="E2375">
            <v>45747</v>
          </cell>
          <cell r="F2375">
            <v>2844018.92</v>
          </cell>
          <cell r="G2375">
            <v>560604.59499999997</v>
          </cell>
          <cell r="H2375">
            <v>5.0730000000000004</v>
          </cell>
          <cell r="I2375">
            <v>0</v>
          </cell>
          <cell r="J2375">
            <v>5.0730000000000004</v>
          </cell>
          <cell r="K2375">
            <v>1.9E-2</v>
          </cell>
        </row>
        <row r="2376">
          <cell r="A2376" t="str">
            <v>LU1859552652</v>
          </cell>
          <cell r="B2376" t="str">
            <v>Amundi Soluzioni Italia - Progetto C 10/2023</v>
          </cell>
          <cell r="C2376" t="str">
            <v>Class E Distributing Annually</v>
          </cell>
          <cell r="D2376" t="str">
            <v>EUR</v>
          </cell>
          <cell r="E2376">
            <v>45747</v>
          </cell>
          <cell r="F2376">
            <v>2857299.96</v>
          </cell>
          <cell r="G2376">
            <v>556815.66399999999</v>
          </cell>
          <cell r="H2376">
            <v>5.1319999999999997</v>
          </cell>
          <cell r="I2376">
            <v>0</v>
          </cell>
          <cell r="J2376">
            <v>5.1319999999999997</v>
          </cell>
          <cell r="K2376">
            <v>1.9E-2</v>
          </cell>
        </row>
        <row r="2377">
          <cell r="A2377" t="str">
            <v>LU1859552900</v>
          </cell>
          <cell r="B2377" t="str">
            <v>Amundi Soluzioni Italia - Progetto C 12/2023</v>
          </cell>
          <cell r="C2377" t="str">
            <v>Class E Distributing Annually</v>
          </cell>
          <cell r="D2377" t="str">
            <v>EUR</v>
          </cell>
          <cell r="E2377">
            <v>45747</v>
          </cell>
          <cell r="F2377">
            <v>2738654.45</v>
          </cell>
          <cell r="G2377">
            <v>518693.42099999997</v>
          </cell>
          <cell r="H2377">
            <v>5.28</v>
          </cell>
          <cell r="I2377">
            <v>0</v>
          </cell>
          <cell r="J2377">
            <v>5.28</v>
          </cell>
          <cell r="K2377">
            <v>1.9E-2</v>
          </cell>
        </row>
        <row r="2378">
          <cell r="A2378" t="str">
            <v>LU1915992769</v>
          </cell>
          <cell r="B2378" t="str">
            <v>Amundi Soluzioni Italia - Progetto C 01/2024</v>
          </cell>
          <cell r="C2378" t="str">
            <v>Class E Distributing Annually</v>
          </cell>
          <cell r="D2378" t="str">
            <v>EUR</v>
          </cell>
          <cell r="E2378">
            <v>45747</v>
          </cell>
          <cell r="F2378">
            <v>5026116.3</v>
          </cell>
          <cell r="G2378">
            <v>975243.995</v>
          </cell>
          <cell r="H2378">
            <v>5.1539999999999999</v>
          </cell>
          <cell r="I2378">
            <v>0</v>
          </cell>
          <cell r="J2378">
            <v>5.1539999999999999</v>
          </cell>
          <cell r="K2378">
            <v>0.02</v>
          </cell>
        </row>
        <row r="2379">
          <cell r="A2379" t="str">
            <v>LU1915993064</v>
          </cell>
          <cell r="B2379" t="str">
            <v>Amundi Soluzioni Italia - Prog Obb Emergenti</v>
          </cell>
          <cell r="C2379" t="str">
            <v>Class E Non - Distributing</v>
          </cell>
          <cell r="D2379" t="str">
            <v>EUR</v>
          </cell>
          <cell r="E2379">
            <v>45747</v>
          </cell>
          <cell r="F2379">
            <v>1958719.1</v>
          </cell>
          <cell r="G2379">
            <v>360620.80699999997</v>
          </cell>
          <cell r="H2379">
            <v>5.4320000000000004</v>
          </cell>
          <cell r="I2379">
            <v>0</v>
          </cell>
          <cell r="J2379">
            <v>5.4320000000000004</v>
          </cell>
          <cell r="K2379">
            <v>8.0000000000000002E-3</v>
          </cell>
        </row>
        <row r="2380">
          <cell r="A2380" t="str">
            <v>LU1915993148</v>
          </cell>
          <cell r="B2380" t="str">
            <v>Amundi Soluzioni Italia - Prog Obb Emergenti</v>
          </cell>
          <cell r="C2380" t="str">
            <v>Class U Non - Distributing</v>
          </cell>
          <cell r="D2380" t="str">
            <v>EUR</v>
          </cell>
          <cell r="E2380">
            <v>45747</v>
          </cell>
          <cell r="F2380">
            <v>28177769.920000002</v>
          </cell>
          <cell r="G2380">
            <v>5317672.6500000004</v>
          </cell>
          <cell r="H2380">
            <v>5.2990000000000004</v>
          </cell>
          <cell r="I2380">
            <v>0</v>
          </cell>
          <cell r="J2380">
            <v>5.2990000000000004</v>
          </cell>
          <cell r="K2380">
            <v>7.0000000000000001E-3</v>
          </cell>
        </row>
        <row r="2381">
          <cell r="A2381" t="str">
            <v>LU1965337378</v>
          </cell>
          <cell r="B2381" t="str">
            <v>Amundi Soluzioni Italia - Progetto C 04/2024</v>
          </cell>
          <cell r="C2381" t="str">
            <v>Class E Distributing Annually</v>
          </cell>
          <cell r="D2381" t="str">
            <v>EUR</v>
          </cell>
          <cell r="E2381">
            <v>45747</v>
          </cell>
          <cell r="F2381">
            <v>2545042.89</v>
          </cell>
          <cell r="G2381">
            <v>498380.2</v>
          </cell>
          <cell r="H2381">
            <v>5.1070000000000002</v>
          </cell>
          <cell r="I2381">
            <v>0</v>
          </cell>
          <cell r="J2381">
            <v>5.1070000000000002</v>
          </cell>
          <cell r="K2381">
            <v>0.02</v>
          </cell>
        </row>
        <row r="2382">
          <cell r="A2382" t="str">
            <v>LU1965337451</v>
          </cell>
          <cell r="B2382" t="str">
            <v>Amundi Soluzioni Italia - Prog Sviluppo Oriente</v>
          </cell>
          <cell r="C2382" t="str">
            <v>Class E Non - Distributing</v>
          </cell>
          <cell r="D2382" t="str">
            <v>EUR</v>
          </cell>
          <cell r="E2382">
            <v>45747</v>
          </cell>
          <cell r="F2382">
            <v>2151647.31</v>
          </cell>
          <cell r="G2382">
            <v>373990.48100000003</v>
          </cell>
          <cell r="H2382">
            <v>5.7530000000000001</v>
          </cell>
          <cell r="I2382">
            <v>0</v>
          </cell>
          <cell r="J2382">
            <v>5.7530000000000001</v>
          </cell>
          <cell r="K2382">
            <v>-2.4E-2</v>
          </cell>
        </row>
        <row r="2383">
          <cell r="A2383" t="str">
            <v>LU1965337535</v>
          </cell>
          <cell r="B2383" t="str">
            <v>Amundi Soluzioni Italia - Prog Sviluppo Oriente</v>
          </cell>
          <cell r="C2383" t="str">
            <v>Class U Non - Distributing</v>
          </cell>
          <cell r="D2383" t="str">
            <v>EUR</v>
          </cell>
          <cell r="E2383">
            <v>45747</v>
          </cell>
          <cell r="F2383">
            <v>31393480.149999999</v>
          </cell>
          <cell r="G2383">
            <v>5587421.0920000002</v>
          </cell>
          <cell r="H2383">
            <v>5.6189999999999998</v>
          </cell>
          <cell r="I2383">
            <v>0</v>
          </cell>
          <cell r="J2383">
            <v>5.6189999999999998</v>
          </cell>
          <cell r="K2383">
            <v>-2.3E-2</v>
          </cell>
        </row>
        <row r="2384">
          <cell r="A2384" t="str">
            <v>LU2007205128</v>
          </cell>
          <cell r="B2384" t="str">
            <v>Amundi Soluzioni Italia - Prog Svilup Oriente (II)</v>
          </cell>
          <cell r="C2384" t="str">
            <v>Class E Non - Distributing</v>
          </cell>
          <cell r="D2384" t="str">
            <v>EUR</v>
          </cell>
          <cell r="E2384">
            <v>45747</v>
          </cell>
          <cell r="F2384">
            <v>1029476.19</v>
          </cell>
          <cell r="G2384">
            <v>178907.976</v>
          </cell>
          <cell r="H2384">
            <v>5.7539999999999996</v>
          </cell>
          <cell r="I2384">
            <v>0</v>
          </cell>
          <cell r="J2384">
            <v>5.7539999999999996</v>
          </cell>
          <cell r="K2384">
            <v>-2.5000000000000001E-2</v>
          </cell>
        </row>
        <row r="2385">
          <cell r="A2385" t="str">
            <v>LU2007205391</v>
          </cell>
          <cell r="B2385" t="str">
            <v>Amundi Soluzioni Italia - Prog Svilup Oriente (II)</v>
          </cell>
          <cell r="C2385" t="str">
            <v>Class U Non - Distributing</v>
          </cell>
          <cell r="D2385" t="str">
            <v>EUR</v>
          </cell>
          <cell r="E2385">
            <v>45747</v>
          </cell>
          <cell r="F2385">
            <v>15398485.41</v>
          </cell>
          <cell r="G2385">
            <v>2737336.1039999998</v>
          </cell>
          <cell r="H2385">
            <v>5.625</v>
          </cell>
          <cell r="I2385">
            <v>0</v>
          </cell>
          <cell r="J2385">
            <v>5.625</v>
          </cell>
          <cell r="K2385">
            <v>-2.5000000000000001E-2</v>
          </cell>
        </row>
        <row r="2386">
          <cell r="A2386" t="str">
            <v>LU2028898166</v>
          </cell>
          <cell r="B2386" t="str">
            <v>Amundi Soluzioni Italia - Ob Al Rendimento 10/2025</v>
          </cell>
          <cell r="C2386" t="str">
            <v>Class B Distributing Annually</v>
          </cell>
          <cell r="D2386" t="str">
            <v>EUR</v>
          </cell>
          <cell r="E2386">
            <v>45747</v>
          </cell>
          <cell r="F2386">
            <v>80920426.989999995</v>
          </cell>
          <cell r="G2386">
            <v>15673489.072000001</v>
          </cell>
          <cell r="H2386">
            <v>5.1630000000000003</v>
          </cell>
          <cell r="I2386">
            <v>0</v>
          </cell>
          <cell r="J2386">
            <v>5.1630000000000003</v>
          </cell>
          <cell r="K2386">
            <v>6.3E-2</v>
          </cell>
        </row>
        <row r="2387">
          <cell r="A2387" t="str">
            <v>LU2028898323</v>
          </cell>
          <cell r="B2387" t="str">
            <v>Amundi Soluzioni Italia - Ob Al Rendimento 10/2025</v>
          </cell>
          <cell r="C2387" t="str">
            <v>Class B Hedged Distributing Annually</v>
          </cell>
          <cell r="D2387" t="str">
            <v>EUR</v>
          </cell>
          <cell r="E2387">
            <v>45747</v>
          </cell>
          <cell r="F2387">
            <v>61916303.700000003</v>
          </cell>
          <cell r="G2387">
            <v>11990360.184</v>
          </cell>
          <cell r="H2387">
            <v>5.1639999999999997</v>
          </cell>
          <cell r="I2387">
            <v>0</v>
          </cell>
          <cell r="J2387">
            <v>5.1639999999999997</v>
          </cell>
          <cell r="K2387">
            <v>3.0000000000000001E-3</v>
          </cell>
        </row>
        <row r="2388">
          <cell r="A2388" t="str">
            <v>LU2028898240</v>
          </cell>
          <cell r="B2388" t="str">
            <v>Amundi Soluzioni Italia - Ob Al Rendimento 10/2025</v>
          </cell>
          <cell r="C2388" t="str">
            <v>Class E Distributing Annually</v>
          </cell>
          <cell r="D2388" t="str">
            <v>EUR</v>
          </cell>
          <cell r="E2388">
            <v>45747</v>
          </cell>
          <cell r="F2388">
            <v>11845769.1</v>
          </cell>
          <cell r="G2388">
            <v>2292391.9840000002</v>
          </cell>
          <cell r="H2388">
            <v>5.1669999999999998</v>
          </cell>
          <cell r="I2388">
            <v>0</v>
          </cell>
          <cell r="J2388">
            <v>5.1669999999999998</v>
          </cell>
          <cell r="K2388">
            <v>6.2E-2</v>
          </cell>
        </row>
        <row r="2389">
          <cell r="A2389" t="str">
            <v>LU2028899214</v>
          </cell>
          <cell r="B2389" t="str">
            <v>Amundi Soluzioni Italia - Ob Al Rendimento 11/2025</v>
          </cell>
          <cell r="C2389" t="str">
            <v>Class B Distributing Annually</v>
          </cell>
          <cell r="D2389" t="str">
            <v>EUR</v>
          </cell>
          <cell r="E2389">
            <v>45747</v>
          </cell>
          <cell r="F2389">
            <v>51282399.770000003</v>
          </cell>
          <cell r="G2389">
            <v>9842710.0950000007</v>
          </cell>
          <cell r="H2389">
            <v>5.21</v>
          </cell>
          <cell r="I2389">
            <v>0</v>
          </cell>
          <cell r="J2389">
            <v>5.21</v>
          </cell>
          <cell r="K2389">
            <v>5.2999999999999999E-2</v>
          </cell>
        </row>
        <row r="2390">
          <cell r="A2390" t="str">
            <v>LU2028899487</v>
          </cell>
          <cell r="B2390" t="str">
            <v>Amundi Soluzioni Italia - Ob Al Rendimento 11/2025</v>
          </cell>
          <cell r="C2390" t="str">
            <v>Class B Hedged Distributing Annually</v>
          </cell>
          <cell r="D2390" t="str">
            <v>EUR</v>
          </cell>
          <cell r="E2390">
            <v>45747</v>
          </cell>
          <cell r="F2390">
            <v>32182185.16</v>
          </cell>
          <cell r="G2390">
            <v>6129784.7869999995</v>
          </cell>
          <cell r="H2390">
            <v>5.25</v>
          </cell>
          <cell r="I2390">
            <v>0</v>
          </cell>
          <cell r="J2390">
            <v>5.25</v>
          </cell>
          <cell r="K2390">
            <v>0</v>
          </cell>
        </row>
        <row r="2391">
          <cell r="A2391" t="str">
            <v>LU2028899305</v>
          </cell>
          <cell r="B2391" t="str">
            <v>Amundi Soluzioni Italia - Ob Al Rendimento 11/2025</v>
          </cell>
          <cell r="C2391" t="str">
            <v>Class E Distributing Annually</v>
          </cell>
          <cell r="D2391" t="str">
            <v>EUR</v>
          </cell>
          <cell r="E2391">
            <v>45747</v>
          </cell>
          <cell r="F2391">
            <v>7228959.8499999996</v>
          </cell>
          <cell r="G2391">
            <v>1385740.034</v>
          </cell>
          <cell r="H2391">
            <v>5.2169999999999996</v>
          </cell>
          <cell r="I2391">
            <v>0</v>
          </cell>
          <cell r="J2391">
            <v>5.2169999999999996</v>
          </cell>
          <cell r="K2391">
            <v>5.3999999999999999E-2</v>
          </cell>
        </row>
        <row r="2392">
          <cell r="A2392" t="str">
            <v>LU2082310736</v>
          </cell>
          <cell r="B2392" t="str">
            <v>Amundi Soluzioni Italia - Ob Al Rend Diver 01/2026</v>
          </cell>
          <cell r="C2392" t="str">
            <v>Class B Distributing Annually</v>
          </cell>
          <cell r="D2392" t="str">
            <v>EUR</v>
          </cell>
          <cell r="E2392">
            <v>45747</v>
          </cell>
          <cell r="F2392">
            <v>58239794.75</v>
          </cell>
          <cell r="G2392">
            <v>11632722.291999999</v>
          </cell>
          <cell r="H2392">
            <v>5.0069999999999997</v>
          </cell>
          <cell r="I2392">
            <v>0</v>
          </cell>
          <cell r="J2392">
            <v>5.0069999999999997</v>
          </cell>
          <cell r="K2392">
            <v>6.0999999999999999E-2</v>
          </cell>
        </row>
        <row r="2393">
          <cell r="A2393" t="str">
            <v>LU2082310819</v>
          </cell>
          <cell r="B2393" t="str">
            <v>Amundi Soluzioni Italia - Ob Al Rend Diver 01/2026</v>
          </cell>
          <cell r="C2393" t="str">
            <v>Class B Hedged Distributing Annually</v>
          </cell>
          <cell r="D2393" t="str">
            <v>EUR</v>
          </cell>
          <cell r="E2393">
            <v>45747</v>
          </cell>
          <cell r="F2393">
            <v>23617807.59</v>
          </cell>
          <cell r="G2393">
            <v>4674679.1960000005</v>
          </cell>
          <cell r="H2393">
            <v>5.0519999999999996</v>
          </cell>
          <cell r="I2393">
            <v>0</v>
          </cell>
          <cell r="J2393">
            <v>5.0519999999999996</v>
          </cell>
          <cell r="K2393">
            <v>2E-3</v>
          </cell>
        </row>
        <row r="2394">
          <cell r="A2394" t="str">
            <v>LU2082310579</v>
          </cell>
          <cell r="B2394" t="str">
            <v>Amundi Soluzioni Italia - Ob Al Rend Diver 01/2026</v>
          </cell>
          <cell r="C2394" t="str">
            <v>Class E Distributing Annually</v>
          </cell>
          <cell r="D2394" t="str">
            <v>EUR</v>
          </cell>
          <cell r="E2394">
            <v>45747</v>
          </cell>
          <cell r="F2394">
            <v>4849816.83</v>
          </cell>
          <cell r="G2394">
            <v>969398.81700000004</v>
          </cell>
          <cell r="H2394">
            <v>5.0030000000000001</v>
          </cell>
          <cell r="I2394">
            <v>0</v>
          </cell>
          <cell r="J2394">
            <v>5.0030000000000001</v>
          </cell>
          <cell r="K2394">
            <v>6.0999999999999999E-2</v>
          </cell>
        </row>
        <row r="2395">
          <cell r="A2395" t="str">
            <v>LU2082311387</v>
          </cell>
          <cell r="B2395" t="str">
            <v>Amundi Soluzioni Italia - Obbligazion Euro 04/2025</v>
          </cell>
          <cell r="C2395" t="str">
            <v>Class W Distributing Annually</v>
          </cell>
          <cell r="D2395" t="str">
            <v>EUR</v>
          </cell>
          <cell r="E2395">
            <v>45747</v>
          </cell>
          <cell r="F2395">
            <v>24560101.760000002</v>
          </cell>
          <cell r="G2395">
            <v>4704836.9400000004</v>
          </cell>
          <cell r="H2395">
            <v>5.22</v>
          </cell>
          <cell r="I2395">
            <v>0</v>
          </cell>
          <cell r="J2395">
            <v>5.22</v>
          </cell>
          <cell r="K2395">
            <v>3.0000000000000001E-3</v>
          </cell>
        </row>
        <row r="2396">
          <cell r="A2396" t="str">
            <v>LU2082312195</v>
          </cell>
          <cell r="B2396" t="str">
            <v>Amundi Soluzioni Italia - Ob Al Rend Diver 02/2026</v>
          </cell>
          <cell r="C2396" t="str">
            <v>Class B Distributing Annually</v>
          </cell>
          <cell r="D2396" t="str">
            <v>EUR</v>
          </cell>
          <cell r="E2396">
            <v>45747</v>
          </cell>
          <cell r="F2396">
            <v>66023878.020000003</v>
          </cell>
          <cell r="G2396">
            <v>12814275.149</v>
          </cell>
          <cell r="H2396">
            <v>5.1520000000000001</v>
          </cell>
          <cell r="I2396">
            <v>0</v>
          </cell>
          <cell r="J2396">
            <v>5.1520000000000001</v>
          </cell>
          <cell r="K2396">
            <v>5.6000000000000001E-2</v>
          </cell>
        </row>
        <row r="2397">
          <cell r="A2397" t="str">
            <v>LU2082311890</v>
          </cell>
          <cell r="B2397" t="str">
            <v>Amundi Soluzioni Italia - Ob Al Rend Diver 02/2026</v>
          </cell>
          <cell r="C2397" t="str">
            <v>Class E Distributing Annually</v>
          </cell>
          <cell r="D2397" t="str">
            <v>EUR</v>
          </cell>
          <cell r="E2397">
            <v>45747</v>
          </cell>
          <cell r="F2397">
            <v>7610371.9699999997</v>
          </cell>
          <cell r="G2397">
            <v>1476381.422</v>
          </cell>
          <cell r="H2397">
            <v>5.1550000000000002</v>
          </cell>
          <cell r="I2397">
            <v>0</v>
          </cell>
          <cell r="J2397">
            <v>5.1550000000000002</v>
          </cell>
          <cell r="K2397">
            <v>5.7000000000000002E-2</v>
          </cell>
        </row>
        <row r="2398">
          <cell r="A2398" t="str">
            <v>LU2082312351</v>
          </cell>
          <cell r="B2398" t="str">
            <v>Amundi Soluzioni Italia - Obbligazion Euro 05/2025</v>
          </cell>
          <cell r="C2398" t="str">
            <v>Class W Distributing Annually</v>
          </cell>
          <cell r="D2398" t="str">
            <v>EUR</v>
          </cell>
          <cell r="E2398">
            <v>45747</v>
          </cell>
          <cell r="F2398">
            <v>6725945.0999999996</v>
          </cell>
          <cell r="G2398">
            <v>1219386.44</v>
          </cell>
          <cell r="H2398">
            <v>5.516</v>
          </cell>
          <cell r="I2398">
            <v>0</v>
          </cell>
          <cell r="J2398">
            <v>5.516</v>
          </cell>
          <cell r="K2398">
            <v>4.0000000000000001E-3</v>
          </cell>
        </row>
        <row r="2399">
          <cell r="A2399" t="str">
            <v>LU2082312781</v>
          </cell>
          <cell r="B2399" t="str">
            <v>Amundi Soluzioni Italia - Ob Al Rend Diver 03/2026</v>
          </cell>
          <cell r="C2399" t="str">
            <v>Class B Distributing Annually</v>
          </cell>
          <cell r="D2399" t="str">
            <v>EUR</v>
          </cell>
          <cell r="E2399">
            <v>45747</v>
          </cell>
          <cell r="F2399">
            <v>9275489.8599999994</v>
          </cell>
          <cell r="G2399">
            <v>1567465.9410000001</v>
          </cell>
          <cell r="H2399">
            <v>5.9180000000000001</v>
          </cell>
          <cell r="I2399">
            <v>0</v>
          </cell>
          <cell r="J2399">
            <v>5.9180000000000001</v>
          </cell>
          <cell r="K2399">
            <v>6.2E-2</v>
          </cell>
        </row>
        <row r="2400">
          <cell r="A2400" t="str">
            <v>LU2082312864</v>
          </cell>
          <cell r="B2400" t="str">
            <v>Amundi Soluzioni Italia - Ob Al Rend Diver 03/2026</v>
          </cell>
          <cell r="C2400" t="str">
            <v>Class B Hedged Distributing Annually</v>
          </cell>
          <cell r="D2400" t="str">
            <v>EUR</v>
          </cell>
          <cell r="E2400">
            <v>45747</v>
          </cell>
          <cell r="F2400">
            <v>286062.68</v>
          </cell>
          <cell r="G2400">
            <v>50150.144</v>
          </cell>
          <cell r="H2400">
            <v>5.7039999999999997</v>
          </cell>
          <cell r="I2400">
            <v>0</v>
          </cell>
          <cell r="J2400">
            <v>5.7039999999999997</v>
          </cell>
          <cell r="K2400">
            <v>2E-3</v>
          </cell>
        </row>
        <row r="2401">
          <cell r="A2401" t="str">
            <v>LU2082312518</v>
          </cell>
          <cell r="B2401" t="str">
            <v>Amundi Soluzioni Italia - Ob Al Rend Diver 03/2026</v>
          </cell>
          <cell r="C2401" t="str">
            <v>Class E Distributing Annually</v>
          </cell>
          <cell r="D2401" t="str">
            <v>EUR</v>
          </cell>
          <cell r="E2401">
            <v>45747</v>
          </cell>
          <cell r="F2401">
            <v>1415362.07</v>
          </cell>
          <cell r="G2401">
            <v>238299.617</v>
          </cell>
          <cell r="H2401">
            <v>5.9390000000000001</v>
          </cell>
          <cell r="I2401">
            <v>0</v>
          </cell>
          <cell r="J2401">
            <v>5.9390000000000001</v>
          </cell>
          <cell r="K2401">
            <v>0.06</v>
          </cell>
        </row>
        <row r="2402">
          <cell r="A2402" t="str">
            <v>LU2122995025</v>
          </cell>
          <cell r="B2402" t="str">
            <v>Amundi Soluzioni Italia - Pr A Medical Innovation</v>
          </cell>
          <cell r="C2402" t="str">
            <v>Class E Non - Distributing</v>
          </cell>
          <cell r="D2402" t="str">
            <v>EUR</v>
          </cell>
          <cell r="E2402">
            <v>45747</v>
          </cell>
          <cell r="F2402">
            <v>1583546.03</v>
          </cell>
          <cell r="G2402">
            <v>286374.04300000001</v>
          </cell>
          <cell r="H2402">
            <v>5.53</v>
          </cell>
          <cell r="I2402">
            <v>0</v>
          </cell>
          <cell r="J2402">
            <v>5.53</v>
          </cell>
          <cell r="K2402">
            <v>-7.0000000000000001E-3</v>
          </cell>
        </row>
        <row r="2403">
          <cell r="A2403" t="str">
            <v>LU2122995298</v>
          </cell>
          <cell r="B2403" t="str">
            <v>Amundi Soluzioni Italia - Pr A Medical Innovation</v>
          </cell>
          <cell r="C2403" t="str">
            <v>Class U Non - Distributing</v>
          </cell>
          <cell r="D2403" t="str">
            <v>EUR</v>
          </cell>
          <cell r="E2403">
            <v>45747</v>
          </cell>
          <cell r="F2403">
            <v>35476269.960000001</v>
          </cell>
          <cell r="G2403">
            <v>6516928.3559999997</v>
          </cell>
          <cell r="H2403">
            <v>5.444</v>
          </cell>
          <cell r="I2403">
            <v>0</v>
          </cell>
          <cell r="J2403">
            <v>5.444</v>
          </cell>
          <cell r="K2403">
            <v>-7.0000000000000001E-3</v>
          </cell>
        </row>
        <row r="2404">
          <cell r="A2404" t="str">
            <v>LU2122994994</v>
          </cell>
          <cell r="B2404" t="str">
            <v>Amundi Soluzioni Italia - Obbligazion Euro 06/2025</v>
          </cell>
          <cell r="C2404" t="str">
            <v>Class E Distributing Annually</v>
          </cell>
          <cell r="D2404" t="str">
            <v>EUR</v>
          </cell>
          <cell r="E2404">
            <v>45747</v>
          </cell>
          <cell r="F2404">
            <v>2108255.37</v>
          </cell>
          <cell r="G2404">
            <v>391822.43900000001</v>
          </cell>
          <cell r="H2404">
            <v>5.3810000000000002</v>
          </cell>
          <cell r="I2404">
            <v>0</v>
          </cell>
          <cell r="J2404">
            <v>5.3810000000000002</v>
          </cell>
          <cell r="K2404">
            <v>5.0000000000000001E-3</v>
          </cell>
        </row>
        <row r="2405">
          <cell r="A2405" t="str">
            <v>LU2122994721</v>
          </cell>
          <cell r="B2405" t="str">
            <v>Amundi Soluzioni Italia - Obbligazion Euro 06/2025</v>
          </cell>
          <cell r="C2405" t="str">
            <v>Class W Distributing Annually</v>
          </cell>
          <cell r="D2405" t="str">
            <v>EUR</v>
          </cell>
          <cell r="E2405">
            <v>45747</v>
          </cell>
          <cell r="F2405">
            <v>16378749.390000001</v>
          </cell>
          <cell r="G2405">
            <v>3047921.048</v>
          </cell>
          <cell r="H2405">
            <v>5.3739999999999997</v>
          </cell>
          <cell r="I2405">
            <v>0</v>
          </cell>
          <cell r="J2405">
            <v>5.3739999999999997</v>
          </cell>
          <cell r="K2405">
            <v>5.0000000000000001E-3</v>
          </cell>
        </row>
        <row r="2406">
          <cell r="A2406" t="str">
            <v>LU2122997237</v>
          </cell>
          <cell r="B2406" t="str">
            <v>Amundi Soluzioni Italia - Obbligazion Euro 08/2025</v>
          </cell>
          <cell r="C2406" t="str">
            <v>Class E Distributing Annually</v>
          </cell>
          <cell r="D2406" t="str">
            <v>EUR</v>
          </cell>
          <cell r="E2406">
            <v>45747</v>
          </cell>
          <cell r="F2406">
            <v>2451233.6</v>
          </cell>
          <cell r="G2406">
            <v>467147.30499999999</v>
          </cell>
          <cell r="H2406">
            <v>5.2469999999999999</v>
          </cell>
          <cell r="I2406">
            <v>0</v>
          </cell>
          <cell r="J2406">
            <v>5.2469999999999999</v>
          </cell>
          <cell r="K2406">
            <v>4.0000000000000001E-3</v>
          </cell>
        </row>
        <row r="2407">
          <cell r="A2407" t="str">
            <v>LU2122997153</v>
          </cell>
          <cell r="B2407" t="str">
            <v>Amundi Soluzioni Italia - Obbligazion Euro 08/2025</v>
          </cell>
          <cell r="C2407" t="str">
            <v>Class W Distributing Annually</v>
          </cell>
          <cell r="D2407" t="str">
            <v>EUR</v>
          </cell>
          <cell r="E2407">
            <v>45747</v>
          </cell>
          <cell r="F2407">
            <v>23970378.109999999</v>
          </cell>
          <cell r="G2407">
            <v>4575046.6390000004</v>
          </cell>
          <cell r="H2407">
            <v>5.2389999999999999</v>
          </cell>
          <cell r="I2407">
            <v>0</v>
          </cell>
          <cell r="J2407">
            <v>5.2389999999999999</v>
          </cell>
          <cell r="K2407">
            <v>4.0000000000000001E-3</v>
          </cell>
        </row>
        <row r="2408">
          <cell r="A2408" t="str">
            <v>LU2180173390</v>
          </cell>
          <cell r="B2408" t="str">
            <v>Amundi Soluzioni Italia - Pr A Med Innovation (II)</v>
          </cell>
          <cell r="C2408" t="str">
            <v>Class E Non - Distributing</v>
          </cell>
          <cell r="D2408" t="str">
            <v>EUR</v>
          </cell>
          <cell r="E2408">
            <v>45747</v>
          </cell>
          <cell r="F2408">
            <v>1087028.73</v>
          </cell>
          <cell r="G2408">
            <v>203098.546</v>
          </cell>
          <cell r="H2408">
            <v>5.3520000000000003</v>
          </cell>
          <cell r="I2408">
            <v>0</v>
          </cell>
          <cell r="J2408">
            <v>5.3520000000000003</v>
          </cell>
          <cell r="K2408">
            <v>-0.01</v>
          </cell>
        </row>
        <row r="2409">
          <cell r="A2409" t="str">
            <v>LU2180173473</v>
          </cell>
          <cell r="B2409" t="str">
            <v>Amundi Soluzioni Italia - Pr A Med Innovation (II)</v>
          </cell>
          <cell r="C2409" t="str">
            <v>Class U Non - Distributing</v>
          </cell>
          <cell r="D2409" t="str">
            <v>EUR</v>
          </cell>
          <cell r="E2409">
            <v>45747</v>
          </cell>
          <cell r="F2409">
            <v>26992882.460000001</v>
          </cell>
          <cell r="G2409">
            <v>5116833.7690000003</v>
          </cell>
          <cell r="H2409">
            <v>5.2750000000000004</v>
          </cell>
          <cell r="I2409">
            <v>0</v>
          </cell>
          <cell r="J2409">
            <v>5.2750000000000004</v>
          </cell>
          <cell r="K2409">
            <v>-0.01</v>
          </cell>
        </row>
        <row r="2410">
          <cell r="A2410" t="str">
            <v>LU2180174109</v>
          </cell>
          <cell r="B2410" t="str">
            <v>Amundi Soluzioni Italia - Obbligazion Euro 11/2025</v>
          </cell>
          <cell r="C2410" t="str">
            <v>Class E Distributing Annually</v>
          </cell>
          <cell r="D2410" t="str">
            <v>EUR</v>
          </cell>
          <cell r="E2410">
            <v>45747</v>
          </cell>
          <cell r="F2410">
            <v>1650249.78</v>
          </cell>
          <cell r="G2410">
            <v>320177.55800000002</v>
          </cell>
          <cell r="H2410">
            <v>5.1539999999999999</v>
          </cell>
          <cell r="I2410">
            <v>0</v>
          </cell>
          <cell r="J2410">
            <v>5.1539999999999999</v>
          </cell>
          <cell r="K2410">
            <v>3.0000000000000001E-3</v>
          </cell>
        </row>
        <row r="2411">
          <cell r="A2411" t="str">
            <v>LU2180174281</v>
          </cell>
          <cell r="B2411" t="str">
            <v>Amundi Soluzioni Italia - Obbligazion Euro 11/2025</v>
          </cell>
          <cell r="C2411" t="str">
            <v>Class W Distributing Annually</v>
          </cell>
          <cell r="D2411" t="str">
            <v>EUR</v>
          </cell>
          <cell r="E2411">
            <v>45747</v>
          </cell>
          <cell r="F2411">
            <v>21264917.449999999</v>
          </cell>
          <cell r="G2411">
            <v>4123488.7</v>
          </cell>
          <cell r="H2411">
            <v>5.157</v>
          </cell>
          <cell r="I2411">
            <v>0</v>
          </cell>
          <cell r="J2411">
            <v>5.157</v>
          </cell>
          <cell r="K2411">
            <v>3.0000000000000001E-3</v>
          </cell>
        </row>
        <row r="2412">
          <cell r="A2412" t="str">
            <v>LU2215998886</v>
          </cell>
          <cell r="B2412" t="str">
            <v>Amundi Soluzioni Italia - Obbligazion Euro 12/2025</v>
          </cell>
          <cell r="C2412" t="str">
            <v>Class W Distributing Annually</v>
          </cell>
          <cell r="D2412" t="str">
            <v>EUR</v>
          </cell>
          <cell r="E2412">
            <v>45747</v>
          </cell>
          <cell r="F2412">
            <v>10664871.619999999</v>
          </cell>
          <cell r="G2412">
            <v>2087489.845</v>
          </cell>
          <cell r="H2412">
            <v>5.109</v>
          </cell>
          <cell r="I2412">
            <v>0</v>
          </cell>
          <cell r="J2412">
            <v>5.109</v>
          </cell>
          <cell r="K2412">
            <v>3.0000000000000001E-3</v>
          </cell>
        </row>
        <row r="2413">
          <cell r="A2413" t="str">
            <v>LU2216000450</v>
          </cell>
          <cell r="B2413" t="str">
            <v>Amundi Soluzioni Italia - Pr Azione Brand Vincenti</v>
          </cell>
          <cell r="C2413" t="str">
            <v>Class E Non - Distributing</v>
          </cell>
          <cell r="D2413" t="str">
            <v>EUR</v>
          </cell>
          <cell r="E2413">
            <v>45747</v>
          </cell>
          <cell r="F2413">
            <v>1127299.02</v>
          </cell>
          <cell r="G2413">
            <v>172016.19</v>
          </cell>
          <cell r="H2413">
            <v>6.5529999999999999</v>
          </cell>
          <cell r="I2413">
            <v>0</v>
          </cell>
          <cell r="J2413">
            <v>6.5529999999999999</v>
          </cell>
          <cell r="K2413">
            <v>-2.8000000000000001E-2</v>
          </cell>
        </row>
        <row r="2414">
          <cell r="A2414" t="str">
            <v>LU2216000534</v>
          </cell>
          <cell r="B2414" t="str">
            <v>Amundi Soluzioni Italia - Pr Azione Brand Vincenti</v>
          </cell>
          <cell r="C2414" t="str">
            <v>Class U Non - Distributing</v>
          </cell>
          <cell r="D2414" t="str">
            <v>EUR</v>
          </cell>
          <cell r="E2414">
            <v>45747</v>
          </cell>
          <cell r="F2414">
            <v>20874253.870000001</v>
          </cell>
          <cell r="G2414">
            <v>3240352.162</v>
          </cell>
          <cell r="H2414">
            <v>6.4420000000000002</v>
          </cell>
          <cell r="I2414">
            <v>0</v>
          </cell>
          <cell r="J2414">
            <v>6.4420000000000002</v>
          </cell>
          <cell r="K2414">
            <v>-2.7E-2</v>
          </cell>
        </row>
        <row r="2415">
          <cell r="A2415" t="str">
            <v>LU2215999009</v>
          </cell>
          <cell r="B2415" t="str">
            <v>Amundi Soluzioni Italia - Obbligazion Euro 02/2026</v>
          </cell>
          <cell r="C2415" t="str">
            <v>Class W Distributing Annually</v>
          </cell>
          <cell r="D2415" t="str">
            <v>EUR</v>
          </cell>
          <cell r="E2415">
            <v>45747</v>
          </cell>
          <cell r="F2415">
            <v>17493031.059999999</v>
          </cell>
          <cell r="G2415">
            <v>3490968.88</v>
          </cell>
          <cell r="H2415">
            <v>5.0110000000000001</v>
          </cell>
          <cell r="I2415">
            <v>0</v>
          </cell>
          <cell r="J2415">
            <v>5.0110000000000001</v>
          </cell>
          <cell r="K2415">
            <v>3.0000000000000001E-3</v>
          </cell>
        </row>
        <row r="2416">
          <cell r="A2416" t="str">
            <v>LU2247578755</v>
          </cell>
          <cell r="B2416" t="str">
            <v>Amundi Soluzioni Italia - Proget Azione Sociale II</v>
          </cell>
          <cell r="C2416" t="str">
            <v>Class E Non - Distributing</v>
          </cell>
          <cell r="D2416" t="str">
            <v>EUR</v>
          </cell>
          <cell r="E2416">
            <v>45747</v>
          </cell>
          <cell r="F2416">
            <v>721214.88</v>
          </cell>
          <cell r="G2416">
            <v>133772.85999999999</v>
          </cell>
          <cell r="H2416">
            <v>5.391</v>
          </cell>
          <cell r="I2416">
            <v>0</v>
          </cell>
          <cell r="J2416">
            <v>5.391</v>
          </cell>
          <cell r="K2416">
            <v>-4.8000000000000001E-2</v>
          </cell>
        </row>
        <row r="2417">
          <cell r="A2417" t="str">
            <v>LU2247578839</v>
          </cell>
          <cell r="B2417" t="str">
            <v>Amundi Soluzioni Italia - Proget Azione Sociale II</v>
          </cell>
          <cell r="C2417" t="str">
            <v>Class U Non - Distributing</v>
          </cell>
          <cell r="D2417" t="str">
            <v>EUR</v>
          </cell>
          <cell r="E2417">
            <v>45747</v>
          </cell>
          <cell r="F2417">
            <v>20864889.190000001</v>
          </cell>
          <cell r="G2417">
            <v>3919436.9010000001</v>
          </cell>
          <cell r="H2417">
            <v>5.3230000000000004</v>
          </cell>
          <cell r="I2417">
            <v>0</v>
          </cell>
          <cell r="J2417">
            <v>5.3230000000000004</v>
          </cell>
          <cell r="K2417">
            <v>-4.7E-2</v>
          </cell>
        </row>
        <row r="2418">
          <cell r="A2418" t="str">
            <v>LU2247578599</v>
          </cell>
          <cell r="B2418" t="str">
            <v>Amundi Soluzioni Italia - Pr Azione Brand Vin (II)</v>
          </cell>
          <cell r="C2418" t="str">
            <v>Class E Non - Distributing</v>
          </cell>
          <cell r="D2418" t="str">
            <v>EUR</v>
          </cell>
          <cell r="E2418">
            <v>45747</v>
          </cell>
          <cell r="F2418">
            <v>1959411.39</v>
          </cell>
          <cell r="G2418">
            <v>313934.56599999999</v>
          </cell>
          <cell r="H2418">
            <v>6.2409999999999997</v>
          </cell>
          <cell r="I2418">
            <v>0</v>
          </cell>
          <cell r="J2418">
            <v>6.2409999999999997</v>
          </cell>
          <cell r="K2418">
            <v>-3.3000000000000002E-2</v>
          </cell>
        </row>
        <row r="2419">
          <cell r="A2419" t="str">
            <v>LU2247578672</v>
          </cell>
          <cell r="B2419" t="str">
            <v>Amundi Soluzioni Italia - Pr Azione Brand Vin (II)</v>
          </cell>
          <cell r="C2419" t="str">
            <v>Class U Non - Distributing</v>
          </cell>
          <cell r="D2419" t="str">
            <v>EUR</v>
          </cell>
          <cell r="E2419">
            <v>45747</v>
          </cell>
          <cell r="F2419">
            <v>30229087.170000002</v>
          </cell>
          <cell r="G2419">
            <v>4924583.6720000003</v>
          </cell>
          <cell r="H2419">
            <v>6.1379999999999999</v>
          </cell>
          <cell r="I2419">
            <v>0</v>
          </cell>
          <cell r="J2419">
            <v>6.1379999999999999</v>
          </cell>
          <cell r="K2419">
            <v>-3.2000000000000001E-2</v>
          </cell>
        </row>
        <row r="2420">
          <cell r="A2420" t="str">
            <v>LU2292968331</v>
          </cell>
          <cell r="B2420" t="str">
            <v>Amundi Soluzioni Italia - Pr Azione Connect Revolu</v>
          </cell>
          <cell r="C2420" t="str">
            <v>Class E Non - Distributing</v>
          </cell>
          <cell r="D2420" t="str">
            <v>EUR</v>
          </cell>
          <cell r="E2420">
            <v>45747</v>
          </cell>
          <cell r="F2420">
            <v>3884543.11</v>
          </cell>
          <cell r="G2420">
            <v>668961.63300000003</v>
          </cell>
          <cell r="H2420">
            <v>5.8070000000000004</v>
          </cell>
          <cell r="I2420">
            <v>0</v>
          </cell>
          <cell r="J2420">
            <v>5.8070000000000004</v>
          </cell>
          <cell r="K2420">
            <v>-7.0999999999999994E-2</v>
          </cell>
        </row>
        <row r="2421">
          <cell r="A2421" t="str">
            <v>LU2292968414</v>
          </cell>
          <cell r="B2421" t="str">
            <v>Amundi Soluzioni Italia - Pr Azione Connect Revolu</v>
          </cell>
          <cell r="C2421" t="str">
            <v>Class U Non - Distributing</v>
          </cell>
          <cell r="D2421" t="str">
            <v>EUR</v>
          </cell>
          <cell r="E2421">
            <v>45747</v>
          </cell>
          <cell r="F2421">
            <v>73099539.200000003</v>
          </cell>
          <cell r="G2421">
            <v>12787558.655999999</v>
          </cell>
          <cell r="H2421">
            <v>5.7160000000000002</v>
          </cell>
          <cell r="I2421">
            <v>0</v>
          </cell>
          <cell r="J2421">
            <v>5.7160000000000002</v>
          </cell>
          <cell r="K2421">
            <v>-7.0999999999999994E-2</v>
          </cell>
        </row>
        <row r="2422">
          <cell r="A2422" t="str">
            <v>LU2292968505</v>
          </cell>
          <cell r="B2422" t="str">
            <v>Amundi Soluzioni Italia - Progetto Az Green Techno</v>
          </cell>
          <cell r="C2422" t="str">
            <v>Class E Non - Distributing</v>
          </cell>
          <cell r="D2422" t="str">
            <v>EUR</v>
          </cell>
          <cell r="E2422">
            <v>45747</v>
          </cell>
          <cell r="F2422">
            <v>13158890.939999999</v>
          </cell>
          <cell r="G2422">
            <v>2851352.852</v>
          </cell>
          <cell r="H2422">
            <v>4.6150000000000002</v>
          </cell>
          <cell r="I2422">
            <v>0</v>
          </cell>
          <cell r="J2422">
            <v>4.6150000000000002</v>
          </cell>
          <cell r="K2422">
            <v>-5.0999999999999997E-2</v>
          </cell>
        </row>
        <row r="2423">
          <cell r="A2423" t="str">
            <v>LU2292968687</v>
          </cell>
          <cell r="B2423" t="str">
            <v>Amundi Soluzioni Italia - Progetto Az Green Techno</v>
          </cell>
          <cell r="C2423" t="str">
            <v>Class U Non - Distributing</v>
          </cell>
          <cell r="D2423" t="str">
            <v>EUR</v>
          </cell>
          <cell r="E2423">
            <v>45747</v>
          </cell>
          <cell r="F2423">
            <v>344206484.94</v>
          </cell>
          <cell r="G2423">
            <v>75469989.547000006</v>
          </cell>
          <cell r="H2423">
            <v>4.5609999999999999</v>
          </cell>
          <cell r="I2423">
            <v>0</v>
          </cell>
          <cell r="J2423">
            <v>4.5609999999999999</v>
          </cell>
          <cell r="K2423">
            <v>-5.0999999999999997E-2</v>
          </cell>
        </row>
        <row r="2424">
          <cell r="A2424" t="str">
            <v>LU2340107197</v>
          </cell>
          <cell r="B2424" t="str">
            <v>Amundi Soluzioni Italia - Pr Azione Connect Rev II</v>
          </cell>
          <cell r="C2424" t="str">
            <v>Class E Non - Distributing</v>
          </cell>
          <cell r="D2424" t="str">
            <v>EUR</v>
          </cell>
          <cell r="E2424">
            <v>45747</v>
          </cell>
          <cell r="F2424">
            <v>1358569.68</v>
          </cell>
          <cell r="G2424">
            <v>240013.74600000001</v>
          </cell>
          <cell r="H2424">
            <v>5.66</v>
          </cell>
          <cell r="I2424">
            <v>0</v>
          </cell>
          <cell r="J2424">
            <v>5.66</v>
          </cell>
          <cell r="K2424">
            <v>-7.0000000000000007E-2</v>
          </cell>
        </row>
        <row r="2425">
          <cell r="A2425" t="str">
            <v>LU2340092654</v>
          </cell>
          <cell r="B2425" t="str">
            <v>Amundi Soluzioni Italia - Pr Azione Connect Rev II</v>
          </cell>
          <cell r="C2425" t="str">
            <v>Class U Non - Distributing</v>
          </cell>
          <cell r="D2425" t="str">
            <v>EUR</v>
          </cell>
          <cell r="E2425">
            <v>45747</v>
          </cell>
          <cell r="F2425">
            <v>43164872.310000002</v>
          </cell>
          <cell r="G2425">
            <v>7738741.2300000004</v>
          </cell>
          <cell r="H2425">
            <v>5.5780000000000003</v>
          </cell>
          <cell r="I2425">
            <v>0</v>
          </cell>
          <cell r="J2425">
            <v>5.5780000000000003</v>
          </cell>
          <cell r="K2425">
            <v>-6.8000000000000005E-2</v>
          </cell>
        </row>
        <row r="2426">
          <cell r="A2426" t="str">
            <v>LU2340109052</v>
          </cell>
          <cell r="B2426" t="str">
            <v>Amundi Soluzioni Italia - Proge Az Green Techn(II)</v>
          </cell>
          <cell r="C2426" t="str">
            <v>Class E Non - Distributing</v>
          </cell>
          <cell r="D2426" t="str">
            <v>EUR</v>
          </cell>
          <cell r="E2426">
            <v>45747</v>
          </cell>
          <cell r="F2426">
            <v>5749471.2199999997</v>
          </cell>
          <cell r="G2426">
            <v>1254258.7690000001</v>
          </cell>
          <cell r="H2426">
            <v>4.5839999999999996</v>
          </cell>
          <cell r="I2426">
            <v>0</v>
          </cell>
          <cell r="J2426">
            <v>4.5839999999999996</v>
          </cell>
          <cell r="K2426">
            <v>-4.9000000000000002E-2</v>
          </cell>
        </row>
        <row r="2427">
          <cell r="A2427" t="str">
            <v>LU2340121933</v>
          </cell>
          <cell r="B2427" t="str">
            <v>Amundi Soluzioni Italia - Proge Az Green Techn(II)</v>
          </cell>
          <cell r="C2427" t="str">
            <v>Class U Non - Distributing</v>
          </cell>
          <cell r="D2427" t="str">
            <v>EUR</v>
          </cell>
          <cell r="E2427">
            <v>45747</v>
          </cell>
          <cell r="F2427">
            <v>211388261.34</v>
          </cell>
          <cell r="G2427">
            <v>46625334.210000001</v>
          </cell>
          <cell r="H2427">
            <v>4.5339999999999998</v>
          </cell>
          <cell r="I2427">
            <v>0</v>
          </cell>
          <cell r="J2427">
            <v>4.5339999999999998</v>
          </cell>
          <cell r="K2427">
            <v>-4.9000000000000002E-2</v>
          </cell>
        </row>
        <row r="2428">
          <cell r="A2428" t="str">
            <v>LU2340109300</v>
          </cell>
          <cell r="B2428" t="str">
            <v>Amundi Soluzioni Italia - Pr Azione New Lifestyles</v>
          </cell>
          <cell r="C2428" t="str">
            <v>Class E Non - Distributing</v>
          </cell>
          <cell r="D2428" t="str">
            <v>EUR</v>
          </cell>
          <cell r="E2428">
            <v>45747</v>
          </cell>
          <cell r="F2428">
            <v>3983509.99</v>
          </cell>
          <cell r="G2428">
            <v>772585.34900000005</v>
          </cell>
          <cell r="H2428">
            <v>5.1559999999999997</v>
          </cell>
          <cell r="I2428">
            <v>0</v>
          </cell>
          <cell r="J2428">
            <v>5.1559999999999997</v>
          </cell>
          <cell r="K2428">
            <v>-3.1E-2</v>
          </cell>
        </row>
        <row r="2429">
          <cell r="A2429" t="str">
            <v>LU2340107601</v>
          </cell>
          <cell r="B2429" t="str">
            <v>Amundi Soluzioni Italia - Pr Azione New Lifestyles</v>
          </cell>
          <cell r="C2429" t="str">
            <v>Class U Non - Distributing</v>
          </cell>
          <cell r="D2429" t="str">
            <v>EUR</v>
          </cell>
          <cell r="E2429">
            <v>45747</v>
          </cell>
          <cell r="F2429">
            <v>107471795.09</v>
          </cell>
          <cell r="G2429">
            <v>21063741.958999999</v>
          </cell>
          <cell r="H2429">
            <v>5.1020000000000003</v>
          </cell>
          <cell r="I2429">
            <v>0</v>
          </cell>
          <cell r="J2429">
            <v>5.1020000000000003</v>
          </cell>
          <cell r="K2429">
            <v>-0.03</v>
          </cell>
        </row>
        <row r="2430">
          <cell r="A2430" t="str">
            <v>LU2373916753</v>
          </cell>
          <cell r="B2430" t="str">
            <v>Amundi Soluzioni Italia - Pr Azione Infr Responsab</v>
          </cell>
          <cell r="C2430" t="str">
            <v>Class E Non - Distributing</v>
          </cell>
          <cell r="D2430" t="str">
            <v>EUR</v>
          </cell>
          <cell r="E2430">
            <v>45747</v>
          </cell>
          <cell r="F2430">
            <v>8410716.5999999996</v>
          </cell>
          <cell r="G2430">
            <v>1770500.311</v>
          </cell>
          <cell r="H2430">
            <v>4.75</v>
          </cell>
          <cell r="I2430">
            <v>0</v>
          </cell>
          <cell r="J2430">
            <v>4.75</v>
          </cell>
          <cell r="K2430">
            <v>-0.01</v>
          </cell>
        </row>
        <row r="2431">
          <cell r="A2431" t="str">
            <v>LU2373916837</v>
          </cell>
          <cell r="B2431" t="str">
            <v>Amundi Soluzioni Italia - Pr Azione Infr Responsab</v>
          </cell>
          <cell r="C2431" t="str">
            <v>Class U Non - Distributing</v>
          </cell>
          <cell r="D2431" t="str">
            <v>EUR</v>
          </cell>
          <cell r="E2431">
            <v>45747</v>
          </cell>
          <cell r="F2431">
            <v>255657908.38</v>
          </cell>
          <cell r="G2431">
            <v>54373351.068000004</v>
          </cell>
          <cell r="H2431">
            <v>4.702</v>
          </cell>
          <cell r="I2431">
            <v>0</v>
          </cell>
          <cell r="J2431">
            <v>4.702</v>
          </cell>
          <cell r="K2431">
            <v>-8.9999999999999993E-3</v>
          </cell>
        </row>
        <row r="2432">
          <cell r="A2432" t="str">
            <v>LU2407593735</v>
          </cell>
          <cell r="B2432" t="str">
            <v>Amundi Soluzioni Italia - Pr Az Infrastr Resp (II)</v>
          </cell>
          <cell r="C2432" t="str">
            <v>Class E Non - Distributing</v>
          </cell>
          <cell r="D2432" t="str">
            <v>EUR</v>
          </cell>
          <cell r="E2432">
            <v>45747</v>
          </cell>
          <cell r="F2432">
            <v>6466739.3799999999</v>
          </cell>
          <cell r="G2432">
            <v>1343591.1129999999</v>
          </cell>
          <cell r="H2432">
            <v>4.8129999999999997</v>
          </cell>
          <cell r="I2432">
            <v>0</v>
          </cell>
          <cell r="J2432">
            <v>4.8129999999999997</v>
          </cell>
          <cell r="K2432">
            <v>-0.01</v>
          </cell>
        </row>
        <row r="2433">
          <cell r="A2433" t="str">
            <v>LU2407593651</v>
          </cell>
          <cell r="B2433" t="str">
            <v>Amundi Soluzioni Italia - Pr Az Infrastr Resp (II)</v>
          </cell>
          <cell r="C2433" t="str">
            <v>Class U Non - Distributing</v>
          </cell>
          <cell r="D2433" t="str">
            <v>EUR</v>
          </cell>
          <cell r="E2433">
            <v>45747</v>
          </cell>
          <cell r="F2433">
            <v>240748460.41</v>
          </cell>
          <cell r="G2433">
            <v>50497709.239</v>
          </cell>
          <cell r="H2433">
            <v>4.7679999999999998</v>
          </cell>
          <cell r="I2433">
            <v>0</v>
          </cell>
          <cell r="J2433">
            <v>4.7679999999999998</v>
          </cell>
          <cell r="K2433">
            <v>-8.9999999999999993E-3</v>
          </cell>
        </row>
        <row r="2434">
          <cell r="A2434" t="str">
            <v>LU2407593495</v>
          </cell>
          <cell r="B2434" t="str">
            <v>Amundi Soluzioni Italia - Pr Azi New Lifestyles II</v>
          </cell>
          <cell r="C2434" t="str">
            <v>Class E Non - Distributing</v>
          </cell>
          <cell r="D2434" t="str">
            <v>EUR</v>
          </cell>
          <cell r="E2434">
            <v>45747</v>
          </cell>
          <cell r="F2434">
            <v>1651379.32</v>
          </cell>
          <cell r="G2434">
            <v>321581.79100000003</v>
          </cell>
          <cell r="H2434">
            <v>5.1349999999999998</v>
          </cell>
          <cell r="I2434">
            <v>0</v>
          </cell>
          <cell r="J2434">
            <v>5.1349999999999998</v>
          </cell>
          <cell r="K2434">
            <v>-2.7E-2</v>
          </cell>
        </row>
        <row r="2435">
          <cell r="A2435" t="str">
            <v>LU2407593065</v>
          </cell>
          <cell r="B2435" t="str">
            <v>Amundi Soluzioni Italia - Pr Azi New Lifestyles II</v>
          </cell>
          <cell r="C2435" t="str">
            <v>Class U Non - Distributing</v>
          </cell>
          <cell r="D2435" t="str">
            <v>EUR</v>
          </cell>
          <cell r="E2435">
            <v>45747</v>
          </cell>
          <cell r="F2435">
            <v>62038637.640000001</v>
          </cell>
          <cell r="G2435">
            <v>12195717.143999999</v>
          </cell>
          <cell r="H2435">
            <v>5.0869999999999997</v>
          </cell>
          <cell r="I2435">
            <v>0</v>
          </cell>
          <cell r="J2435">
            <v>5.0869999999999997</v>
          </cell>
          <cell r="K2435">
            <v>-2.5999999999999999E-2</v>
          </cell>
        </row>
        <row r="2436">
          <cell r="A2436" t="str">
            <v>LU2446850211</v>
          </cell>
          <cell r="B2436" t="str">
            <v>Amundi Soluzioni Italia - Pro Azi Circular Economy</v>
          </cell>
          <cell r="C2436" t="str">
            <v>Class E Non - Distributing</v>
          </cell>
          <cell r="D2436" t="str">
            <v>EUR</v>
          </cell>
          <cell r="E2436">
            <v>45747</v>
          </cell>
          <cell r="F2436">
            <v>3245049.4</v>
          </cell>
          <cell r="G2436">
            <v>617756.74899999995</v>
          </cell>
          <cell r="H2436">
            <v>5.2530000000000001</v>
          </cell>
          <cell r="I2436">
            <v>0</v>
          </cell>
          <cell r="J2436">
            <v>5.2530000000000001</v>
          </cell>
          <cell r="K2436">
            <v>-3.7999999999999999E-2</v>
          </cell>
        </row>
        <row r="2437">
          <cell r="A2437" t="str">
            <v>LU2446850302</v>
          </cell>
          <cell r="B2437" t="str">
            <v>Amundi Soluzioni Italia - Pro Azi Circular Economy</v>
          </cell>
          <cell r="C2437" t="str">
            <v>Class U Non - Distributing</v>
          </cell>
          <cell r="D2437" t="str">
            <v>EUR</v>
          </cell>
          <cell r="E2437">
            <v>45747</v>
          </cell>
          <cell r="F2437">
            <v>156279244.12</v>
          </cell>
          <cell r="G2437">
            <v>30013431.603999998</v>
          </cell>
          <cell r="H2437">
            <v>5.2069999999999999</v>
          </cell>
          <cell r="I2437">
            <v>0</v>
          </cell>
          <cell r="J2437">
            <v>5.2069999999999999</v>
          </cell>
          <cell r="K2437">
            <v>-3.6999999999999998E-2</v>
          </cell>
        </row>
        <row r="2438">
          <cell r="A2438" t="str">
            <v>LU2446850484</v>
          </cell>
          <cell r="B2438" t="str">
            <v>Amundi Soluzioni Italia - Pr Az Intell Artificiale</v>
          </cell>
          <cell r="C2438" t="str">
            <v>Class E Non - Distributing</v>
          </cell>
          <cell r="D2438" t="str">
            <v>EUR</v>
          </cell>
          <cell r="E2438">
            <v>45747</v>
          </cell>
          <cell r="F2438">
            <v>5360445.0199999996</v>
          </cell>
          <cell r="G2438">
            <v>901728.41</v>
          </cell>
          <cell r="H2438">
            <v>5.9450000000000003</v>
          </cell>
          <cell r="I2438">
            <v>0</v>
          </cell>
          <cell r="J2438">
            <v>5.9450000000000003</v>
          </cell>
          <cell r="K2438">
            <v>-5.8999999999999997E-2</v>
          </cell>
        </row>
        <row r="2439">
          <cell r="A2439" t="str">
            <v>LU2446850567</v>
          </cell>
          <cell r="B2439" t="str">
            <v>Amundi Soluzioni Italia - Pr Az Intell Artificiale</v>
          </cell>
          <cell r="C2439" t="str">
            <v>Class U Non - Distributing</v>
          </cell>
          <cell r="D2439" t="str">
            <v>EUR</v>
          </cell>
          <cell r="E2439">
            <v>45747</v>
          </cell>
          <cell r="F2439">
            <v>104288990.72</v>
          </cell>
          <cell r="G2439">
            <v>17750271.18</v>
          </cell>
          <cell r="H2439">
            <v>5.875</v>
          </cell>
          <cell r="I2439">
            <v>0</v>
          </cell>
          <cell r="J2439">
            <v>5.875</v>
          </cell>
          <cell r="K2439">
            <v>-5.8999999999999997E-2</v>
          </cell>
        </row>
        <row r="2440">
          <cell r="A2440" t="str">
            <v>LU2340088629</v>
          </cell>
          <cell r="B2440" t="str">
            <v>Amundi Soluzioni Italia - Ob Ripresa Globa 07/2026</v>
          </cell>
          <cell r="C2440" t="str">
            <v>Class W Distributing Annually</v>
          </cell>
          <cell r="D2440" t="str">
            <v>EUR</v>
          </cell>
          <cell r="E2440">
            <v>45747</v>
          </cell>
          <cell r="F2440">
            <v>53168810.640000001</v>
          </cell>
          <cell r="G2440">
            <v>10222819.421</v>
          </cell>
          <cell r="H2440">
            <v>5.2009999999999996</v>
          </cell>
          <cell r="I2440">
            <v>0</v>
          </cell>
          <cell r="J2440">
            <v>5.2009999999999996</v>
          </cell>
          <cell r="K2440">
            <v>6.0999999999999999E-2</v>
          </cell>
        </row>
        <row r="2441">
          <cell r="A2441" t="str">
            <v>LU2340072110</v>
          </cell>
          <cell r="B2441" t="str">
            <v>Amundi Soluzioni Italia - Ob Ripresa Globa 09/2026</v>
          </cell>
          <cell r="C2441" t="str">
            <v>Class W Hedged Distributing Annually</v>
          </cell>
          <cell r="D2441" t="str">
            <v>EUR</v>
          </cell>
          <cell r="E2441">
            <v>45747</v>
          </cell>
          <cell r="F2441">
            <v>45825508.350000001</v>
          </cell>
          <cell r="G2441">
            <v>8842437.4110000003</v>
          </cell>
          <cell r="H2441">
            <v>5.1820000000000004</v>
          </cell>
          <cell r="I2441">
            <v>0</v>
          </cell>
          <cell r="J2441">
            <v>5.1820000000000004</v>
          </cell>
          <cell r="K2441">
            <v>7.0000000000000001E-3</v>
          </cell>
        </row>
        <row r="2442">
          <cell r="A2442" t="str">
            <v>LU2340083158</v>
          </cell>
          <cell r="B2442" t="str">
            <v>Amundi Soluzioni Italia - Ob Ripresa Globa 09/2026</v>
          </cell>
          <cell r="C2442" t="str">
            <v>Class W Distributing Annually</v>
          </cell>
          <cell r="D2442" t="str">
            <v>EUR</v>
          </cell>
          <cell r="E2442">
            <v>45747</v>
          </cell>
          <cell r="F2442">
            <v>53682001.590000004</v>
          </cell>
          <cell r="G2442">
            <v>10414746.452</v>
          </cell>
          <cell r="H2442">
            <v>5.1539999999999999</v>
          </cell>
          <cell r="I2442">
            <v>0</v>
          </cell>
          <cell r="J2442">
            <v>5.1539999999999999</v>
          </cell>
          <cell r="K2442">
            <v>6.7000000000000004E-2</v>
          </cell>
        </row>
        <row r="2443">
          <cell r="A2443" t="str">
            <v>LU2474779696</v>
          </cell>
          <cell r="B2443" t="str">
            <v>Amundi Soluzioni Italia - Obbligazion Euro 07/2027</v>
          </cell>
          <cell r="C2443" t="str">
            <v>Class E Distributing Annually</v>
          </cell>
          <cell r="D2443" t="str">
            <v>EUR</v>
          </cell>
          <cell r="E2443">
            <v>45747</v>
          </cell>
          <cell r="F2443">
            <v>9476084.2400000002</v>
          </cell>
          <cell r="G2443">
            <v>1789397.31</v>
          </cell>
          <cell r="H2443">
            <v>5.2960000000000003</v>
          </cell>
          <cell r="I2443">
            <v>0</v>
          </cell>
          <cell r="J2443">
            <v>5.2960000000000003</v>
          </cell>
          <cell r="K2443">
            <v>1.2999999999999999E-2</v>
          </cell>
        </row>
        <row r="2444">
          <cell r="A2444" t="str">
            <v>LU2474779423</v>
          </cell>
          <cell r="B2444" t="str">
            <v>Amundi Soluzioni Italia - Obbligazion Euro 07/2027</v>
          </cell>
          <cell r="C2444" t="str">
            <v>Class W Distributing Annually</v>
          </cell>
          <cell r="D2444" t="str">
            <v>EUR</v>
          </cell>
          <cell r="E2444">
            <v>45747</v>
          </cell>
          <cell r="F2444">
            <v>260035188.75</v>
          </cell>
          <cell r="G2444">
            <v>49131247.086000003</v>
          </cell>
          <cell r="H2444">
            <v>5.2930000000000001</v>
          </cell>
          <cell r="I2444">
            <v>0</v>
          </cell>
          <cell r="J2444">
            <v>5.2930000000000001</v>
          </cell>
          <cell r="K2444">
            <v>1.2999999999999999E-2</v>
          </cell>
        </row>
        <row r="2445">
          <cell r="A2445" t="str">
            <v>LU2474778375</v>
          </cell>
          <cell r="B2445" t="str">
            <v>Amundi Soluzioni Italia - Pro Azi Circula Eco (II)</v>
          </cell>
          <cell r="C2445" t="str">
            <v>Class E Non - Distributing</v>
          </cell>
          <cell r="D2445" t="str">
            <v>EUR</v>
          </cell>
          <cell r="E2445">
            <v>45747</v>
          </cell>
          <cell r="F2445">
            <v>641566.15</v>
          </cell>
          <cell r="G2445">
            <v>120982.433</v>
          </cell>
          <cell r="H2445">
            <v>5.3029999999999999</v>
          </cell>
          <cell r="I2445">
            <v>0</v>
          </cell>
          <cell r="J2445">
            <v>5.3029999999999999</v>
          </cell>
          <cell r="K2445">
            <v>-3.5999999999999997E-2</v>
          </cell>
        </row>
        <row r="2446">
          <cell r="A2446" t="str">
            <v>LU2474780603</v>
          </cell>
          <cell r="B2446" t="str">
            <v>Amundi Soluzioni Italia - Pro Azi Circula Eco (II)</v>
          </cell>
          <cell r="C2446" t="str">
            <v>Class U Non - Distributing</v>
          </cell>
          <cell r="D2446" t="str">
            <v>EUR</v>
          </cell>
          <cell r="E2446">
            <v>45747</v>
          </cell>
          <cell r="F2446">
            <v>31541213.16</v>
          </cell>
          <cell r="G2446">
            <v>5995591.4249999998</v>
          </cell>
          <cell r="H2446">
            <v>5.2610000000000001</v>
          </cell>
          <cell r="I2446">
            <v>0</v>
          </cell>
          <cell r="J2446">
            <v>5.2610000000000001</v>
          </cell>
          <cell r="K2446">
            <v>-3.5999999999999997E-2</v>
          </cell>
        </row>
        <row r="2447">
          <cell r="A2447" t="str">
            <v>LU2474779183</v>
          </cell>
          <cell r="B2447" t="str">
            <v>ASI Progetto Azione Intelligenza Artificiale (II)</v>
          </cell>
          <cell r="C2447" t="str">
            <v>Class E Non - Distributing</v>
          </cell>
          <cell r="D2447" t="str">
            <v>EUR</v>
          </cell>
          <cell r="E2447">
            <v>45747</v>
          </cell>
          <cell r="F2447">
            <v>710306.69</v>
          </cell>
          <cell r="G2447">
            <v>119261.815</v>
          </cell>
          <cell r="H2447">
            <v>5.9560000000000004</v>
          </cell>
          <cell r="I2447">
            <v>0</v>
          </cell>
          <cell r="J2447">
            <v>5.9560000000000004</v>
          </cell>
          <cell r="K2447">
            <v>-5.3999999999999999E-2</v>
          </cell>
        </row>
        <row r="2448">
          <cell r="A2448" t="str">
            <v>LU2474779001</v>
          </cell>
          <cell r="B2448" t="str">
            <v>ASI Progetto Azione Intelligenza Artificiale (II)</v>
          </cell>
          <cell r="C2448" t="str">
            <v>Class U Non - Distributing</v>
          </cell>
          <cell r="D2448" t="str">
            <v>EUR</v>
          </cell>
          <cell r="E2448">
            <v>45747</v>
          </cell>
          <cell r="F2448">
            <v>16642192.630000001</v>
          </cell>
          <cell r="G2448">
            <v>2824307.8459999999</v>
          </cell>
          <cell r="H2448">
            <v>5.8920000000000003</v>
          </cell>
          <cell r="I2448">
            <v>0</v>
          </cell>
          <cell r="J2448">
            <v>5.8920000000000003</v>
          </cell>
          <cell r="K2448">
            <v>-5.3999999999999999E-2</v>
          </cell>
        </row>
        <row r="2449">
          <cell r="A2449" t="str">
            <v>LU2474780785</v>
          </cell>
          <cell r="B2449" t="str">
            <v>Amundi Soluzioni Italia - Bilanciato Percor Attivo</v>
          </cell>
          <cell r="C2449" t="str">
            <v>Class E Non - Distributing</v>
          </cell>
          <cell r="D2449" t="str">
            <v>EUR</v>
          </cell>
          <cell r="E2449">
            <v>45747</v>
          </cell>
          <cell r="F2449">
            <v>1120572.8999999999</v>
          </cell>
          <cell r="G2449">
            <v>214231.182</v>
          </cell>
          <cell r="H2449">
            <v>5.2309999999999999</v>
          </cell>
          <cell r="I2449">
            <v>0</v>
          </cell>
          <cell r="J2449">
            <v>5.2309999999999999</v>
          </cell>
          <cell r="K2449">
            <v>-2.5999999999999999E-2</v>
          </cell>
        </row>
        <row r="2450">
          <cell r="A2450" t="str">
            <v>LU2474781080</v>
          </cell>
          <cell r="B2450" t="str">
            <v>Amundi Soluzioni Italia - Bilanciato Percor Attivo</v>
          </cell>
          <cell r="C2450" t="str">
            <v>Class U Non - Distributing</v>
          </cell>
          <cell r="D2450" t="str">
            <v>EUR</v>
          </cell>
          <cell r="E2450">
            <v>45747</v>
          </cell>
          <cell r="F2450">
            <v>60012258.170000002</v>
          </cell>
          <cell r="G2450">
            <v>11581131.044</v>
          </cell>
          <cell r="H2450">
            <v>5.1820000000000004</v>
          </cell>
          <cell r="I2450">
            <v>0</v>
          </cell>
          <cell r="J2450">
            <v>5.1820000000000004</v>
          </cell>
          <cell r="K2450">
            <v>-2.5999999999999999E-2</v>
          </cell>
        </row>
        <row r="2451">
          <cell r="A2451" t="str">
            <v>LU2474779340</v>
          </cell>
          <cell r="B2451" t="str">
            <v>Amundi Soluzioni Italia - Progetto Az Res Opportun</v>
          </cell>
          <cell r="C2451" t="str">
            <v>Class E Non - Distributing</v>
          </cell>
          <cell r="D2451" t="str">
            <v>EUR</v>
          </cell>
          <cell r="E2451">
            <v>45747</v>
          </cell>
          <cell r="F2451">
            <v>1147337.3799999999</v>
          </cell>
          <cell r="G2451">
            <v>209262.77900000001</v>
          </cell>
          <cell r="H2451">
            <v>5.4829999999999997</v>
          </cell>
          <cell r="I2451">
            <v>0</v>
          </cell>
          <cell r="J2451">
            <v>5.4829999999999997</v>
          </cell>
          <cell r="K2451">
            <v>-3.1E-2</v>
          </cell>
        </row>
        <row r="2452">
          <cell r="A2452" t="str">
            <v>LU2474779266</v>
          </cell>
          <cell r="B2452" t="str">
            <v>Amundi Soluzioni Italia - Progetto Az Res Opportun</v>
          </cell>
          <cell r="C2452" t="str">
            <v>Class U Non - Distributing</v>
          </cell>
          <cell r="D2452" t="str">
            <v>EUR</v>
          </cell>
          <cell r="E2452">
            <v>45747</v>
          </cell>
          <cell r="F2452">
            <v>35151048.810000002</v>
          </cell>
          <cell r="G2452">
            <v>6459460.0640000002</v>
          </cell>
          <cell r="H2452">
            <v>5.4420000000000002</v>
          </cell>
          <cell r="I2452">
            <v>0</v>
          </cell>
          <cell r="J2452">
            <v>5.4420000000000002</v>
          </cell>
          <cell r="K2452">
            <v>-3.1E-2</v>
          </cell>
        </row>
        <row r="2453">
          <cell r="A2453" t="str">
            <v>LU2474779852</v>
          </cell>
          <cell r="B2453" t="str">
            <v>Amundi Soluzioni Italia - Obbligazion Euro 09/2027</v>
          </cell>
          <cell r="C2453" t="str">
            <v>Class E Distributing Annually</v>
          </cell>
          <cell r="D2453" t="str">
            <v>EUR</v>
          </cell>
          <cell r="E2453">
            <v>45747</v>
          </cell>
          <cell r="F2453">
            <v>16127989.98</v>
          </cell>
          <cell r="G2453">
            <v>2976559.5729999999</v>
          </cell>
          <cell r="H2453">
            <v>5.4180000000000001</v>
          </cell>
          <cell r="I2453">
            <v>0</v>
          </cell>
          <cell r="J2453">
            <v>5.4180000000000001</v>
          </cell>
          <cell r="K2453">
            <v>1.2E-2</v>
          </cell>
        </row>
        <row r="2454">
          <cell r="A2454" t="str">
            <v>LU2474779779</v>
          </cell>
          <cell r="B2454" t="str">
            <v>Amundi Soluzioni Italia - Obbligazion Euro 09/2027</v>
          </cell>
          <cell r="C2454" t="str">
            <v>Class W Distributing Annually</v>
          </cell>
          <cell r="D2454" t="str">
            <v>EUR</v>
          </cell>
          <cell r="E2454">
            <v>45747</v>
          </cell>
          <cell r="F2454">
            <v>781027021.25999999</v>
          </cell>
          <cell r="G2454">
            <v>144210157.245</v>
          </cell>
          <cell r="H2454">
            <v>5.4160000000000004</v>
          </cell>
          <cell r="I2454">
            <v>0</v>
          </cell>
          <cell r="J2454">
            <v>5.4160000000000004</v>
          </cell>
          <cell r="K2454">
            <v>1.2E-2</v>
          </cell>
        </row>
        <row r="2455">
          <cell r="A2455" t="str">
            <v>LU2474780355</v>
          </cell>
          <cell r="B2455" t="str">
            <v>Amundi Soluzioni Italia - Obbligazion Glob 09/2027</v>
          </cell>
          <cell r="C2455" t="str">
            <v>Class E Distributing Annually</v>
          </cell>
          <cell r="D2455" t="str">
            <v>EUR</v>
          </cell>
          <cell r="E2455">
            <v>45747</v>
          </cell>
          <cell r="F2455">
            <v>4909251.03</v>
          </cell>
          <cell r="G2455">
            <v>1012790.53</v>
          </cell>
          <cell r="H2455">
            <v>4.8470000000000004</v>
          </cell>
          <cell r="I2455">
            <v>0</v>
          </cell>
          <cell r="J2455">
            <v>4.8470000000000004</v>
          </cell>
          <cell r="K2455">
            <v>6.9000000000000006E-2</v>
          </cell>
        </row>
        <row r="2456">
          <cell r="A2456" t="str">
            <v>LU2474780199</v>
          </cell>
          <cell r="B2456" t="str">
            <v>Amundi Soluzioni Italia - Obbligazion Glob 09/2027</v>
          </cell>
          <cell r="C2456" t="str">
            <v>Class W Distributing Annually</v>
          </cell>
          <cell r="D2456" t="str">
            <v>EUR</v>
          </cell>
          <cell r="E2456">
            <v>45747</v>
          </cell>
          <cell r="F2456">
            <v>128702573.90000001</v>
          </cell>
          <cell r="G2456">
            <v>26589579.221999999</v>
          </cell>
          <cell r="H2456">
            <v>4.84</v>
          </cell>
          <cell r="I2456">
            <v>0</v>
          </cell>
          <cell r="J2456">
            <v>4.84</v>
          </cell>
          <cell r="K2456">
            <v>6.8000000000000005E-2</v>
          </cell>
        </row>
        <row r="2457">
          <cell r="A2457" t="str">
            <v>LU2523292691</v>
          </cell>
          <cell r="B2457" t="str">
            <v>Amundi Soluzioni Italia - Obbligazion Euro 10/2027</v>
          </cell>
          <cell r="C2457" t="str">
            <v>Class E Distributing Annually</v>
          </cell>
          <cell r="D2457" t="str">
            <v>EUR</v>
          </cell>
          <cell r="E2457">
            <v>45747</v>
          </cell>
          <cell r="F2457">
            <v>7448433.9699999997</v>
          </cell>
          <cell r="G2457">
            <v>1388696.7779999999</v>
          </cell>
          <cell r="H2457">
            <v>5.3639999999999999</v>
          </cell>
          <cell r="I2457">
            <v>0</v>
          </cell>
          <cell r="J2457">
            <v>5.3639999999999999</v>
          </cell>
          <cell r="K2457">
            <v>1.4999999999999999E-2</v>
          </cell>
        </row>
        <row r="2458">
          <cell r="A2458" t="str">
            <v>LU2523292428</v>
          </cell>
          <cell r="B2458" t="str">
            <v>Amundi Soluzioni Italia - Obbligazion Euro 10/2027</v>
          </cell>
          <cell r="C2458" t="str">
            <v>Class W Distributing Annually</v>
          </cell>
          <cell r="D2458" t="str">
            <v>EUR</v>
          </cell>
          <cell r="E2458">
            <v>45747</v>
          </cell>
          <cell r="F2458">
            <v>481810307.64999998</v>
          </cell>
          <cell r="G2458">
            <v>89857427.925999999</v>
          </cell>
          <cell r="H2458">
            <v>5.3620000000000001</v>
          </cell>
          <cell r="I2458">
            <v>0</v>
          </cell>
          <cell r="J2458">
            <v>5.3620000000000001</v>
          </cell>
          <cell r="K2458">
            <v>1.4E-2</v>
          </cell>
        </row>
        <row r="2459">
          <cell r="A2459" t="str">
            <v>LU2523293822</v>
          </cell>
          <cell r="B2459" t="str">
            <v>Amundi Soluzioni Italia - Obbligazion Euro 12/2027</v>
          </cell>
          <cell r="C2459" t="str">
            <v>Class E Distributing Annually</v>
          </cell>
          <cell r="D2459" t="str">
            <v>EUR</v>
          </cell>
          <cell r="E2459">
            <v>45747</v>
          </cell>
          <cell r="F2459">
            <v>19039694.739999998</v>
          </cell>
          <cell r="G2459">
            <v>3544902.29</v>
          </cell>
          <cell r="H2459">
            <v>5.3710000000000004</v>
          </cell>
          <cell r="I2459">
            <v>0</v>
          </cell>
          <cell r="J2459">
            <v>5.3710000000000004</v>
          </cell>
          <cell r="K2459">
            <v>1.2999999999999999E-2</v>
          </cell>
        </row>
        <row r="2460">
          <cell r="A2460" t="str">
            <v>LU2523293749</v>
          </cell>
          <cell r="B2460" t="str">
            <v>Amundi Soluzioni Italia - Obbligazion Euro 12/2027</v>
          </cell>
          <cell r="C2460" t="str">
            <v>Class W Distributing Annually</v>
          </cell>
          <cell r="D2460" t="str">
            <v>EUR</v>
          </cell>
          <cell r="E2460">
            <v>45747</v>
          </cell>
          <cell r="F2460">
            <v>596804765.92999995</v>
          </cell>
          <cell r="G2460">
            <v>111127374.632</v>
          </cell>
          <cell r="H2460">
            <v>5.37</v>
          </cell>
          <cell r="I2460">
            <v>0</v>
          </cell>
          <cell r="J2460">
            <v>5.37</v>
          </cell>
          <cell r="K2460">
            <v>1.2E-2</v>
          </cell>
        </row>
        <row r="2461">
          <cell r="A2461" t="str">
            <v>LU2523294473</v>
          </cell>
          <cell r="B2461" t="str">
            <v>Amundi Soluzioni Italia - Bilanc Perco Attivo (II)</v>
          </cell>
          <cell r="C2461" t="str">
            <v>Class E Non - Distributing</v>
          </cell>
          <cell r="D2461" t="str">
            <v>EUR</v>
          </cell>
          <cell r="E2461">
            <v>45747</v>
          </cell>
          <cell r="F2461">
            <v>710358.12</v>
          </cell>
          <cell r="G2461">
            <v>130676.295</v>
          </cell>
          <cell r="H2461">
            <v>5.4359999999999999</v>
          </cell>
          <cell r="I2461">
            <v>0</v>
          </cell>
          <cell r="J2461">
            <v>5.4359999999999999</v>
          </cell>
          <cell r="K2461">
            <v>-2.7E-2</v>
          </cell>
        </row>
        <row r="2462">
          <cell r="A2462" t="str">
            <v>LU2523294556</v>
          </cell>
          <cell r="B2462" t="str">
            <v>Amundi Soluzioni Italia - Bilanc Perco Attivo (II)</v>
          </cell>
          <cell r="C2462" t="str">
            <v>Class U Non - Distributing</v>
          </cell>
          <cell r="D2462" t="str">
            <v>EUR</v>
          </cell>
          <cell r="E2462">
            <v>45747</v>
          </cell>
          <cell r="F2462">
            <v>30203720.829999998</v>
          </cell>
          <cell r="G2462">
            <v>5596438.8990000002</v>
          </cell>
          <cell r="H2462">
            <v>5.3970000000000002</v>
          </cell>
          <cell r="I2462">
            <v>0</v>
          </cell>
          <cell r="J2462">
            <v>5.3970000000000002</v>
          </cell>
          <cell r="K2462">
            <v>-2.7E-2</v>
          </cell>
        </row>
        <row r="2463">
          <cell r="A2463" t="str">
            <v>LU2523293236</v>
          </cell>
          <cell r="B2463" t="str">
            <v>Amundi Soluzioni Italia - Progetto Az Futuro Green</v>
          </cell>
          <cell r="C2463" t="str">
            <v>Class E Non - Distributing</v>
          </cell>
          <cell r="D2463" t="str">
            <v>EUR</v>
          </cell>
          <cell r="E2463">
            <v>45747</v>
          </cell>
          <cell r="F2463">
            <v>994623.44</v>
          </cell>
          <cell r="G2463">
            <v>176668.51300000001</v>
          </cell>
          <cell r="H2463">
            <v>5.63</v>
          </cell>
          <cell r="I2463">
            <v>0</v>
          </cell>
          <cell r="J2463">
            <v>5.63</v>
          </cell>
          <cell r="K2463">
            <v>-3.7999999999999999E-2</v>
          </cell>
        </row>
        <row r="2464">
          <cell r="A2464" t="str">
            <v>LU2523293152</v>
          </cell>
          <cell r="B2464" t="str">
            <v>Amundi Soluzioni Italia - Progetto Az Futuro Green</v>
          </cell>
          <cell r="C2464" t="str">
            <v>Class U Non - Distributing</v>
          </cell>
          <cell r="D2464" t="str">
            <v>EUR</v>
          </cell>
          <cell r="E2464">
            <v>45747</v>
          </cell>
          <cell r="F2464">
            <v>71669871.909999996</v>
          </cell>
          <cell r="G2464">
            <v>12833215.193</v>
          </cell>
          <cell r="H2464">
            <v>5.585</v>
          </cell>
          <cell r="I2464">
            <v>0</v>
          </cell>
          <cell r="J2464">
            <v>5.585</v>
          </cell>
          <cell r="K2464">
            <v>-3.7999999999999999E-2</v>
          </cell>
        </row>
        <row r="2465">
          <cell r="A2465" t="str">
            <v>LU2550903640</v>
          </cell>
          <cell r="B2465" t="str">
            <v>Amundi Soluzioni Italia - Obbligazion Euro 01/2028</v>
          </cell>
          <cell r="C2465" t="str">
            <v>Class B Distributing Annually</v>
          </cell>
          <cell r="D2465" t="str">
            <v>EUR</v>
          </cell>
          <cell r="E2465">
            <v>45747</v>
          </cell>
          <cell r="F2465">
            <v>566736569.14999998</v>
          </cell>
          <cell r="G2465">
            <v>106523677.267</v>
          </cell>
          <cell r="H2465">
            <v>5.32</v>
          </cell>
          <cell r="I2465">
            <v>0</v>
          </cell>
          <cell r="J2465">
            <v>5.32</v>
          </cell>
          <cell r="K2465">
            <v>1.4E-2</v>
          </cell>
        </row>
        <row r="2466">
          <cell r="A2466" t="str">
            <v>LU2550903566</v>
          </cell>
          <cell r="B2466" t="str">
            <v>Amundi Soluzioni Italia - Obbligazion Euro 01/2028</v>
          </cell>
          <cell r="C2466" t="str">
            <v>Class E Distributing Annually</v>
          </cell>
          <cell r="D2466" t="str">
            <v>EUR</v>
          </cell>
          <cell r="E2466">
            <v>45747</v>
          </cell>
          <cell r="F2466">
            <v>12402399.949999999</v>
          </cell>
          <cell r="G2466">
            <v>2331379.0520000001</v>
          </cell>
          <cell r="H2466">
            <v>5.32</v>
          </cell>
          <cell r="I2466">
            <v>0</v>
          </cell>
          <cell r="J2466">
            <v>5.32</v>
          </cell>
          <cell r="K2466">
            <v>1.4999999999999999E-2</v>
          </cell>
        </row>
        <row r="2467">
          <cell r="A2467" t="str">
            <v>LU2550901867</v>
          </cell>
          <cell r="B2467" t="str">
            <v>Amundi Soluzioni Italia - Bilanc Perc Attivo (III)</v>
          </cell>
          <cell r="C2467" t="str">
            <v>Class E Non - Distributing</v>
          </cell>
          <cell r="D2467" t="str">
            <v>EUR</v>
          </cell>
          <cell r="E2467">
            <v>45747</v>
          </cell>
          <cell r="F2467">
            <v>1623872.61</v>
          </cell>
          <cell r="G2467">
            <v>305024.92200000002</v>
          </cell>
          <cell r="H2467">
            <v>5.3239999999999998</v>
          </cell>
          <cell r="I2467">
            <v>0</v>
          </cell>
          <cell r="J2467">
            <v>5.3239999999999998</v>
          </cell>
          <cell r="K2467">
            <v>-2.5000000000000001E-2</v>
          </cell>
        </row>
        <row r="2468">
          <cell r="A2468" t="str">
            <v>LU2550903483</v>
          </cell>
          <cell r="B2468" t="str">
            <v>Amundi Soluzioni Italia - Bilanc Perc Attivo (III)</v>
          </cell>
          <cell r="C2468" t="str">
            <v>Class U Non - Distributing</v>
          </cell>
          <cell r="D2468" t="str">
            <v>EUR</v>
          </cell>
          <cell r="E2468">
            <v>45747</v>
          </cell>
          <cell r="F2468">
            <v>94028870.879999995</v>
          </cell>
          <cell r="G2468">
            <v>17776433.384</v>
          </cell>
          <cell r="H2468">
            <v>5.29</v>
          </cell>
          <cell r="I2468">
            <v>0</v>
          </cell>
          <cell r="J2468">
            <v>5.29</v>
          </cell>
          <cell r="K2468">
            <v>-2.5000000000000001E-2</v>
          </cell>
        </row>
        <row r="2469">
          <cell r="A2469" t="str">
            <v>LU2550902089</v>
          </cell>
          <cell r="B2469" t="str">
            <v>Amundi Soluzioni Italia - Obbligazion Euro 02/2028</v>
          </cell>
          <cell r="C2469" t="str">
            <v>Class B Distributing Annually</v>
          </cell>
          <cell r="D2469" t="str">
            <v>EUR</v>
          </cell>
          <cell r="E2469">
            <v>45747</v>
          </cell>
          <cell r="F2469">
            <v>526601569.17000002</v>
          </cell>
          <cell r="G2469">
            <v>97440688.920000002</v>
          </cell>
          <cell r="H2469">
            <v>5.4039999999999999</v>
          </cell>
          <cell r="I2469">
            <v>0</v>
          </cell>
          <cell r="J2469">
            <v>5.4039999999999999</v>
          </cell>
          <cell r="K2469">
            <v>1.4999999999999999E-2</v>
          </cell>
        </row>
        <row r="2470">
          <cell r="A2470" t="str">
            <v>LU2550902162</v>
          </cell>
          <cell r="B2470" t="str">
            <v>Amundi Soluzioni Italia - Obbligazion Euro 02/2028</v>
          </cell>
          <cell r="C2470" t="str">
            <v>Class E Distributing Annually</v>
          </cell>
          <cell r="D2470" t="str">
            <v>EUR</v>
          </cell>
          <cell r="E2470">
            <v>45747</v>
          </cell>
          <cell r="F2470">
            <v>8470638.9900000002</v>
          </cell>
          <cell r="G2470">
            <v>1567632.878</v>
          </cell>
          <cell r="H2470">
            <v>5.4029999999999996</v>
          </cell>
          <cell r="I2470">
            <v>0</v>
          </cell>
          <cell r="J2470">
            <v>5.4029999999999996</v>
          </cell>
          <cell r="K2470">
            <v>1.4999999999999999E-2</v>
          </cell>
        </row>
        <row r="2471">
          <cell r="A2471" t="str">
            <v>LU2550902329</v>
          </cell>
          <cell r="B2471" t="str">
            <v>Amundi Soluzioni Italia - Obbligazion Euro 03/2028</v>
          </cell>
          <cell r="C2471" t="str">
            <v>Class B Distributing Annually</v>
          </cell>
          <cell r="D2471" t="str">
            <v>EUR</v>
          </cell>
          <cell r="E2471">
            <v>45747</v>
          </cell>
          <cell r="F2471">
            <v>600405398.67999995</v>
          </cell>
          <cell r="G2471">
            <v>110035401.02500001</v>
          </cell>
          <cell r="H2471">
            <v>5.4560000000000004</v>
          </cell>
          <cell r="I2471">
            <v>0</v>
          </cell>
          <cell r="J2471">
            <v>5.4560000000000004</v>
          </cell>
          <cell r="K2471">
            <v>1.2999999999999999E-2</v>
          </cell>
        </row>
        <row r="2472">
          <cell r="A2472" t="str">
            <v>LU2550902592</v>
          </cell>
          <cell r="B2472" t="str">
            <v>Amundi Soluzioni Italia - Obbligazion Euro 03/2028</v>
          </cell>
          <cell r="C2472" t="str">
            <v>Class E Distributing Annually</v>
          </cell>
          <cell r="D2472" t="str">
            <v>EUR</v>
          </cell>
          <cell r="E2472">
            <v>45747</v>
          </cell>
          <cell r="F2472">
            <v>9707506.2599999998</v>
          </cell>
          <cell r="G2472">
            <v>1776366.3330000001</v>
          </cell>
          <cell r="H2472">
            <v>5.4649999999999999</v>
          </cell>
          <cell r="I2472">
            <v>0</v>
          </cell>
          <cell r="J2472">
            <v>5.4649999999999999</v>
          </cell>
          <cell r="K2472">
            <v>1.4E-2</v>
          </cell>
        </row>
        <row r="2473">
          <cell r="A2473" t="str">
            <v>LU2582975129</v>
          </cell>
          <cell r="B2473" t="str">
            <v>Amundi Soluzioni Italia - Obbligazion Euro 04/2028</v>
          </cell>
          <cell r="C2473" t="str">
            <v>Class B Distributing Annually</v>
          </cell>
          <cell r="D2473" t="str">
            <v>EUR</v>
          </cell>
          <cell r="E2473">
            <v>45747</v>
          </cell>
          <cell r="F2473">
            <v>412509751.24000001</v>
          </cell>
          <cell r="G2473">
            <v>75319489.559</v>
          </cell>
          <cell r="H2473">
            <v>5.4770000000000003</v>
          </cell>
          <cell r="I2473">
            <v>0</v>
          </cell>
          <cell r="J2473">
            <v>5.4770000000000003</v>
          </cell>
          <cell r="K2473">
            <v>1.6E-2</v>
          </cell>
        </row>
        <row r="2474">
          <cell r="A2474" t="str">
            <v>LU2582975046</v>
          </cell>
          <cell r="B2474" t="str">
            <v>Amundi Soluzioni Italia - Obbligazion Euro 04/2028</v>
          </cell>
          <cell r="C2474" t="str">
            <v>Class B Non - Distributing</v>
          </cell>
          <cell r="D2474" t="str">
            <v>EUR</v>
          </cell>
          <cell r="E2474">
            <v>45747</v>
          </cell>
          <cell r="F2474">
            <v>71798624.260000005</v>
          </cell>
          <cell r="G2474">
            <v>12773620.084000001</v>
          </cell>
          <cell r="H2474">
            <v>5.6210000000000004</v>
          </cell>
          <cell r="I2474">
            <v>0</v>
          </cell>
          <cell r="J2474">
            <v>5.6210000000000004</v>
          </cell>
          <cell r="K2474">
            <v>1.6E-2</v>
          </cell>
        </row>
        <row r="2475">
          <cell r="A2475" t="str">
            <v>LU2582975475</v>
          </cell>
          <cell r="B2475" t="str">
            <v>Amundi Soluzioni Italia - Obbligazion Euro 04/2028</v>
          </cell>
          <cell r="C2475" t="str">
            <v>Class E Distributing Annually</v>
          </cell>
          <cell r="D2475" t="str">
            <v>EUR</v>
          </cell>
          <cell r="E2475">
            <v>45747</v>
          </cell>
          <cell r="F2475">
            <v>2815194.6</v>
          </cell>
          <cell r="G2475">
            <v>513337.84499999997</v>
          </cell>
          <cell r="H2475">
            <v>5.484</v>
          </cell>
          <cell r="I2475">
            <v>0</v>
          </cell>
          <cell r="J2475">
            <v>5.484</v>
          </cell>
          <cell r="K2475">
            <v>1.6E-2</v>
          </cell>
        </row>
        <row r="2476">
          <cell r="A2476" t="str">
            <v>LU2582975392</v>
          </cell>
          <cell r="B2476" t="str">
            <v>Amundi Soluzioni Italia - Obbligazion Euro 04/2028</v>
          </cell>
          <cell r="C2476" t="str">
            <v>Class E Non - Distributing</v>
          </cell>
          <cell r="D2476" t="str">
            <v>EUR</v>
          </cell>
          <cell r="E2476">
            <v>45747</v>
          </cell>
          <cell r="F2476">
            <v>2658475.12</v>
          </cell>
          <cell r="G2476">
            <v>471449.38099999999</v>
          </cell>
          <cell r="H2476">
            <v>5.6390000000000002</v>
          </cell>
          <cell r="I2476">
            <v>0</v>
          </cell>
          <cell r="J2476">
            <v>5.6390000000000002</v>
          </cell>
          <cell r="K2476">
            <v>1.6E-2</v>
          </cell>
        </row>
        <row r="2477">
          <cell r="A2477" t="str">
            <v>LU2582974668</v>
          </cell>
          <cell r="B2477" t="str">
            <v>Amundi Soluzioni Italia - Obbligazion Euro 05/2028</v>
          </cell>
          <cell r="C2477" t="str">
            <v>Class B Distributing Annually</v>
          </cell>
          <cell r="D2477" t="str">
            <v>EUR</v>
          </cell>
          <cell r="E2477">
            <v>45747</v>
          </cell>
          <cell r="F2477">
            <v>608406018.05999994</v>
          </cell>
          <cell r="G2477">
            <v>112758427.60699999</v>
          </cell>
          <cell r="H2477">
            <v>5.3959999999999999</v>
          </cell>
          <cell r="I2477">
            <v>0</v>
          </cell>
          <cell r="J2477">
            <v>5.3959999999999999</v>
          </cell>
          <cell r="K2477">
            <v>1.4999999999999999E-2</v>
          </cell>
        </row>
        <row r="2478">
          <cell r="A2478" t="str">
            <v>LU2582974585</v>
          </cell>
          <cell r="B2478" t="str">
            <v>Amundi Soluzioni Italia - Obbligazion Euro 05/2028</v>
          </cell>
          <cell r="C2478" t="str">
            <v>Class B Non - Distributing</v>
          </cell>
          <cell r="D2478" t="str">
            <v>EUR</v>
          </cell>
          <cell r="E2478">
            <v>45747</v>
          </cell>
          <cell r="F2478">
            <v>106211946.59999999</v>
          </cell>
          <cell r="G2478">
            <v>19181500.147999998</v>
          </cell>
          <cell r="H2478">
            <v>5.5369999999999999</v>
          </cell>
          <cell r="I2478">
            <v>0</v>
          </cell>
          <cell r="J2478">
            <v>5.5369999999999999</v>
          </cell>
          <cell r="K2478">
            <v>1.4999999999999999E-2</v>
          </cell>
        </row>
        <row r="2479">
          <cell r="A2479" t="str">
            <v>LU2582975988</v>
          </cell>
          <cell r="B2479" t="str">
            <v>Amundi Soluzioni Italia - Obbligazion Euro 05/2028</v>
          </cell>
          <cell r="C2479" t="str">
            <v>Class E Distributing Annually</v>
          </cell>
          <cell r="D2479" t="str">
            <v>EUR</v>
          </cell>
          <cell r="E2479">
            <v>45747</v>
          </cell>
          <cell r="F2479">
            <v>9751287.8399999999</v>
          </cell>
          <cell r="G2479">
            <v>1805078.5759999999</v>
          </cell>
          <cell r="H2479">
            <v>5.4020000000000001</v>
          </cell>
          <cell r="I2479">
            <v>0</v>
          </cell>
          <cell r="J2479">
            <v>5.4020000000000001</v>
          </cell>
          <cell r="K2479">
            <v>1.4999999999999999E-2</v>
          </cell>
        </row>
        <row r="2480">
          <cell r="A2480" t="str">
            <v>LU2582974825</v>
          </cell>
          <cell r="B2480" t="str">
            <v>Amundi Soluzioni Italia - Obbligazion Euro 05/2028</v>
          </cell>
          <cell r="C2480" t="str">
            <v>Class E Non - Distributing</v>
          </cell>
          <cell r="D2480" t="str">
            <v>EUR</v>
          </cell>
          <cell r="E2480">
            <v>45747</v>
          </cell>
          <cell r="F2480">
            <v>2469524.69</v>
          </cell>
          <cell r="G2480">
            <v>444622.62800000003</v>
          </cell>
          <cell r="H2480">
            <v>5.5540000000000003</v>
          </cell>
          <cell r="I2480">
            <v>0</v>
          </cell>
          <cell r="J2480">
            <v>5.5540000000000003</v>
          </cell>
          <cell r="K2480">
            <v>1.4999999999999999E-2</v>
          </cell>
        </row>
        <row r="2481">
          <cell r="A2481" t="str">
            <v>LU2582974239</v>
          </cell>
          <cell r="B2481" t="str">
            <v>Amundi Soluzioni Italia - Obbligazion Euro 06/2028</v>
          </cell>
          <cell r="C2481" t="str">
            <v>Class B Distributing Annually</v>
          </cell>
          <cell r="D2481" t="str">
            <v>EUR</v>
          </cell>
          <cell r="E2481">
            <v>45747</v>
          </cell>
          <cell r="F2481">
            <v>494225311.81</v>
          </cell>
          <cell r="G2481">
            <v>91008377.085999995</v>
          </cell>
          <cell r="H2481">
            <v>5.431</v>
          </cell>
          <cell r="I2481">
            <v>0</v>
          </cell>
          <cell r="J2481">
            <v>5.431</v>
          </cell>
          <cell r="K2481">
            <v>1.4999999999999999E-2</v>
          </cell>
        </row>
        <row r="2482">
          <cell r="A2482" t="str">
            <v>LU2582974155</v>
          </cell>
          <cell r="B2482" t="str">
            <v>Amundi Soluzioni Italia - Obbligazion Euro 06/2028</v>
          </cell>
          <cell r="C2482" t="str">
            <v>Class B Non - Distributing</v>
          </cell>
          <cell r="D2482" t="str">
            <v>EUR</v>
          </cell>
          <cell r="E2482">
            <v>45747</v>
          </cell>
          <cell r="F2482">
            <v>91106288.560000002</v>
          </cell>
          <cell r="G2482">
            <v>16357850.879000001</v>
          </cell>
          <cell r="H2482">
            <v>5.57</v>
          </cell>
          <cell r="I2482">
            <v>0</v>
          </cell>
          <cell r="J2482">
            <v>5.57</v>
          </cell>
          <cell r="K2482">
            <v>1.6E-2</v>
          </cell>
        </row>
        <row r="2483">
          <cell r="A2483" t="str">
            <v>LU2582974403</v>
          </cell>
          <cell r="B2483" t="str">
            <v>Amundi Soluzioni Italia - Obbligazion Euro 06/2028</v>
          </cell>
          <cell r="C2483" t="str">
            <v>Class E Distributing Annually</v>
          </cell>
          <cell r="D2483" t="str">
            <v>EUR</v>
          </cell>
          <cell r="E2483">
            <v>45747</v>
          </cell>
          <cell r="F2483">
            <v>9310931.0500000007</v>
          </cell>
          <cell r="G2483">
            <v>1712657.7949999999</v>
          </cell>
          <cell r="H2483">
            <v>5.4370000000000003</v>
          </cell>
          <cell r="I2483">
            <v>0</v>
          </cell>
          <cell r="J2483">
            <v>5.4370000000000003</v>
          </cell>
          <cell r="K2483">
            <v>1.6E-2</v>
          </cell>
        </row>
        <row r="2484">
          <cell r="A2484" t="str">
            <v>LU2582974312</v>
          </cell>
          <cell r="B2484" t="str">
            <v>Amundi Soluzioni Italia - Obbligazion Euro 06/2028</v>
          </cell>
          <cell r="C2484" t="str">
            <v>Class E Non - Distributing</v>
          </cell>
          <cell r="D2484" t="str">
            <v>EUR</v>
          </cell>
          <cell r="E2484">
            <v>45747</v>
          </cell>
          <cell r="F2484">
            <v>1829178.36</v>
          </cell>
          <cell r="G2484">
            <v>327454.01400000002</v>
          </cell>
          <cell r="H2484">
            <v>5.5860000000000003</v>
          </cell>
          <cell r="I2484">
            <v>0</v>
          </cell>
          <cell r="J2484">
            <v>5.5860000000000003</v>
          </cell>
          <cell r="K2484">
            <v>1.6E-2</v>
          </cell>
        </row>
        <row r="2485">
          <cell r="A2485" t="str">
            <v>LU2619276590</v>
          </cell>
          <cell r="B2485" t="str">
            <v>Amundi Soluzioni Italia - Obbligazion Euro 07/2028</v>
          </cell>
          <cell r="C2485" t="str">
            <v>Class B Distributing Annually</v>
          </cell>
          <cell r="D2485" t="str">
            <v>EUR</v>
          </cell>
          <cell r="E2485">
            <v>45747</v>
          </cell>
          <cell r="F2485">
            <v>586339431.96000004</v>
          </cell>
          <cell r="G2485">
            <v>109540392.017</v>
          </cell>
          <cell r="H2485">
            <v>5.3529999999999998</v>
          </cell>
          <cell r="I2485">
            <v>0</v>
          </cell>
          <cell r="J2485">
            <v>5.3529999999999998</v>
          </cell>
          <cell r="K2485">
            <v>1.6E-2</v>
          </cell>
        </row>
        <row r="2486">
          <cell r="A2486" t="str">
            <v>LU2619276327</v>
          </cell>
          <cell r="B2486" t="str">
            <v>Amundi Soluzioni Italia - Obbligazion Euro 07/2028</v>
          </cell>
          <cell r="C2486" t="str">
            <v>Class B Non - Distributing</v>
          </cell>
          <cell r="D2486" t="str">
            <v>EUR</v>
          </cell>
          <cell r="E2486">
            <v>45747</v>
          </cell>
          <cell r="F2486">
            <v>116519750.86</v>
          </cell>
          <cell r="G2486">
            <v>21238797</v>
          </cell>
          <cell r="H2486">
            <v>5.4859999999999998</v>
          </cell>
          <cell r="I2486">
            <v>0</v>
          </cell>
          <cell r="J2486">
            <v>5.4859999999999998</v>
          </cell>
          <cell r="K2486">
            <v>1.6E-2</v>
          </cell>
        </row>
        <row r="2487">
          <cell r="A2487" t="str">
            <v>LU2619276673</v>
          </cell>
          <cell r="B2487" t="str">
            <v>Amundi Soluzioni Italia - Obbligazion Euro 07/2028</v>
          </cell>
          <cell r="C2487" t="str">
            <v>Class E Distributing Annually</v>
          </cell>
          <cell r="D2487" t="str">
            <v>EUR</v>
          </cell>
          <cell r="E2487">
            <v>45747</v>
          </cell>
          <cell r="F2487">
            <v>3067949.89</v>
          </cell>
          <cell r="G2487">
            <v>571965.61</v>
          </cell>
          <cell r="H2487">
            <v>5.3639999999999999</v>
          </cell>
          <cell r="I2487">
            <v>0</v>
          </cell>
          <cell r="J2487">
            <v>5.3639999999999999</v>
          </cell>
          <cell r="K2487">
            <v>1.6E-2</v>
          </cell>
        </row>
        <row r="2488">
          <cell r="A2488" t="str">
            <v>LU2619276756</v>
          </cell>
          <cell r="B2488" t="str">
            <v>Amundi Soluzioni Italia - Obbligazion Euro 07/2028</v>
          </cell>
          <cell r="C2488" t="str">
            <v>Class E Non - Distributing</v>
          </cell>
          <cell r="D2488" t="str">
            <v>EUR</v>
          </cell>
          <cell r="E2488">
            <v>45747</v>
          </cell>
          <cell r="F2488">
            <v>969564.67</v>
          </cell>
          <cell r="G2488">
            <v>175605.742</v>
          </cell>
          <cell r="H2488">
            <v>5.5209999999999999</v>
          </cell>
          <cell r="I2488">
            <v>0</v>
          </cell>
          <cell r="J2488">
            <v>5.5209999999999999</v>
          </cell>
          <cell r="K2488">
            <v>1.7000000000000001E-2</v>
          </cell>
        </row>
        <row r="2489">
          <cell r="A2489" t="str">
            <v>LU2619275949</v>
          </cell>
          <cell r="B2489" t="str">
            <v>Amundi Soluzioni Italia - Obbligazion Euro 09/2028</v>
          </cell>
          <cell r="C2489" t="str">
            <v>Class B Distributing Annually</v>
          </cell>
          <cell r="D2489" t="str">
            <v>EUR</v>
          </cell>
          <cell r="E2489">
            <v>45747</v>
          </cell>
          <cell r="F2489">
            <v>1141793231.3299999</v>
          </cell>
          <cell r="G2489">
            <v>210532814.69999999</v>
          </cell>
          <cell r="H2489">
            <v>5.423</v>
          </cell>
          <cell r="I2489">
            <v>0</v>
          </cell>
          <cell r="J2489">
            <v>5.423</v>
          </cell>
          <cell r="K2489">
            <v>1.4E-2</v>
          </cell>
        </row>
        <row r="2490">
          <cell r="A2490" t="str">
            <v>LU2619277564</v>
          </cell>
          <cell r="B2490" t="str">
            <v>Amundi Soluzioni Italia - Obbligazion Euro 09/2028</v>
          </cell>
          <cell r="C2490" t="str">
            <v>Class B Non - Distributing</v>
          </cell>
          <cell r="D2490" t="str">
            <v>EUR</v>
          </cell>
          <cell r="E2490">
            <v>45747</v>
          </cell>
          <cell r="F2490">
            <v>228395726.72</v>
          </cell>
          <cell r="G2490">
            <v>40929430.831</v>
          </cell>
          <cell r="H2490">
            <v>5.58</v>
          </cell>
          <cell r="I2490">
            <v>0</v>
          </cell>
          <cell r="J2490">
            <v>5.58</v>
          </cell>
          <cell r="K2490">
            <v>1.4999999999999999E-2</v>
          </cell>
        </row>
        <row r="2491">
          <cell r="A2491" t="str">
            <v>LU2619276160</v>
          </cell>
          <cell r="B2491" t="str">
            <v>Amundi Soluzioni Italia - Obbligazion Euro 09/2028</v>
          </cell>
          <cell r="C2491" t="str">
            <v>Class E Distributing Annually</v>
          </cell>
          <cell r="D2491" t="str">
            <v>EUR</v>
          </cell>
          <cell r="E2491">
            <v>45747</v>
          </cell>
          <cell r="F2491">
            <v>4371601.87</v>
          </cell>
          <cell r="G2491">
            <v>804788.18</v>
          </cell>
          <cell r="H2491">
            <v>5.4320000000000004</v>
          </cell>
          <cell r="I2491">
            <v>0</v>
          </cell>
          <cell r="J2491">
            <v>5.4320000000000004</v>
          </cell>
          <cell r="K2491">
            <v>1.6E-2</v>
          </cell>
        </row>
        <row r="2492">
          <cell r="A2492" t="str">
            <v>LU2619276087</v>
          </cell>
          <cell r="B2492" t="str">
            <v>Amundi Soluzioni Italia - Obbligazion Euro 09/2028</v>
          </cell>
          <cell r="C2492" t="str">
            <v>Class E Non - Distributing</v>
          </cell>
          <cell r="D2492" t="str">
            <v>EUR</v>
          </cell>
          <cell r="E2492">
            <v>45747</v>
          </cell>
          <cell r="F2492">
            <v>1608004.81</v>
          </cell>
          <cell r="G2492">
            <v>286531.576</v>
          </cell>
          <cell r="H2492">
            <v>5.6120000000000001</v>
          </cell>
          <cell r="I2492">
            <v>0</v>
          </cell>
          <cell r="J2492">
            <v>5.6120000000000001</v>
          </cell>
          <cell r="K2492">
            <v>1.6E-2</v>
          </cell>
        </row>
        <row r="2493">
          <cell r="A2493" t="str">
            <v>LU2647987440</v>
          </cell>
          <cell r="B2493" t="str">
            <v>Amundi Soluzioni Italia - Obbligazion Euro 10/2028</v>
          </cell>
          <cell r="C2493" t="str">
            <v>Class B Distributing Annually</v>
          </cell>
          <cell r="D2493" t="str">
            <v>EUR</v>
          </cell>
          <cell r="E2493">
            <v>45747</v>
          </cell>
          <cell r="F2493">
            <v>803764291.92999995</v>
          </cell>
          <cell r="G2493">
            <v>148389908.898</v>
          </cell>
          <cell r="H2493">
            <v>5.4169999999999998</v>
          </cell>
          <cell r="I2493">
            <v>0</v>
          </cell>
          <cell r="J2493">
            <v>5.4169999999999998</v>
          </cell>
          <cell r="K2493">
            <v>1.6E-2</v>
          </cell>
        </row>
        <row r="2494">
          <cell r="A2494" t="str">
            <v>LU2647987796</v>
          </cell>
          <cell r="B2494" t="str">
            <v>Amundi Soluzioni Italia - Obbligazion Euro 10/2028</v>
          </cell>
          <cell r="C2494" t="str">
            <v>Class B Non - Distributing</v>
          </cell>
          <cell r="D2494" t="str">
            <v>EUR</v>
          </cell>
          <cell r="E2494">
            <v>45747</v>
          </cell>
          <cell r="F2494">
            <v>169191371.21000001</v>
          </cell>
          <cell r="G2494">
            <v>30360523.085999999</v>
          </cell>
          <cell r="H2494">
            <v>5.5730000000000004</v>
          </cell>
          <cell r="I2494">
            <v>0</v>
          </cell>
          <cell r="J2494">
            <v>5.5730000000000004</v>
          </cell>
          <cell r="K2494">
            <v>1.6E-2</v>
          </cell>
        </row>
        <row r="2495">
          <cell r="A2495" t="str">
            <v>LU2647987366</v>
          </cell>
          <cell r="B2495" t="str">
            <v>Amundi Soluzioni Italia - Obbligazion Euro 10/2028</v>
          </cell>
          <cell r="C2495" t="str">
            <v>Class E Distributing Annually</v>
          </cell>
          <cell r="D2495" t="str">
            <v>EUR</v>
          </cell>
          <cell r="E2495">
            <v>45747</v>
          </cell>
          <cell r="F2495">
            <v>2746193.77</v>
          </cell>
          <cell r="G2495">
            <v>506328.82400000002</v>
          </cell>
          <cell r="H2495">
            <v>5.4240000000000004</v>
          </cell>
          <cell r="I2495">
            <v>0</v>
          </cell>
          <cell r="J2495">
            <v>5.4240000000000004</v>
          </cell>
          <cell r="K2495">
            <v>1.6E-2</v>
          </cell>
        </row>
        <row r="2496">
          <cell r="A2496" t="str">
            <v>LU2647987523</v>
          </cell>
          <cell r="B2496" t="str">
            <v>Amundi Soluzioni Italia - Obbligazion Euro 10/2028</v>
          </cell>
          <cell r="C2496" t="str">
            <v>Class E Non - Distributing</v>
          </cell>
          <cell r="D2496" t="str">
            <v>EUR</v>
          </cell>
          <cell r="E2496">
            <v>45747</v>
          </cell>
          <cell r="F2496">
            <v>1206054.27</v>
          </cell>
          <cell r="G2496">
            <v>215250.77</v>
          </cell>
          <cell r="H2496">
            <v>5.6029999999999998</v>
          </cell>
          <cell r="I2496">
            <v>0</v>
          </cell>
          <cell r="J2496">
            <v>5.6029999999999998</v>
          </cell>
          <cell r="K2496">
            <v>1.7000000000000001E-2</v>
          </cell>
        </row>
        <row r="2497">
          <cell r="A2497" t="str">
            <v>LU2647988174</v>
          </cell>
          <cell r="B2497" t="str">
            <v>Amundi Soluzioni Italia - Obbligazion Euro 11/2028</v>
          </cell>
          <cell r="C2497" t="str">
            <v>Class B Distributing Annually</v>
          </cell>
          <cell r="D2497" t="str">
            <v>EUR</v>
          </cell>
          <cell r="E2497">
            <v>45747</v>
          </cell>
          <cell r="F2497">
            <v>880136497.34000003</v>
          </cell>
          <cell r="G2497">
            <v>166905159.12099999</v>
          </cell>
          <cell r="H2497">
            <v>5.2729999999999997</v>
          </cell>
          <cell r="I2497">
            <v>0</v>
          </cell>
          <cell r="J2497">
            <v>5.2729999999999997</v>
          </cell>
          <cell r="K2497">
            <v>1.6E-2</v>
          </cell>
        </row>
        <row r="2498">
          <cell r="A2498" t="str">
            <v>LU2647988257</v>
          </cell>
          <cell r="B2498" t="str">
            <v>Amundi Soluzioni Italia - Obbligazion Euro 11/2028</v>
          </cell>
          <cell r="C2498" t="str">
            <v>Class B Non - Distributing</v>
          </cell>
          <cell r="D2498" t="str">
            <v>EUR</v>
          </cell>
          <cell r="E2498">
            <v>45747</v>
          </cell>
          <cell r="F2498">
            <v>172900001.72999999</v>
          </cell>
          <cell r="G2498">
            <v>31981063.401000001</v>
          </cell>
          <cell r="H2498">
            <v>5.4059999999999997</v>
          </cell>
          <cell r="I2498">
            <v>0</v>
          </cell>
          <cell r="J2498">
            <v>5.4059999999999997</v>
          </cell>
          <cell r="K2498">
            <v>1.6E-2</v>
          </cell>
        </row>
        <row r="2499">
          <cell r="A2499" t="str">
            <v>LU2647987879</v>
          </cell>
          <cell r="B2499" t="str">
            <v>Amundi Soluzioni Italia - Obbligazion Euro 11/2028</v>
          </cell>
          <cell r="C2499" t="str">
            <v>Class E Distributing Annually</v>
          </cell>
          <cell r="D2499" t="str">
            <v>EUR</v>
          </cell>
          <cell r="E2499">
            <v>45747</v>
          </cell>
          <cell r="F2499">
            <v>5256329.78</v>
          </cell>
          <cell r="G2499">
            <v>995922.44400000002</v>
          </cell>
          <cell r="H2499">
            <v>5.2779999999999996</v>
          </cell>
          <cell r="I2499">
            <v>0</v>
          </cell>
          <cell r="J2499">
            <v>5.2779999999999996</v>
          </cell>
          <cell r="K2499">
            <v>1.7000000000000001E-2</v>
          </cell>
        </row>
        <row r="2500">
          <cell r="A2500" t="str">
            <v>LU2647987952</v>
          </cell>
          <cell r="B2500" t="str">
            <v>Amundi Soluzioni Italia - Obbligazion Euro 11/2028</v>
          </cell>
          <cell r="C2500" t="str">
            <v>Class E Non - Distributing</v>
          </cell>
          <cell r="D2500" t="str">
            <v>EUR</v>
          </cell>
          <cell r="E2500">
            <v>45747</v>
          </cell>
          <cell r="F2500">
            <v>2113694.61</v>
          </cell>
          <cell r="G2500">
            <v>388991.39199999999</v>
          </cell>
          <cell r="H2500">
            <v>5.4340000000000002</v>
          </cell>
          <cell r="I2500">
            <v>0</v>
          </cell>
          <cell r="J2500">
            <v>5.4340000000000002</v>
          </cell>
          <cell r="K2500">
            <v>1.7000000000000001E-2</v>
          </cell>
        </row>
        <row r="2501">
          <cell r="A2501" t="str">
            <v>LU2647988687</v>
          </cell>
          <cell r="B2501" t="str">
            <v>Amundi Soluzioni Italia - Obbligazion Euro 12/2028</v>
          </cell>
          <cell r="C2501" t="str">
            <v>Class B Distributing Annually</v>
          </cell>
          <cell r="D2501" t="str">
            <v>EUR</v>
          </cell>
          <cell r="E2501">
            <v>45747</v>
          </cell>
          <cell r="F2501">
            <v>241490495.59</v>
          </cell>
          <cell r="G2501">
            <v>46737847.623999998</v>
          </cell>
          <cell r="H2501">
            <v>5.1669999999999998</v>
          </cell>
          <cell r="I2501">
            <v>0</v>
          </cell>
          <cell r="J2501">
            <v>5.1669999999999998</v>
          </cell>
          <cell r="K2501">
            <v>1.0999999999999999E-2</v>
          </cell>
        </row>
        <row r="2502">
          <cell r="A2502" t="str">
            <v>LU2647988760</v>
          </cell>
          <cell r="B2502" t="str">
            <v>Amundi Soluzioni Italia - Obbligazion Euro 12/2028</v>
          </cell>
          <cell r="C2502" t="str">
            <v>Class B Non - Distributing</v>
          </cell>
          <cell r="D2502" t="str">
            <v>EUR</v>
          </cell>
          <cell r="E2502">
            <v>45747</v>
          </cell>
          <cell r="F2502">
            <v>46584473.75</v>
          </cell>
          <cell r="G2502">
            <v>8813747.2880000006</v>
          </cell>
          <cell r="H2502">
            <v>5.2850000000000001</v>
          </cell>
          <cell r="I2502">
            <v>0</v>
          </cell>
          <cell r="J2502">
            <v>5.2850000000000001</v>
          </cell>
          <cell r="K2502">
            <v>0.01</v>
          </cell>
        </row>
        <row r="2503">
          <cell r="A2503" t="str">
            <v>LU2647988414</v>
          </cell>
          <cell r="B2503" t="str">
            <v>Amundi Soluzioni Italia - Obbligazion Euro 12/2028</v>
          </cell>
          <cell r="C2503" t="str">
            <v>Class E Distributing Annually</v>
          </cell>
          <cell r="D2503" t="str">
            <v>EUR</v>
          </cell>
          <cell r="E2503">
            <v>45747</v>
          </cell>
          <cell r="F2503">
            <v>1330747.75</v>
          </cell>
          <cell r="G2503">
            <v>257409.37400000001</v>
          </cell>
          <cell r="H2503">
            <v>5.17</v>
          </cell>
          <cell r="I2503">
            <v>0</v>
          </cell>
          <cell r="J2503">
            <v>5.17</v>
          </cell>
          <cell r="K2503">
            <v>1.2E-2</v>
          </cell>
        </row>
        <row r="2504">
          <cell r="A2504" t="str">
            <v>LU2647988505</v>
          </cell>
          <cell r="B2504" t="str">
            <v>Amundi Soluzioni Italia - Obbligazion Euro 12/2028</v>
          </cell>
          <cell r="C2504" t="str">
            <v>Class E Non - Distributing</v>
          </cell>
          <cell r="D2504" t="str">
            <v>EUR</v>
          </cell>
          <cell r="E2504">
            <v>45747</v>
          </cell>
          <cell r="F2504">
            <v>1121860.4099999999</v>
          </cell>
          <cell r="G2504">
            <v>211227.9</v>
          </cell>
          <cell r="H2504">
            <v>5.3109999999999999</v>
          </cell>
          <cell r="I2504">
            <v>0</v>
          </cell>
          <cell r="J2504">
            <v>5.3109999999999999</v>
          </cell>
          <cell r="K2504">
            <v>1.0999999999999999E-2</v>
          </cell>
        </row>
        <row r="2505">
          <cell r="A2505" t="str">
            <v>LU2707196601</v>
          </cell>
          <cell r="B2505" t="str">
            <v>Amundi Soluzioni Italia - Obbligazion Euro 01/2029</v>
          </cell>
          <cell r="C2505" t="str">
            <v>Class B Distributing Annually</v>
          </cell>
          <cell r="D2505" t="str">
            <v>EUR</v>
          </cell>
          <cell r="E2505">
            <v>45747</v>
          </cell>
          <cell r="F2505">
            <v>1269281330.96</v>
          </cell>
          <cell r="G2505">
            <v>247249658.67699999</v>
          </cell>
          <cell r="H2505">
            <v>5.1340000000000003</v>
          </cell>
          <cell r="I2505">
            <v>0</v>
          </cell>
          <cell r="J2505">
            <v>5.1340000000000003</v>
          </cell>
          <cell r="K2505">
            <v>1.6E-2</v>
          </cell>
        </row>
        <row r="2506">
          <cell r="A2506" t="str">
            <v>LU2707196510</v>
          </cell>
          <cell r="B2506" t="str">
            <v>Amundi Soluzioni Italia - Obbligazion Euro 01/2029</v>
          </cell>
          <cell r="C2506" t="str">
            <v>Class B Non - Distributing</v>
          </cell>
          <cell r="D2506" t="str">
            <v>EUR</v>
          </cell>
          <cell r="E2506">
            <v>45747</v>
          </cell>
          <cell r="F2506">
            <v>291632017.98000002</v>
          </cell>
          <cell r="G2506">
            <v>55568338.931999996</v>
          </cell>
          <cell r="H2506">
            <v>5.2480000000000002</v>
          </cell>
          <cell r="I2506">
            <v>0</v>
          </cell>
          <cell r="J2506">
            <v>5.2480000000000002</v>
          </cell>
          <cell r="K2506">
            <v>1.6E-2</v>
          </cell>
        </row>
        <row r="2507">
          <cell r="A2507" t="str">
            <v>LU2707194143</v>
          </cell>
          <cell r="B2507" t="str">
            <v>Amundi Soluzioni Italia - Obbligazion Euro 01/2029</v>
          </cell>
          <cell r="C2507" t="str">
            <v>Class E Distributing Annually</v>
          </cell>
          <cell r="D2507" t="str">
            <v>EUR</v>
          </cell>
          <cell r="E2507">
            <v>45747</v>
          </cell>
          <cell r="F2507">
            <v>4312216.71</v>
          </cell>
          <cell r="G2507">
            <v>839872.01</v>
          </cell>
          <cell r="H2507">
            <v>5.1340000000000003</v>
          </cell>
          <cell r="I2507">
            <v>0</v>
          </cell>
          <cell r="J2507">
            <v>5.1340000000000003</v>
          </cell>
          <cell r="K2507">
            <v>1.6E-2</v>
          </cell>
        </row>
        <row r="2508">
          <cell r="A2508" t="str">
            <v>LU2707196783</v>
          </cell>
          <cell r="B2508" t="str">
            <v>Amundi Soluzioni Italia - Obbligazion Euro 01/2029</v>
          </cell>
          <cell r="C2508" t="str">
            <v>Class E Non - Distributing</v>
          </cell>
          <cell r="D2508" t="str">
            <v>EUR</v>
          </cell>
          <cell r="E2508">
            <v>45747</v>
          </cell>
          <cell r="F2508">
            <v>2976007.42</v>
          </cell>
          <cell r="G2508">
            <v>564558.52</v>
          </cell>
          <cell r="H2508">
            <v>5.2709999999999999</v>
          </cell>
          <cell r="I2508">
            <v>0</v>
          </cell>
          <cell r="J2508">
            <v>5.2709999999999999</v>
          </cell>
          <cell r="K2508">
            <v>1.7000000000000001E-2</v>
          </cell>
        </row>
        <row r="2509">
          <cell r="A2509" t="str">
            <v>LU2707195116</v>
          </cell>
          <cell r="B2509" t="str">
            <v>Amundi Soluzioni Italia - Obbligazion Euro 02/2029</v>
          </cell>
          <cell r="C2509" t="str">
            <v>Class B Distributing Annually</v>
          </cell>
          <cell r="D2509" t="str">
            <v>EUR</v>
          </cell>
          <cell r="E2509">
            <v>45747</v>
          </cell>
          <cell r="F2509">
            <v>864306392.12</v>
          </cell>
          <cell r="G2509">
            <v>168161366.02500001</v>
          </cell>
          <cell r="H2509">
            <v>5.14</v>
          </cell>
          <cell r="I2509">
            <v>0</v>
          </cell>
          <cell r="J2509">
            <v>5.14</v>
          </cell>
          <cell r="K2509">
            <v>1.4E-2</v>
          </cell>
        </row>
        <row r="2510">
          <cell r="A2510" t="str">
            <v>LU2707195033</v>
          </cell>
          <cell r="B2510" t="str">
            <v>Amundi Soluzioni Italia - Obbligazion Euro 02/2029</v>
          </cell>
          <cell r="C2510" t="str">
            <v>Class B Non - Distributing</v>
          </cell>
          <cell r="D2510" t="str">
            <v>EUR</v>
          </cell>
          <cell r="E2510">
            <v>45747</v>
          </cell>
          <cell r="F2510">
            <v>216843971.84</v>
          </cell>
          <cell r="G2510">
            <v>41226183.645999998</v>
          </cell>
          <cell r="H2510">
            <v>5.26</v>
          </cell>
          <cell r="I2510">
            <v>0</v>
          </cell>
          <cell r="J2510">
            <v>5.26</v>
          </cell>
          <cell r="K2510">
            <v>1.4E-2</v>
          </cell>
        </row>
        <row r="2511">
          <cell r="A2511" t="str">
            <v>LU2707195462</v>
          </cell>
          <cell r="B2511" t="str">
            <v>Amundi Soluzioni Italia - Obbligazion Euro 02/2029</v>
          </cell>
          <cell r="C2511" t="str">
            <v>Class E Distributing Annually</v>
          </cell>
          <cell r="D2511" t="str">
            <v>EUR</v>
          </cell>
          <cell r="E2511">
            <v>45747</v>
          </cell>
          <cell r="F2511">
            <v>4919008.6900000004</v>
          </cell>
          <cell r="G2511">
            <v>957190.40599999996</v>
          </cell>
          <cell r="H2511">
            <v>5.1390000000000002</v>
          </cell>
          <cell r="I2511">
            <v>0</v>
          </cell>
          <cell r="J2511">
            <v>5.1390000000000002</v>
          </cell>
          <cell r="K2511">
            <v>1.4999999999999999E-2</v>
          </cell>
        </row>
        <row r="2512">
          <cell r="A2512" t="str">
            <v>LU2707195207</v>
          </cell>
          <cell r="B2512" t="str">
            <v>Amundi Soluzioni Italia - Obbligazion Euro 02/2029</v>
          </cell>
          <cell r="C2512" t="str">
            <v>Class E Non - Distributing</v>
          </cell>
          <cell r="D2512" t="str">
            <v>EUR</v>
          </cell>
          <cell r="E2512">
            <v>45747</v>
          </cell>
          <cell r="F2512">
            <v>1301743.49</v>
          </cell>
          <cell r="G2512">
            <v>246457.59700000001</v>
          </cell>
          <cell r="H2512">
            <v>5.282</v>
          </cell>
          <cell r="I2512">
            <v>0</v>
          </cell>
          <cell r="J2512">
            <v>5.282</v>
          </cell>
          <cell r="K2512">
            <v>1.4999999999999999E-2</v>
          </cell>
        </row>
        <row r="2513">
          <cell r="A2513" t="str">
            <v>LU2707194739</v>
          </cell>
          <cell r="B2513" t="str">
            <v>Amundi Soluzioni Italia - Obbligazion Euro 03/2029</v>
          </cell>
          <cell r="C2513" t="str">
            <v>Class B Distributing Annually</v>
          </cell>
          <cell r="D2513" t="str">
            <v>EUR</v>
          </cell>
          <cell r="E2513">
            <v>45747</v>
          </cell>
          <cell r="F2513">
            <v>601981901.54999995</v>
          </cell>
          <cell r="G2513">
            <v>115462205.586</v>
          </cell>
          <cell r="H2513">
            <v>5.2140000000000004</v>
          </cell>
          <cell r="I2513">
            <v>0</v>
          </cell>
          <cell r="J2513">
            <v>5.2140000000000004</v>
          </cell>
          <cell r="K2513">
            <v>0.01</v>
          </cell>
        </row>
        <row r="2514">
          <cell r="A2514" t="str">
            <v>LU2707194572</v>
          </cell>
          <cell r="B2514" t="str">
            <v>Amundi Soluzioni Italia - Obbligazion Euro 03/2029</v>
          </cell>
          <cell r="C2514" t="str">
            <v>Class B Non - Distributing</v>
          </cell>
          <cell r="D2514" t="str">
            <v>EUR</v>
          </cell>
          <cell r="E2514">
            <v>45747</v>
          </cell>
          <cell r="F2514">
            <v>153641560.28</v>
          </cell>
          <cell r="G2514">
            <v>29468991.954999998</v>
          </cell>
          <cell r="H2514">
            <v>5.2140000000000004</v>
          </cell>
          <cell r="I2514">
            <v>0</v>
          </cell>
          <cell r="J2514">
            <v>5.2140000000000004</v>
          </cell>
          <cell r="K2514">
            <v>0.01</v>
          </cell>
        </row>
        <row r="2515">
          <cell r="A2515" t="str">
            <v>LU2707194812</v>
          </cell>
          <cell r="B2515" t="str">
            <v>Amundi Soluzioni Italia - Obbligazion Euro 03/2029</v>
          </cell>
          <cell r="C2515" t="str">
            <v>Class E Distributing Annually</v>
          </cell>
          <cell r="D2515" t="str">
            <v>EUR</v>
          </cell>
          <cell r="E2515">
            <v>45747</v>
          </cell>
          <cell r="F2515">
            <v>3832951.46</v>
          </cell>
          <cell r="G2515">
            <v>732998.65</v>
          </cell>
          <cell r="H2515">
            <v>5.2290000000000001</v>
          </cell>
          <cell r="I2515">
            <v>0</v>
          </cell>
          <cell r="J2515">
            <v>5.2290000000000001</v>
          </cell>
          <cell r="K2515">
            <v>0.01</v>
          </cell>
        </row>
        <row r="2516">
          <cell r="A2516" t="str">
            <v>LU2707194655</v>
          </cell>
          <cell r="B2516" t="str">
            <v>Amundi Soluzioni Italia - Obbligazion Euro 03/2029</v>
          </cell>
          <cell r="C2516" t="str">
            <v>Class E Non - Distributing</v>
          </cell>
          <cell r="D2516" t="str">
            <v>EUR</v>
          </cell>
          <cell r="E2516">
            <v>45747</v>
          </cell>
          <cell r="F2516">
            <v>945839.04</v>
          </cell>
          <cell r="G2516">
            <v>180874.158</v>
          </cell>
          <cell r="H2516">
            <v>5.2290000000000001</v>
          </cell>
          <cell r="I2516">
            <v>0</v>
          </cell>
          <cell r="J2516">
            <v>5.2290000000000001</v>
          </cell>
          <cell r="K2516">
            <v>0.01</v>
          </cell>
        </row>
        <row r="2517">
          <cell r="A2517" t="str">
            <v>LU2740284919</v>
          </cell>
          <cell r="B2517" t="str">
            <v>Amundi Soluzioni Italia - Obbligazion Euro 04/2029</v>
          </cell>
          <cell r="C2517" t="str">
            <v>Class B Distributing Annually</v>
          </cell>
          <cell r="D2517" t="str">
            <v>EUR</v>
          </cell>
          <cell r="E2517">
            <v>45747</v>
          </cell>
          <cell r="F2517">
            <v>517812634.97000003</v>
          </cell>
          <cell r="G2517">
            <v>99088376.481000006</v>
          </cell>
          <cell r="H2517">
            <v>5.226</v>
          </cell>
          <cell r="I2517">
            <v>0</v>
          </cell>
          <cell r="J2517">
            <v>5.226</v>
          </cell>
          <cell r="K2517">
            <v>0.01</v>
          </cell>
        </row>
        <row r="2518">
          <cell r="A2518" t="str">
            <v>LU2740285056</v>
          </cell>
          <cell r="B2518" t="str">
            <v>Amundi Soluzioni Italia - Obbligazion Euro 04/2029</v>
          </cell>
          <cell r="C2518" t="str">
            <v>Class B Non - Distributing</v>
          </cell>
          <cell r="D2518" t="str">
            <v>EUR</v>
          </cell>
          <cell r="E2518">
            <v>45747</v>
          </cell>
          <cell r="F2518">
            <v>145897944.34999999</v>
          </cell>
          <cell r="G2518">
            <v>27919092.416999999</v>
          </cell>
          <cell r="H2518">
            <v>5.226</v>
          </cell>
          <cell r="I2518">
            <v>0</v>
          </cell>
          <cell r="J2518">
            <v>5.226</v>
          </cell>
          <cell r="K2518">
            <v>0.01</v>
          </cell>
        </row>
        <row r="2519">
          <cell r="A2519" t="str">
            <v>LU2740284752</v>
          </cell>
          <cell r="B2519" t="str">
            <v>Amundi Soluzioni Italia - Obbligazion Euro 04/2029</v>
          </cell>
          <cell r="C2519" t="str">
            <v>Class E Distributing Annually</v>
          </cell>
          <cell r="D2519" t="str">
            <v>EUR</v>
          </cell>
          <cell r="E2519">
            <v>45747</v>
          </cell>
          <cell r="F2519">
            <v>2078002.9</v>
          </cell>
          <cell r="G2519">
            <v>396261.21</v>
          </cell>
          <cell r="H2519">
            <v>5.2439999999999998</v>
          </cell>
          <cell r="I2519">
            <v>0</v>
          </cell>
          <cell r="J2519">
            <v>5.2439999999999998</v>
          </cell>
          <cell r="K2519">
            <v>1.0999999999999999E-2</v>
          </cell>
        </row>
        <row r="2520">
          <cell r="A2520" t="str">
            <v>LU2740284836</v>
          </cell>
          <cell r="B2520" t="str">
            <v>Amundi Soluzioni Italia - Obbligazion Euro 04/2029</v>
          </cell>
          <cell r="C2520" t="str">
            <v>Class E Non - Distributing</v>
          </cell>
          <cell r="D2520" t="str">
            <v>EUR</v>
          </cell>
          <cell r="E2520">
            <v>45747</v>
          </cell>
          <cell r="F2520">
            <v>837680.86</v>
          </cell>
          <cell r="G2520">
            <v>159737.45000000001</v>
          </cell>
          <cell r="H2520">
            <v>5.2439999999999998</v>
          </cell>
          <cell r="I2520">
            <v>0</v>
          </cell>
          <cell r="J2520">
            <v>5.2439999999999998</v>
          </cell>
          <cell r="K2520">
            <v>1.0999999999999999E-2</v>
          </cell>
        </row>
        <row r="2521">
          <cell r="A2521" t="str">
            <v>LU2740285486</v>
          </cell>
          <cell r="B2521" t="str">
            <v>Amundi Soluzioni Italia - Obbligazion Euro 05/2029</v>
          </cell>
          <cell r="C2521" t="str">
            <v>Class B Distributing Annually</v>
          </cell>
          <cell r="D2521" t="str">
            <v>EUR</v>
          </cell>
          <cell r="E2521">
            <v>45747</v>
          </cell>
          <cell r="F2521">
            <v>522939968.27999997</v>
          </cell>
          <cell r="G2521">
            <v>100231025.816</v>
          </cell>
          <cell r="H2521">
            <v>5.2169999999999996</v>
          </cell>
          <cell r="I2521">
            <v>0</v>
          </cell>
          <cell r="J2521">
            <v>5.2169999999999996</v>
          </cell>
          <cell r="K2521">
            <v>8.9999999999999993E-3</v>
          </cell>
        </row>
        <row r="2522">
          <cell r="A2522" t="str">
            <v>LU2740285569</v>
          </cell>
          <cell r="B2522" t="str">
            <v>Amundi Soluzioni Italia - Obbligazion Euro 05/2029</v>
          </cell>
          <cell r="C2522" t="str">
            <v>Class B Non - Distributing</v>
          </cell>
          <cell r="D2522" t="str">
            <v>EUR</v>
          </cell>
          <cell r="E2522">
            <v>45747</v>
          </cell>
          <cell r="F2522">
            <v>147083881.28</v>
          </cell>
          <cell r="G2522">
            <v>28191398.274999999</v>
          </cell>
          <cell r="H2522">
            <v>5.2169999999999996</v>
          </cell>
          <cell r="I2522">
            <v>0</v>
          </cell>
          <cell r="J2522">
            <v>5.2169999999999996</v>
          </cell>
          <cell r="K2522">
            <v>8.9999999999999993E-3</v>
          </cell>
        </row>
        <row r="2523">
          <cell r="A2523" t="str">
            <v>LU2740285213</v>
          </cell>
          <cell r="B2523" t="str">
            <v>Amundi Soluzioni Italia - Obbligazion Euro 05/2029</v>
          </cell>
          <cell r="C2523" t="str">
            <v>Class E Distributing Annually</v>
          </cell>
          <cell r="D2523" t="str">
            <v>EUR</v>
          </cell>
          <cell r="E2523">
            <v>45747</v>
          </cell>
          <cell r="F2523">
            <v>3736274.67</v>
          </cell>
          <cell r="G2523">
            <v>713860.43900000001</v>
          </cell>
          <cell r="H2523">
            <v>5.234</v>
          </cell>
          <cell r="I2523">
            <v>0</v>
          </cell>
          <cell r="J2523">
            <v>5.234</v>
          </cell>
          <cell r="K2523">
            <v>0.01</v>
          </cell>
        </row>
        <row r="2524">
          <cell r="A2524" t="str">
            <v>LU2740285304</v>
          </cell>
          <cell r="B2524" t="str">
            <v>Amundi Soluzioni Italia - Obbligazion Euro 05/2029</v>
          </cell>
          <cell r="C2524" t="str">
            <v>Class E Non - Distributing</v>
          </cell>
          <cell r="D2524" t="str">
            <v>EUR</v>
          </cell>
          <cell r="E2524">
            <v>45747</v>
          </cell>
          <cell r="F2524">
            <v>1796820.26</v>
          </cell>
          <cell r="G2524">
            <v>343306.14</v>
          </cell>
          <cell r="H2524">
            <v>5.234</v>
          </cell>
          <cell r="I2524">
            <v>0</v>
          </cell>
          <cell r="J2524">
            <v>5.234</v>
          </cell>
          <cell r="K2524">
            <v>0.01</v>
          </cell>
        </row>
        <row r="2525">
          <cell r="A2525" t="str">
            <v>LU2740286021</v>
          </cell>
          <cell r="B2525" t="str">
            <v>Amundi Soluzioni Italia - Obbligazion Euro 06/2029</v>
          </cell>
          <cell r="C2525" t="str">
            <v>Class B Distributing Annually</v>
          </cell>
          <cell r="D2525" t="str">
            <v>EUR</v>
          </cell>
          <cell r="E2525">
            <v>45747</v>
          </cell>
          <cell r="F2525">
            <v>416224808.88999999</v>
          </cell>
          <cell r="G2525">
            <v>80030918.003000006</v>
          </cell>
          <cell r="H2525">
            <v>5.2009999999999996</v>
          </cell>
          <cell r="I2525">
            <v>0</v>
          </cell>
          <cell r="J2525">
            <v>5.2009999999999996</v>
          </cell>
          <cell r="K2525">
            <v>8.0000000000000002E-3</v>
          </cell>
        </row>
        <row r="2526">
          <cell r="A2526" t="str">
            <v>LU2740286294</v>
          </cell>
          <cell r="B2526" t="str">
            <v>Amundi Soluzioni Italia - Obbligazion Euro 06/2029</v>
          </cell>
          <cell r="C2526" t="str">
            <v>Class B Non - Distributing</v>
          </cell>
          <cell r="D2526" t="str">
            <v>EUR</v>
          </cell>
          <cell r="E2526">
            <v>45747</v>
          </cell>
          <cell r="F2526">
            <v>115361032.92</v>
          </cell>
          <cell r="G2526">
            <v>22181531.644000001</v>
          </cell>
          <cell r="H2526">
            <v>5.2009999999999996</v>
          </cell>
          <cell r="I2526">
            <v>0</v>
          </cell>
          <cell r="J2526">
            <v>5.2009999999999996</v>
          </cell>
          <cell r="K2526">
            <v>8.0000000000000002E-3</v>
          </cell>
        </row>
        <row r="2527">
          <cell r="A2527" t="str">
            <v>LU2740285726</v>
          </cell>
          <cell r="B2527" t="str">
            <v>Amundi Soluzioni Italia - Obbligazion Euro 06/2029</v>
          </cell>
          <cell r="C2527" t="str">
            <v>Class E Distributing Annually</v>
          </cell>
          <cell r="D2527" t="str">
            <v>EUR</v>
          </cell>
          <cell r="E2527">
            <v>45747</v>
          </cell>
          <cell r="F2527">
            <v>2154518.36</v>
          </cell>
          <cell r="G2527">
            <v>413734.772</v>
          </cell>
          <cell r="H2527">
            <v>5.2069999999999999</v>
          </cell>
          <cell r="I2527">
            <v>0</v>
          </cell>
          <cell r="J2527">
            <v>5.2069999999999999</v>
          </cell>
          <cell r="K2527">
            <v>7.0000000000000001E-3</v>
          </cell>
        </row>
        <row r="2528">
          <cell r="A2528" t="str">
            <v>LU2740285999</v>
          </cell>
          <cell r="B2528" t="str">
            <v>Amundi Soluzioni Italia - Obbligazion Euro 06/2029</v>
          </cell>
          <cell r="C2528" t="str">
            <v>Class E Non - Distributing</v>
          </cell>
          <cell r="D2528" t="str">
            <v>EUR</v>
          </cell>
          <cell r="E2528">
            <v>45747</v>
          </cell>
          <cell r="F2528">
            <v>1624011.97</v>
          </cell>
          <cell r="G2528">
            <v>311860.93400000001</v>
          </cell>
          <cell r="H2528">
            <v>5.2069999999999999</v>
          </cell>
          <cell r="I2528">
            <v>0</v>
          </cell>
          <cell r="J2528">
            <v>5.2069999999999999</v>
          </cell>
          <cell r="K2528">
            <v>7.0000000000000001E-3</v>
          </cell>
        </row>
        <row r="2529">
          <cell r="A2529" t="str">
            <v>LU2798192683</v>
          </cell>
          <cell r="B2529" t="str">
            <v>Amundi Soluzioni Italia - Obbligazion Euro 07/2029</v>
          </cell>
          <cell r="C2529" t="str">
            <v>Class B Distributing Annually</v>
          </cell>
          <cell r="D2529" t="str">
            <v>EUR</v>
          </cell>
          <cell r="E2529">
            <v>45747</v>
          </cell>
          <cell r="F2529">
            <v>514357021.58999997</v>
          </cell>
          <cell r="G2529">
            <v>100531753.976</v>
          </cell>
          <cell r="H2529">
            <v>5.1159999999999997</v>
          </cell>
          <cell r="I2529">
            <v>0</v>
          </cell>
          <cell r="J2529">
            <v>5.1159999999999997</v>
          </cell>
          <cell r="K2529">
            <v>8.0000000000000002E-3</v>
          </cell>
        </row>
        <row r="2530">
          <cell r="A2530" t="str">
            <v>LU2798192840</v>
          </cell>
          <cell r="B2530" t="str">
            <v>Amundi Soluzioni Italia - Obbligazion Euro 07/2029</v>
          </cell>
          <cell r="C2530" t="str">
            <v>Class B Non - Distributing</v>
          </cell>
          <cell r="D2530" t="str">
            <v>EUR</v>
          </cell>
          <cell r="E2530">
            <v>45747</v>
          </cell>
          <cell r="F2530">
            <v>139764040.19999999</v>
          </cell>
          <cell r="G2530">
            <v>27317026.741999999</v>
          </cell>
          <cell r="H2530">
            <v>5.1159999999999997</v>
          </cell>
          <cell r="I2530">
            <v>0</v>
          </cell>
          <cell r="J2530">
            <v>5.1159999999999997</v>
          </cell>
          <cell r="K2530">
            <v>8.0000000000000002E-3</v>
          </cell>
        </row>
        <row r="2531">
          <cell r="A2531" t="str">
            <v>LU2798192410</v>
          </cell>
          <cell r="B2531" t="str">
            <v>Amundi Soluzioni Italia - Obbligazion Euro 07/2029</v>
          </cell>
          <cell r="C2531" t="str">
            <v>Class E Distributing Annually</v>
          </cell>
          <cell r="D2531" t="str">
            <v>EUR</v>
          </cell>
          <cell r="E2531">
            <v>45747</v>
          </cell>
          <cell r="F2531">
            <v>3660157.55</v>
          </cell>
          <cell r="G2531">
            <v>714554.75399999996</v>
          </cell>
          <cell r="H2531">
            <v>5.1219999999999999</v>
          </cell>
          <cell r="I2531">
            <v>0</v>
          </cell>
          <cell r="J2531">
            <v>5.1219999999999999</v>
          </cell>
          <cell r="K2531">
            <v>8.0000000000000002E-3</v>
          </cell>
        </row>
        <row r="2532">
          <cell r="A2532" t="str">
            <v>LU2798192501</v>
          </cell>
          <cell r="B2532" t="str">
            <v>Amundi Soluzioni Italia - Obbligazion Euro 07/2029</v>
          </cell>
          <cell r="C2532" t="str">
            <v>Class E Non - Distributing</v>
          </cell>
          <cell r="D2532" t="str">
            <v>EUR</v>
          </cell>
          <cell r="E2532">
            <v>45747</v>
          </cell>
          <cell r="F2532">
            <v>2068397.47</v>
          </cell>
          <cell r="G2532">
            <v>403857</v>
          </cell>
          <cell r="H2532">
            <v>5.1219999999999999</v>
          </cell>
          <cell r="I2532">
            <v>0</v>
          </cell>
          <cell r="J2532">
            <v>5.1219999999999999</v>
          </cell>
          <cell r="K2532">
            <v>8.9999999999999993E-3</v>
          </cell>
        </row>
        <row r="2533">
          <cell r="A2533" t="str">
            <v>LU2798193145</v>
          </cell>
          <cell r="B2533" t="str">
            <v>Amundi Soluzioni Italia - Obbligazion Euro 08/2029</v>
          </cell>
          <cell r="C2533" t="str">
            <v>Class B Distributing Annually</v>
          </cell>
          <cell r="D2533" t="str">
            <v>EUR</v>
          </cell>
          <cell r="E2533">
            <v>45747</v>
          </cell>
          <cell r="F2533">
            <v>360660210.56999999</v>
          </cell>
          <cell r="G2533">
            <v>70766051.156000003</v>
          </cell>
          <cell r="H2533">
            <v>5.0970000000000004</v>
          </cell>
          <cell r="I2533">
            <v>0</v>
          </cell>
          <cell r="J2533">
            <v>5.0970000000000004</v>
          </cell>
          <cell r="K2533">
            <v>8.0000000000000002E-3</v>
          </cell>
        </row>
        <row r="2534">
          <cell r="A2534" t="str">
            <v>LU2798193228</v>
          </cell>
          <cell r="B2534" t="str">
            <v>Amundi Soluzioni Italia - Obbligazion Euro 08/2029</v>
          </cell>
          <cell r="C2534" t="str">
            <v>Class B Non - Distributing</v>
          </cell>
          <cell r="D2534" t="str">
            <v>EUR</v>
          </cell>
          <cell r="E2534">
            <v>45747</v>
          </cell>
          <cell r="F2534">
            <v>93434188.620000005</v>
          </cell>
          <cell r="G2534">
            <v>18332844.600000001</v>
          </cell>
          <cell r="H2534">
            <v>5.0970000000000004</v>
          </cell>
          <cell r="I2534">
            <v>0</v>
          </cell>
          <cell r="J2534">
            <v>5.0970000000000004</v>
          </cell>
          <cell r="K2534">
            <v>8.0000000000000002E-3</v>
          </cell>
        </row>
        <row r="2535">
          <cell r="A2535" t="str">
            <v>LU2798192923</v>
          </cell>
          <cell r="B2535" t="str">
            <v>Amundi Soluzioni Italia - Obbligazion Euro 08/2029</v>
          </cell>
          <cell r="C2535" t="str">
            <v>Class E Distributing Annually</v>
          </cell>
          <cell r="D2535" t="str">
            <v>EUR</v>
          </cell>
          <cell r="E2535">
            <v>45747</v>
          </cell>
          <cell r="F2535">
            <v>2971769.33</v>
          </cell>
          <cell r="G2535">
            <v>582525.75</v>
          </cell>
          <cell r="H2535">
            <v>5.1020000000000003</v>
          </cell>
          <cell r="I2535">
            <v>0</v>
          </cell>
          <cell r="J2535">
            <v>5.1020000000000003</v>
          </cell>
          <cell r="K2535">
            <v>8.9999999999999993E-3</v>
          </cell>
        </row>
        <row r="2536">
          <cell r="A2536" t="str">
            <v>LU2798193061</v>
          </cell>
          <cell r="B2536" t="str">
            <v>Amundi Soluzioni Italia - Obbligazion Euro 08/2029</v>
          </cell>
          <cell r="C2536" t="str">
            <v>Class E Non - Distributing</v>
          </cell>
          <cell r="D2536" t="str">
            <v>EUR</v>
          </cell>
          <cell r="E2536">
            <v>45747</v>
          </cell>
          <cell r="F2536">
            <v>1950992.48</v>
          </cell>
          <cell r="G2536">
            <v>382427.18300000002</v>
          </cell>
          <cell r="H2536">
            <v>5.1020000000000003</v>
          </cell>
          <cell r="I2536">
            <v>0</v>
          </cell>
          <cell r="J2536">
            <v>5.1020000000000003</v>
          </cell>
          <cell r="K2536">
            <v>8.0000000000000002E-3</v>
          </cell>
        </row>
        <row r="2537">
          <cell r="A2537" t="str">
            <v>LU2798193731</v>
          </cell>
          <cell r="B2537" t="str">
            <v>Amundi Soluzioni Italia - Obbligazion Euro 09/2029</v>
          </cell>
          <cell r="C2537" t="str">
            <v>Class B Distributing Annually</v>
          </cell>
          <cell r="D2537" t="str">
            <v>EUR</v>
          </cell>
          <cell r="E2537">
            <v>45747</v>
          </cell>
          <cell r="F2537">
            <v>508792322.74000001</v>
          </cell>
          <cell r="G2537">
            <v>100804056.434</v>
          </cell>
          <cell r="H2537">
            <v>5.0469999999999997</v>
          </cell>
          <cell r="I2537">
            <v>0</v>
          </cell>
          <cell r="J2537">
            <v>5.0469999999999997</v>
          </cell>
          <cell r="K2537">
            <v>8.0000000000000002E-3</v>
          </cell>
        </row>
        <row r="2538">
          <cell r="A2538" t="str">
            <v>LU2798193814</v>
          </cell>
          <cell r="B2538" t="str">
            <v>Amundi Soluzioni Italia - Obbligazion Euro 09/2029</v>
          </cell>
          <cell r="C2538" t="str">
            <v>Class B Non - Distributing</v>
          </cell>
          <cell r="D2538" t="str">
            <v>EUR</v>
          </cell>
          <cell r="E2538">
            <v>45747</v>
          </cell>
          <cell r="F2538">
            <v>139944530.50999999</v>
          </cell>
          <cell r="G2538">
            <v>27726407.5</v>
          </cell>
          <cell r="H2538">
            <v>5.0469999999999997</v>
          </cell>
          <cell r="I2538">
            <v>0</v>
          </cell>
          <cell r="J2538">
            <v>5.0469999999999997</v>
          </cell>
          <cell r="K2538">
            <v>8.0000000000000002E-3</v>
          </cell>
        </row>
        <row r="2539">
          <cell r="A2539" t="str">
            <v>LU2798193491</v>
          </cell>
          <cell r="B2539" t="str">
            <v>Amundi Soluzioni Italia - Obbligazion Euro 09/2029</v>
          </cell>
          <cell r="C2539" t="str">
            <v>Class E Distributing Annually</v>
          </cell>
          <cell r="D2539" t="str">
            <v>EUR</v>
          </cell>
          <cell r="E2539">
            <v>45747</v>
          </cell>
          <cell r="F2539">
            <v>3957757.77</v>
          </cell>
          <cell r="G2539">
            <v>783345.22400000005</v>
          </cell>
          <cell r="H2539">
            <v>5.0519999999999996</v>
          </cell>
          <cell r="I2539">
            <v>0</v>
          </cell>
          <cell r="J2539">
            <v>5.0519999999999996</v>
          </cell>
          <cell r="K2539">
            <v>8.9999999999999993E-3</v>
          </cell>
        </row>
        <row r="2540">
          <cell r="A2540" t="str">
            <v>LU2798193657</v>
          </cell>
          <cell r="B2540" t="str">
            <v>Amundi Soluzioni Italia - Obbligazion Euro 09/2029</v>
          </cell>
          <cell r="C2540" t="str">
            <v>Class E Non - Distributing</v>
          </cell>
          <cell r="D2540" t="str">
            <v>EUR</v>
          </cell>
          <cell r="E2540">
            <v>45747</v>
          </cell>
          <cell r="F2540">
            <v>1445659.8</v>
          </cell>
          <cell r="G2540">
            <v>286130.40000000002</v>
          </cell>
          <cell r="H2540">
            <v>5.0519999999999996</v>
          </cell>
          <cell r="I2540">
            <v>0</v>
          </cell>
          <cell r="J2540">
            <v>5.0519999999999996</v>
          </cell>
          <cell r="K2540">
            <v>8.9999999999999993E-3</v>
          </cell>
        </row>
        <row r="2541">
          <cell r="A2541" t="str">
            <v>LU2859985819</v>
          </cell>
          <cell r="B2541" t="str">
            <v>Amundi Soluzioni Italia - Obbligazion Euro 10/2029</v>
          </cell>
          <cell r="C2541" t="str">
            <v>Class B Distributing Annually</v>
          </cell>
          <cell r="D2541" t="str">
            <v>EUR</v>
          </cell>
          <cell r="E2541">
            <v>45747</v>
          </cell>
          <cell r="F2541">
            <v>500883970.00999999</v>
          </cell>
          <cell r="G2541">
            <v>99006674.618000001</v>
          </cell>
          <cell r="H2541">
            <v>5.0590000000000002</v>
          </cell>
          <cell r="I2541">
            <v>0</v>
          </cell>
          <cell r="J2541">
            <v>5.0590000000000002</v>
          </cell>
          <cell r="K2541">
            <v>8.9999999999999993E-3</v>
          </cell>
        </row>
        <row r="2542">
          <cell r="A2542" t="str">
            <v>LU2859985900</v>
          </cell>
          <cell r="B2542" t="str">
            <v>Amundi Soluzioni Italia - Obbligazion Euro 10/2029</v>
          </cell>
          <cell r="C2542" t="str">
            <v>Class B Non - Distributing</v>
          </cell>
          <cell r="D2542" t="str">
            <v>EUR</v>
          </cell>
          <cell r="E2542">
            <v>45747</v>
          </cell>
          <cell r="F2542">
            <v>147968381.33000001</v>
          </cell>
          <cell r="G2542">
            <v>29248002.408</v>
          </cell>
          <cell r="H2542">
            <v>5.0590000000000002</v>
          </cell>
          <cell r="I2542">
            <v>0</v>
          </cell>
          <cell r="J2542">
            <v>5.0590000000000002</v>
          </cell>
          <cell r="K2542">
            <v>8.9999999999999993E-3</v>
          </cell>
        </row>
        <row r="2543">
          <cell r="A2543" t="str">
            <v>LU2859985652</v>
          </cell>
          <cell r="B2543" t="str">
            <v>Amundi Soluzioni Italia - Obbligazion Euro 10/2029</v>
          </cell>
          <cell r="C2543" t="str">
            <v>Class E Distributing Annually</v>
          </cell>
          <cell r="D2543" t="str">
            <v>EUR</v>
          </cell>
          <cell r="E2543">
            <v>45747</v>
          </cell>
          <cell r="F2543">
            <v>5884961.0999999996</v>
          </cell>
          <cell r="G2543">
            <v>1162279.514</v>
          </cell>
          <cell r="H2543">
            <v>5.0629999999999997</v>
          </cell>
          <cell r="I2543">
            <v>0</v>
          </cell>
          <cell r="J2543">
            <v>5.0629999999999997</v>
          </cell>
          <cell r="K2543">
            <v>0.01</v>
          </cell>
        </row>
        <row r="2544">
          <cell r="A2544" t="str">
            <v>LU2859985736</v>
          </cell>
          <cell r="B2544" t="str">
            <v>Amundi Soluzioni Italia - Obbligazion Euro 10/2029</v>
          </cell>
          <cell r="C2544" t="str">
            <v>Class E Non - Distributing</v>
          </cell>
          <cell r="D2544" t="str">
            <v>EUR</v>
          </cell>
          <cell r="E2544">
            <v>45747</v>
          </cell>
          <cell r="F2544">
            <v>3783244.17</v>
          </cell>
          <cell r="G2544">
            <v>747189.55599999998</v>
          </cell>
          <cell r="H2544">
            <v>5.0629999999999997</v>
          </cell>
          <cell r="I2544">
            <v>0</v>
          </cell>
          <cell r="J2544">
            <v>5.0629999999999997</v>
          </cell>
          <cell r="K2544">
            <v>0.01</v>
          </cell>
        </row>
        <row r="2545">
          <cell r="A2545" t="str">
            <v>LU2859986205</v>
          </cell>
          <cell r="B2545" t="str">
            <v>Amundi Soluzioni Italia - Obbligazion Euro 11/2029</v>
          </cell>
          <cell r="C2545" t="str">
            <v>Class B Distributing Annually</v>
          </cell>
          <cell r="D2545" t="str">
            <v>EUR</v>
          </cell>
          <cell r="E2545">
            <v>45747</v>
          </cell>
          <cell r="F2545">
            <v>149231577.94</v>
          </cell>
          <cell r="G2545">
            <v>29956886.120000001</v>
          </cell>
          <cell r="H2545">
            <v>4.9820000000000002</v>
          </cell>
          <cell r="I2545">
            <v>0</v>
          </cell>
          <cell r="J2545">
            <v>4.9820000000000002</v>
          </cell>
          <cell r="K2545">
            <v>1.0999999999999999E-2</v>
          </cell>
        </row>
        <row r="2546">
          <cell r="A2546" t="str">
            <v>LU2859986387</v>
          </cell>
          <cell r="B2546" t="str">
            <v>Amundi Soluzioni Italia - Obbligazion Euro 11/2029</v>
          </cell>
          <cell r="C2546" t="str">
            <v>Class B Non - Distributing</v>
          </cell>
          <cell r="D2546" t="str">
            <v>EUR</v>
          </cell>
          <cell r="E2546">
            <v>45747</v>
          </cell>
          <cell r="F2546">
            <v>51951228.82</v>
          </cell>
          <cell r="G2546">
            <v>10428723.876</v>
          </cell>
          <cell r="H2546">
            <v>4.9820000000000002</v>
          </cell>
          <cell r="I2546">
            <v>0</v>
          </cell>
          <cell r="J2546">
            <v>4.9820000000000002</v>
          </cell>
          <cell r="K2546">
            <v>1.0999999999999999E-2</v>
          </cell>
        </row>
        <row r="2547">
          <cell r="A2547" t="str">
            <v>LU2859986031</v>
          </cell>
          <cell r="B2547" t="str">
            <v>Amundi Soluzioni Italia - Obbligazion Euro 11/2029</v>
          </cell>
          <cell r="C2547" t="str">
            <v>Class E Distributing Annually</v>
          </cell>
          <cell r="D2547" t="str">
            <v>EUR</v>
          </cell>
          <cell r="E2547">
            <v>45747</v>
          </cell>
          <cell r="F2547">
            <v>6681418.96</v>
          </cell>
          <cell r="G2547">
            <v>1340341.0060000001</v>
          </cell>
          <cell r="H2547">
            <v>4.9850000000000003</v>
          </cell>
          <cell r="I2547">
            <v>0</v>
          </cell>
          <cell r="J2547">
            <v>4.9850000000000003</v>
          </cell>
          <cell r="K2547">
            <v>1.0999999999999999E-2</v>
          </cell>
        </row>
        <row r="2548">
          <cell r="A2548" t="str">
            <v>LU2859986114</v>
          </cell>
          <cell r="B2548" t="str">
            <v>Amundi Soluzioni Italia - Obbligazion Euro 11/2029</v>
          </cell>
          <cell r="C2548" t="str">
            <v>Class E Non - Distributing</v>
          </cell>
          <cell r="D2548" t="str">
            <v>EUR</v>
          </cell>
          <cell r="E2548">
            <v>45747</v>
          </cell>
          <cell r="F2548">
            <v>1890555.26</v>
          </cell>
          <cell r="G2548">
            <v>379257.59999999998</v>
          </cell>
          <cell r="H2548">
            <v>4.9850000000000003</v>
          </cell>
          <cell r="I2548">
            <v>0</v>
          </cell>
          <cell r="J2548">
            <v>4.9850000000000003</v>
          </cell>
          <cell r="K2548">
            <v>1.0999999999999999E-2</v>
          </cell>
        </row>
        <row r="2549">
          <cell r="A2549" t="str">
            <v>LU2859986627</v>
          </cell>
          <cell r="B2549" t="str">
            <v>Amundi Soluzioni Italia - Obbligazion Euro 12/2029</v>
          </cell>
          <cell r="C2549" t="str">
            <v>Class B Distributing Annually</v>
          </cell>
          <cell r="D2549" t="str">
            <v>EUR</v>
          </cell>
          <cell r="E2549">
            <v>45747</v>
          </cell>
          <cell r="F2549">
            <v>64589397.409999996</v>
          </cell>
          <cell r="G2549">
            <v>12913172.199999999</v>
          </cell>
          <cell r="H2549">
            <v>5.0019999999999998</v>
          </cell>
          <cell r="I2549">
            <v>0</v>
          </cell>
          <cell r="J2549">
            <v>5.0019999999999998</v>
          </cell>
          <cell r="K2549">
            <v>8.9999999999999993E-3</v>
          </cell>
        </row>
        <row r="2550">
          <cell r="A2550" t="str">
            <v>LU2859986890</v>
          </cell>
          <cell r="B2550" t="str">
            <v>Amundi Soluzioni Italia - Obbligazion Euro 12/2029</v>
          </cell>
          <cell r="C2550" t="str">
            <v>Class B Non - Distributing</v>
          </cell>
          <cell r="D2550" t="str">
            <v>EUR</v>
          </cell>
          <cell r="E2550">
            <v>45747</v>
          </cell>
          <cell r="F2550">
            <v>18305631.18</v>
          </cell>
          <cell r="G2550">
            <v>3659791.6</v>
          </cell>
          <cell r="H2550">
            <v>5.0019999999999998</v>
          </cell>
          <cell r="I2550">
            <v>0</v>
          </cell>
          <cell r="J2550">
            <v>5.0019999999999998</v>
          </cell>
          <cell r="K2550">
            <v>8.9999999999999993E-3</v>
          </cell>
        </row>
        <row r="2551">
          <cell r="A2551" t="str">
            <v>LU2859986460</v>
          </cell>
          <cell r="B2551" t="str">
            <v>Amundi Soluzioni Italia - Obbligazion Euro 12/2029</v>
          </cell>
          <cell r="C2551" t="str">
            <v>Class E Distributing Annually</v>
          </cell>
          <cell r="D2551" t="str">
            <v>EUR</v>
          </cell>
          <cell r="E2551">
            <v>45747</v>
          </cell>
          <cell r="F2551">
            <v>2008941.17</v>
          </cell>
          <cell r="G2551">
            <v>401419.7</v>
          </cell>
          <cell r="H2551">
            <v>5.0049999999999999</v>
          </cell>
          <cell r="I2551">
            <v>0</v>
          </cell>
          <cell r="J2551">
            <v>5.0049999999999999</v>
          </cell>
          <cell r="K2551">
            <v>0.01</v>
          </cell>
        </row>
        <row r="2552">
          <cell r="A2552" t="str">
            <v>LU2859986544</v>
          </cell>
          <cell r="B2552" t="str">
            <v>Amundi Soluzioni Italia - Obbligazion Euro 12/2029</v>
          </cell>
          <cell r="C2552" t="str">
            <v>Class E Non - Distributing</v>
          </cell>
          <cell r="D2552" t="str">
            <v>EUR</v>
          </cell>
          <cell r="E2552">
            <v>45747</v>
          </cell>
          <cell r="F2552">
            <v>1303131.28</v>
          </cell>
          <cell r="G2552">
            <v>260387.20000000001</v>
          </cell>
          <cell r="H2552">
            <v>5.0049999999999999</v>
          </cell>
          <cell r="I2552">
            <v>0</v>
          </cell>
          <cell r="J2552">
            <v>5.0049999999999999</v>
          </cell>
          <cell r="K2552">
            <v>0.01</v>
          </cell>
        </row>
        <row r="2553">
          <cell r="A2553" t="str">
            <v>LU2925012267</v>
          </cell>
          <cell r="B2553" t="str">
            <v>ASI Progetto Azione Intelligenza Artificiale (III)</v>
          </cell>
          <cell r="C2553" t="str">
            <v>Class E Non - Distributing</v>
          </cell>
          <cell r="D2553" t="str">
            <v>EUR</v>
          </cell>
          <cell r="E2553">
            <v>45747</v>
          </cell>
          <cell r="F2553">
            <v>23195041.899999999</v>
          </cell>
          <cell r="G2553">
            <v>4775992.4979999997</v>
          </cell>
          <cell r="H2553">
            <v>4.8570000000000002</v>
          </cell>
          <cell r="I2553">
            <v>0</v>
          </cell>
          <cell r="J2553">
            <v>4.8570000000000002</v>
          </cell>
          <cell r="K2553">
            <v>-1.2999999999999999E-2</v>
          </cell>
        </row>
        <row r="2554">
          <cell r="A2554" t="str">
            <v>LU2925012341</v>
          </cell>
          <cell r="B2554" t="str">
            <v>ASI Progetto Azione Intelligenza Artificiale (III)</v>
          </cell>
          <cell r="C2554" t="str">
            <v>Class U Non - Distributing</v>
          </cell>
          <cell r="D2554" t="str">
            <v>EUR</v>
          </cell>
          <cell r="E2554">
            <v>45747</v>
          </cell>
          <cell r="F2554">
            <v>631767179.17999995</v>
          </cell>
          <cell r="G2554">
            <v>130115934.10699999</v>
          </cell>
          <cell r="H2554">
            <v>4.8550000000000004</v>
          </cell>
          <cell r="I2554">
            <v>0</v>
          </cell>
          <cell r="J2554">
            <v>4.8550000000000004</v>
          </cell>
          <cell r="K2554">
            <v>-1.4E-2</v>
          </cell>
        </row>
        <row r="2555">
          <cell r="A2555" t="str">
            <v>LU2925011293</v>
          </cell>
          <cell r="B2555" t="str">
            <v>Amundi Soluzioni Italia - Obbligazion Euro 01/2030</v>
          </cell>
          <cell r="C2555" t="str">
            <v>Class B Distributing Annually</v>
          </cell>
          <cell r="D2555" t="str">
            <v>EUR</v>
          </cell>
          <cell r="E2555">
            <v>45747</v>
          </cell>
          <cell r="F2555">
            <v>109752719.84</v>
          </cell>
          <cell r="G2555">
            <v>22086268.513999999</v>
          </cell>
          <cell r="H2555">
            <v>4.9690000000000003</v>
          </cell>
          <cell r="I2555">
            <v>0</v>
          </cell>
          <cell r="J2555">
            <v>4.9690000000000003</v>
          </cell>
          <cell r="K2555">
            <v>1.0999999999999999E-2</v>
          </cell>
        </row>
        <row r="2556">
          <cell r="A2556" t="str">
            <v>LU2925011376</v>
          </cell>
          <cell r="B2556" t="str">
            <v>Amundi Soluzioni Italia - Obbligazion Euro 01/2030</v>
          </cell>
          <cell r="C2556" t="str">
            <v>Class B Non - Distributing</v>
          </cell>
          <cell r="D2556" t="str">
            <v>EUR</v>
          </cell>
          <cell r="E2556">
            <v>45747</v>
          </cell>
          <cell r="F2556">
            <v>39174007.899999999</v>
          </cell>
          <cell r="G2556">
            <v>7883246.4000000004</v>
          </cell>
          <cell r="H2556">
            <v>4.9690000000000003</v>
          </cell>
          <cell r="I2556">
            <v>0</v>
          </cell>
          <cell r="J2556">
            <v>4.9690000000000003</v>
          </cell>
          <cell r="K2556">
            <v>1.0999999999999999E-2</v>
          </cell>
        </row>
        <row r="2557">
          <cell r="A2557" t="str">
            <v>LU2925010998</v>
          </cell>
          <cell r="B2557" t="str">
            <v>Amundi Soluzioni Italia - Obbligazion Euro 01/2030</v>
          </cell>
          <cell r="C2557" t="str">
            <v>Class E Distributing Annually</v>
          </cell>
          <cell r="D2557" t="str">
            <v>EUR</v>
          </cell>
          <cell r="E2557">
            <v>45747</v>
          </cell>
          <cell r="F2557">
            <v>3285216.08</v>
          </cell>
          <cell r="G2557">
            <v>660892.13399999996</v>
          </cell>
          <cell r="H2557">
            <v>4.9710000000000001</v>
          </cell>
          <cell r="I2557">
            <v>0</v>
          </cell>
          <cell r="J2557">
            <v>4.9710000000000001</v>
          </cell>
          <cell r="K2557">
            <v>1.2E-2</v>
          </cell>
        </row>
        <row r="2558">
          <cell r="A2558" t="str">
            <v>LU2925011020</v>
          </cell>
          <cell r="B2558" t="str">
            <v>Amundi Soluzioni Italia - Obbligazion Euro 01/2030</v>
          </cell>
          <cell r="C2558" t="str">
            <v>Class E Non - Distributing</v>
          </cell>
          <cell r="D2558" t="str">
            <v>EUR</v>
          </cell>
          <cell r="E2558">
            <v>45747</v>
          </cell>
          <cell r="F2558">
            <v>2078289.25</v>
          </cell>
          <cell r="G2558">
            <v>418092.85</v>
          </cell>
          <cell r="H2558">
            <v>4.9710000000000001</v>
          </cell>
          <cell r="I2558">
            <v>0</v>
          </cell>
          <cell r="J2558">
            <v>4.9710000000000001</v>
          </cell>
          <cell r="K2558">
            <v>1.2E-2</v>
          </cell>
        </row>
        <row r="2559">
          <cell r="A2559" t="str">
            <v>LU2925012002</v>
          </cell>
          <cell r="B2559" t="str">
            <v>Amundi Soluzioni Italia - Obbligazion Euro 03/2030</v>
          </cell>
          <cell r="C2559" t="str">
            <v>Class B Distributing Annually</v>
          </cell>
          <cell r="D2559" t="str">
            <v>EUR</v>
          </cell>
          <cell r="E2559">
            <v>45747</v>
          </cell>
          <cell r="F2559">
            <v>5</v>
          </cell>
          <cell r="G2559">
            <v>1</v>
          </cell>
          <cell r="H2559">
            <v>5</v>
          </cell>
          <cell r="I2559">
            <v>0</v>
          </cell>
          <cell r="J2559">
            <v>5</v>
          </cell>
          <cell r="K2559">
            <v>5</v>
          </cell>
        </row>
        <row r="2560">
          <cell r="A2560" t="str">
            <v>LU2925012184</v>
          </cell>
          <cell r="B2560" t="str">
            <v>Amundi Soluzioni Italia - Obbligazion Euro 03/2030</v>
          </cell>
          <cell r="C2560" t="str">
            <v>Class B Non - Distributing</v>
          </cell>
          <cell r="D2560" t="str">
            <v>EUR</v>
          </cell>
          <cell r="E2560">
            <v>45747</v>
          </cell>
          <cell r="F2560">
            <v>5</v>
          </cell>
          <cell r="G2560">
            <v>1</v>
          </cell>
          <cell r="H2560">
            <v>5</v>
          </cell>
          <cell r="I2560">
            <v>0</v>
          </cell>
          <cell r="J2560">
            <v>5</v>
          </cell>
          <cell r="K2560">
            <v>5</v>
          </cell>
        </row>
        <row r="2561">
          <cell r="A2561" t="str">
            <v>LU2925011889</v>
          </cell>
          <cell r="B2561" t="str">
            <v>Amundi Soluzioni Italia - Obbligazion Euro 03/2030</v>
          </cell>
          <cell r="C2561" t="str">
            <v>Class E Distributing Annually</v>
          </cell>
          <cell r="D2561" t="str">
            <v>EUR</v>
          </cell>
          <cell r="E2561">
            <v>45747</v>
          </cell>
          <cell r="F2561">
            <v>5</v>
          </cell>
          <cell r="G2561">
            <v>1</v>
          </cell>
          <cell r="H2561">
            <v>5</v>
          </cell>
          <cell r="I2561">
            <v>0</v>
          </cell>
          <cell r="J2561">
            <v>5</v>
          </cell>
          <cell r="K2561">
            <v>5</v>
          </cell>
        </row>
        <row r="2562">
          <cell r="A2562" t="str">
            <v>LU2925011962</v>
          </cell>
          <cell r="B2562" t="str">
            <v>Amundi Soluzioni Italia - Obbligazion Euro 03/2030</v>
          </cell>
          <cell r="C2562" t="str">
            <v>Class E Non - Distributing</v>
          </cell>
          <cell r="D2562" t="str">
            <v>EUR</v>
          </cell>
          <cell r="E2562">
            <v>45747</v>
          </cell>
          <cell r="F2562">
            <v>5</v>
          </cell>
          <cell r="G2562">
            <v>1</v>
          </cell>
          <cell r="H2562">
            <v>5</v>
          </cell>
          <cell r="I2562">
            <v>0</v>
          </cell>
          <cell r="J2562">
            <v>5</v>
          </cell>
          <cell r="K2562">
            <v>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</sheetNames>
    <sheetDataSet>
      <sheetData sheetId="0">
        <row r="2">
          <cell r="A2" t="str">
            <v>LU2630492929</v>
          </cell>
          <cell r="B2" t="str">
            <v>AMUNDI FUNDS EMERGING MARKETS BLENDED BOND</v>
          </cell>
          <cell r="C2" t="str">
            <v>Class X3 EUR QD (D)</v>
          </cell>
          <cell r="D2" t="str">
            <v>100% Net Income</v>
          </cell>
          <cell r="E2">
            <v>0</v>
          </cell>
          <cell r="F2">
            <v>15.077143700000001</v>
          </cell>
          <cell r="G2">
            <v>15.077143700000001</v>
          </cell>
        </row>
        <row r="3">
          <cell r="A3" t="str">
            <v>LU1882453589</v>
          </cell>
          <cell r="B3" t="str">
            <v>AMUNDI FUNDS EMERGING MARKETS BOND</v>
          </cell>
          <cell r="C3" t="str">
            <v>Class I2 GBP HQD (D)</v>
          </cell>
          <cell r="D3" t="str">
            <v>100% Net Income</v>
          </cell>
          <cell r="E3">
            <v>0</v>
          </cell>
          <cell r="F3">
            <v>11.2853713</v>
          </cell>
          <cell r="G3">
            <v>11.2853713</v>
          </cell>
        </row>
        <row r="4">
          <cell r="A4" t="str">
            <v>LU1882453746</v>
          </cell>
          <cell r="B4" t="str">
            <v>AMUNDI FUNDS EMERGING MARKETS BOND</v>
          </cell>
          <cell r="C4" t="str">
            <v>Class I2 USD QD (D)</v>
          </cell>
          <cell r="D4" t="str">
            <v>100% Net Income</v>
          </cell>
          <cell r="E4">
            <v>0</v>
          </cell>
          <cell r="F4">
            <v>12.27795002</v>
          </cell>
          <cell r="G4">
            <v>12.27795002</v>
          </cell>
        </row>
        <row r="5">
          <cell r="A5" t="str">
            <v>LU2052287997</v>
          </cell>
          <cell r="B5" t="str">
            <v>AMUNDI FUNDS EMERGING MARKETS BOND</v>
          </cell>
          <cell r="C5" t="str">
            <v>Class J3 GBP QD (D)</v>
          </cell>
          <cell r="D5" t="str">
            <v>100% Net Income</v>
          </cell>
          <cell r="E5">
            <v>0</v>
          </cell>
          <cell r="F5">
            <v>11.888</v>
          </cell>
          <cell r="G5">
            <v>11.888</v>
          </cell>
        </row>
        <row r="6">
          <cell r="A6" t="str">
            <v>LU2052290199</v>
          </cell>
          <cell r="B6" t="str">
            <v>AMUNDI FUNDS EMERGING MARKETS CORPORATE BOND</v>
          </cell>
          <cell r="C6" t="str">
            <v>Class Z EUR QD (D)</v>
          </cell>
          <cell r="D6" t="str">
            <v>100% Net Income</v>
          </cell>
          <cell r="E6">
            <v>0</v>
          </cell>
          <cell r="F6">
            <v>12.9721668</v>
          </cell>
          <cell r="G6">
            <v>12.9721668</v>
          </cell>
        </row>
        <row r="7">
          <cell r="A7" t="str">
            <v>LU2052289936</v>
          </cell>
          <cell r="B7" t="str">
            <v>AMUNDI FUNDS EMERGING MARKETS CORPORATE BOND</v>
          </cell>
          <cell r="C7" t="str">
            <v>Class Z USD QD (D)</v>
          </cell>
          <cell r="D7" t="str">
            <v>100% Net Income</v>
          </cell>
          <cell r="E7">
            <v>0</v>
          </cell>
          <cell r="F7">
            <v>12.62656293</v>
          </cell>
          <cell r="G7">
            <v>12.62656293</v>
          </cell>
        </row>
        <row r="8">
          <cell r="A8" t="str">
            <v>LU2386146786</v>
          </cell>
          <cell r="B8" t="str">
            <v>AMUNDI FUNDS EMERGING MARKETS EQUITY ESG IMPROVERS</v>
          </cell>
          <cell r="C8" t="str">
            <v>Class H USD QD (D)</v>
          </cell>
          <cell r="D8" t="str">
            <v>100% Net Income</v>
          </cell>
          <cell r="E8">
            <v>0</v>
          </cell>
          <cell r="F8">
            <v>4.3847922500000003</v>
          </cell>
          <cell r="G8">
            <v>4.3847922500000003</v>
          </cell>
        </row>
        <row r="9">
          <cell r="A9" t="str">
            <v>LU2386146943</v>
          </cell>
          <cell r="B9" t="str">
            <v>AMUNDI FUNDS EMERGING MARKETS EQUITY ESG IMPROVERS</v>
          </cell>
          <cell r="C9" t="str">
            <v>Class Z USD QD (D)</v>
          </cell>
          <cell r="D9" t="str">
            <v>100% Net Income</v>
          </cell>
          <cell r="E9">
            <v>0</v>
          </cell>
          <cell r="F9">
            <v>3.9604339099999999</v>
          </cell>
          <cell r="G9">
            <v>3.9604339099999999</v>
          </cell>
        </row>
        <row r="10">
          <cell r="A10" t="str">
            <v>LU1882461418</v>
          </cell>
          <cell r="B10" t="str">
            <v>AMUNDI FUNDS EMERGING MARKETS LOCAL CURRENCY BOND</v>
          </cell>
          <cell r="C10" t="str">
            <v>Class I2 EUR QD (D)</v>
          </cell>
          <cell r="D10" t="str">
            <v>100% Net Income</v>
          </cell>
          <cell r="E10">
            <v>0</v>
          </cell>
          <cell r="F10">
            <v>14.36645397</v>
          </cell>
          <cell r="G10">
            <v>14.36645397</v>
          </cell>
        </row>
        <row r="11">
          <cell r="A11" t="str">
            <v>LU2031984425</v>
          </cell>
          <cell r="B11" t="str">
            <v>AMUNDI FUNDS EMERGING MARKETS LOCAL CURRENCY BOND</v>
          </cell>
          <cell r="C11" t="str">
            <v>Class I2 GBP QD (D)</v>
          </cell>
          <cell r="D11" t="str">
            <v>100% Net Income</v>
          </cell>
          <cell r="E11">
            <v>0</v>
          </cell>
          <cell r="F11">
            <v>13.557434730000001</v>
          </cell>
          <cell r="G11">
            <v>13.557434730000001</v>
          </cell>
        </row>
        <row r="12">
          <cell r="A12" t="str">
            <v>LU2031983617</v>
          </cell>
          <cell r="B12" t="str">
            <v>AMUNDI FUNDS EQUITY JAPAN TARGET</v>
          </cell>
          <cell r="C12" t="str">
            <v>Class I2 GBP QD (D)</v>
          </cell>
          <cell r="D12" t="str">
            <v>100% Net Income</v>
          </cell>
          <cell r="E12">
            <v>0</v>
          </cell>
          <cell r="F12">
            <v>11.853999999999999</v>
          </cell>
          <cell r="G12">
            <v>11.853999999999999</v>
          </cell>
        </row>
        <row r="13">
          <cell r="A13" t="str">
            <v>LU1883314673</v>
          </cell>
          <cell r="B13" t="str">
            <v>AMUNDI FUNDS EUROPEAN EQUITY VALUE</v>
          </cell>
          <cell r="C13" t="str">
            <v>Class A EUR QD (D)</v>
          </cell>
          <cell r="D13" t="str">
            <v>100% Net Income</v>
          </cell>
          <cell r="E13">
            <v>0</v>
          </cell>
          <cell r="F13">
            <v>0.14842770999999999</v>
          </cell>
          <cell r="G13">
            <v>0.14842770999999999</v>
          </cell>
        </row>
        <row r="14">
          <cell r="A14" t="str">
            <v>LU2819203915</v>
          </cell>
          <cell r="B14" t="str">
            <v>AMUNDI FUNDS EUROPEAN EQUITY VALUE</v>
          </cell>
          <cell r="C14" t="str">
            <v>Class J2 USD QD (D)</v>
          </cell>
          <cell r="D14" t="str">
            <v>100% Net Income</v>
          </cell>
          <cell r="E14">
            <v>0</v>
          </cell>
          <cell r="F14">
            <v>5.95631266</v>
          </cell>
          <cell r="G14">
            <v>5.95631266</v>
          </cell>
        </row>
        <row r="15">
          <cell r="A15" t="str">
            <v>LU2031983880</v>
          </cell>
          <cell r="B15" t="str">
            <v>AMUNDI FUNDS GLOBAL AGGREGATE BOND</v>
          </cell>
          <cell r="C15" t="str">
            <v>Class I2 GBP QD (D)</v>
          </cell>
          <cell r="D15" t="str">
            <v>100% Net Income</v>
          </cell>
          <cell r="E15">
            <v>0</v>
          </cell>
          <cell r="F15">
            <v>7.68</v>
          </cell>
          <cell r="G15">
            <v>7.68</v>
          </cell>
        </row>
        <row r="16">
          <cell r="A16" t="str">
            <v>LU2782805605</v>
          </cell>
          <cell r="B16" t="str">
            <v>AMUNDI FUNDS GLOBAL CORPORATE BOND</v>
          </cell>
          <cell r="C16" t="str">
            <v>Class J19 GBP H QD</v>
          </cell>
          <cell r="D16" t="str">
            <v>100% Net Income</v>
          </cell>
          <cell r="E16">
            <v>0</v>
          </cell>
          <cell r="F16">
            <v>11.12507808</v>
          </cell>
          <cell r="G16">
            <v>11.12507808</v>
          </cell>
        </row>
        <row r="17">
          <cell r="A17" t="str">
            <v>LU2305762549</v>
          </cell>
          <cell r="B17" t="str">
            <v>AMUNDI FUNDS GLOBAL ECOLOGY ESG</v>
          </cell>
          <cell r="C17" t="str">
            <v>Class H EUR QD (D)</v>
          </cell>
          <cell r="D17" t="str">
            <v>100% Net Income</v>
          </cell>
          <cell r="E17">
            <v>0</v>
          </cell>
          <cell r="F17">
            <v>2.91</v>
          </cell>
          <cell r="G17">
            <v>2.91</v>
          </cell>
        </row>
        <row r="18">
          <cell r="A18" t="str">
            <v>LU2279408673</v>
          </cell>
          <cell r="B18" t="str">
            <v>AMUNDI FUNDS GLOBAL ECOLOGY ESG</v>
          </cell>
          <cell r="C18" t="str">
            <v>Class M2 EUR QD (D)</v>
          </cell>
          <cell r="D18" t="str">
            <v>100% Net Income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LU2538405791</v>
          </cell>
          <cell r="B19" t="str">
            <v>AMUNDI FUNDS GLOBAL EQUITY INCOME ESG</v>
          </cell>
          <cell r="C19" t="str">
            <v>Class X3 EUR QD (D)</v>
          </cell>
          <cell r="D19" t="str">
            <v>100% Net Income</v>
          </cell>
          <cell r="E19">
            <v>0</v>
          </cell>
          <cell r="F19">
            <v>5.9812561100000003</v>
          </cell>
          <cell r="G19">
            <v>5.9812561100000003</v>
          </cell>
        </row>
        <row r="20">
          <cell r="A20" t="str">
            <v>LU2330497947</v>
          </cell>
          <cell r="B20" t="str">
            <v>AMUNDI FUNDS GLOBAL HIGH YIELD BOND</v>
          </cell>
          <cell r="C20" t="str">
            <v>Class I14 GBP HQD(D)</v>
          </cell>
          <cell r="D20" t="str">
            <v>100% Net Income</v>
          </cell>
          <cell r="E20">
            <v>0</v>
          </cell>
          <cell r="F20">
            <v>1.44781027</v>
          </cell>
          <cell r="G20">
            <v>1.44781027</v>
          </cell>
        </row>
        <row r="21">
          <cell r="A21" t="str">
            <v>LU2031984003</v>
          </cell>
          <cell r="B21" t="str">
            <v>AMUNDI FUNDS GLOBAL HIGH YIELD BOND</v>
          </cell>
          <cell r="C21" t="str">
            <v>Class I2 GBP QD (D)</v>
          </cell>
          <cell r="D21" t="str">
            <v>100% Net Income</v>
          </cell>
          <cell r="E21">
            <v>0</v>
          </cell>
          <cell r="F21">
            <v>12.692</v>
          </cell>
          <cell r="G21">
            <v>12.692</v>
          </cell>
        </row>
        <row r="22">
          <cell r="A22" t="str">
            <v>LU2052287211</v>
          </cell>
          <cell r="B22" t="str">
            <v>AMUNDI FUNDS GLOBAL HIGH YIELD BOND</v>
          </cell>
          <cell r="C22" t="str">
            <v>Class J3 GBP QD (D)</v>
          </cell>
          <cell r="D22" t="str">
            <v>100% Net Income</v>
          </cell>
          <cell r="E22">
            <v>0</v>
          </cell>
          <cell r="F22">
            <v>12.692</v>
          </cell>
          <cell r="G22">
            <v>12.692</v>
          </cell>
        </row>
        <row r="23">
          <cell r="A23" t="str">
            <v>LU1883334606</v>
          </cell>
          <cell r="B23" t="str">
            <v>AMUNDI FUNDS GLOBAL SUBORDINATED BOND</v>
          </cell>
          <cell r="C23" t="str">
            <v>Class I2 EUR QD (D)</v>
          </cell>
          <cell r="D23" t="str">
            <v>100% Net Income</v>
          </cell>
          <cell r="E23">
            <v>0</v>
          </cell>
          <cell r="F23">
            <v>11.990883759999999</v>
          </cell>
          <cell r="G23">
            <v>11.990883759999999</v>
          </cell>
        </row>
        <row r="24">
          <cell r="A24" t="str">
            <v>LU2085675432</v>
          </cell>
          <cell r="B24" t="str">
            <v>AMUNDI FUNDS GLOBAL SUBORDINATED BOND</v>
          </cell>
          <cell r="C24" t="str">
            <v>Class Z EUR QD (D)</v>
          </cell>
          <cell r="D24" t="str">
            <v>100% Net Income</v>
          </cell>
          <cell r="E24">
            <v>0</v>
          </cell>
          <cell r="F24">
            <v>14.15581126</v>
          </cell>
          <cell r="G24">
            <v>14.15581126</v>
          </cell>
        </row>
        <row r="25">
          <cell r="A25" t="str">
            <v>LU1894680088</v>
          </cell>
          <cell r="B25" t="str">
            <v>AMUNDI FUNDS OPTIMAL YIELD</v>
          </cell>
          <cell r="C25" t="str">
            <v>Class G EUR QD (D)</v>
          </cell>
          <cell r="D25" t="str">
            <v>100% Net Income</v>
          </cell>
          <cell r="E25">
            <v>0</v>
          </cell>
          <cell r="F25">
            <v>4.1137939999999998E-2</v>
          </cell>
          <cell r="G25">
            <v>4.1137939999999998E-2</v>
          </cell>
        </row>
        <row r="26">
          <cell r="A26" t="str">
            <v>LU2070303842</v>
          </cell>
          <cell r="B26" t="str">
            <v>AMUNDI FUNDS REAL ASSETS TARGET INCOME</v>
          </cell>
          <cell r="C26" t="str">
            <v>Class Z EUR QD (D)</v>
          </cell>
          <cell r="D26" t="str">
            <v>100% Net Income</v>
          </cell>
          <cell r="E26">
            <v>0</v>
          </cell>
          <cell r="F26">
            <v>7.4675186900000003</v>
          </cell>
          <cell r="G26">
            <v>7.4675186900000003</v>
          </cell>
        </row>
        <row r="27">
          <cell r="A27" t="str">
            <v>LU1894679155</v>
          </cell>
          <cell r="B27" t="str">
            <v>AMUNDI FUNDS STRATEGIC BOND</v>
          </cell>
          <cell r="C27" t="str">
            <v>Class G EUR QD (D)</v>
          </cell>
          <cell r="D27" t="str">
            <v>100% Net Income</v>
          </cell>
          <cell r="E27">
            <v>0</v>
          </cell>
          <cell r="F27">
            <v>5.58653E-2</v>
          </cell>
          <cell r="G27">
            <v>5.58653E-2</v>
          </cell>
        </row>
        <row r="28">
          <cell r="A28" t="str">
            <v>LU1883302744</v>
          </cell>
          <cell r="B28" t="str">
            <v>AMUNDI FUNDS STRATEGIC BOND</v>
          </cell>
          <cell r="C28" t="str">
            <v>Class I2 EUR QD (D)</v>
          </cell>
          <cell r="D28" t="str">
            <v>100% Net Income</v>
          </cell>
          <cell r="E28">
            <v>0</v>
          </cell>
          <cell r="F28">
            <v>11.85168114</v>
          </cell>
          <cell r="G28">
            <v>11.85168114</v>
          </cell>
        </row>
        <row r="29">
          <cell r="A29" t="str">
            <v>LU1894682530</v>
          </cell>
          <cell r="B29" t="str">
            <v>AMUNDI FUNDS STRATEGIC INCOME</v>
          </cell>
          <cell r="C29" t="str">
            <v>Class G EUR H QD (D)</v>
          </cell>
          <cell r="D29" t="str">
            <v>100% Net Income</v>
          </cell>
          <cell r="E29">
            <v>0</v>
          </cell>
          <cell r="F29">
            <v>4.1111210000000002E-2</v>
          </cell>
          <cell r="G29">
            <v>4.1111210000000002E-2</v>
          </cell>
        </row>
        <row r="30">
          <cell r="A30" t="str">
            <v>LU1883844802</v>
          </cell>
          <cell r="B30" t="str">
            <v>AMUNDI FUNDS STRATEGIC INCOME</v>
          </cell>
          <cell r="C30" t="str">
            <v>Class I2 EUR QD (D)</v>
          </cell>
          <cell r="D30" t="str">
            <v>100% Net Income</v>
          </cell>
          <cell r="E30">
            <v>0</v>
          </cell>
          <cell r="F30">
            <v>12.76929294</v>
          </cell>
          <cell r="G30">
            <v>12.76929294</v>
          </cell>
        </row>
        <row r="31">
          <cell r="A31" t="str">
            <v>LU1883845288</v>
          </cell>
          <cell r="B31" t="str">
            <v>AMUNDI FUNDS STRATEGIC INCOME</v>
          </cell>
          <cell r="C31" t="str">
            <v>Class I2 USD QD (D)</v>
          </cell>
          <cell r="D31" t="str">
            <v>100% Net Income</v>
          </cell>
          <cell r="E31">
            <v>0</v>
          </cell>
          <cell r="F31">
            <v>13.791456289999999</v>
          </cell>
          <cell r="G31">
            <v>13.791456289999999</v>
          </cell>
        </row>
        <row r="32">
          <cell r="A32" t="str">
            <v>LU1883849355</v>
          </cell>
          <cell r="B32" t="str">
            <v>AMUNDI FUNDS US BOND</v>
          </cell>
          <cell r="C32" t="str">
            <v>Class A2 EUR QD (D)</v>
          </cell>
          <cell r="D32" t="str">
            <v>100% Net Income</v>
          </cell>
          <cell r="E32">
            <v>0</v>
          </cell>
          <cell r="F32">
            <v>0.45370716999999999</v>
          </cell>
          <cell r="G32">
            <v>0.45370716999999999</v>
          </cell>
        </row>
        <row r="33">
          <cell r="A33" t="str">
            <v>LU1883849439</v>
          </cell>
          <cell r="B33" t="str">
            <v>AMUNDI FUNDS US BOND</v>
          </cell>
          <cell r="C33" t="str">
            <v>Class A2 GBP HQD (D)</v>
          </cell>
          <cell r="D33" t="str">
            <v>100% Net Income</v>
          </cell>
          <cell r="E33">
            <v>0</v>
          </cell>
          <cell r="F33">
            <v>0.35779032</v>
          </cell>
          <cell r="G33">
            <v>0.35779032</v>
          </cell>
        </row>
        <row r="34">
          <cell r="A34" t="str">
            <v>LU2031984185</v>
          </cell>
          <cell r="B34" t="str">
            <v>AMUNDI FUNDS US BOND</v>
          </cell>
          <cell r="C34" t="str">
            <v>Class I2 GBP QD (D)</v>
          </cell>
          <cell r="D34" t="str">
            <v>100% Net Income</v>
          </cell>
          <cell r="E34">
            <v>0</v>
          </cell>
          <cell r="F34">
            <v>9.0500000000000007</v>
          </cell>
          <cell r="G34">
            <v>9.0500000000000007</v>
          </cell>
        </row>
        <row r="35">
          <cell r="A35" t="str">
            <v>LU1883852730</v>
          </cell>
          <cell r="B35" t="str">
            <v>AMUNDI FUNDS US BOND</v>
          </cell>
          <cell r="C35" t="str">
            <v>Class R2 EUR QD (D)</v>
          </cell>
          <cell r="D35" t="str">
            <v>100% Net Income</v>
          </cell>
          <cell r="E35">
            <v>0</v>
          </cell>
          <cell r="F35">
            <v>0.48309999999999997</v>
          </cell>
          <cell r="G35">
            <v>0.48309999999999997</v>
          </cell>
        </row>
        <row r="36">
          <cell r="A36" t="str">
            <v>LU2305762622</v>
          </cell>
          <cell r="B36" t="str">
            <v>AMUNDI FUNDS US CORPORATE BOND</v>
          </cell>
          <cell r="C36" t="str">
            <v>Class M2 EUR HQTD(D)</v>
          </cell>
          <cell r="D36" t="str">
            <v>100% Net Income</v>
          </cell>
          <cell r="E36">
            <v>0</v>
          </cell>
          <cell r="F36">
            <v>8.7958005400000001</v>
          </cell>
          <cell r="G36">
            <v>8.7958005400000001</v>
          </cell>
        </row>
        <row r="37">
          <cell r="A37" t="str">
            <v>LU1883863935</v>
          </cell>
          <cell r="B37" t="str">
            <v>AMUNDI FUNDS US HIGH YIELD BOND</v>
          </cell>
          <cell r="C37" t="str">
            <v>Class I2 USD QD (D)</v>
          </cell>
          <cell r="D37" t="str">
            <v>100% Net Income</v>
          </cell>
          <cell r="E37">
            <v>0</v>
          </cell>
          <cell r="F37">
            <v>15.855600219999999</v>
          </cell>
          <cell r="G37">
            <v>15.855600219999999</v>
          </cell>
        </row>
        <row r="38">
          <cell r="A38" t="str">
            <v>LU2907103910</v>
          </cell>
          <cell r="B38" t="str">
            <v>AMUNDI FUNDS US PIONEER FUND</v>
          </cell>
          <cell r="C38" t="str">
            <v>Class M2 EUR QD (D)</v>
          </cell>
          <cell r="D38" t="str">
            <v>100% Net Income</v>
          </cell>
          <cell r="E38">
            <v>0</v>
          </cell>
          <cell r="F38">
            <v>0.16400000000000001</v>
          </cell>
          <cell r="G38">
            <v>0.16400000000000001</v>
          </cell>
        </row>
        <row r="39">
          <cell r="A39" t="str">
            <v>LU2402137025</v>
          </cell>
          <cell r="B39" t="str">
            <v>FCH M&amp;G Global Dividend</v>
          </cell>
          <cell r="C39" t="str">
            <v>Class Z USD QD (D)</v>
          </cell>
          <cell r="D39" t="str">
            <v>100% Net Income</v>
          </cell>
          <cell r="E39">
            <v>0</v>
          </cell>
          <cell r="F39">
            <v>8.06488066</v>
          </cell>
          <cell r="G39">
            <v>8.06488066</v>
          </cell>
        </row>
        <row r="40">
          <cell r="A40" t="str">
            <v>LU2819816500</v>
          </cell>
          <cell r="B40" t="str">
            <v>FCH Jupiter Dynamic Bond</v>
          </cell>
          <cell r="C40" t="str">
            <v>Class Z EUR QD (D)</v>
          </cell>
          <cell r="D40" t="str">
            <v>100% Net Income</v>
          </cell>
          <cell r="E40">
            <v>0</v>
          </cell>
          <cell r="F40">
            <v>13.846806170000001</v>
          </cell>
          <cell r="G40">
            <v>13.846806170000001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N and RC AMUNDI"/>
    </sheetNames>
    <sheetDataSet>
      <sheetData sheetId="0">
        <row r="2">
          <cell r="A2" t="str">
            <v>LU0568619711</v>
          </cell>
          <cell r="B2" t="str">
            <v>AMUNDI FUNDS ABSOLUTE RETURN FOREX</v>
          </cell>
          <cell r="C2" t="str">
            <v xml:space="preserve">Class A EUR AD (D)  </v>
          </cell>
          <cell r="D2">
            <v>2.0699999999999998</v>
          </cell>
        </row>
        <row r="3">
          <cell r="A3" t="str">
            <v>LU0119085867</v>
          </cell>
          <cell r="B3" t="str">
            <v>AMUNDI FUNDS ASIA EQUITY FOCUS</v>
          </cell>
          <cell r="C3" t="str">
            <v xml:space="preserve">Class A USD AD (D)  </v>
          </cell>
          <cell r="D3">
            <v>0</v>
          </cell>
        </row>
        <row r="4">
          <cell r="A4" t="str">
            <v>LU0823039010</v>
          </cell>
          <cell r="B4" t="str">
            <v>AMUNDI FUNDS ASIA EQUITY FOCUS</v>
          </cell>
          <cell r="C4" t="str">
            <v xml:space="preserve">Class A2 USD AD (D) </v>
          </cell>
          <cell r="D4">
            <v>0</v>
          </cell>
        </row>
        <row r="5">
          <cell r="A5" t="str">
            <v>LU1880382806</v>
          </cell>
          <cell r="B5" t="str">
            <v>AMUNDI FUNDS ASIA EQUITY FOCUS</v>
          </cell>
          <cell r="C5" t="str">
            <v xml:space="preserve">Class I2 USD AD (D) </v>
          </cell>
          <cell r="D5">
            <v>12.04</v>
          </cell>
        </row>
        <row r="6">
          <cell r="A6" t="str">
            <v>LU1882445056</v>
          </cell>
          <cell r="B6" t="str">
            <v>AMUNDI FUNDS ASIA EQUITY FOCUS</v>
          </cell>
          <cell r="C6" t="str">
            <v xml:space="preserve">Class M2 EUR AD (D) </v>
          </cell>
          <cell r="D6">
            <v>12.45</v>
          </cell>
        </row>
        <row r="7">
          <cell r="A7" t="str">
            <v>LU3015122958</v>
          </cell>
          <cell r="B7" t="str">
            <v>AMUNDI FUNDS CASH EUR</v>
          </cell>
          <cell r="C7" t="str">
            <v>Class A14 EUR AD (D)</v>
          </cell>
          <cell r="D7">
            <v>0.26</v>
          </cell>
        </row>
        <row r="8">
          <cell r="A8" t="str">
            <v>LU0568620644</v>
          </cell>
          <cell r="B8" t="str">
            <v>AMUNDI FUNDS CASH EUR</v>
          </cell>
          <cell r="C8" t="str">
            <v xml:space="preserve">Class A2 EUR AD (D) </v>
          </cell>
          <cell r="D8">
            <v>2.23</v>
          </cell>
        </row>
        <row r="9">
          <cell r="A9" t="str">
            <v>LU0568620214</v>
          </cell>
          <cell r="B9" t="str">
            <v>AMUNDI FUNDS CASH EUR</v>
          </cell>
          <cell r="C9" t="str">
            <v xml:space="preserve">Class I2 EUR AD (D) </v>
          </cell>
          <cell r="D9">
            <v>26.18</v>
          </cell>
        </row>
        <row r="10">
          <cell r="A10" t="str">
            <v>LU1327400385</v>
          </cell>
          <cell r="B10" t="str">
            <v>AMUNDI FUNDS CASH EUR</v>
          </cell>
          <cell r="C10" t="str">
            <v>Class Q-X EUR AD (D)</v>
          </cell>
          <cell r="D10">
            <v>28.34</v>
          </cell>
        </row>
        <row r="11">
          <cell r="A11" t="str">
            <v>LU3015123170</v>
          </cell>
          <cell r="B11" t="str">
            <v>AMUNDI FUNDS CASH EUR</v>
          </cell>
          <cell r="C11" t="str">
            <v>Class R14 EUR AD (D)</v>
          </cell>
          <cell r="D11">
            <v>0.28000000000000003</v>
          </cell>
        </row>
        <row r="12">
          <cell r="A12" t="str">
            <v>LU0987193348</v>
          </cell>
          <cell r="B12" t="str">
            <v>AMUNDI FUNDS CASH EUR</v>
          </cell>
          <cell r="C12" t="str">
            <v xml:space="preserve">Class R2 EUR AD (D) </v>
          </cell>
          <cell r="D12">
            <v>2.56</v>
          </cell>
        </row>
        <row r="13">
          <cell r="A13" t="str">
            <v>LU0568621709</v>
          </cell>
          <cell r="B13" t="str">
            <v>AMUNDI FUNDS CASH USD</v>
          </cell>
          <cell r="C13" t="str">
            <v xml:space="preserve">Class A2 USD AD (D) </v>
          </cell>
          <cell r="D13">
            <v>4.66</v>
          </cell>
        </row>
        <row r="14">
          <cell r="A14" t="str">
            <v>LU0568621295</v>
          </cell>
          <cell r="B14" t="str">
            <v>AMUNDI FUNDS CASH USD</v>
          </cell>
          <cell r="C14" t="str">
            <v xml:space="preserve">Class I2 USD AD (D) </v>
          </cell>
          <cell r="D14">
            <v>47.73</v>
          </cell>
        </row>
        <row r="15">
          <cell r="A15" t="str">
            <v>LU1327400542</v>
          </cell>
          <cell r="B15" t="str">
            <v>AMUNDI FUNDS CASH USD</v>
          </cell>
          <cell r="C15" t="str">
            <v>Class Q-X USD AD (D)</v>
          </cell>
          <cell r="D15">
            <v>48.75</v>
          </cell>
        </row>
        <row r="16">
          <cell r="A16" t="str">
            <v>LU1880383101</v>
          </cell>
          <cell r="B16" t="str">
            <v>AMUNDI FUNDS CHINA EQUITY</v>
          </cell>
          <cell r="C16" t="str">
            <v xml:space="preserve">Class A EUR AD (D)  </v>
          </cell>
          <cell r="D16">
            <v>0.09</v>
          </cell>
        </row>
        <row r="17">
          <cell r="A17" t="str">
            <v>LU1880383283</v>
          </cell>
          <cell r="B17" t="str">
            <v>AMUNDI FUNDS CHINA EQUITY</v>
          </cell>
          <cell r="C17" t="str">
            <v xml:space="preserve">Class A USD AD (D)  </v>
          </cell>
          <cell r="D17">
            <v>0.1</v>
          </cell>
        </row>
        <row r="18">
          <cell r="A18" t="str">
            <v>LU1880383440</v>
          </cell>
          <cell r="B18" t="str">
            <v>AMUNDI FUNDS CHINA EQUITY</v>
          </cell>
          <cell r="C18" t="str">
            <v xml:space="preserve">Class A2 USD AD (D) </v>
          </cell>
          <cell r="D18">
            <v>0.03</v>
          </cell>
        </row>
        <row r="19">
          <cell r="A19" t="str">
            <v>LU2534777763</v>
          </cell>
          <cell r="B19" t="str">
            <v>AMUNDI FUNDS CHINA RMB AGGREGATE BOND</v>
          </cell>
          <cell r="C19" t="str">
            <v xml:space="preserve">Class E2 EUR AD (D) </v>
          </cell>
          <cell r="D19">
            <v>0.13</v>
          </cell>
        </row>
        <row r="20">
          <cell r="A20" t="str">
            <v>LU2534777250</v>
          </cell>
          <cell r="B20" t="str">
            <v>AMUNDI FUNDS CHINA RMB AGGREGATE BOND</v>
          </cell>
          <cell r="C20" t="str">
            <v xml:space="preserve">Class F EUR AD (D)  </v>
          </cell>
          <cell r="D20">
            <v>0.1</v>
          </cell>
        </row>
        <row r="21">
          <cell r="A21" t="str">
            <v>LU2534777334</v>
          </cell>
          <cell r="B21" t="str">
            <v>AMUNDI FUNDS CHINA RMB AGGREGATE BOND</v>
          </cell>
          <cell r="C21" t="str">
            <v xml:space="preserve">Class G EUR AD (D)  </v>
          </cell>
          <cell r="D21">
            <v>0.11</v>
          </cell>
        </row>
        <row r="22">
          <cell r="A22" t="str">
            <v>LU1882447771</v>
          </cell>
          <cell r="B22" t="str">
            <v>AMUNDI FUNDS EMERGING EUROPE MIDDLE EAST AND AFRICA</v>
          </cell>
          <cell r="C22" t="str">
            <v xml:space="preserve">Class A USD AD (D)  </v>
          </cell>
          <cell r="D22">
            <v>0.49</v>
          </cell>
        </row>
        <row r="23">
          <cell r="A23" t="str">
            <v>LU3081005707</v>
          </cell>
          <cell r="B23" t="str">
            <v>AMUNDI FUNDS EMERGING EUROPE MIDDLE EAST AND AFRICA</v>
          </cell>
          <cell r="C23" t="str">
            <v>Class A2 USD AD (D)</v>
          </cell>
          <cell r="D23">
            <v>0</v>
          </cell>
        </row>
        <row r="24">
          <cell r="A24" t="str">
            <v>LU1882448233</v>
          </cell>
          <cell r="B24" t="str">
            <v>AMUNDI FUNDS EMERGING EUROPE MIDDLE EAST AND AFRICA</v>
          </cell>
          <cell r="C24" t="str">
            <v xml:space="preserve">Class C USD AD (D)  </v>
          </cell>
          <cell r="D24">
            <v>0.32</v>
          </cell>
        </row>
        <row r="25">
          <cell r="A25" t="str">
            <v>LU1161086316</v>
          </cell>
          <cell r="B25" t="str">
            <v>AMUNDI FUNDS EMERGING MARKETS BLENDED BOND</v>
          </cell>
          <cell r="C25" t="str">
            <v xml:space="preserve">Class A EUR AD (D)  </v>
          </cell>
          <cell r="D25">
            <v>4.37</v>
          </cell>
        </row>
        <row r="26">
          <cell r="A26" t="str">
            <v>LU2070310110</v>
          </cell>
          <cell r="B26" t="str">
            <v>AMUNDI FUNDS EMERGING MARKETS BLENDED BOND</v>
          </cell>
          <cell r="C26" t="str">
            <v xml:space="preserve">Class A2 EUR AD (D) </v>
          </cell>
          <cell r="D26">
            <v>2.21</v>
          </cell>
        </row>
        <row r="27">
          <cell r="A27" t="str">
            <v>LU1534097065</v>
          </cell>
          <cell r="B27" t="str">
            <v>AMUNDI FUNDS EMERGING MARKETS BLENDED BOND</v>
          </cell>
          <cell r="C27" t="str">
            <v xml:space="preserve">Class OR EUR AD (D) </v>
          </cell>
          <cell r="D27">
            <v>0</v>
          </cell>
        </row>
        <row r="28">
          <cell r="A28" t="str">
            <v>LU1600318676</v>
          </cell>
          <cell r="B28" t="str">
            <v>AMUNDI FUNDS EMERGING MARKETS BLENDED BOND</v>
          </cell>
          <cell r="C28" t="str">
            <v>Class Q-OF EUR AD(D)</v>
          </cell>
          <cell r="D28">
            <v>72.62</v>
          </cell>
        </row>
        <row r="29">
          <cell r="A29" t="str">
            <v>LU1882449983</v>
          </cell>
          <cell r="B29" t="str">
            <v>AMUNDI FUNDS EMERGING MARKETS BOND</v>
          </cell>
          <cell r="C29" t="str">
            <v xml:space="preserve">Class A EUR AD (D)  </v>
          </cell>
          <cell r="D29">
            <v>2.39</v>
          </cell>
        </row>
        <row r="30">
          <cell r="A30" t="str">
            <v>LU1882450130</v>
          </cell>
          <cell r="B30" t="str">
            <v>AMUNDI FUNDS EMERGING MARKETS BOND</v>
          </cell>
          <cell r="C30" t="str">
            <v>Class A EUR H AD (D)</v>
          </cell>
          <cell r="D30">
            <v>1.5</v>
          </cell>
        </row>
        <row r="31">
          <cell r="A31" t="str">
            <v>LU1882450486</v>
          </cell>
          <cell r="B31" t="str">
            <v>AMUNDI FUNDS EMERGING MARKETS BOND</v>
          </cell>
          <cell r="C31" t="str">
            <v xml:space="preserve">Class A USD AD (D)  </v>
          </cell>
          <cell r="D31">
            <v>2.81</v>
          </cell>
        </row>
        <row r="32">
          <cell r="A32" t="str">
            <v>LU2070309963</v>
          </cell>
          <cell r="B32" t="str">
            <v>AMUNDI FUNDS EMERGING MARKETS BOND</v>
          </cell>
          <cell r="C32" t="str">
            <v xml:space="preserve">Class A2 EUR AD (D) </v>
          </cell>
          <cell r="D32">
            <v>2.34</v>
          </cell>
        </row>
        <row r="33">
          <cell r="A33" t="str">
            <v>LU1882452854</v>
          </cell>
          <cell r="B33" t="str">
            <v>AMUNDI FUNDS EMERGING MARKETS BOND</v>
          </cell>
          <cell r="C33" t="str">
            <v xml:space="preserve">Class E2 USD AD (D) </v>
          </cell>
          <cell r="D33">
            <v>0.33</v>
          </cell>
        </row>
        <row r="34">
          <cell r="A34" t="str">
            <v>LU1894676722</v>
          </cell>
          <cell r="B34" t="str">
            <v>AMUNDI FUNDS EMERGING MARKETS BOND</v>
          </cell>
          <cell r="C34" t="str">
            <v>Class G EUR H AD (D)</v>
          </cell>
          <cell r="D34">
            <v>0.21</v>
          </cell>
        </row>
        <row r="35">
          <cell r="A35" t="str">
            <v>LU1882453316</v>
          </cell>
          <cell r="B35" t="str">
            <v>AMUNDI FUNDS EMERGING MARKETS BOND</v>
          </cell>
          <cell r="C35" t="str">
            <v>Class I2 EUR HAD (D)</v>
          </cell>
          <cell r="D35">
            <v>42</v>
          </cell>
        </row>
        <row r="36">
          <cell r="A36" t="str">
            <v>LU1882454637</v>
          </cell>
          <cell r="B36" t="str">
            <v>AMUNDI FUNDS EMERGING MARKETS BOND</v>
          </cell>
          <cell r="C36" t="str">
            <v xml:space="preserve">Class M2 EUR AD (D) </v>
          </cell>
          <cell r="D36">
            <v>75.239999999999995</v>
          </cell>
        </row>
        <row r="37">
          <cell r="A37" t="str">
            <v>LU1882455790</v>
          </cell>
          <cell r="B37" t="str">
            <v>AMUNDI FUNDS EMERGING MARKETS BOND</v>
          </cell>
          <cell r="C37" t="str">
            <v xml:space="preserve">Class R2 USD AD (D) </v>
          </cell>
          <cell r="D37">
            <v>2.73</v>
          </cell>
        </row>
        <row r="38">
          <cell r="A38" t="str">
            <v>LU2085674625</v>
          </cell>
          <cell r="B38" t="str">
            <v>AMUNDI FUNDS EMERGING MARKETS BOND</v>
          </cell>
          <cell r="C38" t="str">
            <v>Class Z EUR H AD (D)</v>
          </cell>
          <cell r="D38">
            <v>48.88</v>
          </cell>
        </row>
        <row r="39">
          <cell r="A39" t="str">
            <v>LU0755948873</v>
          </cell>
          <cell r="B39" t="str">
            <v>AMUNDI FUNDS EMERGING MARKETS CORPORATE BOND</v>
          </cell>
          <cell r="C39" t="str">
            <v xml:space="preserve">Class A EUR AD (D)  </v>
          </cell>
          <cell r="D39">
            <v>4.76</v>
          </cell>
        </row>
        <row r="40">
          <cell r="A40" t="str">
            <v>LU0755948527</v>
          </cell>
          <cell r="B40" t="str">
            <v>AMUNDI FUNDS EMERGING MARKETS CORPORATE BOND</v>
          </cell>
          <cell r="C40" t="str">
            <v xml:space="preserve">Class A USD AD (D)  </v>
          </cell>
          <cell r="D40">
            <v>4.3499999999999996</v>
          </cell>
        </row>
        <row r="41">
          <cell r="A41" t="str">
            <v>LU0755948014</v>
          </cell>
          <cell r="B41" t="str">
            <v>AMUNDI FUNDS EMERGING MARKETS CORPORATE BOND</v>
          </cell>
          <cell r="C41" t="str">
            <v xml:space="preserve">Class I EUR AD (D)  </v>
          </cell>
          <cell r="D41">
            <v>50.9</v>
          </cell>
        </row>
        <row r="42">
          <cell r="A42" t="str">
            <v>LU2339089083</v>
          </cell>
          <cell r="B42" t="str">
            <v>AMUNDI FUNDS EMERGING MARKETS CORPORATE BOND</v>
          </cell>
          <cell r="C42" t="str">
            <v>Class I EUR H AD (D)</v>
          </cell>
          <cell r="D42">
            <v>45.55</v>
          </cell>
        </row>
        <row r="43">
          <cell r="A43" t="str">
            <v>LU0755947719</v>
          </cell>
          <cell r="B43" t="str">
            <v>AMUNDI FUNDS EMERGING MARKETS CORPORATE BOND</v>
          </cell>
          <cell r="C43" t="str">
            <v xml:space="preserve">Class I USD AD (D)  </v>
          </cell>
          <cell r="D43">
            <v>0</v>
          </cell>
        </row>
        <row r="44">
          <cell r="A44" t="str">
            <v>LU2176992076</v>
          </cell>
          <cell r="B44" t="str">
            <v>AMUNDI FUNDS EMERGING MARKETS CORPORATE BOND</v>
          </cell>
          <cell r="C44" t="str">
            <v xml:space="preserve">Class J2 EUR AD (D) </v>
          </cell>
          <cell r="D44">
            <v>53.58</v>
          </cell>
        </row>
        <row r="45">
          <cell r="A45" t="str">
            <v>LU1882457226</v>
          </cell>
          <cell r="B45" t="str">
            <v>AMUNDI FUNDS EMERGING MARKETS CORPORATE HIGH YIELD BOND</v>
          </cell>
          <cell r="C45" t="str">
            <v xml:space="preserve">Class A EUR AD (D)  </v>
          </cell>
          <cell r="D45">
            <v>3.44</v>
          </cell>
        </row>
        <row r="46">
          <cell r="A46" t="str">
            <v>LU2596442678</v>
          </cell>
          <cell r="B46" t="str">
            <v>AMUNDI FUNDS EMERGING MARKETS CORPORATE HIGH YIELD BOND</v>
          </cell>
          <cell r="C46" t="str">
            <v>Class I2 EUR HAD (D)</v>
          </cell>
          <cell r="D46">
            <v>86.09</v>
          </cell>
        </row>
        <row r="47">
          <cell r="A47" t="str">
            <v>LU1882459354</v>
          </cell>
          <cell r="B47" t="str">
            <v>AMUNDI FUNDS EMERGING MARKETS CORPORATE HIGH YIELD BOND</v>
          </cell>
          <cell r="C47" t="str">
            <v xml:space="preserve">Class R2 EUR AD (D) </v>
          </cell>
          <cell r="D47">
            <v>3.37</v>
          </cell>
        </row>
        <row r="48">
          <cell r="A48" t="str">
            <v>LU0552028341</v>
          </cell>
          <cell r="B48" t="str">
            <v>AMUNDI FUNDS EMERGING MARKETS EQUITY FOCUS</v>
          </cell>
          <cell r="C48" t="str">
            <v xml:space="preserve">Class A EUR AD (D)  </v>
          </cell>
          <cell r="D48">
            <v>0.97</v>
          </cell>
        </row>
        <row r="49">
          <cell r="A49" t="str">
            <v>LU2330496972</v>
          </cell>
          <cell r="B49" t="str">
            <v>AMUNDI FUNDS EMERGING MARKETS EQUITY FOCUS</v>
          </cell>
          <cell r="C49" t="str">
            <v>Class A EUR H AD (D)</v>
          </cell>
          <cell r="D49">
            <v>0</v>
          </cell>
        </row>
        <row r="50">
          <cell r="A50" t="str">
            <v>LU0319686076</v>
          </cell>
          <cell r="B50" t="str">
            <v>AMUNDI FUNDS EMERGING MARKETS EQUITY FOCUS</v>
          </cell>
          <cell r="C50" t="str">
            <v xml:space="preserve">Class A USD AD (D)  </v>
          </cell>
          <cell r="D50">
            <v>1.21</v>
          </cell>
        </row>
        <row r="51">
          <cell r="A51" t="str">
            <v>LU0823040968</v>
          </cell>
          <cell r="B51" t="str">
            <v>AMUNDI FUNDS EMERGING MARKETS EQUITY FOCUS</v>
          </cell>
          <cell r="C51" t="str">
            <v xml:space="preserve">Class A2 USD AD (D) </v>
          </cell>
          <cell r="D51">
            <v>0</v>
          </cell>
        </row>
        <row r="52">
          <cell r="A52" t="str">
            <v>LU1534102162</v>
          </cell>
          <cell r="B52" t="str">
            <v>AMUNDI FUNDS EMERGING MARKETS EQUITY FOCUS</v>
          </cell>
          <cell r="C52" t="str">
            <v xml:space="preserve">Class OR USD AD (D) </v>
          </cell>
          <cell r="D52">
            <v>0</v>
          </cell>
        </row>
        <row r="53">
          <cell r="A53" t="str">
            <v>LU2368111824</v>
          </cell>
          <cell r="B53" t="str">
            <v>AMUNDI FUNDS EMERGING MARKETS GREEN BOND</v>
          </cell>
          <cell r="C53" t="str">
            <v>Class R4 EUR Hgd (D)</v>
          </cell>
          <cell r="D53">
            <v>1.64</v>
          </cell>
        </row>
        <row r="54">
          <cell r="A54" t="str">
            <v>LU2368111741</v>
          </cell>
          <cell r="B54" t="str">
            <v>AMUNDI FUNDS EMERGING MARKETS GREEN BOND</v>
          </cell>
          <cell r="C54" t="str">
            <v>Class R4 GBP H AD(D)</v>
          </cell>
          <cell r="D54">
            <v>1.74</v>
          </cell>
        </row>
        <row r="55">
          <cell r="A55" t="str">
            <v>LU2368112046</v>
          </cell>
          <cell r="B55" t="str">
            <v>AMUNDI FUNDS EMERGING MARKETS GREEN BOND</v>
          </cell>
          <cell r="C55" t="str">
            <v xml:space="preserve">Class R4 USD AD (D) </v>
          </cell>
          <cell r="D55">
            <v>0</v>
          </cell>
        </row>
        <row r="56">
          <cell r="A56" t="str">
            <v>LU0907913544</v>
          </cell>
          <cell r="B56" t="str">
            <v>AMUNDI FUNDS EMERGING MARKETS HARD CURRENCY BOND</v>
          </cell>
          <cell r="C56" t="str">
            <v xml:space="preserve">Class A EUR AD (D)  </v>
          </cell>
          <cell r="D56">
            <v>9.66</v>
          </cell>
        </row>
        <row r="57">
          <cell r="A57" t="str">
            <v>LU0907912652</v>
          </cell>
          <cell r="B57" t="str">
            <v>AMUNDI FUNDS EMERGING MARKETS HARD CURRENCY BOND</v>
          </cell>
          <cell r="C57" t="str">
            <v xml:space="preserve">Class I EUR AD (D)  </v>
          </cell>
          <cell r="D57">
            <v>43.4</v>
          </cell>
        </row>
        <row r="58">
          <cell r="A58" t="str">
            <v>LU1882459602</v>
          </cell>
          <cell r="B58" t="str">
            <v>AMUNDI FUNDS EMERGING MARKETS LOCAL CURRENCY BOND</v>
          </cell>
          <cell r="C58" t="str">
            <v xml:space="preserve">Class A EUR AD (D)  </v>
          </cell>
          <cell r="D58">
            <v>2.68</v>
          </cell>
        </row>
        <row r="59">
          <cell r="A59" t="str">
            <v>LU1882459867</v>
          </cell>
          <cell r="B59" t="str">
            <v>AMUNDI FUNDS EMERGING MARKETS LOCAL CURRENCY BOND</v>
          </cell>
          <cell r="C59" t="str">
            <v xml:space="preserve">Class A USD AD (D)  </v>
          </cell>
          <cell r="D59">
            <v>3.14</v>
          </cell>
        </row>
        <row r="60">
          <cell r="A60" t="str">
            <v>LU2070309708</v>
          </cell>
          <cell r="B60" t="str">
            <v>AMUNDI FUNDS EMERGING MARKETS LOCAL CURRENCY BOND</v>
          </cell>
          <cell r="C60" t="str">
            <v xml:space="preserve">Class A2 EUR AD (D) </v>
          </cell>
          <cell r="D60">
            <v>2.7</v>
          </cell>
        </row>
        <row r="61">
          <cell r="A61" t="str">
            <v>LU1880385908</v>
          </cell>
          <cell r="B61" t="str">
            <v>AMUNDI FUNDS EMERGING MARKETS LOCAL CURRENCY BOND</v>
          </cell>
          <cell r="C61" t="str">
            <v xml:space="preserve">Class A2 USD AD (D) </v>
          </cell>
          <cell r="D61">
            <v>2.91</v>
          </cell>
        </row>
        <row r="62">
          <cell r="A62" t="str">
            <v>LU1882460527</v>
          </cell>
          <cell r="B62" t="str">
            <v>AMUNDI FUNDS EMERGING MARKETS LOCAL CURRENCY BOND</v>
          </cell>
          <cell r="C62" t="str">
            <v xml:space="preserve">Class E2 EUR AD (D) </v>
          </cell>
          <cell r="D62">
            <v>0.23</v>
          </cell>
        </row>
        <row r="63">
          <cell r="A63" t="str">
            <v>LU1882460956</v>
          </cell>
          <cell r="B63" t="str">
            <v>AMUNDI FUNDS EMERGING MARKETS LOCAL CURRENCY BOND</v>
          </cell>
          <cell r="C63" t="str">
            <v xml:space="preserve">Class F EUR AD (D)  </v>
          </cell>
          <cell r="D63">
            <v>0.22</v>
          </cell>
        </row>
        <row r="64">
          <cell r="A64" t="str">
            <v>LU1880387789</v>
          </cell>
          <cell r="B64" t="str">
            <v>AMUNDI FUNDS EMERGING MARKETS LOCAL CURRENCY BOND</v>
          </cell>
          <cell r="C64" t="str">
            <v xml:space="preserve">Class I USD AD (D)  </v>
          </cell>
          <cell r="D64">
            <v>0</v>
          </cell>
        </row>
        <row r="65">
          <cell r="A65" t="str">
            <v>LU1882461335</v>
          </cell>
          <cell r="B65" t="str">
            <v>AMUNDI FUNDS EMERGING MARKETS LOCAL CURRENCY BOND</v>
          </cell>
          <cell r="C65" t="str">
            <v xml:space="preserve">Class I2 EUR AD (D) </v>
          </cell>
          <cell r="D65">
            <v>61.58</v>
          </cell>
        </row>
        <row r="66">
          <cell r="A66" t="str">
            <v>LU2428739804</v>
          </cell>
          <cell r="B66" t="str">
            <v>AMUNDI FUNDS EMERGING MARKETS LOCAL CURRENCY BOND</v>
          </cell>
          <cell r="C66" t="str">
            <v xml:space="preserve">Class J2 EUR AD (D) </v>
          </cell>
          <cell r="D66">
            <v>74.790000000000006</v>
          </cell>
        </row>
        <row r="67">
          <cell r="A67" t="str">
            <v>LU1882461764</v>
          </cell>
          <cell r="B67" t="str">
            <v>AMUNDI FUNDS EMERGING MARKETS LOCAL CURRENCY BOND</v>
          </cell>
          <cell r="C67" t="str">
            <v xml:space="preserve">Class M2 EUR AD (D) </v>
          </cell>
          <cell r="D67">
            <v>60.96</v>
          </cell>
        </row>
        <row r="68">
          <cell r="A68" t="str">
            <v>LU2052288532</v>
          </cell>
          <cell r="B68" t="str">
            <v>AMUNDI FUNDS EMERGING MARKETS LOCAL CURRENCY BOND</v>
          </cell>
          <cell r="C68" t="str">
            <v xml:space="preserve">Class Z EUR AD (D)  </v>
          </cell>
          <cell r="D68">
            <v>63</v>
          </cell>
        </row>
        <row r="69">
          <cell r="A69" t="str">
            <v>LU1882464271</v>
          </cell>
          <cell r="B69" t="str">
            <v>AMUNDI FUNDS EMERGING MARKETS SHORT TERM BOND</v>
          </cell>
          <cell r="C69" t="str">
            <v>Class I2 EUR HAD (D)</v>
          </cell>
          <cell r="D69">
            <v>53.11</v>
          </cell>
        </row>
        <row r="70">
          <cell r="A70" t="str">
            <v>LU0557858213</v>
          </cell>
          <cell r="B70" t="str">
            <v>AMUNDI FUNDS EMERGING WORLD EQUITY</v>
          </cell>
          <cell r="C70" t="str">
            <v xml:space="preserve">Class A EUR AD (D)  </v>
          </cell>
          <cell r="D70">
            <v>0.33</v>
          </cell>
        </row>
        <row r="71">
          <cell r="A71" t="str">
            <v>LU0347592270</v>
          </cell>
          <cell r="B71" t="str">
            <v>AMUNDI FUNDS EMERGING WORLD EQUITY</v>
          </cell>
          <cell r="C71" t="str">
            <v xml:space="preserve">Class A USD AD (D)  </v>
          </cell>
          <cell r="D71">
            <v>0.28000000000000003</v>
          </cell>
        </row>
        <row r="72">
          <cell r="A72" t="str">
            <v>LU0823041180</v>
          </cell>
          <cell r="B72" t="str">
            <v>AMUNDI FUNDS EMERGING WORLD EQUITY</v>
          </cell>
          <cell r="C72" t="str">
            <v xml:space="preserve">Class A2 USD AD (D) </v>
          </cell>
          <cell r="D72">
            <v>0</v>
          </cell>
        </row>
        <row r="73">
          <cell r="A73" t="str">
            <v>LU0568583776</v>
          </cell>
          <cell r="B73" t="str">
            <v>AMUNDI FUNDS EQUITY JAPAN TARGET</v>
          </cell>
          <cell r="C73" t="str">
            <v xml:space="preserve">Class A EUR AD (D)  </v>
          </cell>
          <cell r="D73">
            <v>1.28</v>
          </cell>
        </row>
        <row r="74">
          <cell r="A74" t="str">
            <v>LU0568583263</v>
          </cell>
          <cell r="B74" t="str">
            <v>AMUNDI FUNDS EQUITY JAPAN TARGET</v>
          </cell>
          <cell r="C74" t="str">
            <v xml:space="preserve">Class A JPY AD (D)  </v>
          </cell>
          <cell r="D74">
            <v>187</v>
          </cell>
        </row>
        <row r="75">
          <cell r="A75" t="str">
            <v>LU0568582455</v>
          </cell>
          <cell r="B75" t="str">
            <v>AMUNDI FUNDS EQUITY JAPAN TARGET</v>
          </cell>
          <cell r="C75" t="str">
            <v xml:space="preserve">Class I JPY AD (D)  </v>
          </cell>
          <cell r="D75">
            <v>0</v>
          </cell>
        </row>
        <row r="76">
          <cell r="A76" t="str">
            <v>LU0568614084</v>
          </cell>
          <cell r="B76" t="str">
            <v>AMUNDI FUNDS EQUITY MENA</v>
          </cell>
          <cell r="C76" t="str">
            <v xml:space="preserve">Class A USD AD (D)  </v>
          </cell>
          <cell r="D76">
            <v>2.67</v>
          </cell>
        </row>
        <row r="77">
          <cell r="A77" t="str">
            <v>LU0823047468</v>
          </cell>
          <cell r="B77" t="str">
            <v>AMUNDI FUNDS EQUITY MENA</v>
          </cell>
          <cell r="C77" t="str">
            <v xml:space="preserve">Class A2 USD AD (D) </v>
          </cell>
          <cell r="D77">
            <v>0</v>
          </cell>
        </row>
        <row r="78">
          <cell r="A78" t="str">
            <v>LU0568613516</v>
          </cell>
          <cell r="B78" t="str">
            <v>AMUNDI FUNDS EQUITY MENA</v>
          </cell>
          <cell r="C78" t="str">
            <v xml:space="preserve">Class I USD AD (D)  </v>
          </cell>
          <cell r="D78">
            <v>50.77</v>
          </cell>
        </row>
        <row r="79">
          <cell r="A79" t="str">
            <v>LU0616241559</v>
          </cell>
          <cell r="B79" t="str">
            <v>AMUNDI FUNDS EURO AGGREGATE BOND</v>
          </cell>
          <cell r="C79" t="str">
            <v xml:space="preserve">Class A EUR AD (D)  </v>
          </cell>
          <cell r="D79">
            <v>2.33</v>
          </cell>
        </row>
        <row r="80">
          <cell r="A80" t="str">
            <v>LU1103159619</v>
          </cell>
          <cell r="B80" t="str">
            <v>AMUNDI FUNDS EURO AGGREGATE BOND</v>
          </cell>
          <cell r="C80" t="str">
            <v xml:space="preserve">Class A2 EUR AD (D) </v>
          </cell>
          <cell r="D80">
            <v>1.8</v>
          </cell>
        </row>
        <row r="81">
          <cell r="A81" t="str">
            <v>LU1882468181</v>
          </cell>
          <cell r="B81" t="str">
            <v>AMUNDI FUNDS EURO AGGREGATE BOND</v>
          </cell>
          <cell r="C81" t="str">
            <v xml:space="preserve">Class E2 EUR AD (D) </v>
          </cell>
          <cell r="D81">
            <v>0.1</v>
          </cell>
        </row>
        <row r="82">
          <cell r="A82" t="str">
            <v>LU1882468421</v>
          </cell>
          <cell r="B82" t="str">
            <v>AMUNDI FUNDS EURO AGGREGATE BOND</v>
          </cell>
          <cell r="C82" t="str">
            <v xml:space="preserve">Class F EUR AD (D)  </v>
          </cell>
          <cell r="D82">
            <v>7.0000000000000007E-2</v>
          </cell>
        </row>
        <row r="83">
          <cell r="A83" t="str">
            <v>LU1882469155</v>
          </cell>
          <cell r="B83" t="str">
            <v>AMUNDI FUNDS EURO AGGREGATE BOND</v>
          </cell>
          <cell r="C83" t="str">
            <v xml:space="preserve">Class M2 EUR AD (D) </v>
          </cell>
          <cell r="D83">
            <v>23.14</v>
          </cell>
        </row>
        <row r="84">
          <cell r="A84" t="str">
            <v>LU0839528733</v>
          </cell>
          <cell r="B84" t="str">
            <v>AMUNDI FUNDS EURO AGGREGATE BOND</v>
          </cell>
          <cell r="C84" t="str">
            <v xml:space="preserve">Class R EUR AD (D)  </v>
          </cell>
          <cell r="D84">
            <v>2.2999999999999998</v>
          </cell>
        </row>
        <row r="85">
          <cell r="A85" t="str">
            <v>LU1882469403</v>
          </cell>
          <cell r="B85" t="str">
            <v>AMUNDI FUNDS EURO AGGREGATE BOND</v>
          </cell>
          <cell r="C85" t="str">
            <v xml:space="preserve">Class R2 EUR AD (D) </v>
          </cell>
          <cell r="D85">
            <v>1.1000000000000001</v>
          </cell>
        </row>
        <row r="86">
          <cell r="A86" t="str">
            <v>LU1882469668</v>
          </cell>
          <cell r="B86" t="str">
            <v>AMUNDI FUNDS EURO AGGREGATE BOND</v>
          </cell>
          <cell r="C86" t="str">
            <v>Class R2 USD HAD (D)</v>
          </cell>
          <cell r="D86">
            <v>0</v>
          </cell>
        </row>
        <row r="87">
          <cell r="A87" t="str">
            <v>LU1386074709</v>
          </cell>
          <cell r="B87" t="str">
            <v>AMUNDI FUNDS EURO BOND INCOME</v>
          </cell>
          <cell r="C87" t="str">
            <v xml:space="preserve">Class A2 EUR AD (D) </v>
          </cell>
          <cell r="D87">
            <v>4.75</v>
          </cell>
        </row>
        <row r="88">
          <cell r="A88" t="str">
            <v>LU1386074964</v>
          </cell>
          <cell r="B88" t="str">
            <v>AMUNDI FUNDS EURO BOND INCOME</v>
          </cell>
          <cell r="C88" t="str">
            <v xml:space="preserve">Class F2 EUR AD (D) </v>
          </cell>
          <cell r="D88">
            <v>4.75</v>
          </cell>
        </row>
        <row r="89">
          <cell r="A89" t="str">
            <v>LU1386074881</v>
          </cell>
          <cell r="B89" t="str">
            <v>AMUNDI FUNDS EURO BOND INCOME</v>
          </cell>
          <cell r="C89" t="str">
            <v xml:space="preserve">Class G2 EUR AD (D) </v>
          </cell>
          <cell r="D89">
            <v>4.75</v>
          </cell>
        </row>
        <row r="90">
          <cell r="A90" t="str">
            <v>LU1386074618</v>
          </cell>
          <cell r="B90" t="str">
            <v>AMUNDI FUNDS EURO BOND INCOME</v>
          </cell>
          <cell r="C90" t="str">
            <v xml:space="preserve">Class I2 EUR AD (D) </v>
          </cell>
          <cell r="D90">
            <v>4.75</v>
          </cell>
        </row>
        <row r="91">
          <cell r="A91" t="str">
            <v>LU2002724396</v>
          </cell>
          <cell r="B91" t="str">
            <v>AMUNDI FUNDS EURO BOND INCOME</v>
          </cell>
          <cell r="C91" t="str">
            <v xml:space="preserve">Class M2 EUR AD (D) </v>
          </cell>
          <cell r="D91">
            <v>47.5</v>
          </cell>
        </row>
        <row r="92">
          <cell r="A92" t="str">
            <v>LU1638825742</v>
          </cell>
          <cell r="B92" t="str">
            <v>AMUNDI FUNDS EURO BOND INCOME</v>
          </cell>
          <cell r="C92" t="str">
            <v>Class Q-A4 EUR AD (D)</v>
          </cell>
          <cell r="D92">
            <v>0.47499999999999998</v>
          </cell>
        </row>
        <row r="93">
          <cell r="A93" t="str">
            <v>LU0119100179</v>
          </cell>
          <cell r="B93" t="str">
            <v>AMUNDI FUNDS EURO CORPORATE BOND SELECT</v>
          </cell>
          <cell r="C93" t="str">
            <v xml:space="preserve">Class A EUR AD (D)  </v>
          </cell>
          <cell r="D93">
            <v>0.31</v>
          </cell>
        </row>
        <row r="94">
          <cell r="A94" t="str">
            <v>LU0839529202</v>
          </cell>
          <cell r="B94" t="str">
            <v>AMUNDI FUNDS EURO CORPORATE BOND SELECT</v>
          </cell>
          <cell r="C94" t="str">
            <v xml:space="preserve">Class A2 EUR AD (D) </v>
          </cell>
          <cell r="D94">
            <v>2.56</v>
          </cell>
        </row>
        <row r="95">
          <cell r="A95" t="str">
            <v>LU0194910054</v>
          </cell>
          <cell r="B95" t="str">
            <v>AMUNDI FUNDS EURO CORPORATE BOND SELECT</v>
          </cell>
          <cell r="C95" t="str">
            <v xml:space="preserve">Class I EUR AD (D)  </v>
          </cell>
          <cell r="D95">
            <v>0</v>
          </cell>
        </row>
        <row r="96">
          <cell r="A96" t="str">
            <v>LU1882472456</v>
          </cell>
          <cell r="B96" t="str">
            <v>AMUNDI FUNDS EURO CORPORATE BOND SELECT</v>
          </cell>
          <cell r="C96" t="str">
            <v xml:space="preserve">Class I2 EUR AD (D) </v>
          </cell>
          <cell r="D96">
            <v>31.32</v>
          </cell>
        </row>
        <row r="97">
          <cell r="A97" t="str">
            <v>LU1882472886</v>
          </cell>
          <cell r="B97" t="str">
            <v>AMUNDI FUNDS EURO CORPORATE BOND SELECT</v>
          </cell>
          <cell r="C97" t="str">
            <v xml:space="preserve">Class M2 EUR AD (D) </v>
          </cell>
          <cell r="D97">
            <v>30.89</v>
          </cell>
        </row>
        <row r="98">
          <cell r="A98" t="str">
            <v>LU0839529897</v>
          </cell>
          <cell r="B98" t="str">
            <v>AMUNDI FUNDS EURO CORPORATE BOND SELECT</v>
          </cell>
          <cell r="C98" t="str">
            <v xml:space="preserve">Class R EUR AD (D)  </v>
          </cell>
          <cell r="D98">
            <v>3.4</v>
          </cell>
        </row>
        <row r="99">
          <cell r="A99" t="str">
            <v>LU0518421978</v>
          </cell>
          <cell r="B99" t="str">
            <v>AMUNDI FUNDS EURO GOVERNMENT BOND RESPONSIBLE</v>
          </cell>
          <cell r="C99" t="str">
            <v xml:space="preserve">Class A EUR AD (D)  </v>
          </cell>
          <cell r="D99">
            <v>1.5</v>
          </cell>
        </row>
        <row r="100">
          <cell r="A100" t="str">
            <v>LU1882473348</v>
          </cell>
          <cell r="B100" t="str">
            <v>AMUNDI FUNDS EURO GOVERNMENT BOND RESPONSIBLE</v>
          </cell>
          <cell r="C100" t="str">
            <v xml:space="preserve">Class A2 EUR AD (D) </v>
          </cell>
          <cell r="D100">
            <v>0.61</v>
          </cell>
        </row>
        <row r="101">
          <cell r="A101" t="str">
            <v>LU0119110996</v>
          </cell>
          <cell r="B101" t="str">
            <v>AMUNDI FUNDS EURO HIGH YIELD BOND</v>
          </cell>
          <cell r="C101" t="str">
            <v xml:space="preserve">Class A EUR AD (D)  </v>
          </cell>
          <cell r="D101">
            <v>0.4</v>
          </cell>
        </row>
        <row r="102">
          <cell r="A102" t="str">
            <v>LU0839530473</v>
          </cell>
          <cell r="B102" t="str">
            <v>AMUNDI FUNDS EURO HIGH YIELD BOND</v>
          </cell>
          <cell r="C102" t="str">
            <v xml:space="preserve">Class A2 EUR AD (D) </v>
          </cell>
          <cell r="D102">
            <v>0</v>
          </cell>
        </row>
        <row r="103">
          <cell r="A103" t="str">
            <v>LU0194908405</v>
          </cell>
          <cell r="B103" t="str">
            <v>AMUNDI FUNDS EURO HIGH YIELD BOND</v>
          </cell>
          <cell r="C103" t="str">
            <v xml:space="preserve">Class I EUR AD (D)  </v>
          </cell>
          <cell r="D103">
            <v>47.4</v>
          </cell>
        </row>
        <row r="104">
          <cell r="A104" t="str">
            <v>LU2036672561</v>
          </cell>
          <cell r="B104" t="str">
            <v>AMUNDI FUNDS EURO HIGH YIELD BOND</v>
          </cell>
          <cell r="C104" t="str">
            <v xml:space="preserve">Class J EUR AD (D)  </v>
          </cell>
          <cell r="D104">
            <v>0</v>
          </cell>
        </row>
        <row r="105">
          <cell r="A105" t="str">
            <v>LU0907331689</v>
          </cell>
          <cell r="B105" t="str">
            <v>AMUNDI FUNDS EURO HIGH YIELD SHORT TERM BOND</v>
          </cell>
          <cell r="C105" t="str">
            <v xml:space="preserve">Class A EUR AD (D)  </v>
          </cell>
          <cell r="D105">
            <v>2.83</v>
          </cell>
        </row>
        <row r="106">
          <cell r="A106" t="str">
            <v>LU0907330871</v>
          </cell>
          <cell r="B106" t="str">
            <v>AMUNDI FUNDS EURO HIGH YIELD SHORT TERM BOND</v>
          </cell>
          <cell r="C106" t="str">
            <v xml:space="preserve">Class I EUR AD (D)  </v>
          </cell>
          <cell r="D106">
            <v>35.31</v>
          </cell>
        </row>
        <row r="107">
          <cell r="A107" t="str">
            <v>LU0201602504</v>
          </cell>
          <cell r="B107" t="str">
            <v>AMUNDI FUNDS EURO INFLATION BOND</v>
          </cell>
          <cell r="C107" t="str">
            <v xml:space="preserve">Class A EUR AD (D)  </v>
          </cell>
          <cell r="D107">
            <v>0</v>
          </cell>
        </row>
        <row r="108">
          <cell r="A108" t="str">
            <v>LU0201602843</v>
          </cell>
          <cell r="B108" t="str">
            <v>AMUNDI FUNDS EURO INFLATION BOND</v>
          </cell>
          <cell r="C108" t="str">
            <v xml:space="preserve">Class I EUR AD (D)  </v>
          </cell>
          <cell r="D108">
            <v>0</v>
          </cell>
        </row>
        <row r="109">
          <cell r="A109" t="str">
            <v>LU0839532255</v>
          </cell>
          <cell r="B109" t="str">
            <v>AMUNDI FUNDS EURO INFLATION BOND</v>
          </cell>
          <cell r="C109" t="str">
            <v xml:space="preserve">Class R EUR AD (D)  </v>
          </cell>
          <cell r="D109">
            <v>0</v>
          </cell>
        </row>
        <row r="110">
          <cell r="A110" t="str">
            <v>LU1328849432</v>
          </cell>
          <cell r="B110" t="str">
            <v>AMUNDI FUNDS EURO SUBORDINATED BOND RESPONSIBLE</v>
          </cell>
          <cell r="C110" t="str">
            <v xml:space="preserve">Class A2 EUR AD (D) </v>
          </cell>
          <cell r="D110">
            <v>4.8499999999999996</v>
          </cell>
        </row>
        <row r="111">
          <cell r="A111" t="str">
            <v>LU2477812007</v>
          </cell>
          <cell r="B111" t="str">
            <v>AMUNDI FUNDS EURO SUBORDINATED BOND RESPONSIBLE</v>
          </cell>
          <cell r="C111" t="str">
            <v xml:space="preserve">Class I2 EUR AD (D) </v>
          </cell>
          <cell r="D111">
            <v>55.51</v>
          </cell>
        </row>
        <row r="112">
          <cell r="A112" t="str">
            <v>LU1328849861</v>
          </cell>
          <cell r="B112" t="str">
            <v>AMUNDI FUNDS EURO SUBORDINATED BOND RESPONSIBLE</v>
          </cell>
          <cell r="C112" t="str">
            <v xml:space="preserve">Class R2 EUR AD (D) </v>
          </cell>
          <cell r="D112">
            <v>5.6</v>
          </cell>
        </row>
        <row r="113">
          <cell r="A113" t="str">
            <v>LU1883303718</v>
          </cell>
          <cell r="B113" t="str">
            <v>AMUNDI FUNDS EUROLAND EQUITY</v>
          </cell>
          <cell r="C113" t="str">
            <v xml:space="preserve">Class A EUR AD (D)  </v>
          </cell>
          <cell r="D113">
            <v>0.77</v>
          </cell>
        </row>
        <row r="114">
          <cell r="A114" t="str">
            <v>LU1883303981</v>
          </cell>
          <cell r="B114" t="str">
            <v>AMUNDI FUNDS EUROLAND EQUITY</v>
          </cell>
          <cell r="C114" t="str">
            <v xml:space="preserve">Class A USD AD (D)  </v>
          </cell>
          <cell r="D114">
            <v>0.11</v>
          </cell>
        </row>
        <row r="115">
          <cell r="A115" t="str">
            <v>LU1880392193</v>
          </cell>
          <cell r="B115" t="str">
            <v>AMUNDI FUNDS EUROLAND EQUITY</v>
          </cell>
          <cell r="C115" t="str">
            <v xml:space="preserve">Class I EUR AD (D)  </v>
          </cell>
          <cell r="D115">
            <v>0</v>
          </cell>
        </row>
        <row r="116">
          <cell r="A116" t="str">
            <v>LU1883304955</v>
          </cell>
          <cell r="B116" t="str">
            <v>AMUNDI FUNDS EUROLAND EQUITY</v>
          </cell>
          <cell r="C116" t="str">
            <v xml:space="preserve">Class I2 EUR AD (D) </v>
          </cell>
          <cell r="D116">
            <v>44.07</v>
          </cell>
        </row>
        <row r="117">
          <cell r="A117" t="str">
            <v>LU1880392789</v>
          </cell>
          <cell r="B117" t="str">
            <v>AMUNDI FUNDS EUROLAND EQUITY</v>
          </cell>
          <cell r="C117" t="str">
            <v xml:space="preserve">Class Z EUR AD (D)  </v>
          </cell>
          <cell r="D117">
            <v>32.32</v>
          </cell>
        </row>
        <row r="118">
          <cell r="A118" t="str">
            <v>LU1328850521</v>
          </cell>
          <cell r="B118" t="str">
            <v>AMUNDI FUNDS EUROLAND EQUITY RISK PARITY</v>
          </cell>
          <cell r="C118" t="str">
            <v xml:space="preserve">Class I EUR AD (D)  </v>
          </cell>
          <cell r="D118">
            <v>37.67</v>
          </cell>
        </row>
        <row r="119">
          <cell r="A119" t="str">
            <v>LU0568607385</v>
          </cell>
          <cell r="B119" t="str">
            <v>AMUNDI FUNDS EUROLAND EQUITY SMALL CAP SELECT</v>
          </cell>
          <cell r="C119" t="str">
            <v xml:space="preserve">Class A EUR AD (D)  </v>
          </cell>
          <cell r="D119">
            <v>1.85</v>
          </cell>
        </row>
        <row r="120">
          <cell r="A120" t="str">
            <v>LU0568606908</v>
          </cell>
          <cell r="B120" t="str">
            <v>AMUNDI FUNDS EUROLAND EQUITY SMALL CAP SELECT</v>
          </cell>
          <cell r="C120" t="str">
            <v xml:space="preserve">Class I EUR AD (D)  </v>
          </cell>
          <cell r="D120">
            <v>27.23</v>
          </cell>
        </row>
        <row r="121">
          <cell r="A121" t="str">
            <v>LU1638831393</v>
          </cell>
          <cell r="B121" t="str">
            <v>AMUNDI FUNDS EUROLAND EQUITY SMALL CAP SELECT</v>
          </cell>
          <cell r="C121" t="str">
            <v xml:space="preserve">Class Z EUR AD (D)  </v>
          </cell>
          <cell r="D121">
            <v>22.69</v>
          </cell>
        </row>
        <row r="122">
          <cell r="A122" t="str">
            <v>LU1880406910</v>
          </cell>
          <cell r="B122" t="str">
            <v>AMUNDI FUNDS EUROPE EQUITY CLIMATE</v>
          </cell>
          <cell r="C122" t="str">
            <v xml:space="preserve">Class A EUR AD (D)  </v>
          </cell>
          <cell r="D122">
            <v>0.49</v>
          </cell>
        </row>
        <row r="123">
          <cell r="A123" t="str">
            <v>LU1883869031</v>
          </cell>
          <cell r="B123" t="str">
            <v>AMUNDI FUNDS EUROPE EQUITY CLIMATE</v>
          </cell>
          <cell r="C123" t="str">
            <v xml:space="preserve">Class A USD AD (D)  </v>
          </cell>
          <cell r="D123">
            <v>0.09</v>
          </cell>
        </row>
        <row r="124">
          <cell r="A124" t="str">
            <v>LU1880407215</v>
          </cell>
          <cell r="B124" t="str">
            <v>AMUNDI FUNDS EUROPE EQUITY CLIMATE</v>
          </cell>
          <cell r="C124" t="str">
            <v xml:space="preserve">Class A2 USD AD (D) </v>
          </cell>
          <cell r="D124">
            <v>0.42</v>
          </cell>
        </row>
        <row r="125">
          <cell r="A125" t="str">
            <v>LU1883869460</v>
          </cell>
          <cell r="B125" t="str">
            <v>AMUNDI FUNDS EUROPE EQUITY CLIMATE</v>
          </cell>
          <cell r="C125" t="str">
            <v xml:space="preserve">Class B USD AD (D)  </v>
          </cell>
          <cell r="D125">
            <v>0</v>
          </cell>
        </row>
        <row r="126">
          <cell r="A126" t="str">
            <v>LU1880407561</v>
          </cell>
          <cell r="B126" t="str">
            <v>AMUNDI FUNDS EUROPE EQUITY CLIMATE</v>
          </cell>
          <cell r="C126" t="str">
            <v xml:space="preserve">Class I EUR AD (D)  </v>
          </cell>
          <cell r="D126">
            <v>0</v>
          </cell>
        </row>
        <row r="127">
          <cell r="A127" t="str">
            <v>LU1880408452</v>
          </cell>
          <cell r="B127" t="str">
            <v>AMUNDI FUNDS EUROPE EQUITY CLIMATE</v>
          </cell>
          <cell r="C127" t="str">
            <v xml:space="preserve">Class Z EUR AD (D)  </v>
          </cell>
          <cell r="D127">
            <v>25.89</v>
          </cell>
        </row>
        <row r="128">
          <cell r="A128" t="str">
            <v>LU2085676919</v>
          </cell>
          <cell r="B128" t="str">
            <v>AMUNDI FUNDS EUROPE EQUITY GREEN TECHNOLOGY</v>
          </cell>
          <cell r="C128" t="str">
            <v xml:space="preserve">Class A EUR AD (D)  </v>
          </cell>
          <cell r="D128">
            <v>0.45</v>
          </cell>
        </row>
        <row r="129">
          <cell r="A129" t="str">
            <v>LU2359307811</v>
          </cell>
          <cell r="B129" t="str">
            <v>AMUNDI FUNDS EUROPE EQUITY GREEN TECHNOLOGY</v>
          </cell>
          <cell r="C129" t="str">
            <v xml:space="preserve">Class R EUR AD (D)  </v>
          </cell>
          <cell r="D129">
            <v>0</v>
          </cell>
        </row>
        <row r="130">
          <cell r="A130" t="str">
            <v>LU2823265587</v>
          </cell>
          <cell r="B130" t="str">
            <v>AMUNDI FUNDS EUROPE EX UK EQUITY</v>
          </cell>
          <cell r="C130" t="str">
            <v>Class J14 EUR AD (D)</v>
          </cell>
          <cell r="D130">
            <v>20.02</v>
          </cell>
        </row>
        <row r="131">
          <cell r="A131" t="str">
            <v>LU2823265660</v>
          </cell>
          <cell r="B131" t="str">
            <v>AMUNDI FUNDS EUROPE EX UK EQUITY</v>
          </cell>
          <cell r="C131" t="str">
            <v>Class J14 GBP AD (D)</v>
          </cell>
          <cell r="D131">
            <v>20.27</v>
          </cell>
        </row>
        <row r="132">
          <cell r="A132" t="str">
            <v>LU2823265744</v>
          </cell>
          <cell r="B132" t="str">
            <v>AMUNDI FUNDS EUROPE EX UK EQUITY</v>
          </cell>
          <cell r="C132" t="str">
            <v>Class J14 USD AD (D)</v>
          </cell>
          <cell r="D132">
            <v>21.97</v>
          </cell>
        </row>
        <row r="133">
          <cell r="A133" t="str">
            <v>LU0568615214</v>
          </cell>
          <cell r="B133" t="str">
            <v>AMUNDI FUNDS EUROPEAN CONVERTIBLE BOND</v>
          </cell>
          <cell r="C133" t="str">
            <v xml:space="preserve">Class A EUR AD (D)  </v>
          </cell>
          <cell r="D133">
            <v>0.3</v>
          </cell>
        </row>
        <row r="134">
          <cell r="A134" t="str">
            <v>LU0987194825</v>
          </cell>
          <cell r="B134" t="str">
            <v>AMUNDI FUNDS EUROPEAN CONVERTIBLE BOND</v>
          </cell>
          <cell r="C134" t="str">
            <v xml:space="preserve">Class R EUR AD (D)  </v>
          </cell>
          <cell r="D134">
            <v>0.94</v>
          </cell>
        </row>
        <row r="135">
          <cell r="A135" t="str">
            <v>LU0755949921</v>
          </cell>
          <cell r="B135" t="str">
            <v>AMUNDI FUNDS EUROPEAN EQUITY CONSERVATIVE</v>
          </cell>
          <cell r="C135" t="str">
            <v xml:space="preserve">Class A EUR AD (D)  </v>
          </cell>
          <cell r="D135">
            <v>2.2400000000000002</v>
          </cell>
        </row>
        <row r="136">
          <cell r="A136" t="str">
            <v>LU0755949509</v>
          </cell>
          <cell r="B136" t="str">
            <v>AMUNDI FUNDS EUROPEAN EQUITY CONSERVATIVE</v>
          </cell>
          <cell r="C136" t="str">
            <v xml:space="preserve">Class I EUR AD (D)  </v>
          </cell>
          <cell r="D136">
            <v>0</v>
          </cell>
        </row>
        <row r="137">
          <cell r="A137" t="str">
            <v>LU1638831559</v>
          </cell>
          <cell r="B137" t="str">
            <v>AMUNDI FUNDS EUROPEAN EQUITY CONSERVATIVE</v>
          </cell>
          <cell r="C137" t="str">
            <v xml:space="preserve">Class Z EUR AD (D)  </v>
          </cell>
          <cell r="D137">
            <v>31.15</v>
          </cell>
        </row>
        <row r="138">
          <cell r="A138" t="str">
            <v>LU1880395964</v>
          </cell>
          <cell r="B138" t="str">
            <v>AMUNDI FUNDS EUROPEAN EQUITY SMALL CAP</v>
          </cell>
          <cell r="C138" t="str">
            <v xml:space="preserve">Class A EUR AD (D)  </v>
          </cell>
          <cell r="D138">
            <v>0.35</v>
          </cell>
        </row>
        <row r="139">
          <cell r="A139" t="str">
            <v>LU1883314327</v>
          </cell>
          <cell r="B139" t="str">
            <v>AMUNDI FUNDS EUROPEAN EQUITY VALUE</v>
          </cell>
          <cell r="C139" t="str">
            <v xml:space="preserve">Class A EUR AD (D)  </v>
          </cell>
          <cell r="D139">
            <v>1.41</v>
          </cell>
        </row>
        <row r="140">
          <cell r="A140" t="str">
            <v>LU2339090685</v>
          </cell>
          <cell r="B140" t="str">
            <v>AMUNDI FUNDS EUROPEAN EQUITY VALUE</v>
          </cell>
          <cell r="C140" t="str">
            <v xml:space="preserve">Class A2 CHF AD (D) </v>
          </cell>
          <cell r="D140">
            <v>0</v>
          </cell>
        </row>
        <row r="141">
          <cell r="A141" t="str">
            <v>LU2339089919</v>
          </cell>
          <cell r="B141" t="str">
            <v>AMUNDI FUNDS EUROPEAN EQUITY VALUE</v>
          </cell>
          <cell r="C141" t="str">
            <v xml:space="preserve">Class A2 EUR AD (D) </v>
          </cell>
          <cell r="D141">
            <v>0</v>
          </cell>
        </row>
        <row r="142">
          <cell r="A142" t="str">
            <v>LU2339090339</v>
          </cell>
          <cell r="B142" t="str">
            <v>AMUNDI FUNDS EUROPEAN EQUITY VALUE</v>
          </cell>
          <cell r="C142" t="str">
            <v xml:space="preserve">Class A2 GBP AD (D) </v>
          </cell>
          <cell r="D142">
            <v>0</v>
          </cell>
        </row>
        <row r="143">
          <cell r="A143" t="str">
            <v>LU2339090172</v>
          </cell>
          <cell r="B143" t="str">
            <v>AMUNDI FUNDS EUROPEAN EQUITY VALUE</v>
          </cell>
          <cell r="C143" t="str">
            <v xml:space="preserve">Class A2 USD AD (D) </v>
          </cell>
          <cell r="D143">
            <v>0</v>
          </cell>
        </row>
        <row r="144">
          <cell r="A144" t="str">
            <v>LU2490079600</v>
          </cell>
          <cell r="B144" t="str">
            <v>AMUNDI FUNDS EUROPEAN EQUITY VALUE</v>
          </cell>
          <cell r="C144" t="str">
            <v xml:space="preserve">Class I2 EUR AD (D) </v>
          </cell>
          <cell r="D144">
            <v>36.46</v>
          </cell>
        </row>
        <row r="145">
          <cell r="A145" t="str">
            <v>LU1883315720</v>
          </cell>
          <cell r="B145" t="str">
            <v>AMUNDI FUNDS EUROPEAN EQUITY VALUE</v>
          </cell>
          <cell r="C145" t="str">
            <v xml:space="preserve">Class J2 EUR AD (D) </v>
          </cell>
          <cell r="D145">
            <v>37.11</v>
          </cell>
        </row>
        <row r="146">
          <cell r="A146" t="str">
            <v>LU2052287054</v>
          </cell>
          <cell r="B146" t="str">
            <v>AMUNDI FUNDS EUROPEAN EQUITY VALUE</v>
          </cell>
          <cell r="C146" t="str">
            <v xml:space="preserve">Class J3 GBP AD (D) </v>
          </cell>
          <cell r="D146">
            <v>35.89</v>
          </cell>
        </row>
        <row r="147">
          <cell r="A147" t="str">
            <v>LU2359304982</v>
          </cell>
          <cell r="B147" t="str">
            <v>AMUNDI FUNDS EUROPEAN EQUITY VALUE</v>
          </cell>
          <cell r="C147" t="str">
            <v xml:space="preserve">Class R EUR AD (D)  </v>
          </cell>
          <cell r="D147">
            <v>0</v>
          </cell>
        </row>
        <row r="148">
          <cell r="A148" t="str">
            <v>LU2259108558</v>
          </cell>
          <cell r="B148" t="str">
            <v>AMUNDI FUNDS EUROPEAN EQUITY VALUE</v>
          </cell>
          <cell r="C148" t="str">
            <v xml:space="preserve">Class R3 GBP AD (D) </v>
          </cell>
          <cell r="D148">
            <v>0.36</v>
          </cell>
        </row>
        <row r="149">
          <cell r="A149" t="str">
            <v>LU0557861357</v>
          </cell>
          <cell r="B149" t="str">
            <v>AMUNDI FUNDS GLOBAL AGGREGATE BOND</v>
          </cell>
          <cell r="C149" t="str">
            <v xml:space="preserve">Class A EUR AD (D)  </v>
          </cell>
          <cell r="D149">
            <v>3.92</v>
          </cell>
        </row>
        <row r="150">
          <cell r="A150" t="str">
            <v>LU0906524276</v>
          </cell>
          <cell r="B150" t="str">
            <v>AMUNDI FUNDS GLOBAL AGGREGATE BOND</v>
          </cell>
          <cell r="C150" t="str">
            <v>Class A EUR H AD (D)</v>
          </cell>
          <cell r="D150">
            <v>2.25</v>
          </cell>
        </row>
        <row r="151">
          <cell r="A151" t="str">
            <v>LU0319688288</v>
          </cell>
          <cell r="B151" t="str">
            <v>AMUNDI FUNDS GLOBAL AGGREGATE BOND</v>
          </cell>
          <cell r="C151" t="str">
            <v xml:space="preserve">Class A USD AD (D)  </v>
          </cell>
          <cell r="D151">
            <v>3.28</v>
          </cell>
        </row>
        <row r="152">
          <cell r="A152" t="str">
            <v>LU2070309617</v>
          </cell>
          <cell r="B152" t="str">
            <v>AMUNDI FUNDS GLOBAL AGGREGATE BOND</v>
          </cell>
          <cell r="C152" t="str">
            <v xml:space="preserve">Class A2 EUR AD (D) </v>
          </cell>
          <cell r="D152">
            <v>1.17</v>
          </cell>
        </row>
        <row r="153">
          <cell r="A153" t="str">
            <v>LU0797053575</v>
          </cell>
          <cell r="B153" t="str">
            <v>AMUNDI FUNDS GLOBAL AGGREGATE BOND</v>
          </cell>
          <cell r="C153" t="str">
            <v>Class G GBP H AD (D)</v>
          </cell>
          <cell r="D153">
            <v>2.3199999999999998</v>
          </cell>
        </row>
        <row r="154">
          <cell r="A154" t="str">
            <v>LU0906524789</v>
          </cell>
          <cell r="B154" t="str">
            <v>AMUNDI FUNDS GLOBAL AGGREGATE BOND</v>
          </cell>
          <cell r="C154" t="str">
            <v>Class I CAD H AD (D)</v>
          </cell>
          <cell r="D154">
            <v>32.880000000000003</v>
          </cell>
        </row>
        <row r="155">
          <cell r="A155" t="str">
            <v>LU0839535860</v>
          </cell>
          <cell r="B155" t="str">
            <v>AMUNDI FUNDS GLOBAL AGGREGATE BOND</v>
          </cell>
          <cell r="C155" t="str">
            <v xml:space="preserve">Class I EUR AD (D)  </v>
          </cell>
          <cell r="D155">
            <v>33.729999999999997</v>
          </cell>
        </row>
        <row r="156">
          <cell r="A156" t="str">
            <v>LU0987191722</v>
          </cell>
          <cell r="B156" t="str">
            <v>AMUNDI FUNDS GLOBAL AGGREGATE BOND</v>
          </cell>
          <cell r="C156" t="str">
            <v>Class I EUR H AD (D)</v>
          </cell>
          <cell r="D156">
            <v>25.9</v>
          </cell>
        </row>
        <row r="157">
          <cell r="A157" t="str">
            <v>LU0987191649</v>
          </cell>
          <cell r="B157" t="str">
            <v>AMUNDI FUNDS GLOBAL AGGREGATE BOND</v>
          </cell>
          <cell r="C157" t="str">
            <v>Class I GBP H AD (D)</v>
          </cell>
          <cell r="D157">
            <v>28.79</v>
          </cell>
        </row>
        <row r="158">
          <cell r="A158" t="str">
            <v>LU0319687710</v>
          </cell>
          <cell r="B158" t="str">
            <v>AMUNDI FUNDS GLOBAL AGGREGATE BOND</v>
          </cell>
          <cell r="C158" t="str">
            <v xml:space="preserve">Class I USD AD (D)  </v>
          </cell>
          <cell r="D158">
            <v>35.799999999999997</v>
          </cell>
        </row>
        <row r="159">
          <cell r="A159" t="str">
            <v>LU2330497350</v>
          </cell>
          <cell r="B159" t="str">
            <v>AMUNDI FUNDS GLOBAL AGGREGATE BOND</v>
          </cell>
          <cell r="C159" t="str">
            <v xml:space="preserve">Class I2 USD AD (D) </v>
          </cell>
          <cell r="D159">
            <v>31</v>
          </cell>
        </row>
        <row r="160">
          <cell r="A160" t="str">
            <v>LU2002721616</v>
          </cell>
          <cell r="B160" t="str">
            <v>AMUNDI FUNDS GLOBAL AGGREGATE BOND</v>
          </cell>
          <cell r="C160" t="str">
            <v>Class M2 EUR HgAD(D)</v>
          </cell>
          <cell r="D160">
            <v>26.14</v>
          </cell>
        </row>
        <row r="161">
          <cell r="A161" t="str">
            <v>LU1392371701</v>
          </cell>
          <cell r="B161" t="str">
            <v>AMUNDI FUNDS GLOBAL AGGREGATE BOND</v>
          </cell>
          <cell r="C161" t="str">
            <v xml:space="preserve">Class OR USD AD (D) </v>
          </cell>
          <cell r="D161">
            <v>39.270000000000003</v>
          </cell>
        </row>
        <row r="162">
          <cell r="A162" t="str">
            <v>LU0839533816</v>
          </cell>
          <cell r="B162" t="str">
            <v>AMUNDI FUNDS GLOBAL AGGREGATE BOND</v>
          </cell>
          <cell r="C162" t="str">
            <v>Class Q-R GBP AD (D)</v>
          </cell>
          <cell r="D162">
            <v>3.91</v>
          </cell>
        </row>
        <row r="163">
          <cell r="A163" t="str">
            <v>LU0906524946</v>
          </cell>
          <cell r="B163" t="str">
            <v>AMUNDI FUNDS GLOBAL AGGREGATE BOND</v>
          </cell>
          <cell r="C163" t="str">
            <v>Class Q-R GBP HAD(D)</v>
          </cell>
          <cell r="D163">
            <v>2.79</v>
          </cell>
        </row>
        <row r="164">
          <cell r="A164" t="str">
            <v>LU1873222944</v>
          </cell>
          <cell r="B164" t="str">
            <v>AMUNDI FUNDS GLOBAL AGGREGATE BOND</v>
          </cell>
          <cell r="C164" t="str">
            <v>Class R CHF H AD (D)</v>
          </cell>
          <cell r="D164">
            <v>2.4300000000000002</v>
          </cell>
        </row>
        <row r="165">
          <cell r="A165" t="str">
            <v>LU1327397227</v>
          </cell>
          <cell r="B165" t="str">
            <v>AMUNDI FUNDS GLOBAL AGGREGATE BOND</v>
          </cell>
          <cell r="C165" t="str">
            <v xml:space="preserve">Class R EUR AD (D)  </v>
          </cell>
          <cell r="D165">
            <v>3.32</v>
          </cell>
        </row>
        <row r="166">
          <cell r="A166" t="str">
            <v>LU0839534384</v>
          </cell>
          <cell r="B166" t="str">
            <v>AMUNDI FUNDS GLOBAL AGGREGATE BOND</v>
          </cell>
          <cell r="C166" t="str">
            <v>Class R EUR H AD (D)</v>
          </cell>
          <cell r="D166">
            <v>2.62</v>
          </cell>
        </row>
        <row r="167">
          <cell r="A167" t="str">
            <v>LU0839534970</v>
          </cell>
          <cell r="B167" t="str">
            <v>AMUNDI FUNDS GLOBAL AGGREGATE BOND</v>
          </cell>
          <cell r="C167" t="str">
            <v xml:space="preserve">Class R USD AD (D)  </v>
          </cell>
          <cell r="D167">
            <v>3.38</v>
          </cell>
        </row>
        <row r="168">
          <cell r="A168" t="str">
            <v>LU2085676323</v>
          </cell>
          <cell r="B168" t="str">
            <v>AMUNDI FUNDS GLOBAL AGGREGATE BOND</v>
          </cell>
          <cell r="C168" t="str">
            <v>Class X EUR Hg AD(D)</v>
          </cell>
          <cell r="D168">
            <v>30.33</v>
          </cell>
        </row>
        <row r="169">
          <cell r="A169" t="str">
            <v>LU1253539677</v>
          </cell>
          <cell r="B169" t="str">
            <v>AMUNDI FUNDS GLOBAL BOND FLEXIBLE</v>
          </cell>
          <cell r="C169" t="str">
            <v xml:space="preserve">Class A EUR AD (D)  </v>
          </cell>
          <cell r="D169">
            <v>2.35</v>
          </cell>
        </row>
        <row r="170">
          <cell r="A170" t="str">
            <v>LU0557863130</v>
          </cell>
          <cell r="B170" t="str">
            <v>AMUNDI FUNDS GLOBAL CORPORATE BOND</v>
          </cell>
          <cell r="C170" t="str">
            <v xml:space="preserve">Class A EUR AD (D)  </v>
          </cell>
          <cell r="D170">
            <v>4.6100000000000003</v>
          </cell>
        </row>
        <row r="171">
          <cell r="A171" t="str">
            <v>LU0319688874</v>
          </cell>
          <cell r="B171" t="str">
            <v>AMUNDI FUNDS GLOBAL CORPORATE BOND</v>
          </cell>
          <cell r="C171" t="str">
            <v xml:space="preserve">Class A USD AD (D)  </v>
          </cell>
          <cell r="D171">
            <v>4.2</v>
          </cell>
        </row>
        <row r="172">
          <cell r="A172" t="str">
            <v>LU0319688528</v>
          </cell>
          <cell r="B172" t="str">
            <v>AMUNDI FUNDS GLOBAL CORPORATE BOND</v>
          </cell>
          <cell r="C172" t="str">
            <v xml:space="preserve">Class I USD AD (D)  </v>
          </cell>
          <cell r="D172">
            <v>0</v>
          </cell>
        </row>
        <row r="173">
          <cell r="A173" t="str">
            <v>LU2931223189</v>
          </cell>
          <cell r="B173" t="str">
            <v>AMUNDI FUNDS GLOBAL CORPORATE BOND</v>
          </cell>
          <cell r="C173" t="str">
            <v>Class J19 EURH AD(D)</v>
          </cell>
          <cell r="D173">
            <v>25.05</v>
          </cell>
        </row>
        <row r="174">
          <cell r="A174" t="str">
            <v>LU2870883290</v>
          </cell>
          <cell r="B174" t="str">
            <v>AMUNDI FUNDS GLOBAL CORPORATE BOND</v>
          </cell>
          <cell r="C174" t="str">
            <v>Class J19 USD AD (D)</v>
          </cell>
          <cell r="D174">
            <v>37.9</v>
          </cell>
        </row>
        <row r="175">
          <cell r="A175" t="str">
            <v>LU0906525679</v>
          </cell>
          <cell r="B175" t="str">
            <v>AMUNDI FUNDS GLOBAL CORPORATE BOND</v>
          </cell>
          <cell r="C175" t="str">
            <v>Class R EUR H AD (D)</v>
          </cell>
          <cell r="D175">
            <v>3.09</v>
          </cell>
        </row>
        <row r="176">
          <cell r="A176" t="str">
            <v>LU1737510443</v>
          </cell>
          <cell r="B176" t="str">
            <v>AMUNDI FUNDS GLOBAL CORPORATE BOND</v>
          </cell>
          <cell r="C176" t="str">
            <v xml:space="preserve">Class R USD AD (D)  </v>
          </cell>
          <cell r="D176">
            <v>0</v>
          </cell>
        </row>
        <row r="177">
          <cell r="A177" t="str">
            <v>LU2659282342</v>
          </cell>
          <cell r="B177" t="str">
            <v>AMUNDI FUNDS GLOBAL CORPORATE BOND CLIMATE</v>
          </cell>
          <cell r="C177" t="str">
            <v>Class A EUR AD H (D)</v>
          </cell>
          <cell r="D177">
            <v>0</v>
          </cell>
        </row>
        <row r="178">
          <cell r="A178" t="str">
            <v>LU2359305369</v>
          </cell>
          <cell r="B178" t="str">
            <v>AMUNDI FUNDS GLOBAL CORPORATE BOND SELECT</v>
          </cell>
          <cell r="C178" t="str">
            <v xml:space="preserve">Class A2 USD AD (D) </v>
          </cell>
          <cell r="D178">
            <v>0</v>
          </cell>
        </row>
        <row r="179">
          <cell r="A179" t="str">
            <v>LU2359305443</v>
          </cell>
          <cell r="B179" t="str">
            <v>AMUNDI FUNDS GLOBAL CORPORATE BOND SELECT</v>
          </cell>
          <cell r="C179" t="str">
            <v xml:space="preserve">Class I2 USD AD (D) </v>
          </cell>
          <cell r="D179">
            <v>37.64</v>
          </cell>
        </row>
        <row r="180">
          <cell r="A180" t="str">
            <v>LU1883342534</v>
          </cell>
          <cell r="B180" t="str">
            <v>AMUNDI FUNDS GLOBAL EQUITY</v>
          </cell>
          <cell r="C180" t="str">
            <v xml:space="preserve">Class A EUR AD (D)  </v>
          </cell>
          <cell r="D180">
            <v>0.31</v>
          </cell>
        </row>
        <row r="181">
          <cell r="A181" t="str">
            <v>LU1880398398</v>
          </cell>
          <cell r="B181" t="str">
            <v>AMUNDI FUNDS GLOBAL EQUITY</v>
          </cell>
          <cell r="C181" t="str">
            <v>Class A EUR H AD (D)</v>
          </cell>
          <cell r="D181">
            <v>0.22</v>
          </cell>
        </row>
        <row r="182">
          <cell r="A182" t="str">
            <v>LU1883342708</v>
          </cell>
          <cell r="B182" t="str">
            <v>AMUNDI FUNDS GLOBAL EQUITY</v>
          </cell>
          <cell r="C182" t="str">
            <v xml:space="preserve">Class A USD AD (D)  </v>
          </cell>
          <cell r="D182">
            <v>0.38</v>
          </cell>
        </row>
        <row r="183">
          <cell r="A183" t="str">
            <v>LU1880398554</v>
          </cell>
          <cell r="B183" t="str">
            <v>AMUNDI FUNDS GLOBAL EQUITY</v>
          </cell>
          <cell r="C183" t="str">
            <v xml:space="preserve">Class A2 USD AD (D) </v>
          </cell>
          <cell r="D183">
            <v>0.1</v>
          </cell>
        </row>
        <row r="184">
          <cell r="A184" t="str">
            <v>LU0985951473</v>
          </cell>
          <cell r="B184" t="str">
            <v>AMUNDI FUNDS GLOBAL EQUITY CONSERVATIVE</v>
          </cell>
          <cell r="C184" t="str">
            <v xml:space="preserve">Class A EUR AD (D)  </v>
          </cell>
          <cell r="D184">
            <v>0.13</v>
          </cell>
        </row>
        <row r="185">
          <cell r="A185" t="str">
            <v>LU0801842716</v>
          </cell>
          <cell r="B185" t="str">
            <v>AMUNDI FUNDS GLOBAL EQUITY CONSERVATIVE</v>
          </cell>
          <cell r="C185" t="str">
            <v xml:space="preserve">Class A USD AD (D)  </v>
          </cell>
          <cell r="D185">
            <v>0.15</v>
          </cell>
        </row>
        <row r="186">
          <cell r="A186" t="str">
            <v>LU2931223007</v>
          </cell>
          <cell r="B186" t="str">
            <v>AMUNDI FUNDS GLOBAL EQUITY INCOME SELECT</v>
          </cell>
          <cell r="C186" t="str">
            <v xml:space="preserve">Class A2 EUR AD (D) </v>
          </cell>
          <cell r="D186">
            <v>0</v>
          </cell>
        </row>
        <row r="187">
          <cell r="A187" t="str">
            <v>LU2931222967</v>
          </cell>
          <cell r="B187" t="str">
            <v>AMUNDI FUNDS GLOBAL EQUITY INCOME SELECT</v>
          </cell>
          <cell r="C187" t="str">
            <v xml:space="preserve">Class I2 EUR AD (D) </v>
          </cell>
          <cell r="D187">
            <v>0</v>
          </cell>
        </row>
        <row r="188">
          <cell r="A188" t="str">
            <v>LU2870883704</v>
          </cell>
          <cell r="B188" t="str">
            <v>AMUNDI FUNDS GLOBAL EQUITY INCOME SELECT</v>
          </cell>
          <cell r="C188" t="str">
            <v>Class R13 EUR AD (D)</v>
          </cell>
          <cell r="D188">
            <v>0.42</v>
          </cell>
        </row>
        <row r="189">
          <cell r="A189" t="str">
            <v>LU2931222884</v>
          </cell>
          <cell r="B189" t="str">
            <v>AMUNDI FUNDS GLOBAL EQUITY INCOME SELECT</v>
          </cell>
          <cell r="C189" t="str">
            <v xml:space="preserve">Class R2 EUR AD (D) </v>
          </cell>
          <cell r="D189">
            <v>0</v>
          </cell>
        </row>
        <row r="190">
          <cell r="A190" t="str">
            <v>LU1883318823</v>
          </cell>
          <cell r="B190" t="str">
            <v>AMUNDI FUNDS GLOBAL EQUITY RESPONSIBLE</v>
          </cell>
          <cell r="C190" t="str">
            <v xml:space="preserve">Class A EUR AD (D)  </v>
          </cell>
          <cell r="D190">
            <v>0</v>
          </cell>
        </row>
        <row r="191">
          <cell r="A191" t="str">
            <v>LU1883319128</v>
          </cell>
          <cell r="B191" t="str">
            <v>AMUNDI FUNDS GLOBAL EQUITY RESPONSIBLE</v>
          </cell>
          <cell r="C191" t="str">
            <v xml:space="preserve">Class A USD AD (D)  </v>
          </cell>
          <cell r="D191">
            <v>0</v>
          </cell>
        </row>
        <row r="192">
          <cell r="A192" t="str">
            <v>LU1883320134</v>
          </cell>
          <cell r="B192" t="str">
            <v>AMUNDI FUNDS GLOBAL EQUITY RESPONSIBLE</v>
          </cell>
          <cell r="C192" t="str">
            <v xml:space="preserve">Class I2 EUR AD (D) </v>
          </cell>
          <cell r="D192">
            <v>13.71</v>
          </cell>
        </row>
        <row r="193">
          <cell r="A193" t="str">
            <v>LU0557861944</v>
          </cell>
          <cell r="B193" t="str">
            <v>AMUNDI FUNDS GLOBAL GOVERNMENT BOND</v>
          </cell>
          <cell r="C193" t="str">
            <v xml:space="preserve">Class A EUR AD (D)  </v>
          </cell>
          <cell r="D193">
            <v>1.92</v>
          </cell>
        </row>
        <row r="194">
          <cell r="A194" t="str">
            <v>LU0119133691</v>
          </cell>
          <cell r="B194" t="str">
            <v>AMUNDI FUNDS GLOBAL GOVERNMENT BOND</v>
          </cell>
          <cell r="C194" t="str">
            <v xml:space="preserve">Class A USD AD (D)  </v>
          </cell>
          <cell r="D194">
            <v>0.25</v>
          </cell>
        </row>
        <row r="195">
          <cell r="A195" t="str">
            <v>LU0839533220</v>
          </cell>
          <cell r="B195" t="str">
            <v>AMUNDI FUNDS GLOBAL GOVERNMENT BOND</v>
          </cell>
          <cell r="C195" t="str">
            <v xml:space="preserve">Class A2 USD AD (D) </v>
          </cell>
          <cell r="D195">
            <v>0.24</v>
          </cell>
        </row>
        <row r="196">
          <cell r="A196" t="str">
            <v>LU0194911375</v>
          </cell>
          <cell r="B196" t="str">
            <v>AMUNDI FUNDS GLOBAL GOVERNMENT BOND</v>
          </cell>
          <cell r="C196" t="str">
            <v xml:space="preserve">Class I USD AD (D)  </v>
          </cell>
          <cell r="D196">
            <v>0</v>
          </cell>
        </row>
        <row r="197">
          <cell r="A197" t="str">
            <v>LU0228160049</v>
          </cell>
          <cell r="B197" t="str">
            <v>AMUNDI FUNDS GLOBAL GOVERNMENT BOND</v>
          </cell>
          <cell r="C197" t="str">
            <v>Class Q-I15 EURAD(D)</v>
          </cell>
          <cell r="D197">
            <v>20.89</v>
          </cell>
        </row>
        <row r="198">
          <cell r="A198" t="str">
            <v>LU2907103597</v>
          </cell>
          <cell r="B198" t="str">
            <v>AMUNDI FUNDS GLOBAL HIGH YIELD BOND</v>
          </cell>
          <cell r="C198" t="str">
            <v>Class X EUR Hg AD(D)</v>
          </cell>
          <cell r="D198">
            <v>41.63</v>
          </cell>
        </row>
        <row r="199">
          <cell r="A199" t="str">
            <v>LU0442406376</v>
          </cell>
          <cell r="B199" t="str">
            <v>AMUNDI FUNDS GLOBAL INFLATION SHORT DURATION BOND</v>
          </cell>
          <cell r="C199" t="str">
            <v xml:space="preserve">Class A EUR AD (D)  </v>
          </cell>
          <cell r="D199">
            <v>0</v>
          </cell>
        </row>
        <row r="200">
          <cell r="A200" t="str">
            <v>LU0442406707</v>
          </cell>
          <cell r="B200" t="str">
            <v>AMUNDI FUNDS GLOBAL INFLATION SHORT DURATION BOND</v>
          </cell>
          <cell r="C200" t="str">
            <v xml:space="preserve">Class I EUR AD (D)  </v>
          </cell>
          <cell r="D200">
            <v>0</v>
          </cell>
        </row>
        <row r="201">
          <cell r="A201" t="str">
            <v>LU0839539938</v>
          </cell>
          <cell r="B201" t="str">
            <v>AMUNDI FUNDS GLOBAL INFLATION SHORT DURATION BOND</v>
          </cell>
          <cell r="C201" t="str">
            <v xml:space="preserve">Class R EUR AD (D)  </v>
          </cell>
          <cell r="D201">
            <v>0.22</v>
          </cell>
        </row>
        <row r="202">
          <cell r="A202" t="str">
            <v>LU2330498085</v>
          </cell>
          <cell r="B202" t="str">
            <v>AMUNDI FUNDS GLOBAL MULTI-ASSET CONSERVATIVE</v>
          </cell>
          <cell r="C202" t="str">
            <v xml:space="preserve">Class E2 EUR AD (D) </v>
          </cell>
          <cell r="D202">
            <v>0.1</v>
          </cell>
        </row>
        <row r="203">
          <cell r="A203" t="str">
            <v>LU1883334788</v>
          </cell>
          <cell r="B203" t="str">
            <v>AMUNDI FUNDS GLOBAL SUBORDINATED BOND</v>
          </cell>
          <cell r="C203" t="str">
            <v>Class QJ2 EUR AD (D)</v>
          </cell>
          <cell r="D203">
            <v>0</v>
          </cell>
        </row>
        <row r="204">
          <cell r="A204" t="str">
            <v>LU0945151065</v>
          </cell>
          <cell r="B204" t="str">
            <v>AMUNDI FUNDS IMPACT EURO CORPORATE SHORT TERM GREEN BOND</v>
          </cell>
          <cell r="C204" t="str">
            <v xml:space="preserve">Class I EUR AD (D)  </v>
          </cell>
          <cell r="D204">
            <v>27.34</v>
          </cell>
        </row>
        <row r="205">
          <cell r="A205" t="str">
            <v>LU0557867800</v>
          </cell>
          <cell r="B205" t="str">
            <v>AMUNDI FUNDS JAPAN EQUITY VALUE</v>
          </cell>
          <cell r="C205" t="str">
            <v xml:space="preserve">Class A2 EUR AD (D) </v>
          </cell>
          <cell r="D205">
            <v>0.27</v>
          </cell>
        </row>
        <row r="206">
          <cell r="A206" t="str">
            <v>LU0248702275</v>
          </cell>
          <cell r="B206" t="str">
            <v>AMUNDI FUNDS JAPAN EQUITY VALUE</v>
          </cell>
          <cell r="C206" t="str">
            <v xml:space="preserve">Class A2 JPY AD (D) </v>
          </cell>
          <cell r="D206">
            <v>60</v>
          </cell>
        </row>
        <row r="207">
          <cell r="A207" t="str">
            <v>LU0201602173</v>
          </cell>
          <cell r="B207" t="str">
            <v>AMUNDI FUNDS LATIN AMERICA EQUITY</v>
          </cell>
          <cell r="C207" t="str">
            <v xml:space="preserve">Class A USD AD (D)  </v>
          </cell>
          <cell r="D207">
            <v>12.17</v>
          </cell>
        </row>
        <row r="208">
          <cell r="A208" t="str">
            <v>LU0823046577</v>
          </cell>
          <cell r="B208" t="str">
            <v>AMUNDI FUNDS LATIN AMERICA EQUITY</v>
          </cell>
          <cell r="C208" t="str">
            <v xml:space="preserve">Class A2 USD AD (D) </v>
          </cell>
          <cell r="D208">
            <v>11.77</v>
          </cell>
        </row>
        <row r="209">
          <cell r="A209" t="str">
            <v>LU0201602413</v>
          </cell>
          <cell r="B209" t="str">
            <v>AMUNDI FUNDS LATIN AMERICA EQUITY</v>
          </cell>
          <cell r="C209" t="str">
            <v xml:space="preserve">Class I USD AD (D)  </v>
          </cell>
          <cell r="D209">
            <v>55.76</v>
          </cell>
        </row>
        <row r="210">
          <cell r="A210" t="str">
            <v>LU0823047112</v>
          </cell>
          <cell r="B210" t="str">
            <v>AMUNDI FUNDS LATIN AMERICA EQUITY</v>
          </cell>
          <cell r="C210" t="str">
            <v xml:space="preserve">Class R USD AD (D)  </v>
          </cell>
          <cell r="D210">
            <v>3.31</v>
          </cell>
        </row>
        <row r="211">
          <cell r="A211" t="str">
            <v>LU0119109048</v>
          </cell>
          <cell r="B211" t="str">
            <v>AMUNDI FUNDS MONTPENSIER GLOBAL CONVERTIBLE BOND</v>
          </cell>
          <cell r="C211" t="str">
            <v xml:space="preserve">Class A EUR AD (D)  </v>
          </cell>
          <cell r="D211">
            <v>0.01</v>
          </cell>
        </row>
        <row r="212">
          <cell r="A212" t="str">
            <v>LU0194910997</v>
          </cell>
          <cell r="B212" t="str">
            <v>AMUNDI FUNDS MONTPENSIER GLOBAL CONVERTIBLE BOND</v>
          </cell>
          <cell r="C212" t="str">
            <v xml:space="preserve">Class I EUR AD (D)  </v>
          </cell>
          <cell r="D212">
            <v>0</v>
          </cell>
        </row>
        <row r="213">
          <cell r="A213" t="str">
            <v>LU0907915242</v>
          </cell>
          <cell r="B213" t="str">
            <v>AMUNDI FUNDS MULTI-ASSET CLIMATE</v>
          </cell>
          <cell r="C213" t="str">
            <v xml:space="preserve">Class A EUR AD (D)  </v>
          </cell>
          <cell r="D213">
            <v>0.86</v>
          </cell>
        </row>
        <row r="214">
          <cell r="A214" t="str">
            <v>LU0907914609</v>
          </cell>
          <cell r="B214" t="str">
            <v>AMUNDI FUNDS MULTI-ASSET CLIMATE</v>
          </cell>
          <cell r="C214" t="str">
            <v xml:space="preserve">Class I EUR AD (D)  </v>
          </cell>
          <cell r="D214">
            <v>20.13</v>
          </cell>
        </row>
        <row r="215">
          <cell r="A215" t="str">
            <v>LU1941682095</v>
          </cell>
          <cell r="B215" t="str">
            <v>AMUNDI FUNDS MULTI-ASSET CONSERVATIVE RESPONSIBLE</v>
          </cell>
          <cell r="C215" t="str">
            <v xml:space="preserve">Class A EUR AD (D)  </v>
          </cell>
          <cell r="D215">
            <v>0.28000000000000003</v>
          </cell>
        </row>
        <row r="216">
          <cell r="A216" t="str">
            <v>LU2359306094</v>
          </cell>
          <cell r="B216" t="str">
            <v>AMUNDI FUNDS MULTI-ASSET CONSERVATIVE RESPONSIBLE</v>
          </cell>
          <cell r="C216" t="str">
            <v xml:space="preserve">Class R EUR AD (D)  </v>
          </cell>
          <cell r="D216">
            <v>0.39</v>
          </cell>
        </row>
        <row r="217">
          <cell r="A217" t="str">
            <v>LU1253540410</v>
          </cell>
          <cell r="B217" t="str">
            <v>AMUNDI FUNDS MULTI-ASSET REAL RETURN</v>
          </cell>
          <cell r="C217" t="str">
            <v xml:space="preserve">Class A EUR AD (D)  </v>
          </cell>
          <cell r="D217">
            <v>1.28</v>
          </cell>
        </row>
        <row r="218">
          <cell r="A218" t="str">
            <v>LU1253542119</v>
          </cell>
          <cell r="B218" t="str">
            <v>AMUNDI FUNDS MULTI-ASSET REAL RETURN</v>
          </cell>
          <cell r="C218" t="str">
            <v>Class Q-I JPY HAD(D)</v>
          </cell>
          <cell r="D218">
            <v>2030</v>
          </cell>
        </row>
        <row r="219">
          <cell r="A219" t="str">
            <v>LU1883335249</v>
          </cell>
          <cell r="B219" t="str">
            <v>AMUNDI FUNDS MULTI-STRATEGY GROWTH</v>
          </cell>
          <cell r="C219" t="str">
            <v xml:space="preserve">Class A EUR AD (D)  </v>
          </cell>
          <cell r="D219">
            <v>2.38</v>
          </cell>
        </row>
        <row r="220">
          <cell r="A220" t="str">
            <v>LU1883335918</v>
          </cell>
          <cell r="B220" t="str">
            <v>AMUNDI FUNDS MULTI-STRATEGY GROWTH</v>
          </cell>
          <cell r="C220" t="str">
            <v xml:space="preserve">Class I EUR AD (D)  </v>
          </cell>
          <cell r="D220">
            <v>80.3</v>
          </cell>
        </row>
        <row r="221">
          <cell r="A221" t="str">
            <v>LU1883336304</v>
          </cell>
          <cell r="B221" t="str">
            <v>AMUNDI FUNDS MULTI-STRATEGY GROWTH</v>
          </cell>
          <cell r="C221" t="str">
            <v xml:space="preserve">Class M2 EUR AD (D) </v>
          </cell>
          <cell r="D221">
            <v>80.680000000000007</v>
          </cell>
        </row>
        <row r="222">
          <cell r="A222" t="str">
            <v>LU1883336643</v>
          </cell>
          <cell r="B222" t="str">
            <v>AMUNDI FUNDS OPTIMAL YIELD</v>
          </cell>
          <cell r="C222" t="str">
            <v xml:space="preserve">Class A EUR AD (D)  </v>
          </cell>
          <cell r="D222">
            <v>2.19</v>
          </cell>
        </row>
        <row r="223">
          <cell r="A223" t="str">
            <v>LU2259111263</v>
          </cell>
          <cell r="B223" t="str">
            <v>AMUNDI FUNDS OPTIMAL YIELD</v>
          </cell>
          <cell r="C223" t="str">
            <v xml:space="preserve">Class A2 EUR AD (D) </v>
          </cell>
          <cell r="D223">
            <v>1.64</v>
          </cell>
        </row>
        <row r="224">
          <cell r="A224" t="str">
            <v>LU1883338342</v>
          </cell>
          <cell r="B224" t="str">
            <v>AMUNDI FUNDS OPTIMAL YIELD</v>
          </cell>
          <cell r="C224" t="str">
            <v xml:space="preserve">Class R2 EUR AD (D) </v>
          </cell>
          <cell r="D224">
            <v>2</v>
          </cell>
        </row>
        <row r="225">
          <cell r="A225" t="str">
            <v>LU1883338854</v>
          </cell>
          <cell r="B225" t="str">
            <v>AMUNDI FUNDS OPTIMAL YIELD</v>
          </cell>
          <cell r="C225" t="str">
            <v xml:space="preserve">Class R2 USD AD (D) </v>
          </cell>
          <cell r="D225">
            <v>0</v>
          </cell>
        </row>
        <row r="226">
          <cell r="A226" t="str">
            <v>LU1894680245</v>
          </cell>
          <cell r="B226" t="str">
            <v>AMUNDI FUNDS OPTIMAL YIELD SHORT TERM</v>
          </cell>
          <cell r="C226" t="str">
            <v xml:space="preserve">Class G EUR AD (D)  </v>
          </cell>
          <cell r="D226">
            <v>0.17</v>
          </cell>
        </row>
        <row r="227">
          <cell r="A227" t="str">
            <v>LU1883834910</v>
          </cell>
          <cell r="B227" t="str">
            <v>AMUNDI FUNDS PIONEER GLOBAL HIGH YIELD BOND</v>
          </cell>
          <cell r="C227" t="str">
            <v xml:space="preserve">Class A EUR AD (D)  </v>
          </cell>
          <cell r="D227">
            <v>2.86</v>
          </cell>
        </row>
        <row r="228">
          <cell r="A228" t="str">
            <v>LU1894680674</v>
          </cell>
          <cell r="B228" t="str">
            <v>AMUNDI FUNDS PIONEER GLOBAL HIGH YIELD BOND</v>
          </cell>
          <cell r="C228" t="str">
            <v>Class G EUR H AD (D)</v>
          </cell>
          <cell r="D228">
            <v>0.21</v>
          </cell>
        </row>
        <row r="229">
          <cell r="A229" t="str">
            <v>LU1883837699</v>
          </cell>
          <cell r="B229" t="str">
            <v>AMUNDI FUNDS PIONEER GLOBAL HIGH YIELD BOND</v>
          </cell>
          <cell r="C229" t="str">
            <v xml:space="preserve">Class M2 EUR AD (D) </v>
          </cell>
          <cell r="D229">
            <v>58.93</v>
          </cell>
        </row>
        <row r="230">
          <cell r="A230" t="str">
            <v>LU2237438200</v>
          </cell>
          <cell r="B230" t="str">
            <v>AMUNDI FUNDS POLEN CAPITAL GLOBAL GROWTH</v>
          </cell>
          <cell r="C230" t="str">
            <v xml:space="preserve">Class A2 EUR AD (D) </v>
          </cell>
          <cell r="D230">
            <v>0</v>
          </cell>
        </row>
        <row r="231">
          <cell r="A231" t="str">
            <v>LU2110862468</v>
          </cell>
          <cell r="B231" t="str">
            <v>AMUNDI FUNDS POLEN CAPITAL GLOBAL GROWTH</v>
          </cell>
          <cell r="C231" t="str">
            <v xml:space="preserve">Class J3 GBP AD (D) </v>
          </cell>
          <cell r="D231">
            <v>0</v>
          </cell>
        </row>
        <row r="232">
          <cell r="A232" t="str">
            <v>LU2208988142</v>
          </cell>
          <cell r="B232" t="str">
            <v>AMUNDI FUNDS POLEN CAPITAL GLOBAL GROWTH</v>
          </cell>
          <cell r="C232" t="str">
            <v xml:space="preserve">Class R3 GBP AD (D) </v>
          </cell>
          <cell r="D232">
            <v>0</v>
          </cell>
        </row>
        <row r="233">
          <cell r="A233" t="str">
            <v>LU0552029315</v>
          </cell>
          <cell r="B233" t="str">
            <v>AMUNDI FUNDS SBI FM INDIA EQUITY</v>
          </cell>
          <cell r="C233" t="str">
            <v xml:space="preserve">Class A EUR AD (D)  </v>
          </cell>
          <cell r="D233">
            <v>0</v>
          </cell>
        </row>
        <row r="234">
          <cell r="A234" t="str">
            <v>LU0236502158</v>
          </cell>
          <cell r="B234" t="str">
            <v>AMUNDI FUNDS SBI FM INDIA EQUITY</v>
          </cell>
          <cell r="C234" t="str">
            <v xml:space="preserve">Class A USD AD (D)  </v>
          </cell>
          <cell r="D234">
            <v>0</v>
          </cell>
        </row>
        <row r="235">
          <cell r="A235" t="str">
            <v>LU0823045504</v>
          </cell>
          <cell r="B235" t="str">
            <v>AMUNDI FUNDS SBI FM INDIA EQUITY</v>
          </cell>
          <cell r="C235" t="str">
            <v xml:space="preserve">Class A2 USD AD (D) </v>
          </cell>
          <cell r="D235">
            <v>0</v>
          </cell>
        </row>
        <row r="236">
          <cell r="A236" t="str">
            <v>LU0236502661</v>
          </cell>
          <cell r="B236" t="str">
            <v>AMUNDI FUNDS SBI FM INDIA EQUITY</v>
          </cell>
          <cell r="C236" t="str">
            <v xml:space="preserve">Class I USD AD (D)  </v>
          </cell>
          <cell r="D236">
            <v>0</v>
          </cell>
        </row>
        <row r="237">
          <cell r="A237" t="str">
            <v>LU1882476010</v>
          </cell>
          <cell r="B237" t="str">
            <v>AMUNDI FUNDS STRATEGIC BOND</v>
          </cell>
          <cell r="C237" t="str">
            <v xml:space="preserve">Class A EUR AD (D)  </v>
          </cell>
          <cell r="D237">
            <v>2.58</v>
          </cell>
        </row>
        <row r="238">
          <cell r="A238" t="str">
            <v>LU1882476366</v>
          </cell>
          <cell r="B238" t="str">
            <v>AMUNDI FUNDS STRATEGIC BOND</v>
          </cell>
          <cell r="C238" t="str">
            <v xml:space="preserve">Class E2 EUR AD (D) </v>
          </cell>
          <cell r="D238">
            <v>0.25</v>
          </cell>
        </row>
        <row r="239">
          <cell r="A239" t="str">
            <v>LU1882476796</v>
          </cell>
          <cell r="B239" t="str">
            <v>AMUNDI FUNDS STRATEGIC BOND</v>
          </cell>
          <cell r="C239" t="str">
            <v xml:space="preserve">Class F EUR AD (D)  </v>
          </cell>
          <cell r="D239">
            <v>0.23</v>
          </cell>
        </row>
        <row r="240">
          <cell r="A240" t="str">
            <v>LU1894679072</v>
          </cell>
          <cell r="B240" t="str">
            <v>AMUNDI FUNDS STRATEGIC BOND</v>
          </cell>
          <cell r="C240" t="str">
            <v xml:space="preserve">Class G EUR AD (D)  </v>
          </cell>
          <cell r="D240">
            <v>0.27</v>
          </cell>
        </row>
        <row r="241">
          <cell r="A241" t="str">
            <v>LU1883303049</v>
          </cell>
          <cell r="B241" t="str">
            <v>AMUNDI FUNDS STRATEGIC BOND</v>
          </cell>
          <cell r="C241" t="str">
            <v xml:space="preserve">Class M2 EUR AD (D) </v>
          </cell>
          <cell r="D241">
            <v>58.76</v>
          </cell>
        </row>
        <row r="242">
          <cell r="A242" t="str">
            <v>LU1883841378</v>
          </cell>
          <cell r="B242" t="str">
            <v>AMUNDI FUNDS STRATEGIC INCOME</v>
          </cell>
          <cell r="C242" t="str">
            <v>Class A EUR H AD (D)</v>
          </cell>
          <cell r="D242">
            <v>1.59</v>
          </cell>
        </row>
        <row r="243">
          <cell r="A243" t="str">
            <v>LU1883843317</v>
          </cell>
          <cell r="B243" t="str">
            <v>AMUNDI FUNDS STRATEGIC INCOME</v>
          </cell>
          <cell r="C243" t="str">
            <v xml:space="preserve">Class E2 EUR AD (D) </v>
          </cell>
          <cell r="D243">
            <v>0.25</v>
          </cell>
        </row>
        <row r="244">
          <cell r="A244" t="str">
            <v>LU1883843580</v>
          </cell>
          <cell r="B244" t="str">
            <v>AMUNDI FUNDS STRATEGIC INCOME</v>
          </cell>
          <cell r="C244" t="str">
            <v>Class E2 EUR HAD (D)</v>
          </cell>
          <cell r="D244">
            <v>0.18</v>
          </cell>
        </row>
        <row r="245">
          <cell r="A245" t="str">
            <v>LU1883844042</v>
          </cell>
          <cell r="B245" t="str">
            <v>AMUNDI FUNDS STRATEGIC INCOME</v>
          </cell>
          <cell r="C245" t="str">
            <v xml:space="preserve">Class F EUR AD (D)  </v>
          </cell>
          <cell r="D245">
            <v>0.23</v>
          </cell>
        </row>
        <row r="246">
          <cell r="A246" t="str">
            <v>LU1883844398</v>
          </cell>
          <cell r="B246" t="str">
            <v>AMUNDI FUNDS STRATEGIC INCOME</v>
          </cell>
          <cell r="C246" t="str">
            <v>Class F EUR H AD (D)</v>
          </cell>
          <cell r="D246">
            <v>0.16</v>
          </cell>
        </row>
        <row r="247">
          <cell r="A247" t="str">
            <v>LU1894682456</v>
          </cell>
          <cell r="B247" t="str">
            <v>AMUNDI FUNDS STRATEGIC INCOME</v>
          </cell>
          <cell r="C247" t="str">
            <v>Class G EUR H AD (D)</v>
          </cell>
          <cell r="D247">
            <v>0.19</v>
          </cell>
        </row>
        <row r="248">
          <cell r="A248" t="str">
            <v>LU1883846179</v>
          </cell>
          <cell r="B248" t="str">
            <v>AMUNDI FUNDS STRATEGIC INCOME</v>
          </cell>
          <cell r="C248" t="str">
            <v xml:space="preserve">Class R2 EUR AD (D) </v>
          </cell>
          <cell r="D248">
            <v>2.58</v>
          </cell>
        </row>
        <row r="249">
          <cell r="A249" t="str">
            <v>LU1883846336</v>
          </cell>
          <cell r="B249" t="str">
            <v>AMUNDI FUNDS STRATEGIC INCOME</v>
          </cell>
          <cell r="C249" t="str">
            <v>Class R2 EUR HAD (D)</v>
          </cell>
          <cell r="D249">
            <v>1.93</v>
          </cell>
        </row>
        <row r="250">
          <cell r="A250" t="str">
            <v>LU1883846682</v>
          </cell>
          <cell r="B250" t="str">
            <v>AMUNDI FUNDS STRATEGIC INCOME</v>
          </cell>
          <cell r="C250" t="str">
            <v xml:space="preserve">Class R2 GBP AD (D) </v>
          </cell>
          <cell r="D250">
            <v>2.21</v>
          </cell>
        </row>
        <row r="251">
          <cell r="A251" t="str">
            <v>LU1883846849</v>
          </cell>
          <cell r="B251" t="str">
            <v>AMUNDI FUNDS STRATEGIC INCOME</v>
          </cell>
          <cell r="C251" t="str">
            <v xml:space="preserve">Class R2 USD AD (D) </v>
          </cell>
          <cell r="D251">
            <v>3.02</v>
          </cell>
        </row>
        <row r="252">
          <cell r="A252" t="str">
            <v>LU1880401283</v>
          </cell>
          <cell r="B252" t="str">
            <v>AMUNDI FUNDS US BOND</v>
          </cell>
          <cell r="C252" t="str">
            <v xml:space="preserve">Class A EUR AD (D)  </v>
          </cell>
          <cell r="D252">
            <v>1.75</v>
          </cell>
        </row>
        <row r="253">
          <cell r="A253" t="str">
            <v>LU1880401796</v>
          </cell>
          <cell r="B253" t="str">
            <v>AMUNDI FUNDS US BOND</v>
          </cell>
          <cell r="C253" t="str">
            <v xml:space="preserve">Class A USD AD (D)  </v>
          </cell>
          <cell r="D253">
            <v>1.82</v>
          </cell>
        </row>
        <row r="254">
          <cell r="A254" t="str">
            <v>LU2070309021</v>
          </cell>
          <cell r="B254" t="str">
            <v>AMUNDI FUNDS US BOND</v>
          </cell>
          <cell r="C254" t="str">
            <v xml:space="preserve">Class A2 EUR AD (D) </v>
          </cell>
          <cell r="D254">
            <v>1.61</v>
          </cell>
        </row>
        <row r="255">
          <cell r="A255" t="str">
            <v>LU1883849785</v>
          </cell>
          <cell r="B255" t="str">
            <v>AMUNDI FUNDS US BOND</v>
          </cell>
          <cell r="C255" t="str">
            <v xml:space="preserve">Class A2 USD AD (D) </v>
          </cell>
          <cell r="D255">
            <v>2.59</v>
          </cell>
        </row>
        <row r="256">
          <cell r="A256" t="str">
            <v>LU1880402927</v>
          </cell>
          <cell r="B256" t="str">
            <v>AMUNDI FUNDS US BOND</v>
          </cell>
          <cell r="C256" t="str">
            <v xml:space="preserve">Class I USD AD (D)  </v>
          </cell>
          <cell r="D256">
            <v>40.94</v>
          </cell>
        </row>
        <row r="257">
          <cell r="A257" t="str">
            <v>LU1883851849</v>
          </cell>
          <cell r="B257" t="str">
            <v>AMUNDI FUNDS US BOND</v>
          </cell>
          <cell r="C257" t="str">
            <v xml:space="preserve">Class I2 USD AD (D) </v>
          </cell>
          <cell r="D257">
            <v>59.23</v>
          </cell>
        </row>
        <row r="258">
          <cell r="A258" t="str">
            <v>LU1880405359</v>
          </cell>
          <cell r="B258" t="str">
            <v>AMUNDI FUNDS US BOND</v>
          </cell>
          <cell r="C258" t="str">
            <v xml:space="preserve">Class R USD AD (D)  </v>
          </cell>
          <cell r="D258">
            <v>0</v>
          </cell>
        </row>
        <row r="259">
          <cell r="A259" t="str">
            <v>LU1162498049</v>
          </cell>
          <cell r="B259" t="str">
            <v>AMUNDI FUNDS US CORPORATE BOND SELECT</v>
          </cell>
          <cell r="C259" t="str">
            <v xml:space="preserve">Class A USD AD (D)  </v>
          </cell>
          <cell r="D259">
            <v>3.53</v>
          </cell>
        </row>
        <row r="260">
          <cell r="A260" t="str">
            <v>LU1162497231</v>
          </cell>
          <cell r="B260" t="str">
            <v>AMUNDI FUNDS US CORPORATE BOND SELECT</v>
          </cell>
          <cell r="C260" t="str">
            <v xml:space="preserve">Class I USD AD (D)  </v>
          </cell>
          <cell r="D260">
            <v>0</v>
          </cell>
        </row>
        <row r="261">
          <cell r="A261" t="str">
            <v>LU1883854439</v>
          </cell>
          <cell r="B261" t="str">
            <v>AMUNDI FUNDS US EQUITY FUNDAMENTAL GROWTH</v>
          </cell>
          <cell r="C261" t="str">
            <v xml:space="preserve">Class A USD AD (D)  </v>
          </cell>
          <cell r="D261">
            <v>0</v>
          </cell>
        </row>
        <row r="262">
          <cell r="A262" t="str">
            <v>LU1883855592</v>
          </cell>
          <cell r="B262" t="str">
            <v>AMUNDI FUNDS US EQUITY FUNDAMENTAL GROWTH</v>
          </cell>
          <cell r="C262" t="str">
            <v>Class I2 EUR HAD (D)</v>
          </cell>
          <cell r="D262">
            <v>0</v>
          </cell>
        </row>
        <row r="263">
          <cell r="A263" t="str">
            <v>LU1883855758</v>
          </cell>
          <cell r="B263" t="str">
            <v>AMUNDI FUNDS US EQUITY FUNDAMENTAL GROWTH</v>
          </cell>
          <cell r="C263" t="str">
            <v xml:space="preserve">Class I2 USD AD (D) </v>
          </cell>
          <cell r="D263">
            <v>0</v>
          </cell>
        </row>
        <row r="264">
          <cell r="A264" t="str">
            <v>LU2052287567</v>
          </cell>
          <cell r="B264" t="str">
            <v>AMUNDI FUNDS US EQUITY FUNDAMENTAL GROWTH</v>
          </cell>
          <cell r="C264" t="str">
            <v xml:space="preserve">Class J3 GBP AD (D) </v>
          </cell>
          <cell r="D264">
            <v>0</v>
          </cell>
        </row>
        <row r="265">
          <cell r="A265" t="str">
            <v>LU2259109366</v>
          </cell>
          <cell r="B265" t="str">
            <v>AMUNDI FUNDS US EQUITY FUNDAMENTAL GROWTH</v>
          </cell>
          <cell r="C265" t="str">
            <v xml:space="preserve">Class R3 GBP AD (D) </v>
          </cell>
          <cell r="D265">
            <v>0</v>
          </cell>
        </row>
        <row r="266">
          <cell r="A266" t="str">
            <v>LU1894682886</v>
          </cell>
          <cell r="B266" t="str">
            <v>AMUNDI FUNDS US EQUITY RESEARCH VALUE</v>
          </cell>
          <cell r="C266" t="str">
            <v xml:space="preserve">Class A EUR AD (D)  </v>
          </cell>
          <cell r="D266">
            <v>0</v>
          </cell>
        </row>
        <row r="267">
          <cell r="A267" t="str">
            <v>LU1894683181</v>
          </cell>
          <cell r="B267" t="str">
            <v>AMUNDI FUNDS US EQUITY RESEARCH VALUE</v>
          </cell>
          <cell r="C267" t="str">
            <v xml:space="preserve">Class A USD AD (D)  </v>
          </cell>
          <cell r="D267">
            <v>0</v>
          </cell>
        </row>
        <row r="268">
          <cell r="A268" t="str">
            <v>LU1894683348</v>
          </cell>
          <cell r="B268" t="str">
            <v>AMUNDI FUNDS US EQUITY RESEARCH VALUE</v>
          </cell>
          <cell r="C268" t="str">
            <v xml:space="preserve">Class A2 USD AD (D) </v>
          </cell>
          <cell r="D268">
            <v>0</v>
          </cell>
        </row>
        <row r="269">
          <cell r="A269" t="str">
            <v>LU1894684825</v>
          </cell>
          <cell r="B269" t="str">
            <v>AMUNDI FUNDS US EQUITY RESEARCH VALUE</v>
          </cell>
          <cell r="C269" t="str">
            <v xml:space="preserve">Class I USD AD (D)  </v>
          </cell>
          <cell r="D269">
            <v>15.43</v>
          </cell>
        </row>
        <row r="270">
          <cell r="A270" t="str">
            <v>LU1894686440</v>
          </cell>
          <cell r="B270" t="str">
            <v>AMUNDI FUNDS US EQUITY RESEARCH VALUE</v>
          </cell>
          <cell r="C270" t="str">
            <v xml:space="preserve">Class R USD AD (D)  </v>
          </cell>
          <cell r="D270">
            <v>0.59</v>
          </cell>
        </row>
        <row r="271">
          <cell r="A271" t="str">
            <v>LU2146567792</v>
          </cell>
          <cell r="B271" t="str">
            <v>AMUNDI FUNDS US EQUITY SELECT</v>
          </cell>
          <cell r="C271" t="str">
            <v xml:space="preserve">Class A EUR AD (D)  </v>
          </cell>
          <cell r="D271">
            <v>0</v>
          </cell>
        </row>
        <row r="272">
          <cell r="A272" t="str">
            <v>LU2643912889</v>
          </cell>
          <cell r="B272" t="str">
            <v>AMUNDI FUNDS US EQUITY SELECT</v>
          </cell>
          <cell r="C272" t="str">
            <v xml:space="preserve">Class A USD AD (D)  </v>
          </cell>
          <cell r="D272">
            <v>0</v>
          </cell>
        </row>
        <row r="273">
          <cell r="A273" t="str">
            <v>LU2643911642</v>
          </cell>
          <cell r="B273" t="str">
            <v>AMUNDI FUNDS US EQUITY SELECT</v>
          </cell>
          <cell r="C273" t="str">
            <v xml:space="preserve">Class I USD AD (D)  </v>
          </cell>
          <cell r="D273">
            <v>4.58</v>
          </cell>
        </row>
        <row r="274">
          <cell r="A274" t="str">
            <v>LU2330498838</v>
          </cell>
          <cell r="B274" t="str">
            <v>AMUNDI FUNDS US PIONEER FUND</v>
          </cell>
          <cell r="C274" t="str">
            <v xml:space="preserve">Class A EUR AD (D)  </v>
          </cell>
          <cell r="D274">
            <v>0</v>
          </cell>
        </row>
        <row r="275">
          <cell r="A275" t="str">
            <v>LU1882442111</v>
          </cell>
          <cell r="B275" t="str">
            <v>AMUNDI FUNDS US SHORT TERM BOND</v>
          </cell>
          <cell r="C275" t="str">
            <v xml:space="preserve">Class A2 USD AD (D) </v>
          </cell>
          <cell r="D275">
            <v>3.47</v>
          </cell>
        </row>
        <row r="276">
          <cell r="A276" t="str">
            <v>LU0272942359</v>
          </cell>
          <cell r="B276" t="str">
            <v>AMUNDI FUNDS VOLATILITY EURO</v>
          </cell>
          <cell r="C276" t="str">
            <v xml:space="preserve">Class A EUR AD (D)  </v>
          </cell>
          <cell r="D276">
            <v>1.51</v>
          </cell>
        </row>
        <row r="277">
          <cell r="A277" t="str">
            <v>LU0272941385</v>
          </cell>
          <cell r="B277" t="str">
            <v>AMUNDI FUNDS VOLATILITY EURO</v>
          </cell>
          <cell r="C277" t="str">
            <v xml:space="preserve">Class I EUR AD (D)  </v>
          </cell>
          <cell r="D277">
            <v>17.440000000000001</v>
          </cell>
        </row>
        <row r="278">
          <cell r="A278" t="str">
            <v>LU1638825312</v>
          </cell>
          <cell r="B278" t="str">
            <v>AMUNDI FUNDS VOLATILITY EURO</v>
          </cell>
          <cell r="C278" t="str">
            <v>Class Q-R3 EUR AD(D)</v>
          </cell>
          <cell r="D278">
            <v>0</v>
          </cell>
        </row>
        <row r="279">
          <cell r="A279" t="str">
            <v>LU0839525986</v>
          </cell>
          <cell r="B279" t="str">
            <v>AMUNDI FUNDS VOLATILITY EURO</v>
          </cell>
          <cell r="C279" t="str">
            <v xml:space="preserve">Class R EUR AD (D)  </v>
          </cell>
          <cell r="D279">
            <v>2.06</v>
          </cell>
        </row>
        <row r="280">
          <cell r="A280" t="str">
            <v>LU0906520951</v>
          </cell>
          <cell r="B280" t="str">
            <v>AMUNDI FUNDS VOLATILITY EURO</v>
          </cell>
          <cell r="C280" t="str">
            <v>Class R GBP H AD (D)</v>
          </cell>
          <cell r="D280">
            <v>1.54</v>
          </cell>
        </row>
        <row r="281">
          <cell r="A281" t="str">
            <v>LU0557872552</v>
          </cell>
          <cell r="B281" t="str">
            <v>AMUNDI FUNDS VOLATILITY WORLD</v>
          </cell>
          <cell r="C281" t="str">
            <v xml:space="preserve">Class A EUR AD (D)  </v>
          </cell>
          <cell r="D281">
            <v>0.92</v>
          </cell>
        </row>
        <row r="282">
          <cell r="A282" t="str">
            <v>LU0644000290</v>
          </cell>
          <cell r="B282" t="str">
            <v>AMUNDI FUNDS VOLATILITY WORLD</v>
          </cell>
          <cell r="C282" t="str">
            <v>Class A EUR H AD (D)</v>
          </cell>
          <cell r="D282">
            <v>0.62</v>
          </cell>
        </row>
        <row r="283">
          <cell r="A283" t="str">
            <v>LU0319687397</v>
          </cell>
          <cell r="B283" t="str">
            <v>AMUNDI FUNDS VOLATILITY WORLD</v>
          </cell>
          <cell r="C283" t="str">
            <v xml:space="preserve">Class A USD AD (D)  </v>
          </cell>
          <cell r="D283">
            <v>1.04</v>
          </cell>
        </row>
        <row r="284">
          <cell r="A284" t="str">
            <v>LU0442407184</v>
          </cell>
          <cell r="B284" t="str">
            <v>AMUNDI FUNDS VOLATILITY WORLD</v>
          </cell>
          <cell r="C284" t="str">
            <v>Class I GBP H AD (D)</v>
          </cell>
          <cell r="D284">
            <v>10.42</v>
          </cell>
        </row>
        <row r="285">
          <cell r="A285" t="str">
            <v>LU0319687041</v>
          </cell>
          <cell r="B285" t="str">
            <v>AMUNDI FUNDS VOLATILITY WORLD</v>
          </cell>
          <cell r="C285" t="str">
            <v xml:space="preserve">Class I USD AD (D)  </v>
          </cell>
          <cell r="D285">
            <v>0</v>
          </cell>
        </row>
        <row r="286">
          <cell r="A286" t="str">
            <v>LU1120874604</v>
          </cell>
          <cell r="B286" t="str">
            <v>AMUNDI FUNDS VOLATILITY WORLD</v>
          </cell>
          <cell r="C286" t="str">
            <v>Class Q-I0 AUDHAD(D)</v>
          </cell>
          <cell r="D286">
            <v>16.62</v>
          </cell>
        </row>
        <row r="287">
          <cell r="A287" t="str">
            <v>LU1638825403</v>
          </cell>
          <cell r="B287" t="str">
            <v>AMUNDI FUNDS VOLATILITY WORLD</v>
          </cell>
          <cell r="C287" t="str">
            <v>Class Q-R3 EURHAD(D)</v>
          </cell>
          <cell r="D287">
            <v>1.69</v>
          </cell>
        </row>
        <row r="288">
          <cell r="A288" t="str">
            <v>LU1638825585</v>
          </cell>
          <cell r="B288" t="str">
            <v>AMUNDI FUNDS VOLATILITY WORLD</v>
          </cell>
          <cell r="C288" t="str">
            <v>Class Q-R3 USD AD(D)</v>
          </cell>
          <cell r="D28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2"/>
    </sheetNames>
    <sheetDataSet>
      <sheetData sheetId="0">
        <row r="2">
          <cell r="A2" t="str">
            <v>LU2630492929</v>
          </cell>
          <cell r="B2" t="str">
            <v>AMUNDI FUNDS EMERGING MARKETS BLENDED BOND</v>
          </cell>
          <cell r="C2" t="str">
            <v>Class X3 EUR QD (D)</v>
          </cell>
          <cell r="D2" t="str">
            <v>100% Net Income</v>
          </cell>
          <cell r="E2">
            <v>0</v>
          </cell>
          <cell r="F2">
            <v>17.84674871</v>
          </cell>
          <cell r="G2">
            <v>17.84674871</v>
          </cell>
        </row>
        <row r="3">
          <cell r="A3" t="str">
            <v>LU1882453589</v>
          </cell>
          <cell r="B3" t="str">
            <v>AMUNDI FUNDS EMERGING MARKETS BOND</v>
          </cell>
          <cell r="C3" t="str">
            <v>Class I2 GBP HQD (D)</v>
          </cell>
          <cell r="D3" t="str">
            <v>100% Net Income</v>
          </cell>
          <cell r="E3">
            <v>0</v>
          </cell>
          <cell r="F3">
            <v>12.474283160000001</v>
          </cell>
          <cell r="G3">
            <v>12.474283160000001</v>
          </cell>
        </row>
        <row r="4">
          <cell r="A4" t="str">
            <v>LU1882453746</v>
          </cell>
          <cell r="B4" t="str">
            <v>AMUNDI FUNDS EMERGING MARKETS BOND</v>
          </cell>
          <cell r="C4" t="str">
            <v>Class I2 USD QD (D)</v>
          </cell>
          <cell r="D4" t="str">
            <v>100% Net Income</v>
          </cell>
          <cell r="E4">
            <v>0</v>
          </cell>
          <cell r="F4">
            <v>13.18547235</v>
          </cell>
          <cell r="G4">
            <v>13.18547235</v>
          </cell>
        </row>
        <row r="5">
          <cell r="A5" t="str">
            <v>LU2052287997</v>
          </cell>
          <cell r="B5" t="str">
            <v>AMUNDI FUNDS EMERGING MARKETS BOND</v>
          </cell>
          <cell r="C5" t="str">
            <v>Class J3 GBP QD (D)</v>
          </cell>
          <cell r="D5" t="str">
            <v>100% Net Income</v>
          </cell>
          <cell r="E5">
            <v>0</v>
          </cell>
          <cell r="F5">
            <v>12.242000000000001</v>
          </cell>
          <cell r="G5">
            <v>12.242000000000001</v>
          </cell>
        </row>
        <row r="6">
          <cell r="A6" t="str">
            <v>LU2052290199</v>
          </cell>
          <cell r="B6" t="str">
            <v>AMUNDI FUNDS EMERGING MARKETS CORPORATE BOND</v>
          </cell>
          <cell r="C6" t="str">
            <v>Class Z EUR QD (D)</v>
          </cell>
          <cell r="D6" t="str">
            <v>100% Net Income</v>
          </cell>
          <cell r="E6">
            <v>0</v>
          </cell>
          <cell r="F6">
            <v>13.42554827</v>
          </cell>
          <cell r="G6">
            <v>13.42554827</v>
          </cell>
        </row>
        <row r="7">
          <cell r="A7" t="str">
            <v>LU2052289936</v>
          </cell>
          <cell r="B7" t="str">
            <v>AMUNDI FUNDS EMERGING MARKETS CORPORATE BOND</v>
          </cell>
          <cell r="C7" t="str">
            <v>Class Z USD QD (D)</v>
          </cell>
          <cell r="D7" t="str">
            <v>100% Net Income</v>
          </cell>
          <cell r="E7">
            <v>0</v>
          </cell>
          <cell r="F7">
            <v>14.21764982</v>
          </cell>
          <cell r="G7">
            <v>14.21764982</v>
          </cell>
        </row>
        <row r="8">
          <cell r="A8" t="str">
            <v>LU2386146786</v>
          </cell>
          <cell r="B8" t="str">
            <v>AMUNDI FUNDS EMERGING MARKETS EQUITY SELECT</v>
          </cell>
          <cell r="C8" t="str">
            <v>Class H USD QD (D)</v>
          </cell>
          <cell r="D8" t="str">
            <v>100% Net Income</v>
          </cell>
          <cell r="E8">
            <v>0</v>
          </cell>
          <cell r="F8">
            <v>3.6057744299999999</v>
          </cell>
          <cell r="G8">
            <v>3.6057744299999999</v>
          </cell>
        </row>
        <row r="9">
          <cell r="A9" t="str">
            <v>LU2386146943</v>
          </cell>
          <cell r="B9" t="str">
            <v>AMUNDI FUNDS EMERGING MARKETS EQUITY SELECT</v>
          </cell>
          <cell r="C9" t="str">
            <v>Class Z USD QD (D)</v>
          </cell>
          <cell r="D9" t="str">
            <v>100% Net Income</v>
          </cell>
          <cell r="E9">
            <v>0</v>
          </cell>
          <cell r="F9">
            <v>3.0232496700000002</v>
          </cell>
          <cell r="G9">
            <v>3.0232496700000002</v>
          </cell>
        </row>
        <row r="10">
          <cell r="A10" t="str">
            <v>LU1882461418</v>
          </cell>
          <cell r="B10" t="str">
            <v>AMUNDI FUNDS EMERGING MARKETS LOCAL CURRENCY BOND</v>
          </cell>
          <cell r="C10" t="str">
            <v>Class I2 EUR QD (D)</v>
          </cell>
          <cell r="D10" t="str">
            <v>100% Net Income</v>
          </cell>
          <cell r="E10">
            <v>0</v>
          </cell>
          <cell r="F10">
            <v>13.445761170000001</v>
          </cell>
          <cell r="G10">
            <v>13.445761170000001</v>
          </cell>
        </row>
        <row r="11">
          <cell r="A11" t="str">
            <v>LU2031984425</v>
          </cell>
          <cell r="B11" t="str">
            <v>AMUNDI FUNDS EMERGING MARKETS LOCAL CURRENCY BOND</v>
          </cell>
          <cell r="C11" t="str">
            <v>Class I2 GBP QD (D)</v>
          </cell>
          <cell r="D11" t="str">
            <v>100% Net Income</v>
          </cell>
          <cell r="E11">
            <v>0</v>
          </cell>
          <cell r="F11">
            <v>13.38539609</v>
          </cell>
          <cell r="G11">
            <v>13.38539609</v>
          </cell>
        </row>
        <row r="12">
          <cell r="A12" t="str">
            <v>LU2031983617</v>
          </cell>
          <cell r="B12" t="str">
            <v>AMUNDI FUNDS EQUITY JAPAN TARGET</v>
          </cell>
          <cell r="C12" t="str">
            <v>Class I2 GBP QD (D)</v>
          </cell>
          <cell r="D12" t="str">
            <v>100% Net Income</v>
          </cell>
          <cell r="E12">
            <v>0</v>
          </cell>
          <cell r="F12">
            <v>11.228</v>
          </cell>
          <cell r="G12">
            <v>11.228</v>
          </cell>
        </row>
        <row r="13">
          <cell r="A13" t="str">
            <v>LU1883314673</v>
          </cell>
          <cell r="B13" t="str">
            <v>AMUNDI FUNDS EUROPEAN EQUITY VALUE</v>
          </cell>
          <cell r="C13" t="str">
            <v>Class A EUR QD (D)</v>
          </cell>
          <cell r="D13" t="str">
            <v>100% Net Income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LU2819203915</v>
          </cell>
          <cell r="B14" t="str">
            <v>AMUNDI FUNDS EUROPEAN EQUITY VALUE</v>
          </cell>
          <cell r="C14" t="str">
            <v>Class J2 USD QD (D)</v>
          </cell>
          <cell r="D14" t="str">
            <v>100% Net Income</v>
          </cell>
          <cell r="E14">
            <v>0</v>
          </cell>
          <cell r="F14">
            <v>3.1841099499999999</v>
          </cell>
          <cell r="G14">
            <v>3.1841099499999999</v>
          </cell>
        </row>
        <row r="15">
          <cell r="A15" t="str">
            <v>LU2031983880</v>
          </cell>
          <cell r="B15" t="str">
            <v>AMUNDI FUNDS GLOBAL AGGREGATE BOND</v>
          </cell>
          <cell r="C15" t="str">
            <v>Class I2 GBP QD (D)</v>
          </cell>
          <cell r="D15" t="str">
            <v>100% Net Income</v>
          </cell>
          <cell r="E15">
            <v>0</v>
          </cell>
          <cell r="F15">
            <v>8.3040000000000003</v>
          </cell>
          <cell r="G15">
            <v>8.3040000000000003</v>
          </cell>
        </row>
        <row r="16">
          <cell r="A16" t="str">
            <v>LU2782805605</v>
          </cell>
          <cell r="B16" t="str">
            <v>AMUNDI FUNDS GLOBAL CORPORATE BOND</v>
          </cell>
          <cell r="C16" t="str">
            <v>Class J19 GBP H QD</v>
          </cell>
          <cell r="D16" t="str">
            <v>100% Net Income</v>
          </cell>
          <cell r="E16">
            <v>0</v>
          </cell>
          <cell r="F16">
            <v>10.99010958</v>
          </cell>
          <cell r="G16">
            <v>10.99010958</v>
          </cell>
        </row>
        <row r="17">
          <cell r="A17" t="str">
            <v>LU2305762549</v>
          </cell>
          <cell r="B17" t="str">
            <v>AMUNDI FUNDS GLOBAL EQUITY RESPONSIBLE</v>
          </cell>
          <cell r="C17" t="str">
            <v>Class H EUR QD (D)</v>
          </cell>
          <cell r="D17" t="str">
            <v>100% Net Income</v>
          </cell>
          <cell r="E17">
            <v>0</v>
          </cell>
          <cell r="F17">
            <v>1.91</v>
          </cell>
          <cell r="G17">
            <v>1.91</v>
          </cell>
        </row>
        <row r="18">
          <cell r="A18" t="str">
            <v>LU2279408673</v>
          </cell>
          <cell r="B18" t="str">
            <v>AMUNDI FUNDS GLOBAL EQUITY RESPONSIBLE</v>
          </cell>
          <cell r="C18" t="str">
            <v>Class M2 EUR QD (D)</v>
          </cell>
          <cell r="D18" t="str">
            <v>100% Net Income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LU2538405791</v>
          </cell>
          <cell r="B19" t="str">
            <v>AMUNDI FUNDS GLOBAL EQUITY INCOME SELECT</v>
          </cell>
          <cell r="C19" t="str">
            <v>Class X3 EUR QD (D)</v>
          </cell>
          <cell r="D19" t="str">
            <v>100% Net Income</v>
          </cell>
          <cell r="E19">
            <v>0</v>
          </cell>
          <cell r="F19">
            <v>6.49867595</v>
          </cell>
          <cell r="G19">
            <v>6.49867595</v>
          </cell>
        </row>
        <row r="20">
          <cell r="A20" t="str">
            <v>LU2330497947</v>
          </cell>
          <cell r="B20" t="str">
            <v>AMUNDI FUNDS GLOBAL HIGH YIELD BOND</v>
          </cell>
          <cell r="C20" t="str">
            <v>Class I14 GBP HQD(D)</v>
          </cell>
          <cell r="D20" t="str">
            <v>100% Net Income</v>
          </cell>
          <cell r="E20">
            <v>0</v>
          </cell>
          <cell r="F20">
            <v>1.4774843</v>
          </cell>
          <cell r="G20">
            <v>1.4774843</v>
          </cell>
        </row>
        <row r="21">
          <cell r="A21" t="str">
            <v>LU2031984003</v>
          </cell>
          <cell r="B21" t="str">
            <v>AMUNDI FUNDS GLOBAL HIGH YIELD BOND</v>
          </cell>
          <cell r="C21" t="str">
            <v>Class I2 GBP QD (D)</v>
          </cell>
          <cell r="D21" t="str">
            <v>100% Net Income</v>
          </cell>
          <cell r="E21">
            <v>0</v>
          </cell>
          <cell r="F21">
            <v>12.874000000000001</v>
          </cell>
          <cell r="G21">
            <v>12.874000000000001</v>
          </cell>
        </row>
        <row r="22">
          <cell r="A22" t="str">
            <v>LU2052287211</v>
          </cell>
          <cell r="B22" t="str">
            <v>AMUNDI FUNDS GLOBAL HIGH YIELD BOND</v>
          </cell>
          <cell r="C22" t="str">
            <v>Class J3 GBP QD (D)</v>
          </cell>
          <cell r="D22" t="str">
            <v>100% Net Income</v>
          </cell>
          <cell r="E22">
            <v>0</v>
          </cell>
          <cell r="F22">
            <v>12.82</v>
          </cell>
          <cell r="G22">
            <v>12.82</v>
          </cell>
        </row>
        <row r="23">
          <cell r="A23" t="str">
            <v>LU1883334606</v>
          </cell>
          <cell r="B23" t="str">
            <v>AMUNDI FUNDS GLOBAL SUBORDINATED BOND</v>
          </cell>
          <cell r="C23" t="str">
            <v>Class I2 EUR QD (D)</v>
          </cell>
          <cell r="D23" t="str">
            <v>100% Net Income</v>
          </cell>
          <cell r="E23">
            <v>0</v>
          </cell>
          <cell r="F23">
            <v>12.607970119999999</v>
          </cell>
          <cell r="G23">
            <v>12.607970119999999</v>
          </cell>
        </row>
        <row r="24">
          <cell r="A24" t="str">
            <v>LU2085675432</v>
          </cell>
          <cell r="B24" t="str">
            <v>AMUNDI FUNDS GLOBAL SUBORDINATED BOND</v>
          </cell>
          <cell r="C24" t="str">
            <v>Class Z EUR QD (D)</v>
          </cell>
          <cell r="D24" t="str">
            <v>100% Net Income</v>
          </cell>
          <cell r="E24">
            <v>0</v>
          </cell>
          <cell r="F24">
            <v>14.84082845</v>
          </cell>
          <cell r="G24">
            <v>14.84082845</v>
          </cell>
        </row>
        <row r="25">
          <cell r="A25" t="str">
            <v>LU1894680088</v>
          </cell>
          <cell r="B25" t="str">
            <v>AMUNDI FUNDS OPTIMAL YIELD</v>
          </cell>
          <cell r="C25" t="str">
            <v>Class G EUR QD (D)</v>
          </cell>
          <cell r="D25" t="str">
            <v>100% Net Income</v>
          </cell>
          <cell r="E25">
            <v>0</v>
          </cell>
          <cell r="F25">
            <v>4.1813120000000002E-2</v>
          </cell>
          <cell r="G25">
            <v>4.1813120000000002E-2</v>
          </cell>
        </row>
        <row r="26">
          <cell r="A26" t="str">
            <v>LU2070303842</v>
          </cell>
          <cell r="B26" t="str">
            <v>AMUNDI FUNDS REAL ASSETS TARGET INCOME</v>
          </cell>
          <cell r="C26" t="str">
            <v>Class Z EUR QD (D)</v>
          </cell>
          <cell r="D26" t="str">
            <v>100% Net Income</v>
          </cell>
          <cell r="E26">
            <v>0</v>
          </cell>
          <cell r="F26">
            <v>7.9950494399999998</v>
          </cell>
          <cell r="G26">
            <v>7.9950494399999998</v>
          </cell>
        </row>
        <row r="27">
          <cell r="A27" t="str">
            <v>LU1894679155</v>
          </cell>
          <cell r="B27" t="str">
            <v>AMUNDI FUNDS STRATEGIC BOND</v>
          </cell>
          <cell r="C27" t="str">
            <v>Class G EUR QD (D)</v>
          </cell>
          <cell r="D27" t="str">
            <v>100% Net Income</v>
          </cell>
          <cell r="E27">
            <v>0</v>
          </cell>
          <cell r="F27">
            <v>6.2747410000000003E-2</v>
          </cell>
          <cell r="G27">
            <v>6.2747410000000003E-2</v>
          </cell>
        </row>
        <row r="28">
          <cell r="A28" t="str">
            <v>LU1883302744</v>
          </cell>
          <cell r="B28" t="str">
            <v>AMUNDI FUNDS STRATEGIC BOND</v>
          </cell>
          <cell r="C28" t="str">
            <v>Class I2 EUR QD (D)</v>
          </cell>
          <cell r="D28" t="str">
            <v>100% Net Income</v>
          </cell>
          <cell r="E28">
            <v>0</v>
          </cell>
          <cell r="F28">
            <v>13.12769248</v>
          </cell>
          <cell r="G28">
            <v>13.12769248</v>
          </cell>
        </row>
        <row r="29">
          <cell r="A29" t="str">
            <v>LU1894682530</v>
          </cell>
          <cell r="B29" t="str">
            <v>AMUNDI FUNDS STRATEGIC INCOME</v>
          </cell>
          <cell r="C29" t="str">
            <v>Class G EUR H QD (D)</v>
          </cell>
          <cell r="D29" t="str">
            <v>100% Net Income</v>
          </cell>
          <cell r="E29">
            <v>0</v>
          </cell>
          <cell r="F29">
            <v>4.6043809999999998E-2</v>
          </cell>
          <cell r="G29">
            <v>4.6043809999999998E-2</v>
          </cell>
        </row>
        <row r="30">
          <cell r="A30" t="str">
            <v>LU1883844802</v>
          </cell>
          <cell r="B30" t="str">
            <v>AMUNDI FUNDS STRATEGIC INCOME</v>
          </cell>
          <cell r="C30" t="str">
            <v>Class I2 EUR QD (D)</v>
          </cell>
          <cell r="D30" t="str">
            <v>100% Net Income</v>
          </cell>
          <cell r="E30">
            <v>0</v>
          </cell>
          <cell r="F30">
            <v>12.86923912</v>
          </cell>
          <cell r="G30">
            <v>12.86923912</v>
          </cell>
        </row>
        <row r="31">
          <cell r="A31" t="str">
            <v>LU1883845288</v>
          </cell>
          <cell r="B31" t="str">
            <v>AMUNDI FUNDS STRATEGIC INCOME</v>
          </cell>
          <cell r="C31" t="str">
            <v>Class I2 USD QD (D)</v>
          </cell>
          <cell r="D31" t="str">
            <v>100% Net Income</v>
          </cell>
          <cell r="E31">
            <v>0</v>
          </cell>
          <cell r="F31">
            <v>15.118040430000001</v>
          </cell>
          <cell r="G31">
            <v>15.118040430000001</v>
          </cell>
        </row>
        <row r="32">
          <cell r="A32" t="str">
            <v>LU1883849355</v>
          </cell>
          <cell r="B32" t="str">
            <v>AMUNDI FUNDS US BOND</v>
          </cell>
          <cell r="C32" t="str">
            <v>Class A2 EUR QD (D)</v>
          </cell>
          <cell r="D32" t="str">
            <v>100% Net Income</v>
          </cell>
          <cell r="E32">
            <v>0</v>
          </cell>
          <cell r="F32">
            <v>0.42934450000000002</v>
          </cell>
          <cell r="G32">
            <v>0.42934450000000002</v>
          </cell>
        </row>
        <row r="33">
          <cell r="A33" t="str">
            <v>LU1883849439</v>
          </cell>
          <cell r="B33" t="str">
            <v>AMUNDI FUNDS US BOND</v>
          </cell>
          <cell r="C33" t="str">
            <v>Class A2 GBP HQD (D)</v>
          </cell>
          <cell r="D33" t="str">
            <v>100% Net Income</v>
          </cell>
          <cell r="E33">
            <v>0</v>
          </cell>
          <cell r="F33">
            <v>0.37766128999999998</v>
          </cell>
          <cell r="G33">
            <v>0.37766128999999998</v>
          </cell>
        </row>
        <row r="34">
          <cell r="A34" t="str">
            <v>LU2031984185</v>
          </cell>
          <cell r="B34" t="str">
            <v>AMUNDI FUNDS US BOND</v>
          </cell>
          <cell r="C34" t="str">
            <v>Class I2 GBP QD (D)</v>
          </cell>
          <cell r="D34" t="str">
            <v>100% Net Income</v>
          </cell>
          <cell r="E34">
            <v>0</v>
          </cell>
          <cell r="F34">
            <v>8.9879999999999995</v>
          </cell>
          <cell r="G34">
            <v>8.9879999999999995</v>
          </cell>
        </row>
        <row r="35">
          <cell r="A35" t="str">
            <v>LU1883852730</v>
          </cell>
          <cell r="B35" t="str">
            <v>AMUNDI FUNDS US BOND</v>
          </cell>
          <cell r="C35" t="str">
            <v>Class R2 EUR QD (D)</v>
          </cell>
          <cell r="D35" t="str">
            <v>100% Net Income</v>
          </cell>
          <cell r="E35">
            <v>0</v>
          </cell>
          <cell r="F35">
            <v>0.45889999999999997</v>
          </cell>
          <cell r="G35">
            <v>0.45889999999999997</v>
          </cell>
        </row>
        <row r="36">
          <cell r="A36" t="str">
            <v>LU2305762622</v>
          </cell>
          <cell r="B36" t="str">
            <v>AMUNDI FUNDS US CORPORATE BOND SELECT</v>
          </cell>
          <cell r="C36" t="str">
            <v>Class M2 EUR HQTD(D)</v>
          </cell>
          <cell r="D36" t="str">
            <v>100% Net Income</v>
          </cell>
          <cell r="E36">
            <v>0</v>
          </cell>
          <cell r="F36">
            <v>9.0790181000000008</v>
          </cell>
          <cell r="G36">
            <v>9.0790181000000008</v>
          </cell>
        </row>
        <row r="37">
          <cell r="A37" t="str">
            <v>LU1883863935</v>
          </cell>
          <cell r="B37" t="str">
            <v>AMUNDI FUNDS US HIGH YIELD BOND</v>
          </cell>
          <cell r="C37" t="str">
            <v>Class I2 USD QD (D)</v>
          </cell>
          <cell r="D37" t="str">
            <v>100% Net Income</v>
          </cell>
          <cell r="E37">
            <v>0</v>
          </cell>
          <cell r="F37">
            <v>16.86203497</v>
          </cell>
          <cell r="G37">
            <v>16.86203497</v>
          </cell>
        </row>
        <row r="38">
          <cell r="A38" t="str">
            <v>LU2907103910</v>
          </cell>
          <cell r="B38" t="str">
            <v>AMUNDI FUNDS US PIONEER FUND</v>
          </cell>
          <cell r="C38" t="str">
            <v>Class M2 EUR QD (D)</v>
          </cell>
          <cell r="D38" t="str">
            <v>100% Net Income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LU2402137025</v>
          </cell>
          <cell r="B39" t="str">
            <v>FCH M&amp;G Global Dividend</v>
          </cell>
          <cell r="C39" t="str">
            <v>Class Z USD QD (D)</v>
          </cell>
          <cell r="D39" t="str">
            <v>100% Net Income</v>
          </cell>
          <cell r="E39">
            <v>0</v>
          </cell>
          <cell r="F39">
            <v>7.8639526399999999</v>
          </cell>
          <cell r="G39">
            <v>7.8639526399999999</v>
          </cell>
        </row>
        <row r="40">
          <cell r="A40" t="str">
            <v>LU2819816500</v>
          </cell>
          <cell r="B40" t="str">
            <v>FCH Jupiter Dynamic Bond</v>
          </cell>
          <cell r="C40" t="str">
            <v>Class Z EUR QD (D)</v>
          </cell>
          <cell r="D40" t="str">
            <v>100% Net Income</v>
          </cell>
          <cell r="E40">
            <v>0</v>
          </cell>
          <cell r="F40">
            <v>14.77630435</v>
          </cell>
          <cell r="G40">
            <v>14.77630435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PRICE_20251202024534_FPNO_20"/>
    </sheetNames>
    <sheetDataSet>
      <sheetData sheetId="0">
        <row r="9">
          <cell r="A9" t="str">
            <v>LU0616240825</v>
          </cell>
          <cell r="B9" t="str">
            <v>AMUNDI FUNDS EURO AGGREGATE BOND</v>
          </cell>
          <cell r="C9" t="str">
            <v>Class I2 EUR MD (D)</v>
          </cell>
          <cell r="D9" t="str">
            <v>EUR</v>
          </cell>
          <cell r="E9" t="str">
            <v>01-Dec-2025</v>
          </cell>
          <cell r="F9">
            <v>4927554.75</v>
          </cell>
          <cell r="G9">
            <v>13000</v>
          </cell>
          <cell r="H9">
            <v>379.04</v>
          </cell>
          <cell r="I9">
            <v>4.5975999999999999</v>
          </cell>
          <cell r="J9">
            <v>379.04</v>
          </cell>
          <cell r="K9">
            <v>-5.62</v>
          </cell>
          <cell r="P9">
            <v>0</v>
          </cell>
        </row>
        <row r="10">
          <cell r="A10" t="str">
            <v>LU1882467613</v>
          </cell>
          <cell r="B10" t="str">
            <v>AMUNDI FUNDS EURO AGGREGATE BOND</v>
          </cell>
          <cell r="C10" t="str">
            <v>Class A2 EUR MTD (D)</v>
          </cell>
          <cell r="D10" t="str">
            <v>EUR</v>
          </cell>
          <cell r="E10" t="str">
            <v>01-Dec-2025</v>
          </cell>
          <cell r="F10">
            <v>93363.28</v>
          </cell>
          <cell r="G10">
            <v>2157.0619999999999</v>
          </cell>
          <cell r="H10">
            <v>43.28</v>
          </cell>
          <cell r="I10">
            <v>9.0700000000000003E-2</v>
          </cell>
          <cell r="J10">
            <v>44.58</v>
          </cell>
          <cell r="K10">
            <v>-0.21</v>
          </cell>
          <cell r="P10">
            <v>0</v>
          </cell>
        </row>
        <row r="11">
          <cell r="A11" t="str">
            <v>LU1882468181</v>
          </cell>
          <cell r="B11" t="str">
            <v>AMUNDI FUNDS EURO AGGREGATE BOND</v>
          </cell>
          <cell r="C11" t="str">
            <v>Class E2 EUR AD (D)</v>
          </cell>
          <cell r="D11" t="str">
            <v>EUR</v>
          </cell>
          <cell r="E11" t="str">
            <v>01-Dec-2025</v>
          </cell>
          <cell r="F11">
            <v>7849634.7800000003</v>
          </cell>
          <cell r="G11">
            <v>1718855.3929999999</v>
          </cell>
          <cell r="H11">
            <v>4.5670000000000002</v>
          </cell>
          <cell r="I11">
            <v>0</v>
          </cell>
          <cell r="J11">
            <v>4.5670000000000002</v>
          </cell>
          <cell r="K11">
            <v>-1.2E-2</v>
          </cell>
          <cell r="P11">
            <v>0</v>
          </cell>
        </row>
        <row r="12">
          <cell r="A12" t="str">
            <v>LU1103159536</v>
          </cell>
          <cell r="B12" t="str">
            <v>AMUNDI FUNDS EURO AGGREGATE BOND</v>
          </cell>
          <cell r="C12" t="str">
            <v>Class A2 EUR (C)</v>
          </cell>
          <cell r="D12" t="str">
            <v>EUR</v>
          </cell>
          <cell r="E12" t="str">
            <v>01-Dec-2025</v>
          </cell>
          <cell r="F12">
            <v>37112751.229999997</v>
          </cell>
          <cell r="G12">
            <v>390110.46299999999</v>
          </cell>
          <cell r="H12">
            <v>95.13</v>
          </cell>
          <cell r="I12">
            <v>0</v>
          </cell>
          <cell r="J12">
            <v>95.13</v>
          </cell>
          <cell r="K12">
            <v>-0.26</v>
          </cell>
          <cell r="P12">
            <v>0</v>
          </cell>
        </row>
        <row r="13">
          <cell r="A13" t="str">
            <v>LU1103159619</v>
          </cell>
          <cell r="B13" t="str">
            <v>AMUNDI FUNDS EURO AGGREGATE BOND</v>
          </cell>
          <cell r="C13" t="str">
            <v>Class A2 EUR AD (D)</v>
          </cell>
          <cell r="D13" t="str">
            <v>EUR</v>
          </cell>
          <cell r="E13" t="str">
            <v>01-Dec-2025</v>
          </cell>
          <cell r="F13">
            <v>26463460.68</v>
          </cell>
          <cell r="G13">
            <v>285836.09299999999</v>
          </cell>
          <cell r="H13">
            <v>92.58</v>
          </cell>
          <cell r="I13">
            <v>0</v>
          </cell>
          <cell r="J13">
            <v>92.58</v>
          </cell>
          <cell r="K13">
            <v>-0.25</v>
          </cell>
          <cell r="P13">
            <v>0</v>
          </cell>
        </row>
        <row r="14">
          <cell r="A14" t="str">
            <v>LU1882468009</v>
          </cell>
          <cell r="B14" t="str">
            <v>AMUNDI FUNDS EURO AGGREGATE BOND</v>
          </cell>
          <cell r="C14" t="str">
            <v>Class E2 EUR (C)</v>
          </cell>
          <cell r="D14" t="str">
            <v>EUR</v>
          </cell>
          <cell r="E14" t="str">
            <v>01-Dec-2025</v>
          </cell>
          <cell r="F14">
            <v>99104700.819999993</v>
          </cell>
          <cell r="G14">
            <v>20563741.941</v>
          </cell>
          <cell r="H14">
            <v>4.819</v>
          </cell>
          <cell r="I14">
            <v>0</v>
          </cell>
          <cell r="J14">
            <v>4.819</v>
          </cell>
          <cell r="K14">
            <v>-1.2999999999999999E-2</v>
          </cell>
          <cell r="P14">
            <v>0</v>
          </cell>
        </row>
        <row r="15">
          <cell r="A15" t="str">
            <v>LU1882468421</v>
          </cell>
          <cell r="B15" t="str">
            <v>AMUNDI FUNDS EURO AGGREGATE BOND</v>
          </cell>
          <cell r="C15" t="str">
            <v>Class F EUR AD (D)</v>
          </cell>
          <cell r="D15" t="str">
            <v>EUR</v>
          </cell>
          <cell r="E15" t="str">
            <v>01-Dec-2025</v>
          </cell>
          <cell r="F15">
            <v>6492845.4100000001</v>
          </cell>
          <cell r="G15">
            <v>1434250.966</v>
          </cell>
          <cell r="H15">
            <v>4.5270000000000001</v>
          </cell>
          <cell r="I15">
            <v>0</v>
          </cell>
          <cell r="J15">
            <v>4.5270000000000001</v>
          </cell>
          <cell r="K15">
            <v>-1.2999999999999999E-2</v>
          </cell>
          <cell r="P15">
            <v>0</v>
          </cell>
        </row>
        <row r="16">
          <cell r="A16" t="str">
            <v>LU0616241989</v>
          </cell>
          <cell r="B16" t="str">
            <v>AMUNDI FUNDS EURO AGGREGATE BOND</v>
          </cell>
          <cell r="C16" t="str">
            <v>Class F2 EUR (C)</v>
          </cell>
          <cell r="D16" t="str">
            <v>EUR</v>
          </cell>
          <cell r="E16" t="str">
            <v>01-Dec-2025</v>
          </cell>
          <cell r="F16">
            <v>1369027.64</v>
          </cell>
          <cell r="G16">
            <v>10911.442999999999</v>
          </cell>
          <cell r="H16">
            <v>125.47</v>
          </cell>
          <cell r="I16">
            <v>0</v>
          </cell>
          <cell r="J16">
            <v>125.47</v>
          </cell>
          <cell r="K16">
            <v>-0.34</v>
          </cell>
          <cell r="P16">
            <v>0</v>
          </cell>
        </row>
        <row r="17">
          <cell r="A17" t="str">
            <v>LU1882468348</v>
          </cell>
          <cell r="B17" t="str">
            <v>AMUNDI FUNDS EURO AGGREGATE BOND</v>
          </cell>
          <cell r="C17" t="str">
            <v>Class F EUR (C)</v>
          </cell>
          <cell r="D17" t="str">
            <v>EUR</v>
          </cell>
          <cell r="E17" t="str">
            <v>01-Dec-2025</v>
          </cell>
          <cell r="F17">
            <v>11980203.890000001</v>
          </cell>
          <cell r="G17">
            <v>2578049.574</v>
          </cell>
          <cell r="H17">
            <v>4.6470000000000002</v>
          </cell>
          <cell r="I17">
            <v>0</v>
          </cell>
          <cell r="J17">
            <v>4.6470000000000002</v>
          </cell>
          <cell r="K17">
            <v>-1.2999999999999999E-2</v>
          </cell>
          <cell r="P17">
            <v>0</v>
          </cell>
        </row>
        <row r="18">
          <cell r="A18" t="str">
            <v>LU1998918475</v>
          </cell>
          <cell r="B18" t="str">
            <v>AMUNDI FUNDS EURO AGGREGATE BOND</v>
          </cell>
          <cell r="C18" t="str">
            <v>Class H EUR (C)</v>
          </cell>
          <cell r="D18" t="str">
            <v>EUR</v>
          </cell>
          <cell r="E18" t="str">
            <v>01-Dec-2025</v>
          </cell>
          <cell r="F18">
            <v>12726497.039999999</v>
          </cell>
          <cell r="G18">
            <v>13097.275</v>
          </cell>
          <cell r="H18">
            <v>971.69</v>
          </cell>
          <cell r="I18">
            <v>0</v>
          </cell>
          <cell r="J18">
            <v>971.69</v>
          </cell>
          <cell r="K18">
            <v>-2.57</v>
          </cell>
          <cell r="P18">
            <v>0</v>
          </cell>
        </row>
        <row r="19">
          <cell r="A19" t="str">
            <v>LU0616240585</v>
          </cell>
          <cell r="B19" t="str">
            <v>AMUNDI FUNDS EURO AGGREGATE BOND</v>
          </cell>
          <cell r="C19" t="str">
            <v>Class I EUR (C)</v>
          </cell>
          <cell r="D19" t="str">
            <v>EUR</v>
          </cell>
          <cell r="E19" t="str">
            <v>01-Dec-2025</v>
          </cell>
          <cell r="F19">
            <v>7441769.0700000003</v>
          </cell>
          <cell r="G19">
            <v>5197.9359999999997</v>
          </cell>
          <cell r="H19">
            <v>1431.68</v>
          </cell>
          <cell r="I19">
            <v>0</v>
          </cell>
          <cell r="J19">
            <v>1431.68</v>
          </cell>
          <cell r="K19">
            <v>-3.89</v>
          </cell>
          <cell r="P19">
            <v>0</v>
          </cell>
        </row>
        <row r="20">
          <cell r="A20" t="str">
            <v>LU1882468777</v>
          </cell>
          <cell r="B20" t="str">
            <v>AMUNDI FUNDS EURO AGGREGATE BOND</v>
          </cell>
          <cell r="C20" t="str">
            <v>Class I2 EUR QTD (D)</v>
          </cell>
          <cell r="D20" t="str">
            <v>EUR</v>
          </cell>
          <cell r="E20" t="str">
            <v>01-Dec-2025</v>
          </cell>
          <cell r="F20">
            <v>119235.18</v>
          </cell>
          <cell r="G20">
            <v>132.32400000000001</v>
          </cell>
          <cell r="H20">
            <v>901.09</v>
          </cell>
          <cell r="I20">
            <v>0</v>
          </cell>
          <cell r="J20">
            <v>901.09</v>
          </cell>
          <cell r="K20">
            <v>-2.4</v>
          </cell>
          <cell r="P20">
            <v>0</v>
          </cell>
        </row>
        <row r="21">
          <cell r="A21" t="str">
            <v>LU1882468850</v>
          </cell>
          <cell r="B21" t="str">
            <v>AMUNDI FUNDS EURO AGGREGATE BOND</v>
          </cell>
          <cell r="C21" t="str">
            <v>Class I2 USD Hgd (C)</v>
          </cell>
          <cell r="D21" t="str">
            <v>USD</v>
          </cell>
          <cell r="E21" t="str">
            <v>01-Dec-2025</v>
          </cell>
          <cell r="F21">
            <v>251520.43</v>
          </cell>
          <cell r="G21">
            <v>228.59700000000001</v>
          </cell>
          <cell r="H21">
            <v>1100.28</v>
          </cell>
          <cell r="I21">
            <v>0</v>
          </cell>
          <cell r="J21">
            <v>1100.28</v>
          </cell>
          <cell r="K21">
            <v>-2.88</v>
          </cell>
          <cell r="P21">
            <v>0</v>
          </cell>
        </row>
        <row r="22">
          <cell r="A22" t="str">
            <v>LU1882468264</v>
          </cell>
          <cell r="B22" t="str">
            <v>AMUNDI FUNDS EURO AGGREGATE BOND</v>
          </cell>
          <cell r="C22" t="str">
            <v>Class E2 EUR QTD (D)</v>
          </cell>
          <cell r="D22" t="str">
            <v>EUR</v>
          </cell>
          <cell r="E22" t="str">
            <v>01-Dec-2025</v>
          </cell>
          <cell r="F22">
            <v>11037648.92</v>
          </cell>
          <cell r="G22">
            <v>2515764.7280000001</v>
          </cell>
          <cell r="H22">
            <v>4.3869999999999996</v>
          </cell>
          <cell r="I22">
            <v>0</v>
          </cell>
          <cell r="J22">
            <v>4.3869999999999996</v>
          </cell>
          <cell r="K22">
            <v>-1.2E-2</v>
          </cell>
          <cell r="P22">
            <v>0</v>
          </cell>
        </row>
        <row r="23">
          <cell r="A23" t="str">
            <v>LU1882468694</v>
          </cell>
          <cell r="B23" t="str">
            <v>AMUNDI FUNDS EURO AGGREGATE BOND</v>
          </cell>
          <cell r="C23" t="str">
            <v>Class I2 EUR (C)</v>
          </cell>
          <cell r="D23" t="str">
            <v>EUR</v>
          </cell>
          <cell r="E23" t="str">
            <v>01-Dec-2025</v>
          </cell>
          <cell r="F23">
            <v>32111785.309999999</v>
          </cell>
          <cell r="G23">
            <v>32382.991000000002</v>
          </cell>
          <cell r="H23">
            <v>991.63</v>
          </cell>
          <cell r="I23">
            <v>0</v>
          </cell>
          <cell r="J23">
            <v>991.63</v>
          </cell>
          <cell r="K23">
            <v>-2.64</v>
          </cell>
          <cell r="P23">
            <v>0</v>
          </cell>
        </row>
        <row r="24">
          <cell r="A24" t="str">
            <v>LU2477811884</v>
          </cell>
          <cell r="B24" t="str">
            <v>AMUNDI FUNDS EURO AGGREGATE BOND</v>
          </cell>
          <cell r="C24" t="str">
            <v>Class I2 SEK Hgd (C)</v>
          </cell>
          <cell r="D24" t="str">
            <v>SEK</v>
          </cell>
          <cell r="E24" t="str">
            <v>01-Dec-2025</v>
          </cell>
          <cell r="F24">
            <v>148457230.53</v>
          </cell>
          <cell r="G24">
            <v>14320.513999999999</v>
          </cell>
          <cell r="H24">
            <v>10366.75</v>
          </cell>
          <cell r="I24">
            <v>0</v>
          </cell>
          <cell r="J24">
            <v>10366.75</v>
          </cell>
          <cell r="K24">
            <v>-27.79</v>
          </cell>
          <cell r="P24">
            <v>0</v>
          </cell>
        </row>
        <row r="25">
          <cell r="A25" t="str">
            <v>LU1882468934</v>
          </cell>
          <cell r="B25" t="str">
            <v>AMUNDI FUNDS EURO AGGREGATE BOND</v>
          </cell>
          <cell r="C25" t="str">
            <v>Class J2 EUR (C)</v>
          </cell>
          <cell r="D25" t="str">
            <v>EUR</v>
          </cell>
          <cell r="E25" t="str">
            <v>01-Dec-2025</v>
          </cell>
          <cell r="F25">
            <v>127436507.72</v>
          </cell>
          <cell r="G25">
            <v>127522.804</v>
          </cell>
          <cell r="H25">
            <v>999.32</v>
          </cell>
          <cell r="I25">
            <v>0</v>
          </cell>
          <cell r="J25">
            <v>999.32</v>
          </cell>
          <cell r="K25">
            <v>-2.66</v>
          </cell>
          <cell r="P25">
            <v>0</v>
          </cell>
        </row>
        <row r="26">
          <cell r="A26" t="str">
            <v>LU0616241047</v>
          </cell>
          <cell r="B26" t="str">
            <v>AMUNDI FUNDS EURO AGGREGATE BOND</v>
          </cell>
          <cell r="C26" t="str">
            <v>Class M EUR (C)</v>
          </cell>
          <cell r="D26" t="str">
            <v>EUR</v>
          </cell>
          <cell r="E26" t="str">
            <v>01-Dec-2025</v>
          </cell>
          <cell r="F26">
            <v>2830684.9</v>
          </cell>
          <cell r="G26">
            <v>20029.453000000001</v>
          </cell>
          <cell r="H26">
            <v>141.33000000000001</v>
          </cell>
          <cell r="I26">
            <v>0</v>
          </cell>
          <cell r="J26">
            <v>141.33000000000001</v>
          </cell>
          <cell r="K26">
            <v>-0.38</v>
          </cell>
          <cell r="P26">
            <v>0</v>
          </cell>
        </row>
        <row r="27">
          <cell r="A27" t="str">
            <v>LU1882469403</v>
          </cell>
          <cell r="B27" t="str">
            <v>AMUNDI FUNDS EURO AGGREGATE BOND</v>
          </cell>
          <cell r="C27" t="str">
            <v>Class R2 EUR AD (D)</v>
          </cell>
          <cell r="D27" t="str">
            <v>EUR</v>
          </cell>
          <cell r="E27" t="str">
            <v>01-Dec-2025</v>
          </cell>
          <cell r="F27">
            <v>28.47</v>
          </cell>
          <cell r="G27">
            <v>0.623</v>
          </cell>
          <cell r="H27">
            <v>45.7</v>
          </cell>
          <cell r="I27">
            <v>0</v>
          </cell>
          <cell r="J27">
            <v>45.7</v>
          </cell>
          <cell r="K27">
            <v>-0.11</v>
          </cell>
          <cell r="P27">
            <v>0</v>
          </cell>
        </row>
        <row r="28">
          <cell r="A28" t="str">
            <v>LU1882469312</v>
          </cell>
          <cell r="B28" t="str">
            <v>AMUNDI FUNDS EURO AGGREGATE BOND</v>
          </cell>
          <cell r="C28" t="str">
            <v>Class R2 EUR (C)</v>
          </cell>
          <cell r="D28" t="str">
            <v>EUR</v>
          </cell>
          <cell r="E28" t="str">
            <v>01-Dec-2025</v>
          </cell>
          <cell r="F28">
            <v>254837.33</v>
          </cell>
          <cell r="G28">
            <v>5419.5150000000003</v>
          </cell>
          <cell r="H28">
            <v>47.02</v>
          </cell>
          <cell r="I28">
            <v>0</v>
          </cell>
          <cell r="J28">
            <v>47.02</v>
          </cell>
          <cell r="K28">
            <v>-0.13</v>
          </cell>
          <cell r="P28">
            <v>0</v>
          </cell>
        </row>
        <row r="29">
          <cell r="A29" t="str">
            <v>LU0616241393</v>
          </cell>
          <cell r="B29" t="str">
            <v>AMUNDI FUNDS EURO AGGREGATE BOND</v>
          </cell>
          <cell r="C29" t="str">
            <v>Class O EUR (C)</v>
          </cell>
          <cell r="D29" t="str">
            <v>EUR</v>
          </cell>
          <cell r="E29" t="str">
            <v>01-Dec-2025</v>
          </cell>
          <cell r="F29">
            <v>155262363.69</v>
          </cell>
          <cell r="G29">
            <v>118608.444</v>
          </cell>
          <cell r="H29">
            <v>1309.03</v>
          </cell>
          <cell r="I29">
            <v>0</v>
          </cell>
          <cell r="J29">
            <v>0</v>
          </cell>
          <cell r="K29">
            <v>-3.45</v>
          </cell>
          <cell r="P29">
            <v>0</v>
          </cell>
        </row>
        <row r="30">
          <cell r="A30" t="str">
            <v>LU1882467704</v>
          </cell>
          <cell r="B30" t="str">
            <v>AMUNDI FUNDS EURO AGGREGATE BOND</v>
          </cell>
          <cell r="C30" t="str">
            <v>Class A2 EUR QTD (D)</v>
          </cell>
          <cell r="D30" t="str">
            <v>EUR</v>
          </cell>
          <cell r="E30" t="str">
            <v>01-Dec-2025</v>
          </cell>
          <cell r="F30">
            <v>959357.73</v>
          </cell>
          <cell r="G30">
            <v>22156.022000000001</v>
          </cell>
          <cell r="H30">
            <v>43.3</v>
          </cell>
          <cell r="I30">
            <v>0</v>
          </cell>
          <cell r="J30">
            <v>44.6</v>
          </cell>
          <cell r="K30">
            <v>-0.12</v>
          </cell>
          <cell r="P30">
            <v>0</v>
          </cell>
        </row>
        <row r="31">
          <cell r="A31" t="str">
            <v>LU0839528493</v>
          </cell>
          <cell r="B31" t="str">
            <v>AMUNDI FUNDS EURO AGGREGATE BOND</v>
          </cell>
          <cell r="C31" t="str">
            <v>Class R EUR (C)</v>
          </cell>
          <cell r="D31" t="str">
            <v>EUR</v>
          </cell>
          <cell r="E31" t="str">
            <v>01-Dec-2025</v>
          </cell>
          <cell r="F31">
            <v>1878702.12</v>
          </cell>
          <cell r="G31">
            <v>19092.23</v>
          </cell>
          <cell r="H31">
            <v>98.4</v>
          </cell>
          <cell r="I31">
            <v>0</v>
          </cell>
          <cell r="J31">
            <v>98.4</v>
          </cell>
          <cell r="K31">
            <v>-0.27</v>
          </cell>
          <cell r="P31">
            <v>0</v>
          </cell>
        </row>
        <row r="32">
          <cell r="A32" t="str">
            <v>LU0839528733</v>
          </cell>
          <cell r="B32" t="str">
            <v>AMUNDI FUNDS EURO AGGREGATE BOND</v>
          </cell>
          <cell r="C32" t="str">
            <v>Class R EUR AD (D)</v>
          </cell>
          <cell r="D32" t="str">
            <v>EUR</v>
          </cell>
          <cell r="E32" t="str">
            <v>01-Dec-2025</v>
          </cell>
          <cell r="F32">
            <v>4587.04</v>
          </cell>
          <cell r="G32">
            <v>50.002000000000002</v>
          </cell>
          <cell r="H32">
            <v>91.74</v>
          </cell>
          <cell r="I32">
            <v>0</v>
          </cell>
          <cell r="J32">
            <v>91.74</v>
          </cell>
          <cell r="K32">
            <v>-0.25</v>
          </cell>
          <cell r="P32">
            <v>0</v>
          </cell>
        </row>
        <row r="33">
          <cell r="A33" t="str">
            <v>LU0616241807</v>
          </cell>
          <cell r="B33" t="str">
            <v>AMUNDI FUNDS EURO AGGREGATE BOND</v>
          </cell>
          <cell r="C33" t="str">
            <v>Class G EUR (C)</v>
          </cell>
          <cell r="D33" t="str">
            <v>EUR</v>
          </cell>
          <cell r="E33" t="str">
            <v>01-Dec-2025</v>
          </cell>
          <cell r="F33">
            <v>33736725.060000002</v>
          </cell>
          <cell r="G33">
            <v>259270.08199999999</v>
          </cell>
          <cell r="H33">
            <v>130.12</v>
          </cell>
          <cell r="I33">
            <v>0</v>
          </cell>
          <cell r="J33">
            <v>134.02000000000001</v>
          </cell>
          <cell r="K33">
            <v>-0.36</v>
          </cell>
          <cell r="P33">
            <v>0</v>
          </cell>
        </row>
        <row r="34">
          <cell r="A34" t="str">
            <v>LU2085674898</v>
          </cell>
          <cell r="B34" t="str">
            <v>AMUNDI FUNDS EURO AGGREGATE BOND</v>
          </cell>
          <cell r="C34" t="str">
            <v>Class Z EUR (C)</v>
          </cell>
          <cell r="D34" t="str">
            <v>EUR</v>
          </cell>
          <cell r="E34" t="str">
            <v>01-Dec-2025</v>
          </cell>
          <cell r="F34">
            <v>145986237.97999999</v>
          </cell>
          <cell r="G34">
            <v>151084.04300000001</v>
          </cell>
          <cell r="H34">
            <v>966.26</v>
          </cell>
          <cell r="I34">
            <v>0</v>
          </cell>
          <cell r="J34">
            <v>966.26</v>
          </cell>
          <cell r="K34">
            <v>-2.62</v>
          </cell>
          <cell r="P34">
            <v>0</v>
          </cell>
        </row>
        <row r="35">
          <cell r="A35" t="str">
            <v>LU0119099819</v>
          </cell>
          <cell r="B35" t="str">
            <v>AMUNDI FUNDS EURO CORPORATE BOND SELECT</v>
          </cell>
          <cell r="C35" t="str">
            <v>Class A EUR (C)</v>
          </cell>
          <cell r="D35" t="str">
            <v>EUR</v>
          </cell>
          <cell r="E35" t="str">
            <v>01-Dec-2025</v>
          </cell>
          <cell r="F35">
            <v>20857748.280000001</v>
          </cell>
          <cell r="G35">
            <v>1010647.013</v>
          </cell>
          <cell r="H35">
            <v>20.64</v>
          </cell>
          <cell r="I35">
            <v>0</v>
          </cell>
          <cell r="J35">
            <v>21.26</v>
          </cell>
          <cell r="K35">
            <v>-0.03</v>
          </cell>
          <cell r="P35">
            <v>0</v>
          </cell>
        </row>
        <row r="36">
          <cell r="A36" t="str">
            <v>LU1049751511</v>
          </cell>
          <cell r="B36" t="str">
            <v>AMUNDI FUNDS EURO CORPORATE BOND SELECT</v>
          </cell>
          <cell r="C36" t="str">
            <v>Class A CZK Hgd (C)</v>
          </cell>
          <cell r="D36" t="str">
            <v>CZK</v>
          </cell>
          <cell r="E36" t="str">
            <v>01-Dec-2025</v>
          </cell>
          <cell r="F36">
            <v>145794567.47</v>
          </cell>
          <cell r="G36">
            <v>47243.902000000002</v>
          </cell>
          <cell r="H36">
            <v>3086</v>
          </cell>
          <cell r="I36">
            <v>0</v>
          </cell>
          <cell r="J36">
            <v>3086</v>
          </cell>
          <cell r="K36">
            <v>-4.1900000000000004</v>
          </cell>
          <cell r="P36">
            <v>0</v>
          </cell>
        </row>
        <row r="37">
          <cell r="A37" t="str">
            <v>LU0119100179</v>
          </cell>
          <cell r="B37" t="str">
            <v>AMUNDI FUNDS EURO CORPORATE BOND SELECT</v>
          </cell>
          <cell r="C37" t="str">
            <v>Class A EUR AD (D)</v>
          </cell>
          <cell r="D37" t="str">
            <v>EUR</v>
          </cell>
          <cell r="E37" t="str">
            <v>01-Dec-2025</v>
          </cell>
          <cell r="F37">
            <v>9846702.9900000002</v>
          </cell>
          <cell r="G37">
            <v>892356.06200000003</v>
          </cell>
          <cell r="H37">
            <v>11.03</v>
          </cell>
          <cell r="I37">
            <v>0</v>
          </cell>
          <cell r="J37">
            <v>11.36</v>
          </cell>
          <cell r="K37">
            <v>-0.02</v>
          </cell>
          <cell r="P37">
            <v>0</v>
          </cell>
        </row>
        <row r="38">
          <cell r="A38" t="str">
            <v>LU1882472704</v>
          </cell>
          <cell r="B38" t="str">
            <v>AMUNDI FUNDS EURO CORPORATE BOND SELECT</v>
          </cell>
          <cell r="C38" t="str">
            <v>Class M2 EUR (C)</v>
          </cell>
          <cell r="D38" t="str">
            <v>EUR</v>
          </cell>
          <cell r="E38" t="str">
            <v>01-Dec-2025</v>
          </cell>
          <cell r="F38">
            <v>155126221.72</v>
          </cell>
          <cell r="G38">
            <v>145614.435</v>
          </cell>
          <cell r="H38">
            <v>1065.32</v>
          </cell>
          <cell r="I38">
            <v>0</v>
          </cell>
          <cell r="J38">
            <v>1065.32</v>
          </cell>
          <cell r="K38">
            <v>-1.41</v>
          </cell>
          <cell r="P38">
            <v>0</v>
          </cell>
        </row>
        <row r="39">
          <cell r="A39" t="str">
            <v>LU1882472886</v>
          </cell>
          <cell r="B39" t="str">
            <v>AMUNDI FUNDS EURO CORPORATE BOND SELECT</v>
          </cell>
          <cell r="C39" t="str">
            <v>Class M2 EUR AD (D)</v>
          </cell>
          <cell r="D39" t="str">
            <v>EUR</v>
          </cell>
          <cell r="E39" t="str">
            <v>01-Dec-2025</v>
          </cell>
          <cell r="F39">
            <v>53155.96</v>
          </cell>
          <cell r="G39">
            <v>56.826000000000001</v>
          </cell>
          <cell r="H39">
            <v>935.42</v>
          </cell>
          <cell r="I39">
            <v>0</v>
          </cell>
          <cell r="J39">
            <v>935.42</v>
          </cell>
          <cell r="K39">
            <v>-1.23</v>
          </cell>
          <cell r="P39">
            <v>0</v>
          </cell>
        </row>
        <row r="40">
          <cell r="A40" t="str">
            <v>LU1882472969</v>
          </cell>
          <cell r="B40" t="str">
            <v>AMUNDI FUNDS EURO CORPORATE BOND SELECT</v>
          </cell>
          <cell r="C40" t="str">
            <v>Class M2 EUR QTD (D)</v>
          </cell>
          <cell r="D40" t="str">
            <v>EUR</v>
          </cell>
          <cell r="E40" t="str">
            <v>01-Dec-2025</v>
          </cell>
          <cell r="F40">
            <v>19282717.039999999</v>
          </cell>
          <cell r="G40">
            <v>18860.236000000001</v>
          </cell>
          <cell r="H40">
            <v>1022.4</v>
          </cell>
          <cell r="I40">
            <v>0</v>
          </cell>
          <cell r="J40">
            <v>1022.4</v>
          </cell>
          <cell r="K40">
            <v>-1.35</v>
          </cell>
          <cell r="P40">
            <v>0</v>
          </cell>
        </row>
        <row r="41">
          <cell r="A41" t="str">
            <v>LU1882470161</v>
          </cell>
          <cell r="B41" t="str">
            <v>AMUNDI FUNDS EURO CORPORATE BOND SELECT</v>
          </cell>
          <cell r="C41" t="str">
            <v>Class A2 USD MTD (D)</v>
          </cell>
          <cell r="D41" t="str">
            <v>USD</v>
          </cell>
          <cell r="E41" t="str">
            <v>01-Dec-2025</v>
          </cell>
          <cell r="F41">
            <v>33677.74</v>
          </cell>
          <cell r="G41">
            <v>708.08600000000001</v>
          </cell>
          <cell r="H41">
            <v>47.56</v>
          </cell>
          <cell r="I41">
            <v>0.1056</v>
          </cell>
          <cell r="J41">
            <v>48.99</v>
          </cell>
          <cell r="K41">
            <v>-7.0000000000000007E-2</v>
          </cell>
          <cell r="P41">
            <v>0</v>
          </cell>
        </row>
        <row r="42">
          <cell r="A42" t="str">
            <v>LU0158083906</v>
          </cell>
          <cell r="B42" t="str">
            <v>AMUNDI FUNDS EURO CORPORATE BOND SELECT</v>
          </cell>
          <cell r="C42" t="str">
            <v>Class I2 EUR MD (D)</v>
          </cell>
          <cell r="D42" t="str">
            <v>EUR</v>
          </cell>
          <cell r="E42" t="str">
            <v>01-Dec-2025</v>
          </cell>
          <cell r="F42">
            <v>216841.59</v>
          </cell>
          <cell r="G42">
            <v>8300</v>
          </cell>
          <cell r="H42">
            <v>26.13</v>
          </cell>
          <cell r="I42">
            <v>0.39910000000000001</v>
          </cell>
          <cell r="J42">
            <v>26.13</v>
          </cell>
          <cell r="K42">
            <v>-0.43</v>
          </cell>
          <cell r="P42">
            <v>0</v>
          </cell>
        </row>
        <row r="43">
          <cell r="A43" t="str">
            <v>LU1882469742</v>
          </cell>
          <cell r="B43" t="str">
            <v>AMUNDI FUNDS EURO CORPORATE BOND SELECT</v>
          </cell>
          <cell r="C43" t="str">
            <v>Class A2 EUR MTD (D)</v>
          </cell>
          <cell r="D43" t="str">
            <v>EUR</v>
          </cell>
          <cell r="E43" t="str">
            <v>01-Dec-2025</v>
          </cell>
          <cell r="F43">
            <v>105445.92</v>
          </cell>
          <cell r="G43">
            <v>2318.6869999999999</v>
          </cell>
          <cell r="H43">
            <v>45.48</v>
          </cell>
          <cell r="I43">
            <v>0.11360000000000001</v>
          </cell>
          <cell r="J43">
            <v>46.84</v>
          </cell>
          <cell r="K43">
            <v>-0.17</v>
          </cell>
          <cell r="P43">
            <v>0</v>
          </cell>
        </row>
        <row r="44">
          <cell r="A44" t="str">
            <v>LU1882521765</v>
          </cell>
          <cell r="B44" t="str">
            <v>AMUNDI FUNDS EURO CORPORATE BOND SELECT</v>
          </cell>
          <cell r="C44" t="str">
            <v>Class E2 EUR (C)</v>
          </cell>
          <cell r="D44" t="str">
            <v>EUR</v>
          </cell>
          <cell r="E44" t="str">
            <v>01-Dec-2025</v>
          </cell>
          <cell r="F44">
            <v>28665908.399999999</v>
          </cell>
          <cell r="G44">
            <v>5517334.5360000003</v>
          </cell>
          <cell r="H44">
            <v>5.1959999999999997</v>
          </cell>
          <cell r="I44">
            <v>0</v>
          </cell>
          <cell r="J44">
            <v>5.1959999999999997</v>
          </cell>
          <cell r="K44">
            <v>-7.0000000000000001E-3</v>
          </cell>
          <cell r="P44">
            <v>0</v>
          </cell>
        </row>
        <row r="45">
          <cell r="A45" t="str">
            <v>LU0839528907</v>
          </cell>
          <cell r="B45" t="str">
            <v>AMUNDI FUNDS EURO CORPORATE BOND SELECT</v>
          </cell>
          <cell r="C45" t="str">
            <v>Class A2 EUR (C)</v>
          </cell>
          <cell r="D45" t="str">
            <v>EUR</v>
          </cell>
          <cell r="E45" t="str">
            <v>01-Dec-2025</v>
          </cell>
          <cell r="F45">
            <v>11065758.460000001</v>
          </cell>
          <cell r="G45">
            <v>107874.504</v>
          </cell>
          <cell r="H45">
            <v>102.58</v>
          </cell>
          <cell r="I45">
            <v>0</v>
          </cell>
          <cell r="J45">
            <v>102.58</v>
          </cell>
          <cell r="K45">
            <v>-0.14000000000000001</v>
          </cell>
          <cell r="P45">
            <v>0</v>
          </cell>
        </row>
        <row r="46">
          <cell r="A46" t="str">
            <v>LU0839529202</v>
          </cell>
          <cell r="B46" t="str">
            <v>AMUNDI FUNDS EURO CORPORATE BOND SELECT</v>
          </cell>
          <cell r="C46" t="str">
            <v>Class A2 EUR AD (D)</v>
          </cell>
          <cell r="D46" t="str">
            <v>EUR</v>
          </cell>
          <cell r="E46" t="str">
            <v>01-Dec-2025</v>
          </cell>
          <cell r="F46">
            <v>3353776.53</v>
          </cell>
          <cell r="G46">
            <v>35689.697999999997</v>
          </cell>
          <cell r="H46">
            <v>93.97</v>
          </cell>
          <cell r="I46">
            <v>0</v>
          </cell>
          <cell r="J46">
            <v>93.97</v>
          </cell>
          <cell r="K46">
            <v>-0.13</v>
          </cell>
          <cell r="P46">
            <v>0</v>
          </cell>
        </row>
        <row r="47">
          <cell r="A47" t="str">
            <v>LU0987187969</v>
          </cell>
          <cell r="B47" t="str">
            <v>AMUNDI FUNDS EURO CORPORATE BOND SELECT</v>
          </cell>
          <cell r="C47" t="str">
            <v>Class A2 USD (C)</v>
          </cell>
          <cell r="D47" t="str">
            <v>USD</v>
          </cell>
          <cell r="E47" t="str">
            <v>01-Dec-2025</v>
          </cell>
          <cell r="F47">
            <v>897326.19</v>
          </cell>
          <cell r="G47">
            <v>8414.4570000000003</v>
          </cell>
          <cell r="H47">
            <v>106.64</v>
          </cell>
          <cell r="I47">
            <v>0</v>
          </cell>
          <cell r="J47">
            <v>106.64</v>
          </cell>
          <cell r="K47">
            <v>0.08</v>
          </cell>
          <cell r="P47">
            <v>0</v>
          </cell>
        </row>
        <row r="48">
          <cell r="A48" t="str">
            <v>LU1882522144</v>
          </cell>
          <cell r="B48" t="str">
            <v>AMUNDI FUNDS EURO CORPORATE BOND SELECT</v>
          </cell>
          <cell r="C48" t="str">
            <v>Class F EUR (C)</v>
          </cell>
          <cell r="D48" t="str">
            <v>EUR</v>
          </cell>
          <cell r="E48" t="str">
            <v>01-Dec-2025</v>
          </cell>
          <cell r="F48">
            <v>12846519.029999999</v>
          </cell>
          <cell r="G48">
            <v>2554580.9279999998</v>
          </cell>
          <cell r="H48">
            <v>5.0289999999999999</v>
          </cell>
          <cell r="I48">
            <v>0</v>
          </cell>
          <cell r="J48">
            <v>5.0289999999999999</v>
          </cell>
          <cell r="K48">
            <v>-7.0000000000000001E-3</v>
          </cell>
          <cell r="P48">
            <v>0</v>
          </cell>
        </row>
        <row r="49">
          <cell r="A49" t="str">
            <v>LU0557859294</v>
          </cell>
          <cell r="B49" t="str">
            <v>AMUNDI FUNDS EURO CORPORATE BOND SELECT</v>
          </cell>
          <cell r="C49" t="str">
            <v>Class F2 EUR (C)</v>
          </cell>
          <cell r="D49" t="str">
            <v>EUR</v>
          </cell>
          <cell r="E49" t="str">
            <v>01-Dec-2025</v>
          </cell>
          <cell r="F49">
            <v>1015497.41</v>
          </cell>
          <cell r="G49">
            <v>8069.3760000000002</v>
          </cell>
          <cell r="H49">
            <v>125.85</v>
          </cell>
          <cell r="I49">
            <v>0</v>
          </cell>
          <cell r="J49">
            <v>125.85</v>
          </cell>
          <cell r="K49">
            <v>-0.17</v>
          </cell>
          <cell r="P49">
            <v>0</v>
          </cell>
        </row>
        <row r="50">
          <cell r="A50" t="str">
            <v>LU0119099496</v>
          </cell>
          <cell r="B50" t="str">
            <v>AMUNDI FUNDS EURO CORPORATE BOND SELECT</v>
          </cell>
          <cell r="C50" t="str">
            <v>Class I EUR (C)</v>
          </cell>
          <cell r="D50" t="str">
            <v>EUR</v>
          </cell>
          <cell r="E50" t="str">
            <v>01-Dec-2025</v>
          </cell>
          <cell r="F50">
            <v>115312853.70999999</v>
          </cell>
          <cell r="G50">
            <v>51530.447</v>
          </cell>
          <cell r="H50">
            <v>2237.7600000000002</v>
          </cell>
          <cell r="I50">
            <v>0</v>
          </cell>
          <cell r="J50">
            <v>2237.7600000000002</v>
          </cell>
          <cell r="K50">
            <v>-2.98</v>
          </cell>
          <cell r="P50">
            <v>0</v>
          </cell>
        </row>
        <row r="51">
          <cell r="A51" t="str">
            <v>LU1882472456</v>
          </cell>
          <cell r="B51" t="str">
            <v>AMUNDI FUNDS EURO CORPORATE BOND SELECT</v>
          </cell>
          <cell r="C51" t="str">
            <v>Class I2 EUR AD (D)</v>
          </cell>
          <cell r="D51" t="str">
            <v>EUR</v>
          </cell>
          <cell r="E51" t="str">
            <v>01-Dec-2025</v>
          </cell>
          <cell r="F51">
            <v>891354.48</v>
          </cell>
          <cell r="G51">
            <v>953.65599999999995</v>
          </cell>
          <cell r="H51">
            <v>934.67</v>
          </cell>
          <cell r="I51">
            <v>0</v>
          </cell>
          <cell r="J51">
            <v>934.67</v>
          </cell>
          <cell r="K51">
            <v>-1.23</v>
          </cell>
          <cell r="P51">
            <v>0</v>
          </cell>
        </row>
        <row r="52">
          <cell r="A52" t="str">
            <v>LU1882472530</v>
          </cell>
          <cell r="B52" t="str">
            <v>AMUNDI FUNDS EURO CORPORATE BOND SELECT</v>
          </cell>
          <cell r="C52" t="str">
            <v>Class I2 EUR QTD (D)</v>
          </cell>
          <cell r="D52" t="str">
            <v>EUR</v>
          </cell>
          <cell r="E52" t="str">
            <v>01-Dec-2025</v>
          </cell>
          <cell r="F52">
            <v>3719008.37</v>
          </cell>
          <cell r="G52">
            <v>3930.0630000000001</v>
          </cell>
          <cell r="H52">
            <v>946.3</v>
          </cell>
          <cell r="I52">
            <v>0</v>
          </cell>
          <cell r="J52">
            <v>946.3</v>
          </cell>
          <cell r="K52">
            <v>-1.24</v>
          </cell>
          <cell r="P52">
            <v>0</v>
          </cell>
        </row>
        <row r="53">
          <cell r="A53" t="str">
            <v>LU1882522060</v>
          </cell>
          <cell r="B53" t="str">
            <v>AMUNDI FUNDS EURO CORPORATE BOND SELECT</v>
          </cell>
          <cell r="C53" t="str">
            <v>Class E2 EUR QTD (D)</v>
          </cell>
          <cell r="D53" t="str">
            <v>EUR</v>
          </cell>
          <cell r="E53" t="str">
            <v>01-Dec-2025</v>
          </cell>
          <cell r="F53">
            <v>9987919.5500000007</v>
          </cell>
          <cell r="G53">
            <v>2165726.7439999999</v>
          </cell>
          <cell r="H53">
            <v>4.6120000000000001</v>
          </cell>
          <cell r="I53">
            <v>0</v>
          </cell>
          <cell r="J53">
            <v>4.6120000000000001</v>
          </cell>
          <cell r="K53">
            <v>-6.0000000000000001E-3</v>
          </cell>
          <cell r="P53">
            <v>0</v>
          </cell>
        </row>
        <row r="54">
          <cell r="A54" t="str">
            <v>LU1882472373</v>
          </cell>
          <cell r="B54" t="str">
            <v>AMUNDI FUNDS EURO CORPORATE BOND SELECT</v>
          </cell>
          <cell r="C54" t="str">
            <v>Class I2 EUR (C)</v>
          </cell>
          <cell r="D54" t="str">
            <v>EUR</v>
          </cell>
          <cell r="E54" t="str">
            <v>01-Dec-2025</v>
          </cell>
          <cell r="F54">
            <v>118429078.52</v>
          </cell>
          <cell r="G54">
            <v>110803.50199999999</v>
          </cell>
          <cell r="H54">
            <v>1068.82</v>
          </cell>
          <cell r="I54">
            <v>0</v>
          </cell>
          <cell r="J54">
            <v>1068.82</v>
          </cell>
          <cell r="K54">
            <v>-1.4</v>
          </cell>
          <cell r="P54">
            <v>0</v>
          </cell>
        </row>
        <row r="55">
          <cell r="A55" t="str">
            <v>LU0329442999</v>
          </cell>
          <cell r="B55" t="str">
            <v>AMUNDI FUNDS EURO CORPORATE BOND SELECT</v>
          </cell>
          <cell r="C55" t="str">
            <v>Class M EUR (C)</v>
          </cell>
          <cell r="D55" t="str">
            <v>EUR</v>
          </cell>
          <cell r="E55" t="str">
            <v>01-Dec-2025</v>
          </cell>
          <cell r="F55">
            <v>4568488</v>
          </cell>
          <cell r="G55">
            <v>26623.931</v>
          </cell>
          <cell r="H55">
            <v>171.59</v>
          </cell>
          <cell r="I55">
            <v>0</v>
          </cell>
          <cell r="J55">
            <v>171.59</v>
          </cell>
          <cell r="K55">
            <v>-0.23</v>
          </cell>
          <cell r="P55">
            <v>0</v>
          </cell>
        </row>
        <row r="56">
          <cell r="A56" t="str">
            <v>LU1882473009</v>
          </cell>
          <cell r="B56" t="str">
            <v>AMUNDI FUNDS EURO CORPORATE BOND SELECT</v>
          </cell>
          <cell r="C56" t="str">
            <v>Class R2 EUR (C)</v>
          </cell>
          <cell r="D56" t="str">
            <v>EUR</v>
          </cell>
          <cell r="E56" t="str">
            <v>01-Dec-2025</v>
          </cell>
          <cell r="F56">
            <v>2304661.84</v>
          </cell>
          <cell r="G56">
            <v>43601.938999999998</v>
          </cell>
          <cell r="H56">
            <v>52.86</v>
          </cell>
          <cell r="I56">
            <v>0</v>
          </cell>
          <cell r="J56">
            <v>52.86</v>
          </cell>
          <cell r="K56">
            <v>-7.0000000000000007E-2</v>
          </cell>
          <cell r="P56">
            <v>0</v>
          </cell>
        </row>
        <row r="57">
          <cell r="A57" t="str">
            <v>LU0557859377</v>
          </cell>
          <cell r="B57" t="str">
            <v>AMUNDI FUNDS EURO CORPORATE BOND SELECT</v>
          </cell>
          <cell r="C57" t="str">
            <v>Class O EUR (C)</v>
          </cell>
          <cell r="D57" t="str">
            <v>EUR</v>
          </cell>
          <cell r="E57" t="str">
            <v>01-Dec-2025</v>
          </cell>
          <cell r="F57">
            <v>88487.65</v>
          </cell>
          <cell r="G57">
            <v>75</v>
          </cell>
          <cell r="H57">
            <v>1179.8399999999999</v>
          </cell>
          <cell r="I57">
            <v>0</v>
          </cell>
          <cell r="J57">
            <v>1179.8399999999999</v>
          </cell>
          <cell r="K57">
            <v>-1.5</v>
          </cell>
          <cell r="P57">
            <v>0</v>
          </cell>
        </row>
        <row r="58">
          <cell r="A58" t="str">
            <v>LU0839529467</v>
          </cell>
          <cell r="B58" t="str">
            <v>AMUNDI FUNDS EURO CORPORATE BOND SELECT</v>
          </cell>
          <cell r="C58" t="str">
            <v>Class R EUR (C)</v>
          </cell>
          <cell r="D58" t="str">
            <v>EUR</v>
          </cell>
          <cell r="E58" t="str">
            <v>01-Dec-2025</v>
          </cell>
          <cell r="F58">
            <v>114278.74</v>
          </cell>
          <cell r="G58">
            <v>940.31700000000001</v>
          </cell>
          <cell r="H58">
            <v>121.53</v>
          </cell>
          <cell r="I58">
            <v>0</v>
          </cell>
          <cell r="J58">
            <v>121.53</v>
          </cell>
          <cell r="K58">
            <v>-0.16</v>
          </cell>
          <cell r="P58">
            <v>0</v>
          </cell>
        </row>
        <row r="59">
          <cell r="A59" t="str">
            <v>LU0839529897</v>
          </cell>
          <cell r="B59" t="str">
            <v>AMUNDI FUNDS EURO CORPORATE BOND SELECT</v>
          </cell>
          <cell r="C59" t="str">
            <v>Class R EUR AD (D)</v>
          </cell>
          <cell r="D59" t="str">
            <v>EUR</v>
          </cell>
          <cell r="E59" t="str">
            <v>01-Dec-2025</v>
          </cell>
          <cell r="F59">
            <v>2129761.86</v>
          </cell>
          <cell r="G59">
            <v>20560.215</v>
          </cell>
          <cell r="H59">
            <v>103.59</v>
          </cell>
          <cell r="I59">
            <v>0</v>
          </cell>
          <cell r="J59">
            <v>103.59</v>
          </cell>
          <cell r="K59">
            <v>-0.14000000000000001</v>
          </cell>
          <cell r="P59">
            <v>0</v>
          </cell>
        </row>
        <row r="60">
          <cell r="A60" t="str">
            <v>LU0119100252</v>
          </cell>
          <cell r="B60" t="str">
            <v>AMUNDI FUNDS EURO CORPORATE BOND SELECT</v>
          </cell>
          <cell r="C60" t="str">
            <v>Class G EUR (C)</v>
          </cell>
          <cell r="D60" t="str">
            <v>EUR</v>
          </cell>
          <cell r="E60" t="str">
            <v>01-Dec-2025</v>
          </cell>
          <cell r="F60">
            <v>18307394.539999999</v>
          </cell>
          <cell r="G60">
            <v>923079.51899999997</v>
          </cell>
          <cell r="H60">
            <v>19.829999999999998</v>
          </cell>
          <cell r="I60">
            <v>0</v>
          </cell>
          <cell r="J60">
            <v>20.420000000000002</v>
          </cell>
          <cell r="K60">
            <v>-0.03</v>
          </cell>
          <cell r="P60">
            <v>0</v>
          </cell>
        </row>
        <row r="61">
          <cell r="A61" t="str">
            <v>LU1998921008</v>
          </cell>
          <cell r="B61" t="str">
            <v>AMUNDI FUNDS EURO CORPORATE BOND SELECT</v>
          </cell>
          <cell r="C61" t="str">
            <v>Class X EUR ( C )</v>
          </cell>
          <cell r="D61" t="str">
            <v>EUR</v>
          </cell>
          <cell r="E61" t="str">
            <v>01-Dec-2025</v>
          </cell>
          <cell r="F61">
            <v>2146894.9300000002</v>
          </cell>
          <cell r="G61">
            <v>2018.9780000000001</v>
          </cell>
          <cell r="H61">
            <v>1063.3599999999999</v>
          </cell>
          <cell r="I61">
            <v>0</v>
          </cell>
          <cell r="J61">
            <v>1063.3599999999999</v>
          </cell>
          <cell r="K61">
            <v>-1.35</v>
          </cell>
          <cell r="P61">
            <v>0</v>
          </cell>
        </row>
        <row r="62">
          <cell r="A62" t="str">
            <v>LU2070304063</v>
          </cell>
          <cell r="B62" t="str">
            <v>AMUNDI FUNDS EURO CORPORATE BOND SELECT</v>
          </cell>
          <cell r="C62" t="str">
            <v>Class Z EUR (C)</v>
          </cell>
          <cell r="D62" t="str">
            <v>EUR</v>
          </cell>
          <cell r="E62" t="str">
            <v>01-Dec-2025</v>
          </cell>
          <cell r="F62">
            <v>222074486.68000001</v>
          </cell>
          <cell r="G62">
            <v>213907.84700000001</v>
          </cell>
          <cell r="H62">
            <v>1038.18</v>
          </cell>
          <cell r="I62">
            <v>0</v>
          </cell>
          <cell r="J62">
            <v>1038.18</v>
          </cell>
          <cell r="K62">
            <v>-1.37</v>
          </cell>
          <cell r="P62">
            <v>0</v>
          </cell>
        </row>
        <row r="63">
          <cell r="A63" t="str">
            <v>LU0119110723</v>
          </cell>
          <cell r="B63" t="str">
            <v>AMUNDI FUNDS EURO HIGH YIELD BOND</v>
          </cell>
          <cell r="C63" t="str">
            <v>Class A EUR (C)</v>
          </cell>
          <cell r="D63" t="str">
            <v>EUR</v>
          </cell>
          <cell r="E63" t="str">
            <v>01-Dec-2025</v>
          </cell>
          <cell r="F63">
            <v>51153949.450000003</v>
          </cell>
          <cell r="G63">
            <v>2035803.9539999999</v>
          </cell>
          <cell r="H63">
            <v>25.13</v>
          </cell>
          <cell r="I63">
            <v>0</v>
          </cell>
          <cell r="J63">
            <v>26.14</v>
          </cell>
          <cell r="K63">
            <v>0.01</v>
          </cell>
          <cell r="P63">
            <v>0</v>
          </cell>
        </row>
        <row r="64">
          <cell r="A64" t="str">
            <v>LU2098274686</v>
          </cell>
          <cell r="B64" t="str">
            <v>AMUNDI FUNDS EURO HIGH YIELD BOND</v>
          </cell>
          <cell r="C64" t="str">
            <v>Class A2 AUD Hgd MTD3 (D)</v>
          </cell>
          <cell r="D64" t="str">
            <v>AUD</v>
          </cell>
          <cell r="E64" t="str">
            <v>01-Dec-2025</v>
          </cell>
          <cell r="F64">
            <v>516054.7</v>
          </cell>
          <cell r="G64">
            <v>14493.376</v>
          </cell>
          <cell r="H64">
            <v>35.61</v>
          </cell>
          <cell r="I64">
            <v>0.20269999999999999</v>
          </cell>
          <cell r="J64">
            <v>35.61</v>
          </cell>
          <cell r="K64">
            <v>-0.19</v>
          </cell>
          <cell r="P64">
            <v>0</v>
          </cell>
        </row>
        <row r="65">
          <cell r="A65" t="str">
            <v>LU2098274769</v>
          </cell>
          <cell r="B65" t="str">
            <v>AMUNDI FUNDS EURO HIGH YIELD BOND</v>
          </cell>
          <cell r="C65" t="str">
            <v>Class A2 EUR MTD3 (D)</v>
          </cell>
          <cell r="D65" t="str">
            <v>EUR</v>
          </cell>
          <cell r="E65" t="str">
            <v>01-Dec-2025</v>
          </cell>
          <cell r="F65">
            <v>442044.35</v>
          </cell>
          <cell r="G65">
            <v>11449.35</v>
          </cell>
          <cell r="H65">
            <v>38.61</v>
          </cell>
          <cell r="I65">
            <v>0.18779999999999999</v>
          </cell>
          <cell r="J65">
            <v>38.61</v>
          </cell>
          <cell r="K65">
            <v>-0.18</v>
          </cell>
          <cell r="P65">
            <v>0</v>
          </cell>
        </row>
        <row r="66">
          <cell r="A66" t="str">
            <v>LU2098274843</v>
          </cell>
          <cell r="B66" t="str">
            <v>AMUNDI FUNDS EURO HIGH YIELD BOND</v>
          </cell>
          <cell r="C66" t="str">
            <v>Class A2 USD Hgd MTD3 (D)</v>
          </cell>
          <cell r="D66" t="str">
            <v>USD</v>
          </cell>
          <cell r="E66" t="str">
            <v>01-Dec-2025</v>
          </cell>
          <cell r="F66">
            <v>717913.54</v>
          </cell>
          <cell r="G66">
            <v>19282.918000000001</v>
          </cell>
          <cell r="H66">
            <v>37.229999999999997</v>
          </cell>
          <cell r="I66">
            <v>0.24429999999999999</v>
          </cell>
          <cell r="J66">
            <v>37.229999999999997</v>
          </cell>
          <cell r="K66">
            <v>-0.24</v>
          </cell>
          <cell r="P66">
            <v>0</v>
          </cell>
        </row>
        <row r="67">
          <cell r="A67" t="str">
            <v>LU1049751867</v>
          </cell>
          <cell r="B67" t="str">
            <v>AMUNDI FUNDS EURO HIGH YIELD BOND</v>
          </cell>
          <cell r="C67" t="str">
            <v>Class A CZK Hgd (C)</v>
          </cell>
          <cell r="D67" t="str">
            <v>CZK</v>
          </cell>
          <cell r="E67" t="str">
            <v>01-Dec-2025</v>
          </cell>
          <cell r="F67">
            <v>655197777.71000004</v>
          </cell>
          <cell r="G67">
            <v>184235.89499999999</v>
          </cell>
          <cell r="H67">
            <v>3556.3</v>
          </cell>
          <cell r="I67">
            <v>0</v>
          </cell>
          <cell r="J67">
            <v>3556.3</v>
          </cell>
          <cell r="K67">
            <v>0.62</v>
          </cell>
          <cell r="P67">
            <v>0</v>
          </cell>
        </row>
        <row r="68">
          <cell r="A68" t="str">
            <v>LU0987188777</v>
          </cell>
          <cell r="B68" t="str">
            <v>AMUNDI FUNDS EURO HIGH YIELD BOND</v>
          </cell>
          <cell r="C68" t="str">
            <v>Class A USD Hgd (C)</v>
          </cell>
          <cell r="D68" t="str">
            <v>USD</v>
          </cell>
          <cell r="E68" t="str">
            <v>01-Dec-2025</v>
          </cell>
          <cell r="F68">
            <v>151810.85999999999</v>
          </cell>
          <cell r="G68">
            <v>995.31399999999996</v>
          </cell>
          <cell r="H68">
            <v>152.53</v>
          </cell>
          <cell r="I68">
            <v>0</v>
          </cell>
          <cell r="J68">
            <v>158.63</v>
          </cell>
          <cell r="K68">
            <v>0.04</v>
          </cell>
          <cell r="P68">
            <v>0</v>
          </cell>
        </row>
        <row r="69">
          <cell r="A69" t="str">
            <v>LU1650130187</v>
          </cell>
          <cell r="B69" t="str">
            <v>AMUNDI FUNDS EURO HIGH YIELD BOND</v>
          </cell>
          <cell r="C69" t="str">
            <v>Class A2 USD Hgd MD (D)</v>
          </cell>
          <cell r="D69" t="str">
            <v>USD</v>
          </cell>
          <cell r="E69" t="str">
            <v>01-Dec-2025</v>
          </cell>
          <cell r="F69">
            <v>606738.23</v>
          </cell>
          <cell r="G69">
            <v>7919.2359999999999</v>
          </cell>
          <cell r="H69">
            <v>76.62</v>
          </cell>
          <cell r="I69">
            <v>0.50329999999999997</v>
          </cell>
          <cell r="J69">
            <v>76.62</v>
          </cell>
          <cell r="K69">
            <v>-0.48</v>
          </cell>
          <cell r="P69">
            <v>0</v>
          </cell>
        </row>
        <row r="70">
          <cell r="A70" t="str">
            <v>LU0119110996</v>
          </cell>
          <cell r="B70" t="str">
            <v>AMUNDI FUNDS EURO HIGH YIELD BOND</v>
          </cell>
          <cell r="C70" t="str">
            <v>Class A EUR AD (D)</v>
          </cell>
          <cell r="D70" t="str">
            <v>EUR</v>
          </cell>
          <cell r="E70" t="str">
            <v>01-Dec-2025</v>
          </cell>
          <cell r="F70">
            <v>2440570.08</v>
          </cell>
          <cell r="G70">
            <v>233545.81700000001</v>
          </cell>
          <cell r="H70">
            <v>10.45</v>
          </cell>
          <cell r="I70">
            <v>0</v>
          </cell>
          <cell r="J70">
            <v>10.87</v>
          </cell>
          <cell r="K70">
            <v>0</v>
          </cell>
          <cell r="P70">
            <v>0</v>
          </cell>
        </row>
        <row r="71">
          <cell r="A71" t="str">
            <v>LU2098274926</v>
          </cell>
          <cell r="B71" t="str">
            <v>AMUNDI FUNDS EURO HIGH YIELD BOND</v>
          </cell>
          <cell r="C71" t="str">
            <v>Class A2 ZAR Hgd MTD3 (D)</v>
          </cell>
          <cell r="D71" t="str">
            <v>ZAR</v>
          </cell>
          <cell r="E71" t="str">
            <v>01-Dec-2025</v>
          </cell>
          <cell r="F71">
            <v>9262891.1799999997</v>
          </cell>
          <cell r="G71">
            <v>12773.174000000001</v>
          </cell>
          <cell r="H71">
            <v>725.18</v>
          </cell>
          <cell r="I71">
            <v>6.6684999999999999</v>
          </cell>
          <cell r="J71">
            <v>725.18</v>
          </cell>
          <cell r="K71">
            <v>-6.47</v>
          </cell>
          <cell r="P71">
            <v>0</v>
          </cell>
        </row>
        <row r="72">
          <cell r="A72" t="str">
            <v>LU0187736193</v>
          </cell>
          <cell r="B72" t="str">
            <v>AMUNDI FUNDS EURO HIGH YIELD BOND</v>
          </cell>
          <cell r="C72" t="str">
            <v>Class I2 EUR MD (D)</v>
          </cell>
          <cell r="D72" t="str">
            <v>EUR</v>
          </cell>
          <cell r="E72" t="str">
            <v>01-Dec-2025</v>
          </cell>
          <cell r="F72">
            <v>9478704.1099999994</v>
          </cell>
          <cell r="G72">
            <v>918200</v>
          </cell>
          <cell r="H72">
            <v>10.32</v>
          </cell>
          <cell r="I72">
            <v>0.16789999999999999</v>
          </cell>
          <cell r="J72">
            <v>10.32</v>
          </cell>
          <cell r="K72">
            <v>-0.17</v>
          </cell>
          <cell r="P72">
            <v>0</v>
          </cell>
        </row>
        <row r="73">
          <cell r="A73" t="str">
            <v>LU0839530044</v>
          </cell>
          <cell r="B73" t="str">
            <v>AMUNDI FUNDS EURO HIGH YIELD BOND</v>
          </cell>
          <cell r="C73" t="str">
            <v>Class A2 EUR (C)</v>
          </cell>
          <cell r="D73" t="str">
            <v>EUR</v>
          </cell>
          <cell r="E73" t="str">
            <v>01-Dec-2025</v>
          </cell>
          <cell r="F73">
            <v>7144192.8200000003</v>
          </cell>
          <cell r="G73">
            <v>287484.48100000003</v>
          </cell>
          <cell r="H73">
            <v>24.85</v>
          </cell>
          <cell r="I73">
            <v>0</v>
          </cell>
          <cell r="J73">
            <v>24.85</v>
          </cell>
          <cell r="K73">
            <v>0</v>
          </cell>
          <cell r="P73">
            <v>0</v>
          </cell>
        </row>
        <row r="74">
          <cell r="A74" t="str">
            <v>LU0906522494</v>
          </cell>
          <cell r="B74" t="str">
            <v>AMUNDI FUNDS EURO HIGH YIELD BOND</v>
          </cell>
          <cell r="C74" t="str">
            <v>Class F2 EUR MD (D)</v>
          </cell>
          <cell r="D74" t="str">
            <v>EUR</v>
          </cell>
          <cell r="E74" t="str">
            <v>01-Dec-2025</v>
          </cell>
          <cell r="F74">
            <v>556331.76</v>
          </cell>
          <cell r="G74">
            <v>6600.5129999999999</v>
          </cell>
          <cell r="H74">
            <v>84.29</v>
          </cell>
          <cell r="I74">
            <v>0.28399999999999997</v>
          </cell>
          <cell r="J74">
            <v>84.29</v>
          </cell>
          <cell r="K74">
            <v>-0.27</v>
          </cell>
          <cell r="P74">
            <v>0</v>
          </cell>
        </row>
        <row r="75">
          <cell r="A75" t="str">
            <v>LU0557859880</v>
          </cell>
          <cell r="B75" t="str">
            <v>AMUNDI FUNDS EURO HIGH YIELD BOND</v>
          </cell>
          <cell r="C75" t="str">
            <v>Class F2 EUR (C)</v>
          </cell>
          <cell r="D75" t="str">
            <v>EUR</v>
          </cell>
          <cell r="E75" t="str">
            <v>01-Dec-2025</v>
          </cell>
          <cell r="F75">
            <v>2933108.81</v>
          </cell>
          <cell r="G75">
            <v>20009.276000000002</v>
          </cell>
          <cell r="H75">
            <v>146.59</v>
          </cell>
          <cell r="I75">
            <v>0</v>
          </cell>
          <cell r="J75">
            <v>146.59</v>
          </cell>
          <cell r="K75">
            <v>0.02</v>
          </cell>
          <cell r="P75">
            <v>0</v>
          </cell>
        </row>
        <row r="76">
          <cell r="A76" t="str">
            <v>LU2018719729</v>
          </cell>
          <cell r="B76" t="str">
            <v>AMUNDI FUNDS EURO HIGH YIELD BOND</v>
          </cell>
          <cell r="C76" t="str">
            <v>Class F EUR (C)</v>
          </cell>
          <cell r="D76" t="str">
            <v>EUR</v>
          </cell>
          <cell r="E76" t="str">
            <v>01-Dec-2025</v>
          </cell>
          <cell r="F76">
            <v>485191.85</v>
          </cell>
          <cell r="G76">
            <v>90180.262000000002</v>
          </cell>
          <cell r="H76">
            <v>5.38</v>
          </cell>
          <cell r="I76">
            <v>0</v>
          </cell>
          <cell r="J76">
            <v>5.38</v>
          </cell>
          <cell r="K76">
            <v>0</v>
          </cell>
          <cell r="P76">
            <v>0</v>
          </cell>
        </row>
        <row r="77">
          <cell r="A77" t="str">
            <v>LU2018719992</v>
          </cell>
          <cell r="B77" t="str">
            <v>AMUNDI FUNDS EURO HIGH YIELD BOND</v>
          </cell>
          <cell r="C77" t="str">
            <v>Class F EUR MTD (D)</v>
          </cell>
          <cell r="D77" t="str">
            <v>EUR</v>
          </cell>
          <cell r="E77" t="str">
            <v>01-Dec-2025</v>
          </cell>
          <cell r="F77">
            <v>60818.34</v>
          </cell>
          <cell r="G77">
            <v>14434.245000000001</v>
          </cell>
          <cell r="H77">
            <v>4.2130000000000001</v>
          </cell>
          <cell r="I77">
            <v>1.4200000000000001E-2</v>
          </cell>
          <cell r="J77">
            <v>4.2130000000000001</v>
          </cell>
          <cell r="K77">
            <v>-1.4E-2</v>
          </cell>
          <cell r="P77">
            <v>0</v>
          </cell>
        </row>
        <row r="78">
          <cell r="A78" t="str">
            <v>LU0119109980</v>
          </cell>
          <cell r="B78" t="str">
            <v>AMUNDI FUNDS EURO HIGH YIELD BOND</v>
          </cell>
          <cell r="C78" t="str">
            <v>Class I EUR (C)</v>
          </cell>
          <cell r="D78" t="str">
            <v>EUR</v>
          </cell>
          <cell r="E78" t="str">
            <v>01-Dec-2025</v>
          </cell>
          <cell r="F78">
            <v>8982028.3300000001</v>
          </cell>
          <cell r="G78">
            <v>2790.7890000000002</v>
          </cell>
          <cell r="H78">
            <v>3218.45</v>
          </cell>
          <cell r="I78">
            <v>0</v>
          </cell>
          <cell r="J78">
            <v>3218.45</v>
          </cell>
          <cell r="K78">
            <v>0.57999999999999996</v>
          </cell>
          <cell r="P78">
            <v>0</v>
          </cell>
        </row>
        <row r="79">
          <cell r="A79" t="str">
            <v>LU1897298805</v>
          </cell>
          <cell r="B79" t="str">
            <v>AMUNDI FUNDS EURO HIGH YIELD BOND</v>
          </cell>
          <cell r="C79" t="str">
            <v>Class I2 GBP (C)</v>
          </cell>
          <cell r="D79" t="str">
            <v>GBP</v>
          </cell>
          <cell r="E79" t="str">
            <v>01-Dec-2025</v>
          </cell>
          <cell r="F79">
            <v>5945.31</v>
          </cell>
          <cell r="G79">
            <v>5</v>
          </cell>
          <cell r="H79">
            <v>1189.06</v>
          </cell>
          <cell r="I79">
            <v>0</v>
          </cell>
          <cell r="J79">
            <v>1189.06</v>
          </cell>
          <cell r="K79">
            <v>2.56</v>
          </cell>
          <cell r="P79">
            <v>0</v>
          </cell>
        </row>
        <row r="80">
          <cell r="A80" t="str">
            <v>LU1897298987</v>
          </cell>
          <cell r="B80" t="str">
            <v>AMUNDI FUNDS EURO HIGH YIELD BOND</v>
          </cell>
          <cell r="C80" t="str">
            <v>Class I2 GBP Hgd (C)</v>
          </cell>
          <cell r="D80" t="str">
            <v>GBP</v>
          </cell>
          <cell r="E80" t="str">
            <v>01-Dec-2025</v>
          </cell>
          <cell r="F80">
            <v>61445.52</v>
          </cell>
          <cell r="G80">
            <v>49.223999999999997</v>
          </cell>
          <cell r="H80">
            <v>1248.28</v>
          </cell>
          <cell r="I80">
            <v>0</v>
          </cell>
          <cell r="J80">
            <v>1248.28</v>
          </cell>
          <cell r="K80">
            <v>0.35</v>
          </cell>
          <cell r="P80">
            <v>0</v>
          </cell>
        </row>
        <row r="81">
          <cell r="A81" t="str">
            <v>LU0194908405</v>
          </cell>
          <cell r="B81" t="str">
            <v>AMUNDI FUNDS EURO HIGH YIELD BOND</v>
          </cell>
          <cell r="C81" t="str">
            <v>Class I EUR AD (D)</v>
          </cell>
          <cell r="D81" t="str">
            <v>EUR</v>
          </cell>
          <cell r="E81" t="str">
            <v>01-Dec-2025</v>
          </cell>
          <cell r="F81">
            <v>10986287.42</v>
          </cell>
          <cell r="G81">
            <v>10858.523999999999</v>
          </cell>
          <cell r="H81">
            <v>1011.77</v>
          </cell>
          <cell r="I81">
            <v>0</v>
          </cell>
          <cell r="J81">
            <v>1011.77</v>
          </cell>
          <cell r="K81">
            <v>0.23</v>
          </cell>
          <cell r="P81">
            <v>0</v>
          </cell>
        </row>
        <row r="82">
          <cell r="A82" t="str">
            <v>LU0329443294</v>
          </cell>
          <cell r="B82" t="str">
            <v>AMUNDI FUNDS EURO HIGH YIELD BOND</v>
          </cell>
          <cell r="C82" t="str">
            <v>Class M EUR (C)</v>
          </cell>
          <cell r="D82" t="str">
            <v>EUR</v>
          </cell>
          <cell r="E82" t="str">
            <v>01-Dec-2025</v>
          </cell>
          <cell r="F82">
            <v>1527676.77</v>
          </cell>
          <cell r="G82">
            <v>6894.5730000000003</v>
          </cell>
          <cell r="H82">
            <v>221.58</v>
          </cell>
          <cell r="I82">
            <v>0</v>
          </cell>
          <cell r="J82">
            <v>221.58</v>
          </cell>
          <cell r="K82">
            <v>0.05</v>
          </cell>
          <cell r="P82">
            <v>0</v>
          </cell>
        </row>
        <row r="83">
          <cell r="A83" t="str">
            <v>LU0557859963</v>
          </cell>
          <cell r="B83" t="str">
            <v>AMUNDI FUNDS EURO HIGH YIELD BOND</v>
          </cell>
          <cell r="C83" t="str">
            <v>Class O EUR (C)</v>
          </cell>
          <cell r="D83" t="str">
            <v>EUR</v>
          </cell>
          <cell r="E83" t="str">
            <v>01-Dec-2025</v>
          </cell>
          <cell r="F83">
            <v>9712057.6699999999</v>
          </cell>
          <cell r="G83">
            <v>8520.4140000000007</v>
          </cell>
          <cell r="H83">
            <v>1139.8599999999999</v>
          </cell>
          <cell r="I83">
            <v>0</v>
          </cell>
          <cell r="J83">
            <v>1139.8599999999999</v>
          </cell>
          <cell r="K83">
            <v>0.3</v>
          </cell>
          <cell r="P83">
            <v>0</v>
          </cell>
        </row>
        <row r="84">
          <cell r="A84" t="str">
            <v>LU2070304733</v>
          </cell>
          <cell r="B84" t="str">
            <v>AMUNDI FUNDS EURO HIGH YIELD BOND</v>
          </cell>
          <cell r="C84" t="str">
            <v>Class U AUD HGD MTD3 (D)</v>
          </cell>
          <cell r="D84" t="str">
            <v>AUD</v>
          </cell>
          <cell r="E84" t="str">
            <v>01-Dec-2025</v>
          </cell>
          <cell r="F84">
            <v>746468.51</v>
          </cell>
          <cell r="G84">
            <v>22455.670999999998</v>
          </cell>
          <cell r="H84">
            <v>33.24</v>
          </cell>
          <cell r="I84">
            <v>0.19220000000000001</v>
          </cell>
          <cell r="J84">
            <v>33.24</v>
          </cell>
          <cell r="K84">
            <v>-0.19</v>
          </cell>
          <cell r="P84">
            <v>0</v>
          </cell>
        </row>
        <row r="85">
          <cell r="A85" t="str">
            <v>LU2070304816</v>
          </cell>
          <cell r="B85" t="str">
            <v>AMUNDI FUNDS EURO HIGH YIELD BOND</v>
          </cell>
          <cell r="C85" t="str">
            <v>Class U EUR MTD3 (D)</v>
          </cell>
          <cell r="D85" t="str">
            <v>EUR</v>
          </cell>
          <cell r="E85" t="str">
            <v>01-Dec-2025</v>
          </cell>
          <cell r="F85">
            <v>9199265.0700000003</v>
          </cell>
          <cell r="G85">
            <v>255527.07500000001</v>
          </cell>
          <cell r="H85">
            <v>36</v>
          </cell>
          <cell r="I85">
            <v>0.1779</v>
          </cell>
          <cell r="J85">
            <v>36</v>
          </cell>
          <cell r="K85">
            <v>-0.18</v>
          </cell>
          <cell r="P85">
            <v>0</v>
          </cell>
        </row>
        <row r="86">
          <cell r="A86" t="str">
            <v>LU2070305037</v>
          </cell>
          <cell r="B86" t="str">
            <v>AMUNDI FUNDS EURO HIGH YIELD BOND</v>
          </cell>
          <cell r="C86" t="str">
            <v>Class U ZAR HGD MTD3 (D)</v>
          </cell>
          <cell r="D86" t="str">
            <v>ZAR</v>
          </cell>
          <cell r="E86" t="str">
            <v>01-Dec-2025</v>
          </cell>
          <cell r="F86">
            <v>4093298.96</v>
          </cell>
          <cell r="G86">
            <v>121343.18799999999</v>
          </cell>
          <cell r="H86">
            <v>33.729999999999997</v>
          </cell>
          <cell r="I86">
            <v>0.31490000000000001</v>
          </cell>
          <cell r="J86">
            <v>33.729999999999997</v>
          </cell>
          <cell r="K86">
            <v>-0.31</v>
          </cell>
          <cell r="P86">
            <v>0</v>
          </cell>
        </row>
        <row r="87">
          <cell r="A87" t="str">
            <v>LU2070304907</v>
          </cell>
          <cell r="B87" t="str">
            <v>AMUNDI FUNDS EURO HIGH YIELD BOND</v>
          </cell>
          <cell r="C87" t="str">
            <v>Class U USD HGD MTD3 (D)</v>
          </cell>
          <cell r="D87" t="str">
            <v>USD</v>
          </cell>
          <cell r="E87" t="str">
            <v>01-Dec-2025</v>
          </cell>
          <cell r="F87">
            <v>4974733.55</v>
          </cell>
          <cell r="G87">
            <v>143434.15900000001</v>
          </cell>
          <cell r="H87">
            <v>34.68</v>
          </cell>
          <cell r="I87">
            <v>0.2316</v>
          </cell>
          <cell r="J87">
            <v>34.68</v>
          </cell>
          <cell r="K87">
            <v>-0.23</v>
          </cell>
          <cell r="P87">
            <v>0</v>
          </cell>
        </row>
        <row r="88">
          <cell r="A88" t="str">
            <v>LU0839530630</v>
          </cell>
          <cell r="B88" t="str">
            <v>AMUNDI FUNDS EURO HIGH YIELD BOND</v>
          </cell>
          <cell r="C88" t="str">
            <v>Class R EUR (C)</v>
          </cell>
          <cell r="D88" t="str">
            <v>EUR</v>
          </cell>
          <cell r="E88" t="str">
            <v>01-Dec-2025</v>
          </cell>
          <cell r="F88">
            <v>103398.45</v>
          </cell>
          <cell r="G88">
            <v>707.68399999999997</v>
          </cell>
          <cell r="H88">
            <v>146.11000000000001</v>
          </cell>
          <cell r="I88">
            <v>0</v>
          </cell>
          <cell r="J88">
            <v>146.11000000000001</v>
          </cell>
          <cell r="K88">
            <v>0.03</v>
          </cell>
          <cell r="P88">
            <v>0</v>
          </cell>
        </row>
        <row r="89">
          <cell r="A89" t="str">
            <v>LU0119111028</v>
          </cell>
          <cell r="B89" t="str">
            <v>AMUNDI FUNDS EURO HIGH YIELD BOND</v>
          </cell>
          <cell r="C89" t="str">
            <v>Class G EUR (C)</v>
          </cell>
          <cell r="D89" t="str">
            <v>EUR</v>
          </cell>
          <cell r="E89" t="str">
            <v>01-Dec-2025</v>
          </cell>
          <cell r="F89">
            <v>18455126.5</v>
          </cell>
          <cell r="G89">
            <v>779025.39099999995</v>
          </cell>
          <cell r="H89">
            <v>23.69</v>
          </cell>
          <cell r="I89">
            <v>0</v>
          </cell>
          <cell r="J89">
            <v>24.4</v>
          </cell>
          <cell r="K89">
            <v>0</v>
          </cell>
          <cell r="P89">
            <v>0</v>
          </cell>
        </row>
        <row r="90">
          <cell r="A90" t="str">
            <v>LU0906522734</v>
          </cell>
          <cell r="B90" t="str">
            <v>AMUNDI FUNDS EURO HIGH YIELD BOND</v>
          </cell>
          <cell r="C90" t="str">
            <v>Class G EUR MD (D)</v>
          </cell>
          <cell r="D90" t="str">
            <v>EUR</v>
          </cell>
          <cell r="E90" t="str">
            <v>01-Dec-2025</v>
          </cell>
          <cell r="F90">
            <v>7376415.4699999997</v>
          </cell>
          <cell r="G90">
            <v>84674.138999999996</v>
          </cell>
          <cell r="H90">
            <v>87.12</v>
          </cell>
          <cell r="I90">
            <v>0.2923</v>
          </cell>
          <cell r="J90">
            <v>87.12</v>
          </cell>
          <cell r="K90">
            <v>-0.28000000000000003</v>
          </cell>
          <cell r="P90">
            <v>0</v>
          </cell>
        </row>
        <row r="91">
          <cell r="A91" t="str">
            <v>LU1327396179</v>
          </cell>
          <cell r="B91" t="str">
            <v>AMUNDI FUNDS EURO HIGH YIELD BOND</v>
          </cell>
          <cell r="C91" t="str">
            <v>Class G AUD Hgd MD (D)</v>
          </cell>
          <cell r="D91" t="str">
            <v>AUD</v>
          </cell>
          <cell r="E91" t="str">
            <v>01-Dec-2025</v>
          </cell>
          <cell r="F91">
            <v>4944.78</v>
          </cell>
          <cell r="G91">
            <v>68.322999999999993</v>
          </cell>
          <cell r="H91">
            <v>72.37</v>
          </cell>
          <cell r="I91">
            <v>0.4884</v>
          </cell>
          <cell r="J91">
            <v>72.37</v>
          </cell>
          <cell r="K91">
            <v>-0.48</v>
          </cell>
          <cell r="P91">
            <v>0</v>
          </cell>
        </row>
        <row r="92">
          <cell r="A92" t="str">
            <v>LU1327396336</v>
          </cell>
          <cell r="B92" t="str">
            <v>AMUNDI FUNDS EURO HIGH YIELD BOND</v>
          </cell>
          <cell r="C92" t="str">
            <v>Class G USD Hgd MD (D)</v>
          </cell>
          <cell r="D92" t="str">
            <v>USD</v>
          </cell>
          <cell r="E92" t="str">
            <v>01-Dec-2025</v>
          </cell>
          <cell r="F92">
            <v>92395.12</v>
          </cell>
          <cell r="G92">
            <v>1227.9960000000001</v>
          </cell>
          <cell r="H92">
            <v>75.239999999999995</v>
          </cell>
          <cell r="I92">
            <v>0.48599999999999999</v>
          </cell>
          <cell r="J92">
            <v>75.239999999999995</v>
          </cell>
          <cell r="K92">
            <v>-0.47</v>
          </cell>
          <cell r="P92">
            <v>0</v>
          </cell>
        </row>
        <row r="93">
          <cell r="A93" t="str">
            <v>LU1998921347</v>
          </cell>
          <cell r="B93" t="str">
            <v>AMUNDI FUNDS EURO HIGH YIELD BOND</v>
          </cell>
          <cell r="C93" t="str">
            <v>Class X EUR (C)</v>
          </cell>
          <cell r="D93" t="str">
            <v>EUR</v>
          </cell>
          <cell r="E93" t="str">
            <v>01-Dec-2025</v>
          </cell>
          <cell r="F93">
            <v>9419820.6699999999</v>
          </cell>
          <cell r="G93">
            <v>7750.2030000000004</v>
          </cell>
          <cell r="H93">
            <v>1215.43</v>
          </cell>
          <cell r="I93">
            <v>0</v>
          </cell>
          <cell r="J93">
            <v>1215.43</v>
          </cell>
          <cell r="K93">
            <v>0.32</v>
          </cell>
          <cell r="P93">
            <v>0</v>
          </cell>
        </row>
        <row r="94">
          <cell r="A94" t="str">
            <v>LU2132230207</v>
          </cell>
          <cell r="B94" t="str">
            <v>AMUNDI FUNDS EURO HIGH YIELD BOND</v>
          </cell>
          <cell r="C94" t="str">
            <v>Class Z EUR (C)</v>
          </cell>
          <cell r="D94" t="str">
            <v>EUR</v>
          </cell>
          <cell r="E94" t="str">
            <v>01-Dec-2025</v>
          </cell>
          <cell r="F94">
            <v>24907723.789999999</v>
          </cell>
          <cell r="G94">
            <v>20574.398000000001</v>
          </cell>
          <cell r="H94">
            <v>1210.6199999999999</v>
          </cell>
          <cell r="I94">
            <v>0</v>
          </cell>
          <cell r="J94">
            <v>1210.6199999999999</v>
          </cell>
          <cell r="K94">
            <v>0.28000000000000003</v>
          </cell>
          <cell r="P94">
            <v>0</v>
          </cell>
        </row>
        <row r="95">
          <cell r="A95" t="str">
            <v>LU0201576401</v>
          </cell>
          <cell r="B95" t="str">
            <v>AMUNDI FUNDS EURO INFLATION BOND</v>
          </cell>
          <cell r="C95" t="str">
            <v>Class A EUR (C)</v>
          </cell>
          <cell r="D95" t="str">
            <v>EUR</v>
          </cell>
          <cell r="E95" t="str">
            <v>01-Dec-2025</v>
          </cell>
          <cell r="F95">
            <v>7576072.8700000001</v>
          </cell>
          <cell r="G95">
            <v>53863.434000000001</v>
          </cell>
          <cell r="H95">
            <v>140.65</v>
          </cell>
          <cell r="I95">
            <v>0</v>
          </cell>
          <cell r="J95">
            <v>144.87</v>
          </cell>
          <cell r="K95">
            <v>-0.68</v>
          </cell>
          <cell r="P95">
            <v>0</v>
          </cell>
        </row>
        <row r="96">
          <cell r="A96" t="str">
            <v>LU0201602504</v>
          </cell>
          <cell r="B96" t="str">
            <v>AMUNDI FUNDS EURO INFLATION BOND</v>
          </cell>
          <cell r="C96" t="str">
            <v>Class A EUR AD (D)</v>
          </cell>
          <cell r="D96" t="str">
            <v>EUR</v>
          </cell>
          <cell r="E96" t="str">
            <v>01-Dec-2025</v>
          </cell>
          <cell r="F96">
            <v>1102327.6200000001</v>
          </cell>
          <cell r="G96">
            <v>9090.4110000000001</v>
          </cell>
          <cell r="H96">
            <v>121.26</v>
          </cell>
          <cell r="I96">
            <v>0</v>
          </cell>
          <cell r="J96">
            <v>124.9</v>
          </cell>
          <cell r="K96">
            <v>-0.59</v>
          </cell>
          <cell r="P96">
            <v>0</v>
          </cell>
        </row>
        <row r="97">
          <cell r="A97" t="str">
            <v>LU2018720495</v>
          </cell>
          <cell r="B97" t="str">
            <v>AMUNDI FUNDS EURO INFLATION BOND</v>
          </cell>
          <cell r="C97" t="str">
            <v>Class F EUR (C)</v>
          </cell>
          <cell r="D97" t="str">
            <v>EUR</v>
          </cell>
          <cell r="E97" t="str">
            <v>01-Dec-2025</v>
          </cell>
          <cell r="F97">
            <v>172118.98</v>
          </cell>
          <cell r="G97">
            <v>37866.756999999998</v>
          </cell>
          <cell r="H97">
            <v>4.5449999999999999</v>
          </cell>
          <cell r="I97">
            <v>0</v>
          </cell>
          <cell r="J97">
            <v>4.5449999999999999</v>
          </cell>
          <cell r="K97">
            <v>-2.3E-2</v>
          </cell>
          <cell r="P97">
            <v>0</v>
          </cell>
        </row>
        <row r="98">
          <cell r="A98" t="str">
            <v>LU0557860110</v>
          </cell>
          <cell r="B98" t="str">
            <v>AMUNDI FUNDS EURO INFLATION BOND</v>
          </cell>
          <cell r="C98" t="str">
            <v>Class F2 EUR (C)</v>
          </cell>
          <cell r="D98" t="str">
            <v>EUR</v>
          </cell>
          <cell r="E98" t="str">
            <v>01-Dec-2025</v>
          </cell>
          <cell r="F98">
            <v>837393.36</v>
          </cell>
          <cell r="G98">
            <v>8379.0390000000007</v>
          </cell>
          <cell r="H98">
            <v>99.94</v>
          </cell>
          <cell r="I98">
            <v>0</v>
          </cell>
          <cell r="J98">
            <v>99.94</v>
          </cell>
          <cell r="K98">
            <v>-0.49</v>
          </cell>
          <cell r="P98">
            <v>0</v>
          </cell>
        </row>
        <row r="99">
          <cell r="A99" t="str">
            <v>LU0201577045</v>
          </cell>
          <cell r="B99" t="str">
            <v>AMUNDI FUNDS EURO INFLATION BOND</v>
          </cell>
          <cell r="C99" t="str">
            <v>Class I EUR (C)</v>
          </cell>
          <cell r="D99" t="str">
            <v>EUR</v>
          </cell>
          <cell r="E99" t="str">
            <v>01-Dec-2025</v>
          </cell>
          <cell r="F99">
            <v>4839546.6100000003</v>
          </cell>
          <cell r="G99">
            <v>3060.0010000000002</v>
          </cell>
          <cell r="H99">
            <v>1581.55</v>
          </cell>
          <cell r="I99">
            <v>0</v>
          </cell>
          <cell r="J99">
            <v>1581.55</v>
          </cell>
          <cell r="K99">
            <v>-7.59</v>
          </cell>
          <cell r="P99">
            <v>0</v>
          </cell>
        </row>
        <row r="100">
          <cell r="A100" t="str">
            <v>LU0329443377</v>
          </cell>
          <cell r="B100" t="str">
            <v>AMUNDI FUNDS EURO INFLATION BOND</v>
          </cell>
          <cell r="C100" t="str">
            <v>Class M EUR (C)</v>
          </cell>
          <cell r="D100" t="str">
            <v>EUR</v>
          </cell>
          <cell r="E100" t="str">
            <v>01-Dec-2025</v>
          </cell>
          <cell r="F100">
            <v>906957.16</v>
          </cell>
          <cell r="G100">
            <v>6962.857</v>
          </cell>
          <cell r="H100">
            <v>130.26</v>
          </cell>
          <cell r="I100">
            <v>0</v>
          </cell>
          <cell r="J100">
            <v>130.26</v>
          </cell>
          <cell r="K100">
            <v>-0.62</v>
          </cell>
          <cell r="P100">
            <v>0</v>
          </cell>
        </row>
        <row r="101">
          <cell r="A101" t="str">
            <v>LU0906523039</v>
          </cell>
          <cell r="B101" t="str">
            <v>AMUNDI FUNDS EURO INFLATION BOND</v>
          </cell>
          <cell r="C101" t="str">
            <v>Class OR EUR (C)</v>
          </cell>
          <cell r="D101" t="str">
            <v>EUR</v>
          </cell>
          <cell r="E101" t="str">
            <v>01-Dec-2025</v>
          </cell>
          <cell r="F101">
            <v>16806867.329999998</v>
          </cell>
          <cell r="G101">
            <v>15763.002</v>
          </cell>
          <cell r="H101">
            <v>1066.22</v>
          </cell>
          <cell r="I101">
            <v>0</v>
          </cell>
          <cell r="J101">
            <v>1066.22</v>
          </cell>
          <cell r="K101">
            <v>-5.09</v>
          </cell>
          <cell r="P101">
            <v>0</v>
          </cell>
        </row>
        <row r="102">
          <cell r="A102" t="str">
            <v>LU0839532099</v>
          </cell>
          <cell r="B102" t="str">
            <v>AMUNDI FUNDS EURO INFLATION BOND</v>
          </cell>
          <cell r="C102" t="str">
            <v>Class R EUR (C)</v>
          </cell>
          <cell r="D102" t="str">
            <v>EUR</v>
          </cell>
          <cell r="E102" t="str">
            <v>01-Dec-2025</v>
          </cell>
          <cell r="F102">
            <v>121245.96</v>
          </cell>
          <cell r="G102">
            <v>1124</v>
          </cell>
          <cell r="H102">
            <v>107.87</v>
          </cell>
          <cell r="I102">
            <v>0</v>
          </cell>
          <cell r="J102">
            <v>107.87</v>
          </cell>
          <cell r="K102">
            <v>-0.52</v>
          </cell>
          <cell r="P102">
            <v>0</v>
          </cell>
        </row>
        <row r="103">
          <cell r="A103" t="str">
            <v>LU0839532255</v>
          </cell>
          <cell r="B103" t="str">
            <v>AMUNDI FUNDS EURO INFLATION BOND</v>
          </cell>
          <cell r="C103" t="str">
            <v>Class R EUR AD (D)</v>
          </cell>
          <cell r="D103" t="str">
            <v>EUR</v>
          </cell>
          <cell r="E103" t="str">
            <v>01-Dec-2025</v>
          </cell>
          <cell r="F103">
            <v>1410983.5</v>
          </cell>
          <cell r="G103">
            <v>13959.415000000001</v>
          </cell>
          <cell r="H103">
            <v>101.08</v>
          </cell>
          <cell r="I103">
            <v>0</v>
          </cell>
          <cell r="J103">
            <v>101.08</v>
          </cell>
          <cell r="K103">
            <v>-0.48</v>
          </cell>
          <cell r="P103">
            <v>0</v>
          </cell>
        </row>
        <row r="104">
          <cell r="A104" t="str">
            <v>LU0201576666</v>
          </cell>
          <cell r="B104" t="str">
            <v>AMUNDI FUNDS EURO INFLATION BOND</v>
          </cell>
          <cell r="C104" t="str">
            <v>Class G EUR (C)</v>
          </cell>
          <cell r="D104" t="str">
            <v>EUR</v>
          </cell>
          <cell r="E104" t="str">
            <v>01-Dec-2025</v>
          </cell>
          <cell r="F104">
            <v>6899233.4500000002</v>
          </cell>
          <cell r="G104">
            <v>50733.25</v>
          </cell>
          <cell r="H104">
            <v>135.99</v>
          </cell>
          <cell r="I104">
            <v>0</v>
          </cell>
          <cell r="J104">
            <v>140.07</v>
          </cell>
          <cell r="K104">
            <v>-0.66</v>
          </cell>
          <cell r="P104">
            <v>0</v>
          </cell>
        </row>
        <row r="105">
          <cell r="A105" t="str">
            <v>LU0201602843</v>
          </cell>
          <cell r="B105" t="str">
            <v>AMUNDI FUNDS EURO INFLATION BOND</v>
          </cell>
          <cell r="C105" t="str">
            <v>Class I EUR AD (D)</v>
          </cell>
          <cell r="D105" t="str">
            <v>EUR</v>
          </cell>
          <cell r="E105" t="str">
            <v>01-Dec-2025</v>
          </cell>
          <cell r="F105">
            <v>14845.61</v>
          </cell>
          <cell r="G105">
            <v>15.744</v>
          </cell>
          <cell r="H105">
            <v>942.94</v>
          </cell>
          <cell r="I105">
            <v>0</v>
          </cell>
          <cell r="J105">
            <v>942.94</v>
          </cell>
          <cell r="K105">
            <v>-4.5199999999999996</v>
          </cell>
          <cell r="P105">
            <v>0</v>
          </cell>
        </row>
        <row r="106">
          <cell r="A106" t="str">
            <v>LU0752741818</v>
          </cell>
          <cell r="B106" t="str">
            <v>AMUNDI FUNDS EURO INFLATION BOND</v>
          </cell>
          <cell r="C106" t="str">
            <v>Class Q-X EUR (C)</v>
          </cell>
          <cell r="D106" t="str">
            <v>EUR</v>
          </cell>
          <cell r="E106" t="str">
            <v>01-Dec-2025</v>
          </cell>
          <cell r="F106">
            <v>124210.12</v>
          </cell>
          <cell r="G106">
            <v>112</v>
          </cell>
          <cell r="H106">
            <v>1109.02</v>
          </cell>
          <cell r="I106">
            <v>0</v>
          </cell>
          <cell r="J106">
            <v>1109.02</v>
          </cell>
          <cell r="K106">
            <v>-5.31</v>
          </cell>
          <cell r="P106">
            <v>0</v>
          </cell>
        </row>
        <row r="107">
          <cell r="A107" t="str">
            <v>LU0557861860</v>
          </cell>
          <cell r="B107" t="str">
            <v>AMUNDI FUNDS GLOBAL GOVERNMENT BOND</v>
          </cell>
          <cell r="C107" t="str">
            <v>Class A EUR (C)</v>
          </cell>
          <cell r="D107" t="str">
            <v>EUR</v>
          </cell>
          <cell r="E107" t="str">
            <v>01-Dec-2025</v>
          </cell>
          <cell r="F107">
            <v>18777026.379999999</v>
          </cell>
          <cell r="G107">
            <v>136998.367</v>
          </cell>
          <cell r="H107">
            <v>137.06</v>
          </cell>
          <cell r="I107">
            <v>0</v>
          </cell>
          <cell r="J107">
            <v>141.16999999999999</v>
          </cell>
          <cell r="K107">
            <v>-0.62</v>
          </cell>
          <cell r="P107">
            <v>0</v>
          </cell>
        </row>
        <row r="108">
          <cell r="A108" t="str">
            <v>LU0119133188</v>
          </cell>
          <cell r="B108" t="str">
            <v>AMUNDI FUNDS GLOBAL GOVERNMENT BOND</v>
          </cell>
          <cell r="C108" t="str">
            <v>Class A USD (C)</v>
          </cell>
          <cell r="D108" t="str">
            <v>USD</v>
          </cell>
          <cell r="E108" t="str">
            <v>01-Dec-2025</v>
          </cell>
          <cell r="F108">
            <v>16006689.689999999</v>
          </cell>
          <cell r="G108">
            <v>588421.08700000006</v>
          </cell>
          <cell r="H108">
            <v>27.2</v>
          </cell>
          <cell r="I108">
            <v>0</v>
          </cell>
          <cell r="J108">
            <v>28.02</v>
          </cell>
          <cell r="K108">
            <v>-7.0000000000000007E-2</v>
          </cell>
          <cell r="P108">
            <v>0</v>
          </cell>
        </row>
        <row r="109">
          <cell r="A109" t="str">
            <v>LU0557861944</v>
          </cell>
          <cell r="B109" t="str">
            <v>AMUNDI FUNDS GLOBAL GOVERNMENT BOND</v>
          </cell>
          <cell r="C109" t="str">
            <v>Class A EUR AD (D)</v>
          </cell>
          <cell r="D109" t="str">
            <v>EUR</v>
          </cell>
          <cell r="E109" t="str">
            <v>01-Dec-2025</v>
          </cell>
          <cell r="F109">
            <v>16618916.01</v>
          </cell>
          <cell r="G109">
            <v>166088.94699999999</v>
          </cell>
          <cell r="H109">
            <v>100.06</v>
          </cell>
          <cell r="I109">
            <v>0</v>
          </cell>
          <cell r="J109">
            <v>103.06</v>
          </cell>
          <cell r="K109">
            <v>-0.46</v>
          </cell>
          <cell r="P109">
            <v>0</v>
          </cell>
        </row>
        <row r="110">
          <cell r="A110" t="str">
            <v>LU0119133691</v>
          </cell>
          <cell r="B110" t="str">
            <v>AMUNDI FUNDS GLOBAL GOVERNMENT BOND</v>
          </cell>
          <cell r="C110" t="str">
            <v>Class A USD AD (D)</v>
          </cell>
          <cell r="D110" t="str">
            <v>USD</v>
          </cell>
          <cell r="E110" t="str">
            <v>01-Dec-2025</v>
          </cell>
          <cell r="F110">
            <v>1299726.1000000001</v>
          </cell>
          <cell r="G110">
            <v>99816.278999999995</v>
          </cell>
          <cell r="H110">
            <v>13.02</v>
          </cell>
          <cell r="I110">
            <v>0</v>
          </cell>
          <cell r="J110">
            <v>13.41</v>
          </cell>
          <cell r="K110">
            <v>-0.03</v>
          </cell>
          <cell r="P110">
            <v>0</v>
          </cell>
        </row>
        <row r="111">
          <cell r="A111" t="str">
            <v>LU0839533063</v>
          </cell>
          <cell r="B111" t="str">
            <v>AMUNDI FUNDS GLOBAL GOVERNMENT BOND</v>
          </cell>
          <cell r="C111" t="str">
            <v>Class A2 USD (C)</v>
          </cell>
          <cell r="D111" t="str">
            <v>USD</v>
          </cell>
          <cell r="E111" t="str">
            <v>01-Dec-2025</v>
          </cell>
          <cell r="F111">
            <v>1926844.43</v>
          </cell>
          <cell r="G111">
            <v>68962.637000000002</v>
          </cell>
          <cell r="H111">
            <v>27.94</v>
          </cell>
          <cell r="I111">
            <v>0</v>
          </cell>
          <cell r="J111">
            <v>27.94</v>
          </cell>
          <cell r="K111">
            <v>-7.0000000000000007E-2</v>
          </cell>
          <cell r="P111">
            <v>0</v>
          </cell>
        </row>
        <row r="112">
          <cell r="A112" t="str">
            <v>LU0839533220</v>
          </cell>
          <cell r="B112" t="str">
            <v>AMUNDI FUNDS GLOBAL GOVERNMENT BOND</v>
          </cell>
          <cell r="C112" t="str">
            <v>Class A2 USD AD (D)</v>
          </cell>
          <cell r="D112" t="str">
            <v>USD</v>
          </cell>
          <cell r="E112" t="str">
            <v>01-Dec-2025</v>
          </cell>
          <cell r="F112">
            <v>1175.48</v>
          </cell>
          <cell r="G112">
            <v>85.47</v>
          </cell>
          <cell r="H112">
            <v>13.75</v>
          </cell>
          <cell r="I112">
            <v>0</v>
          </cell>
          <cell r="J112">
            <v>13.75</v>
          </cell>
          <cell r="K112">
            <v>-0.04</v>
          </cell>
          <cell r="P112">
            <v>0</v>
          </cell>
        </row>
        <row r="113">
          <cell r="A113" t="str">
            <v>LU2018722194</v>
          </cell>
          <cell r="B113" t="str">
            <v>AMUNDI FUNDS GLOBAL GOVERNMENT BOND</v>
          </cell>
          <cell r="C113" t="str">
            <v>Class F EUR Hgd MTD (D)</v>
          </cell>
          <cell r="D113" t="str">
            <v>EUR</v>
          </cell>
          <cell r="E113" t="str">
            <v>01-Dec-2025</v>
          </cell>
          <cell r="F113">
            <v>990957.61</v>
          </cell>
          <cell r="G113">
            <v>298550.37900000002</v>
          </cell>
          <cell r="H113">
            <v>3.319</v>
          </cell>
          <cell r="I113">
            <v>1.09E-2</v>
          </cell>
          <cell r="J113">
            <v>3.319</v>
          </cell>
          <cell r="K113">
            <v>-1.9E-2</v>
          </cell>
          <cell r="P113">
            <v>0</v>
          </cell>
        </row>
        <row r="114">
          <cell r="A114" t="str">
            <v>LU0557862165</v>
          </cell>
          <cell r="B114" t="str">
            <v>AMUNDI FUNDS GLOBAL GOVERNMENT BOND</v>
          </cell>
          <cell r="C114" t="str">
            <v>Class F2 USD (C)</v>
          </cell>
          <cell r="D114" t="str">
            <v>USD</v>
          </cell>
          <cell r="E114" t="str">
            <v>01-Dec-2025</v>
          </cell>
          <cell r="F114">
            <v>399854.21</v>
          </cell>
          <cell r="G114">
            <v>3971.7559999999999</v>
          </cell>
          <cell r="H114">
            <v>100.67</v>
          </cell>
          <cell r="I114">
            <v>0</v>
          </cell>
          <cell r="J114">
            <v>100.67</v>
          </cell>
          <cell r="K114">
            <v>-0.24</v>
          </cell>
          <cell r="P114">
            <v>0</v>
          </cell>
        </row>
        <row r="115">
          <cell r="A115" t="str">
            <v>LU0557862082</v>
          </cell>
          <cell r="B115" t="str">
            <v>AMUNDI FUNDS GLOBAL GOVERNMENT BOND</v>
          </cell>
          <cell r="C115" t="str">
            <v>Class F2 EUR Hgd (C)</v>
          </cell>
          <cell r="D115" t="str">
            <v>EUR</v>
          </cell>
          <cell r="E115" t="str">
            <v>01-Dec-2025</v>
          </cell>
          <cell r="F115">
            <v>44342.82</v>
          </cell>
          <cell r="G115">
            <v>560.04499999999996</v>
          </cell>
          <cell r="H115">
            <v>79.180000000000007</v>
          </cell>
          <cell r="I115">
            <v>0</v>
          </cell>
          <cell r="J115">
            <v>79.180000000000007</v>
          </cell>
          <cell r="K115">
            <v>-0.19</v>
          </cell>
          <cell r="P115">
            <v>0</v>
          </cell>
        </row>
        <row r="116">
          <cell r="A116" t="str">
            <v>LU0613078343</v>
          </cell>
          <cell r="B116" t="str">
            <v>AMUNDI FUNDS GLOBAL GOVERNMENT BOND</v>
          </cell>
          <cell r="C116" t="str">
            <v>Class F2 EUR Hgd MD (D)</v>
          </cell>
          <cell r="D116" t="str">
            <v>EUR</v>
          </cell>
          <cell r="E116" t="str">
            <v>01-Dec-2025</v>
          </cell>
          <cell r="F116">
            <v>338824.81</v>
          </cell>
          <cell r="G116">
            <v>6205.6970000000001</v>
          </cell>
          <cell r="H116">
            <v>54.6</v>
          </cell>
          <cell r="I116">
            <v>0.17910000000000001</v>
          </cell>
          <cell r="J116">
            <v>54.6</v>
          </cell>
          <cell r="K116">
            <v>-0.31</v>
          </cell>
          <cell r="P116">
            <v>0</v>
          </cell>
        </row>
        <row r="117">
          <cell r="A117" t="str">
            <v>LU0613078186</v>
          </cell>
          <cell r="B117" t="str">
            <v>AMUNDI FUNDS GLOBAL GOVERNMENT BOND</v>
          </cell>
          <cell r="C117" t="str">
            <v>Class G EUR Hgd MD (D)</v>
          </cell>
          <cell r="D117" t="str">
            <v>EUR</v>
          </cell>
          <cell r="E117" t="str">
            <v>01-Dec-2025</v>
          </cell>
          <cell r="F117">
            <v>4692198.5999999996</v>
          </cell>
          <cell r="G117">
            <v>85729.870999999999</v>
          </cell>
          <cell r="H117">
            <v>54.73</v>
          </cell>
          <cell r="I117">
            <v>0.1789</v>
          </cell>
          <cell r="J117">
            <v>56.37</v>
          </cell>
          <cell r="K117">
            <v>-0.31</v>
          </cell>
          <cell r="P117">
            <v>0</v>
          </cell>
        </row>
        <row r="118">
          <cell r="A118" t="str">
            <v>LU2052288888</v>
          </cell>
          <cell r="B118" t="str">
            <v>AMUNDI FUNDS GLOBAL GOVERNMENT BOND</v>
          </cell>
          <cell r="C118" t="str">
            <v>Class I2 GBP (C)</v>
          </cell>
          <cell r="D118" t="str">
            <v>GBP</v>
          </cell>
          <cell r="E118" t="str">
            <v>01-Dec-2025</v>
          </cell>
          <cell r="F118">
            <v>4554.3900000000003</v>
          </cell>
          <cell r="G118">
            <v>5</v>
          </cell>
          <cell r="H118">
            <v>910.88</v>
          </cell>
          <cell r="I118">
            <v>0</v>
          </cell>
          <cell r="J118">
            <v>910.88</v>
          </cell>
          <cell r="K118">
            <v>-2.25</v>
          </cell>
          <cell r="P118">
            <v>0</v>
          </cell>
        </row>
        <row r="119">
          <cell r="A119" t="str">
            <v>LU0119131489</v>
          </cell>
          <cell r="B119" t="str">
            <v>AMUNDI FUNDS GLOBAL GOVERNMENT BOND</v>
          </cell>
          <cell r="C119" t="str">
            <v>Class I USD (C)</v>
          </cell>
          <cell r="D119" t="str">
            <v>USD</v>
          </cell>
          <cell r="E119" t="str">
            <v>01-Dec-2025</v>
          </cell>
          <cell r="F119">
            <v>180424.45</v>
          </cell>
          <cell r="G119">
            <v>64.066999999999993</v>
          </cell>
          <cell r="H119">
            <v>2816.18</v>
          </cell>
          <cell r="I119">
            <v>0</v>
          </cell>
          <cell r="J119">
            <v>2816.18</v>
          </cell>
          <cell r="K119">
            <v>-6.73</v>
          </cell>
          <cell r="P119">
            <v>0</v>
          </cell>
        </row>
        <row r="120">
          <cell r="A120" t="str">
            <v>LU0228160049</v>
          </cell>
          <cell r="B120" t="str">
            <v>AMUNDI FUNDS GLOBAL GOVERNMENT BOND</v>
          </cell>
          <cell r="C120" t="str">
            <v>Class Q-I15 EUR AD (D)</v>
          </cell>
          <cell r="D120" t="str">
            <v>EUR</v>
          </cell>
          <cell r="E120" t="str">
            <v>01-Dec-2025</v>
          </cell>
          <cell r="F120">
            <v>397064.86</v>
          </cell>
          <cell r="G120">
            <v>431.98500000000001</v>
          </cell>
          <cell r="H120">
            <v>919.16</v>
          </cell>
          <cell r="I120">
            <v>0</v>
          </cell>
          <cell r="J120">
            <v>919.16</v>
          </cell>
          <cell r="K120">
            <v>-4.08</v>
          </cell>
          <cell r="P120">
            <v>0</v>
          </cell>
        </row>
        <row r="121">
          <cell r="A121" t="str">
            <v>LU1971432742</v>
          </cell>
          <cell r="B121" t="str">
            <v>AMUNDI FUNDS GLOBAL GOVERNMENT BOND</v>
          </cell>
          <cell r="C121" t="str">
            <v>Class M EUR (C)</v>
          </cell>
          <cell r="D121" t="str">
            <v>EUR</v>
          </cell>
          <cell r="E121" t="str">
            <v>01-Dec-2025</v>
          </cell>
          <cell r="F121">
            <v>6381885.04</v>
          </cell>
          <cell r="G121">
            <v>66133.904999999999</v>
          </cell>
          <cell r="H121">
            <v>96.5</v>
          </cell>
          <cell r="I121">
            <v>0</v>
          </cell>
          <cell r="J121">
            <v>0</v>
          </cell>
          <cell r="K121">
            <v>-0.43</v>
          </cell>
          <cell r="P121">
            <v>0</v>
          </cell>
        </row>
        <row r="122">
          <cell r="A122" t="str">
            <v>LU0329445158</v>
          </cell>
          <cell r="B122" t="str">
            <v>AMUNDI FUNDS GLOBAL GOVERNMENT BOND</v>
          </cell>
          <cell r="C122" t="str">
            <v>Class M USD (C)</v>
          </cell>
          <cell r="D122" t="str">
            <v>USD</v>
          </cell>
          <cell r="E122" t="str">
            <v>01-Dec-2025</v>
          </cell>
          <cell r="F122">
            <v>714237.94</v>
          </cell>
          <cell r="G122">
            <v>4668.9849999999997</v>
          </cell>
          <cell r="H122">
            <v>152.97</v>
          </cell>
          <cell r="I122">
            <v>0</v>
          </cell>
          <cell r="J122">
            <v>152.97</v>
          </cell>
          <cell r="K122">
            <v>-0.37</v>
          </cell>
          <cell r="P122">
            <v>0</v>
          </cell>
        </row>
        <row r="123">
          <cell r="A123" t="str">
            <v>LU0557862322</v>
          </cell>
          <cell r="B123" t="str">
            <v>AMUNDI FUNDS GLOBAL GOVERNMENT BOND</v>
          </cell>
          <cell r="C123" t="str">
            <v>Class M EUR Hgd (C)</v>
          </cell>
          <cell r="D123" t="str">
            <v>EUR</v>
          </cell>
          <cell r="E123" t="str">
            <v>01-Dec-2025</v>
          </cell>
          <cell r="F123">
            <v>59832.73</v>
          </cell>
          <cell r="G123">
            <v>695.72400000000005</v>
          </cell>
          <cell r="H123">
            <v>86</v>
          </cell>
          <cell r="I123">
            <v>0</v>
          </cell>
          <cell r="J123">
            <v>86</v>
          </cell>
          <cell r="K123">
            <v>-0.22</v>
          </cell>
          <cell r="P123">
            <v>0</v>
          </cell>
        </row>
        <row r="124">
          <cell r="A124" t="str">
            <v>LU0119133931</v>
          </cell>
          <cell r="B124" t="str">
            <v>AMUNDI FUNDS GLOBAL GOVERNMENT BOND</v>
          </cell>
          <cell r="C124" t="str">
            <v>Class G USD (C)</v>
          </cell>
          <cell r="D124" t="str">
            <v>USD</v>
          </cell>
          <cell r="E124" t="str">
            <v>01-Dec-2025</v>
          </cell>
          <cell r="F124">
            <v>3606806.84</v>
          </cell>
          <cell r="G124">
            <v>140835.16699999999</v>
          </cell>
          <cell r="H124">
            <v>25.61</v>
          </cell>
          <cell r="I124">
            <v>0</v>
          </cell>
          <cell r="J124">
            <v>26.38</v>
          </cell>
          <cell r="K124">
            <v>-0.06</v>
          </cell>
          <cell r="P124">
            <v>0</v>
          </cell>
        </row>
        <row r="125">
          <cell r="A125" t="str">
            <v>LU0557862678</v>
          </cell>
          <cell r="B125" t="str">
            <v>AMUNDI FUNDS GLOBAL GOVERNMENT BOND</v>
          </cell>
          <cell r="C125" t="str">
            <v>Class G EUR Hgd (C)</v>
          </cell>
          <cell r="D125" t="str">
            <v>EUR</v>
          </cell>
          <cell r="E125" t="str">
            <v>01-Dec-2025</v>
          </cell>
          <cell r="F125">
            <v>3298105.98</v>
          </cell>
          <cell r="G125">
            <v>38251.419000000002</v>
          </cell>
          <cell r="H125">
            <v>86.22</v>
          </cell>
          <cell r="I125">
            <v>0</v>
          </cell>
          <cell r="J125">
            <v>88.81</v>
          </cell>
          <cell r="K125">
            <v>-0.21</v>
          </cell>
          <cell r="P125">
            <v>0</v>
          </cell>
        </row>
        <row r="126">
          <cell r="A126" t="str">
            <v>LU0557861274</v>
          </cell>
          <cell r="B126" t="str">
            <v>AMUNDI FUNDS GLOBAL AGGREGATE BOND</v>
          </cell>
          <cell r="C126" t="str">
            <v>Class A EUR (C)</v>
          </cell>
          <cell r="D126" t="str">
            <v>EUR</v>
          </cell>
          <cell r="E126" t="str">
            <v>01-Dec-2025</v>
          </cell>
          <cell r="F126">
            <v>242043371.22</v>
          </cell>
          <cell r="G126">
            <v>1286164.4369999999</v>
          </cell>
          <cell r="H126">
            <v>188.19</v>
          </cell>
          <cell r="I126">
            <v>0</v>
          </cell>
          <cell r="J126">
            <v>193.84</v>
          </cell>
          <cell r="K126">
            <v>-0.82</v>
          </cell>
          <cell r="P126">
            <v>0</v>
          </cell>
        </row>
        <row r="127">
          <cell r="A127" t="str">
            <v>LU0319688015</v>
          </cell>
          <cell r="B127" t="str">
            <v>AMUNDI FUNDS GLOBAL AGGREGATE BOND</v>
          </cell>
          <cell r="C127" t="str">
            <v>Class A USD (C)</v>
          </cell>
          <cell r="D127" t="str">
            <v>USD</v>
          </cell>
          <cell r="E127" t="str">
            <v>01-Dec-2025</v>
          </cell>
          <cell r="F127">
            <v>69510249.400000006</v>
          </cell>
          <cell r="G127">
            <v>255889.34</v>
          </cell>
          <cell r="H127">
            <v>271.64</v>
          </cell>
          <cell r="I127">
            <v>0</v>
          </cell>
          <cell r="J127">
            <v>279.79000000000002</v>
          </cell>
          <cell r="K127">
            <v>-0.61</v>
          </cell>
          <cell r="P127">
            <v>0</v>
          </cell>
        </row>
        <row r="128">
          <cell r="A128" t="str">
            <v>LU0906524433</v>
          </cell>
          <cell r="B128" t="str">
            <v>AMUNDI FUNDS GLOBAL AGGREGATE BOND</v>
          </cell>
          <cell r="C128" t="str">
            <v>Class A USD MD (D)</v>
          </cell>
          <cell r="D128" t="str">
            <v>USD</v>
          </cell>
          <cell r="E128" t="str">
            <v>01-Dec-2025</v>
          </cell>
          <cell r="F128">
            <v>811963.05</v>
          </cell>
          <cell r="G128">
            <v>8656.3230000000003</v>
          </cell>
          <cell r="H128">
            <v>93.8</v>
          </cell>
          <cell r="I128">
            <v>0.38369999999999999</v>
          </cell>
          <cell r="J128">
            <v>93.8</v>
          </cell>
          <cell r="K128">
            <v>-0.6</v>
          </cell>
          <cell r="P128">
            <v>0</v>
          </cell>
        </row>
        <row r="129">
          <cell r="A129" t="str">
            <v>LU2002721616</v>
          </cell>
          <cell r="B129" t="str">
            <v>AMUNDI FUNDS GLOBAL AGGREGATE BOND</v>
          </cell>
          <cell r="C129" t="str">
            <v>Class M2 EUR Hgd AD ( D )</v>
          </cell>
          <cell r="D129" t="str">
            <v>EUR</v>
          </cell>
          <cell r="E129" t="str">
            <v>01-Dec-2025</v>
          </cell>
          <cell r="F129">
            <v>303714.98</v>
          </cell>
          <cell r="G129">
            <v>338.41500000000002</v>
          </cell>
          <cell r="H129">
            <v>897.46</v>
          </cell>
          <cell r="I129">
            <v>0</v>
          </cell>
          <cell r="J129">
            <v>897.46</v>
          </cell>
          <cell r="K129">
            <v>-2.08</v>
          </cell>
          <cell r="P129">
            <v>0</v>
          </cell>
        </row>
        <row r="130">
          <cell r="A130" t="str">
            <v>LU1049752089</v>
          </cell>
          <cell r="B130" t="str">
            <v>AMUNDI FUNDS GLOBAL AGGREGATE BOND</v>
          </cell>
          <cell r="C130" t="str">
            <v>Class A2 SGD Hgd MD (D)</v>
          </cell>
          <cell r="D130" t="str">
            <v>SGD</v>
          </cell>
          <cell r="E130" t="str">
            <v>01-Dec-2025</v>
          </cell>
          <cell r="F130">
            <v>1037170.75</v>
          </cell>
          <cell r="G130">
            <v>12119.919</v>
          </cell>
          <cell r="H130">
            <v>85.58</v>
          </cell>
          <cell r="I130">
            <v>0.35699999999999998</v>
          </cell>
          <cell r="J130">
            <v>85.58</v>
          </cell>
          <cell r="K130">
            <v>-0.56000000000000005</v>
          </cell>
          <cell r="P130">
            <v>0</v>
          </cell>
        </row>
        <row r="131">
          <cell r="A131" t="str">
            <v>LU1049752162</v>
          </cell>
          <cell r="B131" t="str">
            <v>AMUNDI FUNDS GLOBAL AGGREGATE BOND</v>
          </cell>
          <cell r="C131" t="str">
            <v>Class A2 USD MD (D)</v>
          </cell>
          <cell r="D131" t="str">
            <v>USD</v>
          </cell>
          <cell r="E131" t="str">
            <v>01-Dec-2025</v>
          </cell>
          <cell r="F131">
            <v>299373.99</v>
          </cell>
          <cell r="G131">
            <v>3181.4960000000001</v>
          </cell>
          <cell r="H131">
            <v>94.1</v>
          </cell>
          <cell r="I131">
            <v>0.38369999999999999</v>
          </cell>
          <cell r="J131">
            <v>94.1</v>
          </cell>
          <cell r="K131">
            <v>-0.6</v>
          </cell>
          <cell r="P131">
            <v>0</v>
          </cell>
        </row>
        <row r="132">
          <cell r="A132" t="str">
            <v>LU2032056355</v>
          </cell>
          <cell r="B132" t="str">
            <v>AMUNDI FUNDS GLOBAL AGGREGATE BOND</v>
          </cell>
          <cell r="C132" t="str">
            <v>Class A5 EUR (C)</v>
          </cell>
          <cell r="D132" t="str">
            <v>EUR</v>
          </cell>
          <cell r="E132" t="str">
            <v>01-Dec-2025</v>
          </cell>
          <cell r="F132">
            <v>340021.94</v>
          </cell>
          <cell r="G132">
            <v>6467.7539999999999</v>
          </cell>
          <cell r="H132">
            <v>52.57</v>
          </cell>
          <cell r="I132">
            <v>0</v>
          </cell>
          <cell r="J132">
            <v>52.57</v>
          </cell>
          <cell r="K132">
            <v>-0.23</v>
          </cell>
          <cell r="P132">
            <v>0</v>
          </cell>
        </row>
        <row r="133">
          <cell r="A133" t="str">
            <v>LU2070309617</v>
          </cell>
          <cell r="B133" t="str">
            <v>AMUNDI FUNDS GLOBAL AGGREGATE BOND</v>
          </cell>
          <cell r="C133" t="str">
            <v>Class A2 EUR AD (D)</v>
          </cell>
          <cell r="D133" t="str">
            <v>EUR</v>
          </cell>
          <cell r="E133" t="str">
            <v>01-Dec-2025</v>
          </cell>
          <cell r="F133">
            <v>2880056.89</v>
          </cell>
          <cell r="G133">
            <v>60200</v>
          </cell>
          <cell r="H133">
            <v>47.84</v>
          </cell>
          <cell r="I133">
            <v>0</v>
          </cell>
          <cell r="J133">
            <v>49.28</v>
          </cell>
          <cell r="K133">
            <v>-0.21</v>
          </cell>
          <cell r="P133">
            <v>0</v>
          </cell>
        </row>
        <row r="134">
          <cell r="A134" t="str">
            <v>LU0945157773</v>
          </cell>
          <cell r="B134" t="str">
            <v>AMUNDI FUNDS GLOBAL AGGREGATE BOND</v>
          </cell>
          <cell r="C134" t="str">
            <v>Class A CHF Hgd (C)</v>
          </cell>
          <cell r="D134" t="str">
            <v>CHF</v>
          </cell>
          <cell r="E134" t="str">
            <v>01-Dec-2025</v>
          </cell>
          <cell r="F134">
            <v>9476229.3300000001</v>
          </cell>
          <cell r="G134">
            <v>95495.913</v>
          </cell>
          <cell r="H134">
            <v>99.23</v>
          </cell>
          <cell r="I134">
            <v>0</v>
          </cell>
          <cell r="J134">
            <v>99.23</v>
          </cell>
          <cell r="K134">
            <v>-0.24</v>
          </cell>
          <cell r="P134">
            <v>0</v>
          </cell>
        </row>
        <row r="135">
          <cell r="A135" t="str">
            <v>LU1327396765</v>
          </cell>
          <cell r="B135" t="str">
            <v>AMUNDI FUNDS GLOBAL AGGREGATE BOND</v>
          </cell>
          <cell r="C135" t="str">
            <v>Class A EUR MD (D)</v>
          </cell>
          <cell r="D135" t="str">
            <v>EUR</v>
          </cell>
          <cell r="E135" t="str">
            <v>01-Dec-2025</v>
          </cell>
          <cell r="F135">
            <v>268406324.63999999</v>
          </cell>
          <cell r="G135">
            <v>3026661.7289999998</v>
          </cell>
          <cell r="H135">
            <v>88.68</v>
          </cell>
          <cell r="I135">
            <v>0.4093</v>
          </cell>
          <cell r="J135">
            <v>88.68</v>
          </cell>
          <cell r="K135">
            <v>-0.8</v>
          </cell>
          <cell r="P135">
            <v>0</v>
          </cell>
        </row>
        <row r="136">
          <cell r="A136" t="str">
            <v>LU0906524193</v>
          </cell>
          <cell r="B136" t="str">
            <v>AMUNDI FUNDS GLOBAL AGGREGATE BOND</v>
          </cell>
          <cell r="C136" t="str">
            <v>Class A EUR Hgd (C)</v>
          </cell>
          <cell r="D136" t="str">
            <v>EUR</v>
          </cell>
          <cell r="E136" t="str">
            <v>01-Dec-2025</v>
          </cell>
          <cell r="F136">
            <v>271849640.31</v>
          </cell>
          <cell r="G136">
            <v>2441502.54</v>
          </cell>
          <cell r="H136">
            <v>111.35</v>
          </cell>
          <cell r="I136">
            <v>0</v>
          </cell>
          <cell r="J136">
            <v>114.69</v>
          </cell>
          <cell r="K136">
            <v>-0.25</v>
          </cell>
          <cell r="P136">
            <v>0</v>
          </cell>
        </row>
        <row r="137">
          <cell r="A137" t="str">
            <v>LU1049752758</v>
          </cell>
          <cell r="B137" t="str">
            <v>AMUNDI FUNDS GLOBAL AGGREGATE BOND</v>
          </cell>
          <cell r="C137" t="str">
            <v>Class A CZK Hgd (C)</v>
          </cell>
          <cell r="D137" t="str">
            <v>CZK</v>
          </cell>
          <cell r="E137" t="str">
            <v>01-Dec-2025</v>
          </cell>
          <cell r="F137">
            <v>1965630501.28</v>
          </cell>
          <cell r="G137">
            <v>651687.35900000005</v>
          </cell>
          <cell r="H137">
            <v>3016.22</v>
          </cell>
          <cell r="I137">
            <v>0</v>
          </cell>
          <cell r="J137">
            <v>3016.22</v>
          </cell>
          <cell r="K137">
            <v>-6.86</v>
          </cell>
          <cell r="P137">
            <v>0</v>
          </cell>
        </row>
        <row r="138">
          <cell r="A138" t="str">
            <v>LU1883317932</v>
          </cell>
          <cell r="B138" t="str">
            <v>AMUNDI FUNDS GLOBAL AGGREGATE BOND</v>
          </cell>
          <cell r="C138" t="str">
            <v>Class M2 EUR (C)</v>
          </cell>
          <cell r="D138" t="str">
            <v>EUR</v>
          </cell>
          <cell r="E138" t="str">
            <v>01-Dec-2025</v>
          </cell>
          <cell r="F138">
            <v>69500114.180000007</v>
          </cell>
          <cell r="G138">
            <v>59270.491999999998</v>
          </cell>
          <cell r="H138">
            <v>1172.5899999999999</v>
          </cell>
          <cell r="I138">
            <v>0</v>
          </cell>
          <cell r="J138">
            <v>1172.5899999999999</v>
          </cell>
          <cell r="K138">
            <v>-5.14</v>
          </cell>
          <cell r="P138">
            <v>0</v>
          </cell>
        </row>
        <row r="139">
          <cell r="A139" t="str">
            <v>LU0557861357</v>
          </cell>
          <cell r="B139" t="str">
            <v>AMUNDI FUNDS GLOBAL AGGREGATE BOND</v>
          </cell>
          <cell r="C139" t="str">
            <v>Class A EUR AD (D)</v>
          </cell>
          <cell r="D139" t="str">
            <v>EUR</v>
          </cell>
          <cell r="E139" t="str">
            <v>01-Dec-2025</v>
          </cell>
          <cell r="F139">
            <v>238020314.30000001</v>
          </cell>
          <cell r="G139">
            <v>1585693.4620000001</v>
          </cell>
          <cell r="H139">
            <v>150.1</v>
          </cell>
          <cell r="I139">
            <v>0</v>
          </cell>
          <cell r="J139">
            <v>154.6</v>
          </cell>
          <cell r="K139">
            <v>-0.66</v>
          </cell>
          <cell r="P139">
            <v>0</v>
          </cell>
        </row>
        <row r="140">
          <cell r="A140" t="str">
            <v>LU0319688288</v>
          </cell>
          <cell r="B140" t="str">
            <v>AMUNDI FUNDS GLOBAL AGGREGATE BOND</v>
          </cell>
          <cell r="C140" t="str">
            <v>Class A USD AD (D)</v>
          </cell>
          <cell r="D140" t="str">
            <v>USD</v>
          </cell>
          <cell r="E140" t="str">
            <v>01-Dec-2025</v>
          </cell>
          <cell r="F140">
            <v>12906252.85</v>
          </cell>
          <cell r="G140">
            <v>103793.15399999999</v>
          </cell>
          <cell r="H140">
            <v>124.35</v>
          </cell>
          <cell r="I140">
            <v>0</v>
          </cell>
          <cell r="J140">
            <v>128.08000000000001</v>
          </cell>
          <cell r="K140">
            <v>-0.28000000000000003</v>
          </cell>
          <cell r="P140">
            <v>0</v>
          </cell>
        </row>
        <row r="141">
          <cell r="A141" t="str">
            <v>LU1883316702</v>
          </cell>
          <cell r="B141" t="str">
            <v>AMUNDI FUNDS GLOBAL AGGREGATE BOND</v>
          </cell>
          <cell r="C141" t="str">
            <v>Class B USD MTD (D)</v>
          </cell>
          <cell r="D141" t="str">
            <v>USD</v>
          </cell>
          <cell r="E141" t="str">
            <v>01-Dec-2025</v>
          </cell>
          <cell r="F141">
            <v>975241.58</v>
          </cell>
          <cell r="G141">
            <v>21701.556</v>
          </cell>
          <cell r="H141">
            <v>44.94</v>
          </cell>
          <cell r="I141">
            <v>0.185</v>
          </cell>
          <cell r="J141">
            <v>44.94</v>
          </cell>
          <cell r="K141">
            <v>-0.28999999999999998</v>
          </cell>
          <cell r="P141">
            <v>0</v>
          </cell>
        </row>
        <row r="142">
          <cell r="A142" t="str">
            <v>LU1392371701</v>
          </cell>
          <cell r="B142" t="str">
            <v>AMUNDI FUNDS GLOBAL AGGREGATE BOND</v>
          </cell>
          <cell r="C142" t="str">
            <v>Class OR USD AD (D)</v>
          </cell>
          <cell r="D142" t="str">
            <v>USD</v>
          </cell>
          <cell r="E142" t="str">
            <v>01-Dec-2025</v>
          </cell>
          <cell r="F142">
            <v>637490.18000000005</v>
          </cell>
          <cell r="G142">
            <v>580.55200000000002</v>
          </cell>
          <cell r="H142">
            <v>1098.08</v>
          </cell>
          <cell r="I142">
            <v>0</v>
          </cell>
          <cell r="J142">
            <v>1098.08</v>
          </cell>
          <cell r="K142">
            <v>-2.4300000000000002</v>
          </cell>
          <cell r="P142">
            <v>0</v>
          </cell>
        </row>
        <row r="143">
          <cell r="A143" t="str">
            <v>LU0906524276</v>
          </cell>
          <cell r="B143" t="str">
            <v>AMUNDI FUNDS GLOBAL AGGREGATE BOND</v>
          </cell>
          <cell r="C143" t="str">
            <v>Class A EUR Hgd AD (D)</v>
          </cell>
          <cell r="D143" t="str">
            <v>EUR</v>
          </cell>
          <cell r="E143" t="str">
            <v>01-Dec-2025</v>
          </cell>
          <cell r="F143">
            <v>23258911.27</v>
          </cell>
          <cell r="G143">
            <v>257810.12700000001</v>
          </cell>
          <cell r="H143">
            <v>90.22</v>
          </cell>
          <cell r="I143">
            <v>0</v>
          </cell>
          <cell r="J143">
            <v>92.93</v>
          </cell>
          <cell r="K143">
            <v>-0.21</v>
          </cell>
          <cell r="P143">
            <v>0</v>
          </cell>
        </row>
        <row r="144">
          <cell r="A144" t="str">
            <v>LU0987191649</v>
          </cell>
          <cell r="B144" t="str">
            <v>AMUNDI FUNDS GLOBAL AGGREGATE BOND</v>
          </cell>
          <cell r="C144" t="str">
            <v>Class I GBP Hgd AD (D)</v>
          </cell>
          <cell r="D144" t="str">
            <v>GBP</v>
          </cell>
          <cell r="E144" t="str">
            <v>01-Dec-2025</v>
          </cell>
          <cell r="F144">
            <v>1122362.57</v>
          </cell>
          <cell r="G144">
            <v>1159.204</v>
          </cell>
          <cell r="H144">
            <v>968.22</v>
          </cell>
          <cell r="I144">
            <v>0</v>
          </cell>
          <cell r="J144">
            <v>968.22</v>
          </cell>
          <cell r="K144">
            <v>-2.13</v>
          </cell>
          <cell r="P144">
            <v>0</v>
          </cell>
        </row>
        <row r="145">
          <cell r="A145" t="str">
            <v>LU2002721889</v>
          </cell>
          <cell r="B145" t="str">
            <v>AMUNDI FUNDS GLOBAL AGGREGATE BOND</v>
          </cell>
          <cell r="C145" t="str">
            <v>Class M2 EUR Hgd (C)</v>
          </cell>
          <cell r="D145" t="str">
            <v>EUR</v>
          </cell>
          <cell r="E145" t="str">
            <v>01-Dec-2025</v>
          </cell>
          <cell r="F145">
            <v>25565646.66</v>
          </cell>
          <cell r="G145">
            <v>24710.243999999999</v>
          </cell>
          <cell r="H145">
            <v>1034.6199999999999</v>
          </cell>
          <cell r="I145">
            <v>0</v>
          </cell>
          <cell r="J145">
            <v>1034.6199999999999</v>
          </cell>
          <cell r="K145">
            <v>-2.39</v>
          </cell>
          <cell r="P145">
            <v>0</v>
          </cell>
        </row>
        <row r="146">
          <cell r="A146" t="str">
            <v>LU1883318070</v>
          </cell>
          <cell r="B146" t="str">
            <v>AMUNDI FUNDS GLOBAL AGGREGATE BOND</v>
          </cell>
          <cell r="C146" t="str">
            <v>Class M2 EUR Hgd QTD (D)</v>
          </cell>
          <cell r="D146" t="str">
            <v>EUR</v>
          </cell>
          <cell r="E146" t="str">
            <v>01-Dec-2025</v>
          </cell>
          <cell r="F146">
            <v>559611.82999999996</v>
          </cell>
          <cell r="G146">
            <v>633.471</v>
          </cell>
          <cell r="H146">
            <v>883.41</v>
          </cell>
          <cell r="I146">
            <v>0</v>
          </cell>
          <cell r="J146">
            <v>883.41</v>
          </cell>
          <cell r="K146">
            <v>-2.04</v>
          </cell>
          <cell r="P146">
            <v>0</v>
          </cell>
        </row>
        <row r="147">
          <cell r="A147" t="str">
            <v>LU1883318153</v>
          </cell>
          <cell r="B147" t="str">
            <v>AMUNDI FUNDS GLOBAL AGGREGATE BOND</v>
          </cell>
          <cell r="C147" t="str">
            <v>Class M2 EUR QTD (D)</v>
          </cell>
          <cell r="D147" t="str">
            <v>EUR</v>
          </cell>
          <cell r="E147" t="str">
            <v>01-Dec-2025</v>
          </cell>
          <cell r="F147">
            <v>5442826.6100000003</v>
          </cell>
          <cell r="G147">
            <v>5583.223</v>
          </cell>
          <cell r="H147">
            <v>974.85</v>
          </cell>
          <cell r="I147">
            <v>0</v>
          </cell>
          <cell r="J147">
            <v>974.85</v>
          </cell>
          <cell r="K147">
            <v>-4.2699999999999996</v>
          </cell>
          <cell r="P147">
            <v>0</v>
          </cell>
        </row>
        <row r="148">
          <cell r="A148" t="str">
            <v>LU1854487466</v>
          </cell>
          <cell r="B148" t="str">
            <v>AMUNDI FUNDS GLOBAL AGGREGATE BOND</v>
          </cell>
          <cell r="C148" t="str">
            <v>Class Q-I19 EUR Hgd</v>
          </cell>
          <cell r="D148" t="str">
            <v>EUR</v>
          </cell>
          <cell r="E148" t="str">
            <v>01-Dec-2025</v>
          </cell>
          <cell r="F148">
            <v>222622786.44999999</v>
          </cell>
          <cell r="G148">
            <v>209135.603</v>
          </cell>
          <cell r="H148">
            <v>1064.49</v>
          </cell>
          <cell r="I148">
            <v>0</v>
          </cell>
          <cell r="J148">
            <v>1064.49</v>
          </cell>
          <cell r="K148">
            <v>-2.41</v>
          </cell>
          <cell r="P148">
            <v>0</v>
          </cell>
        </row>
        <row r="149">
          <cell r="A149" t="str">
            <v>LU1883316371</v>
          </cell>
          <cell r="B149" t="str">
            <v>AMUNDI FUNDS GLOBAL AGGREGATE BOND</v>
          </cell>
          <cell r="C149" t="str">
            <v>Class A2 EUR (C)</v>
          </cell>
          <cell r="D149" t="str">
            <v>EUR</v>
          </cell>
          <cell r="E149" t="str">
            <v>01-Dec-2025</v>
          </cell>
          <cell r="F149">
            <v>8812007.8100000005</v>
          </cell>
          <cell r="G149">
            <v>156572.77600000001</v>
          </cell>
          <cell r="H149">
            <v>56.28</v>
          </cell>
          <cell r="I149">
            <v>0</v>
          </cell>
          <cell r="J149">
            <v>57.97</v>
          </cell>
          <cell r="K149">
            <v>-0.25</v>
          </cell>
          <cell r="P149">
            <v>0</v>
          </cell>
        </row>
        <row r="150">
          <cell r="A150" t="str">
            <v>LU1883316454</v>
          </cell>
          <cell r="B150" t="str">
            <v>AMUNDI FUNDS GLOBAL AGGREGATE BOND</v>
          </cell>
          <cell r="C150" t="str">
            <v>Class A2 EUR MTD (D)</v>
          </cell>
          <cell r="D150" t="str">
            <v>EUR</v>
          </cell>
          <cell r="E150" t="str">
            <v>01-Dec-2025</v>
          </cell>
          <cell r="F150">
            <v>116588.97</v>
          </cell>
          <cell r="G150">
            <v>2505.5729999999999</v>
          </cell>
          <cell r="H150">
            <v>46.53</v>
          </cell>
          <cell r="I150">
            <v>0.21390000000000001</v>
          </cell>
          <cell r="J150">
            <v>47.93</v>
          </cell>
          <cell r="K150">
            <v>-0.42</v>
          </cell>
          <cell r="P150">
            <v>0</v>
          </cell>
        </row>
        <row r="151">
          <cell r="A151" t="str">
            <v>LU1883317262</v>
          </cell>
          <cell r="B151" t="str">
            <v>AMUNDI FUNDS GLOBAL AGGREGATE BOND</v>
          </cell>
          <cell r="C151" t="str">
            <v>Class E2 EUR (C)</v>
          </cell>
          <cell r="D151" t="str">
            <v>EUR</v>
          </cell>
          <cell r="E151" t="str">
            <v>01-Dec-2025</v>
          </cell>
          <cell r="F151">
            <v>11060901.57</v>
          </cell>
          <cell r="G151">
            <v>1945343.953</v>
          </cell>
          <cell r="H151">
            <v>5.6859999999999999</v>
          </cell>
          <cell r="I151">
            <v>0</v>
          </cell>
          <cell r="J151">
            <v>5.6859999999999999</v>
          </cell>
          <cell r="K151">
            <v>-2.5000000000000001E-2</v>
          </cell>
          <cell r="P151">
            <v>0</v>
          </cell>
        </row>
        <row r="152">
          <cell r="A152" t="str">
            <v>LU1049752592</v>
          </cell>
          <cell r="B152" t="str">
            <v>AMUNDI FUNDS GLOBAL AGGREGATE BOND</v>
          </cell>
          <cell r="C152" t="str">
            <v>Class A2 USD (C)</v>
          </cell>
          <cell r="D152" t="str">
            <v>USD</v>
          </cell>
          <cell r="E152" t="str">
            <v>01-Dec-2025</v>
          </cell>
          <cell r="F152">
            <v>4045170.42</v>
          </cell>
          <cell r="G152">
            <v>31730.627</v>
          </cell>
          <cell r="H152">
            <v>127.48</v>
          </cell>
          <cell r="I152">
            <v>0</v>
          </cell>
          <cell r="J152">
            <v>127.48</v>
          </cell>
          <cell r="K152">
            <v>-0.3</v>
          </cell>
          <cell r="P152">
            <v>0</v>
          </cell>
        </row>
        <row r="153">
          <cell r="A153" t="str">
            <v>LU2018719646</v>
          </cell>
          <cell r="B153" t="str">
            <v>AMUNDI FUNDS GLOBAL AGGREGATE BOND</v>
          </cell>
          <cell r="C153" t="str">
            <v>Class F EUR Hgd MTD (D)</v>
          </cell>
          <cell r="D153" t="str">
            <v>EUR</v>
          </cell>
          <cell r="E153" t="str">
            <v>01-Dec-2025</v>
          </cell>
          <cell r="F153">
            <v>161221.79999999999</v>
          </cell>
          <cell r="G153">
            <v>40764</v>
          </cell>
          <cell r="H153">
            <v>3.9550000000000001</v>
          </cell>
          <cell r="I153">
            <v>1.66E-2</v>
          </cell>
          <cell r="J153">
            <v>3.9550000000000001</v>
          </cell>
          <cell r="K153">
            <v>-2.5999999999999999E-2</v>
          </cell>
          <cell r="P153">
            <v>0</v>
          </cell>
        </row>
        <row r="154">
          <cell r="A154" t="str">
            <v>LU1883317429</v>
          </cell>
          <cell r="B154" t="str">
            <v>AMUNDI FUNDS GLOBAL AGGREGATE BOND</v>
          </cell>
          <cell r="C154" t="str">
            <v>Class F EUR (C)</v>
          </cell>
          <cell r="D154" t="str">
            <v>EUR</v>
          </cell>
          <cell r="E154" t="str">
            <v>01-Dec-2025</v>
          </cell>
          <cell r="F154">
            <v>5543643.7000000002</v>
          </cell>
          <cell r="G154">
            <v>1019922.2</v>
          </cell>
          <cell r="H154">
            <v>5.4349999999999996</v>
          </cell>
          <cell r="I154">
            <v>0</v>
          </cell>
          <cell r="J154">
            <v>5.4349999999999996</v>
          </cell>
          <cell r="K154">
            <v>-2.4E-2</v>
          </cell>
          <cell r="P154">
            <v>0</v>
          </cell>
        </row>
        <row r="155">
          <cell r="A155" t="str">
            <v>LU0557861431</v>
          </cell>
          <cell r="B155" t="str">
            <v>AMUNDI FUNDS GLOBAL AGGREGATE BOND</v>
          </cell>
          <cell r="C155" t="str">
            <v>Class F2 USD (C)</v>
          </cell>
          <cell r="D155" t="str">
            <v>USD</v>
          </cell>
          <cell r="E155" t="str">
            <v>01-Dec-2025</v>
          </cell>
          <cell r="F155">
            <v>15332365.27</v>
          </cell>
          <cell r="G155">
            <v>109497.079</v>
          </cell>
          <cell r="H155">
            <v>140.03</v>
          </cell>
          <cell r="I155">
            <v>0</v>
          </cell>
          <cell r="J155">
            <v>140.03</v>
          </cell>
          <cell r="K155">
            <v>-0.33</v>
          </cell>
          <cell r="P155">
            <v>0</v>
          </cell>
        </row>
        <row r="156">
          <cell r="A156" t="str">
            <v>LU2208986872</v>
          </cell>
          <cell r="B156" t="str">
            <v>AMUNDI FUNDS GLOBAL AGGREGATE BOND</v>
          </cell>
          <cell r="C156" t="str">
            <v>Class F USD (C)</v>
          </cell>
          <cell r="D156" t="str">
            <v>USD</v>
          </cell>
          <cell r="E156" t="str">
            <v>01-Dec-2025</v>
          </cell>
          <cell r="F156">
            <v>72259.73</v>
          </cell>
          <cell r="G156">
            <v>13755.34</v>
          </cell>
          <cell r="H156">
            <v>5.2530000000000001</v>
          </cell>
          <cell r="I156">
            <v>0</v>
          </cell>
          <cell r="J156">
            <v>5.2530000000000001</v>
          </cell>
          <cell r="K156">
            <v>-1.2E-2</v>
          </cell>
          <cell r="P156">
            <v>0</v>
          </cell>
        </row>
        <row r="157">
          <cell r="A157" t="str">
            <v>LU1250884811</v>
          </cell>
          <cell r="B157" t="str">
            <v>AMUNDI FUNDS GLOBAL AGGREGATE BOND</v>
          </cell>
          <cell r="C157" t="str">
            <v>Class F2 USD MD (D)</v>
          </cell>
          <cell r="D157" t="str">
            <v>USD</v>
          </cell>
          <cell r="E157" t="str">
            <v>01-Dec-2025</v>
          </cell>
          <cell r="F157">
            <v>356144.38</v>
          </cell>
          <cell r="G157">
            <v>3858.201</v>
          </cell>
          <cell r="H157">
            <v>92.31</v>
          </cell>
          <cell r="I157">
            <v>0.37819999999999998</v>
          </cell>
          <cell r="J157">
            <v>92.31</v>
          </cell>
          <cell r="K157">
            <v>-0.59</v>
          </cell>
          <cell r="P157">
            <v>0</v>
          </cell>
        </row>
        <row r="158">
          <cell r="A158" t="str">
            <v>LU0613077535</v>
          </cell>
          <cell r="B158" t="str">
            <v>AMUNDI FUNDS GLOBAL AGGREGATE BOND</v>
          </cell>
          <cell r="C158" t="str">
            <v>Class F2 EUR Hgd (C)</v>
          </cell>
          <cell r="D158" t="str">
            <v>EUR</v>
          </cell>
          <cell r="E158" t="str">
            <v>01-Dec-2025</v>
          </cell>
          <cell r="F158">
            <v>11929576.619999999</v>
          </cell>
          <cell r="G158">
            <v>105743.837</v>
          </cell>
          <cell r="H158">
            <v>112.82</v>
          </cell>
          <cell r="I158">
            <v>0</v>
          </cell>
          <cell r="J158">
            <v>112.82</v>
          </cell>
          <cell r="K158">
            <v>-0.27</v>
          </cell>
          <cell r="P158">
            <v>0</v>
          </cell>
        </row>
        <row r="159">
          <cell r="A159" t="str">
            <v>LU2208986013</v>
          </cell>
          <cell r="B159" t="str">
            <v>AMUNDI FUNDS GLOBAL AGGREGATE BOND</v>
          </cell>
          <cell r="C159" t="str">
            <v>Class F EUR Hgd (C)</v>
          </cell>
          <cell r="D159" t="str">
            <v>EUR</v>
          </cell>
          <cell r="E159" t="str">
            <v>01-Dec-2025</v>
          </cell>
          <cell r="F159">
            <v>2579924.29</v>
          </cell>
          <cell r="G159">
            <v>537427.40899999999</v>
          </cell>
          <cell r="H159">
            <v>4.8010000000000002</v>
          </cell>
          <cell r="I159">
            <v>0</v>
          </cell>
          <cell r="J159">
            <v>4.8010000000000002</v>
          </cell>
          <cell r="K159">
            <v>-1.0999999999999999E-2</v>
          </cell>
          <cell r="P159">
            <v>0</v>
          </cell>
        </row>
        <row r="160">
          <cell r="A160" t="str">
            <v>LU0613077709</v>
          </cell>
          <cell r="B160" t="str">
            <v>AMUNDI FUNDS GLOBAL AGGREGATE BOND</v>
          </cell>
          <cell r="C160" t="str">
            <v>Class F2 EUR Hgd MD (D)</v>
          </cell>
          <cell r="D160" t="str">
            <v>EUR</v>
          </cell>
          <cell r="E160" t="str">
            <v>01-Dec-2025</v>
          </cell>
          <cell r="F160">
            <v>26372714.440000001</v>
          </cell>
          <cell r="G160">
            <v>364634.288</v>
          </cell>
          <cell r="H160">
            <v>72.33</v>
          </cell>
          <cell r="I160">
            <v>0.3024</v>
          </cell>
          <cell r="J160">
            <v>72.33</v>
          </cell>
          <cell r="K160">
            <v>-0.47</v>
          </cell>
          <cell r="P160">
            <v>0</v>
          </cell>
        </row>
        <row r="161">
          <cell r="A161" t="str">
            <v>LU0613077295</v>
          </cell>
          <cell r="B161" t="str">
            <v>AMUNDI FUNDS GLOBAL AGGREGATE BOND</v>
          </cell>
          <cell r="C161" t="str">
            <v>Class G EUR Hgd MD (D)</v>
          </cell>
          <cell r="D161" t="str">
            <v>EUR</v>
          </cell>
          <cell r="E161" t="str">
            <v>01-Dec-2025</v>
          </cell>
          <cell r="F161">
            <v>98178724.219999999</v>
          </cell>
          <cell r="G161">
            <v>1301089.923</v>
          </cell>
          <cell r="H161">
            <v>75.459999999999994</v>
          </cell>
          <cell r="I161">
            <v>0.31569999999999998</v>
          </cell>
          <cell r="J161">
            <v>77.72</v>
          </cell>
          <cell r="K161">
            <v>-0.49</v>
          </cell>
          <cell r="P161">
            <v>0</v>
          </cell>
        </row>
        <row r="162">
          <cell r="A162" t="str">
            <v>LU1706545289</v>
          </cell>
          <cell r="B162" t="str">
            <v>AMUNDI FUNDS GLOBAL AGGREGATE BOND</v>
          </cell>
          <cell r="C162" t="str">
            <v>Class G EUR Hgd QD (D)</v>
          </cell>
          <cell r="D162" t="str">
            <v>EUR</v>
          </cell>
          <cell r="E162" t="str">
            <v>01-Dec-2025</v>
          </cell>
          <cell r="F162">
            <v>15736632.49</v>
          </cell>
          <cell r="G162">
            <v>196999.16800000001</v>
          </cell>
          <cell r="H162">
            <v>79.88</v>
          </cell>
          <cell r="I162">
            <v>0</v>
          </cell>
          <cell r="J162">
            <v>79.88</v>
          </cell>
          <cell r="K162">
            <v>-0.19</v>
          </cell>
          <cell r="P162">
            <v>0</v>
          </cell>
        </row>
        <row r="163">
          <cell r="A163" t="str">
            <v>LU1883317775</v>
          </cell>
          <cell r="B163" t="str">
            <v>AMUNDI FUNDS GLOBAL AGGREGATE BOND</v>
          </cell>
          <cell r="C163" t="str">
            <v>Class I2 EUR Hgd (C)</v>
          </cell>
          <cell r="D163" t="str">
            <v>EUR</v>
          </cell>
          <cell r="E163" t="str">
            <v>01-Dec-2025</v>
          </cell>
          <cell r="F163">
            <v>33794117.950000003</v>
          </cell>
          <cell r="G163">
            <v>31646.865000000002</v>
          </cell>
          <cell r="H163">
            <v>1067.8499999999999</v>
          </cell>
          <cell r="I163">
            <v>0</v>
          </cell>
          <cell r="J163">
            <v>1067.8499999999999</v>
          </cell>
          <cell r="K163">
            <v>-2.4700000000000002</v>
          </cell>
          <cell r="P163">
            <v>0</v>
          </cell>
        </row>
        <row r="164">
          <cell r="A164" t="str">
            <v>LU0839535514</v>
          </cell>
          <cell r="B164" t="str">
            <v>AMUNDI FUNDS GLOBAL AGGREGATE BOND</v>
          </cell>
          <cell r="C164" t="str">
            <v>Class I EUR (C)</v>
          </cell>
          <cell r="D164" t="str">
            <v>EUR</v>
          </cell>
          <cell r="E164" t="str">
            <v>01-Dec-2025</v>
          </cell>
          <cell r="F164">
            <v>9977778.25</v>
          </cell>
          <cell r="G164">
            <v>5959.3180000000002</v>
          </cell>
          <cell r="H164">
            <v>1674.32</v>
          </cell>
          <cell r="I164">
            <v>0</v>
          </cell>
          <cell r="J164">
            <v>1674.32</v>
          </cell>
          <cell r="K164">
            <v>-7.24</v>
          </cell>
          <cell r="P164">
            <v>0</v>
          </cell>
        </row>
        <row r="165">
          <cell r="A165" t="str">
            <v>LU0319687637</v>
          </cell>
          <cell r="B165" t="str">
            <v>AMUNDI FUNDS GLOBAL AGGREGATE BOND</v>
          </cell>
          <cell r="C165" t="str">
            <v>Class I USD (C)</v>
          </cell>
          <cell r="D165" t="str">
            <v>USD</v>
          </cell>
          <cell r="E165" t="str">
            <v>01-Dec-2025</v>
          </cell>
          <cell r="F165">
            <v>57288506.649999999</v>
          </cell>
          <cell r="G165">
            <v>21039.462</v>
          </cell>
          <cell r="H165">
            <v>2722.91</v>
          </cell>
          <cell r="I165">
            <v>0</v>
          </cell>
          <cell r="J165">
            <v>2722.91</v>
          </cell>
          <cell r="K165">
            <v>-6</v>
          </cell>
          <cell r="P165">
            <v>0</v>
          </cell>
        </row>
        <row r="166">
          <cell r="A166" t="str">
            <v>LU2819204053</v>
          </cell>
          <cell r="B166" t="str">
            <v>AMUNDI FUNDS GLOBAL AGGREGATE BOND</v>
          </cell>
          <cell r="C166" t="str">
            <v>Class I22 USD (C)</v>
          </cell>
          <cell r="D166" t="str">
            <v>USD</v>
          </cell>
          <cell r="E166" t="str">
            <v>01-Dec-2025</v>
          </cell>
          <cell r="F166">
            <v>16078251.59</v>
          </cell>
          <cell r="G166">
            <v>14761.15</v>
          </cell>
          <cell r="H166">
            <v>1089.23</v>
          </cell>
          <cell r="I166">
            <v>0</v>
          </cell>
          <cell r="J166">
            <v>1089.23</v>
          </cell>
          <cell r="K166">
            <v>-2.4300000000000002</v>
          </cell>
          <cell r="P166">
            <v>0</v>
          </cell>
        </row>
        <row r="167">
          <cell r="A167" t="str">
            <v>LU1103162241</v>
          </cell>
          <cell r="B167" t="str">
            <v>AMUNDI FUNDS GLOBAL AGGREGATE BOND</v>
          </cell>
          <cell r="C167" t="str">
            <v>Class Q-I11 USD (C)</v>
          </cell>
          <cell r="D167" t="str">
            <v>USD</v>
          </cell>
          <cell r="E167" t="str">
            <v>01-Dec-2025</v>
          </cell>
          <cell r="F167">
            <v>524861.31000000006</v>
          </cell>
          <cell r="G167">
            <v>393.60700000000003</v>
          </cell>
          <cell r="H167">
            <v>1333.47</v>
          </cell>
          <cell r="I167">
            <v>0</v>
          </cell>
          <cell r="J167">
            <v>1333.47</v>
          </cell>
          <cell r="K167">
            <v>-3.01</v>
          </cell>
          <cell r="P167">
            <v>0</v>
          </cell>
        </row>
        <row r="168">
          <cell r="A168" t="str">
            <v>LU0906524789</v>
          </cell>
          <cell r="B168" t="str">
            <v>AMUNDI FUNDS GLOBAL AGGREGATE BOND</v>
          </cell>
          <cell r="C168" t="str">
            <v>Class I CAD Hgd AD (D)</v>
          </cell>
          <cell r="D168" t="str">
            <v>CAD</v>
          </cell>
          <cell r="E168" t="str">
            <v>01-Dec-2025</v>
          </cell>
          <cell r="F168">
            <v>356726.66</v>
          </cell>
          <cell r="G168">
            <v>339</v>
          </cell>
          <cell r="H168">
            <v>1052.29</v>
          </cell>
          <cell r="I168">
            <v>0</v>
          </cell>
          <cell r="J168">
            <v>1052.29</v>
          </cell>
          <cell r="K168">
            <v>-2.36</v>
          </cell>
          <cell r="P168">
            <v>0</v>
          </cell>
        </row>
        <row r="169">
          <cell r="A169" t="str">
            <v>LU0945157690</v>
          </cell>
          <cell r="B169" t="str">
            <v>AMUNDI FUNDS GLOBAL AGGREGATE BOND</v>
          </cell>
          <cell r="C169" t="str">
            <v>Class I CHF Hgd (C)</v>
          </cell>
          <cell r="D169" t="str">
            <v>CHF</v>
          </cell>
          <cell r="E169" t="str">
            <v>01-Dec-2025</v>
          </cell>
          <cell r="F169">
            <v>18219107.27</v>
          </cell>
          <cell r="G169">
            <v>17327.042000000001</v>
          </cell>
          <cell r="H169">
            <v>1051.48</v>
          </cell>
          <cell r="I169">
            <v>0</v>
          </cell>
          <cell r="J169">
            <v>1051.48</v>
          </cell>
          <cell r="K169">
            <v>-2.4900000000000002</v>
          </cell>
          <cell r="P169">
            <v>0</v>
          </cell>
        </row>
        <row r="170">
          <cell r="A170" t="str">
            <v>LU1883317346</v>
          </cell>
          <cell r="B170" t="str">
            <v>AMUNDI FUNDS GLOBAL AGGREGATE BOND</v>
          </cell>
          <cell r="C170" t="str">
            <v>Class E2 EUR QTD (D)</v>
          </cell>
          <cell r="D170" t="str">
            <v>EUR</v>
          </cell>
          <cell r="E170" t="str">
            <v>01-Dec-2025</v>
          </cell>
          <cell r="F170">
            <v>2568811.29</v>
          </cell>
          <cell r="G170">
            <v>542687.96600000001</v>
          </cell>
          <cell r="H170">
            <v>4.7329999999999997</v>
          </cell>
          <cell r="I170">
            <v>0</v>
          </cell>
          <cell r="J170">
            <v>4.7329999999999997</v>
          </cell>
          <cell r="K170">
            <v>-2.1000000000000001E-2</v>
          </cell>
          <cell r="P170">
            <v>0</v>
          </cell>
        </row>
        <row r="171">
          <cell r="A171" t="str">
            <v>LU0839535357</v>
          </cell>
          <cell r="B171" t="str">
            <v>AMUNDI FUNDS GLOBAL AGGREGATE BOND</v>
          </cell>
          <cell r="C171" t="str">
            <v>Class I EUR Hgd (C)</v>
          </cell>
          <cell r="D171" t="str">
            <v>EUR</v>
          </cell>
          <cell r="E171" t="str">
            <v>01-Dec-2025</v>
          </cell>
          <cell r="F171">
            <v>102272200.95999999</v>
          </cell>
          <cell r="G171">
            <v>83134.081000000006</v>
          </cell>
          <cell r="H171">
            <v>1230.21</v>
          </cell>
          <cell r="I171">
            <v>0</v>
          </cell>
          <cell r="J171">
            <v>1230.21</v>
          </cell>
          <cell r="K171">
            <v>-2.79</v>
          </cell>
          <cell r="P171">
            <v>0</v>
          </cell>
        </row>
        <row r="172">
          <cell r="A172" t="str">
            <v>LU2819204137</v>
          </cell>
          <cell r="B172" t="str">
            <v>AMUNDI FUNDS GLOBAL AGGREGATE BOND</v>
          </cell>
          <cell r="C172" t="str">
            <v>Class I22 SGD Hgd (C)</v>
          </cell>
          <cell r="D172" t="str">
            <v>SGD</v>
          </cell>
          <cell r="E172" t="str">
            <v>01-Dec-2025</v>
          </cell>
          <cell r="F172">
            <v>152999194.31999999</v>
          </cell>
          <cell r="G172">
            <v>144453.899</v>
          </cell>
          <cell r="H172">
            <v>1059.1600000000001</v>
          </cell>
          <cell r="I172">
            <v>0</v>
          </cell>
          <cell r="J172">
            <v>1059.1600000000001</v>
          </cell>
          <cell r="K172">
            <v>-2.44</v>
          </cell>
          <cell r="P172">
            <v>0</v>
          </cell>
        </row>
        <row r="173">
          <cell r="A173" t="str">
            <v>LU0987191565</v>
          </cell>
          <cell r="B173" t="str">
            <v>AMUNDI FUNDS GLOBAL AGGREGATE BOND</v>
          </cell>
          <cell r="C173" t="str">
            <v>Class I GBP Hgd (C)</v>
          </cell>
          <cell r="D173" t="str">
            <v>GBP</v>
          </cell>
          <cell r="E173" t="str">
            <v>01-Dec-2025</v>
          </cell>
          <cell r="F173">
            <v>9615092.6500000004</v>
          </cell>
          <cell r="G173">
            <v>7707.924</v>
          </cell>
          <cell r="H173">
            <v>1247.43</v>
          </cell>
          <cell r="I173">
            <v>0</v>
          </cell>
          <cell r="J173">
            <v>1247.43</v>
          </cell>
          <cell r="K173">
            <v>-2.74</v>
          </cell>
          <cell r="P173">
            <v>0</v>
          </cell>
        </row>
        <row r="174">
          <cell r="A174" t="str">
            <v>LU0987191722</v>
          </cell>
          <cell r="B174" t="str">
            <v>AMUNDI FUNDS GLOBAL AGGREGATE BOND</v>
          </cell>
          <cell r="C174" t="str">
            <v>Class I EUR Hgd AD (D)</v>
          </cell>
          <cell r="D174" t="str">
            <v>EUR</v>
          </cell>
          <cell r="E174" t="str">
            <v>01-Dec-2025</v>
          </cell>
          <cell r="F174">
            <v>43580683.759999998</v>
          </cell>
          <cell r="G174">
            <v>50045.192999999999</v>
          </cell>
          <cell r="H174">
            <v>870.83</v>
          </cell>
          <cell r="I174">
            <v>0</v>
          </cell>
          <cell r="J174">
            <v>870.83</v>
          </cell>
          <cell r="K174">
            <v>-1.98</v>
          </cell>
          <cell r="P174">
            <v>0</v>
          </cell>
        </row>
        <row r="175">
          <cell r="A175" t="str">
            <v>LU1883317692</v>
          </cell>
          <cell r="B175" t="str">
            <v>AMUNDI FUNDS GLOBAL AGGREGATE BOND</v>
          </cell>
          <cell r="C175" t="str">
            <v>Class I2 EUR (C)</v>
          </cell>
          <cell r="D175" t="str">
            <v>EUR</v>
          </cell>
          <cell r="E175" t="str">
            <v>01-Dec-2025</v>
          </cell>
          <cell r="F175">
            <v>97532157.469999999</v>
          </cell>
          <cell r="G175">
            <v>83177.178</v>
          </cell>
          <cell r="H175">
            <v>1172.58</v>
          </cell>
          <cell r="I175">
            <v>0</v>
          </cell>
          <cell r="J175">
            <v>1172.58</v>
          </cell>
          <cell r="K175">
            <v>-5.14</v>
          </cell>
          <cell r="P175">
            <v>0</v>
          </cell>
        </row>
        <row r="176">
          <cell r="A176" t="str">
            <v>LU1897299365</v>
          </cell>
          <cell r="B176" t="str">
            <v>AMUNDI FUNDS GLOBAL AGGREGATE BOND</v>
          </cell>
          <cell r="C176" t="str">
            <v>Class I2 GBP (C)</v>
          </cell>
          <cell r="D176" t="str">
            <v>GBP</v>
          </cell>
          <cell r="E176" t="str">
            <v>01-Dec-2025</v>
          </cell>
          <cell r="F176">
            <v>5384.57</v>
          </cell>
          <cell r="G176">
            <v>5</v>
          </cell>
          <cell r="H176">
            <v>1076.9100000000001</v>
          </cell>
          <cell r="I176">
            <v>0</v>
          </cell>
          <cell r="J176">
            <v>1076.9100000000001</v>
          </cell>
          <cell r="K176">
            <v>-2.63</v>
          </cell>
          <cell r="P176">
            <v>0</v>
          </cell>
        </row>
        <row r="177">
          <cell r="A177" t="str">
            <v>LU2031983880</v>
          </cell>
          <cell r="B177" t="str">
            <v>AMUNDI FUNDS GLOBAL AGGREGATE BOND</v>
          </cell>
          <cell r="C177" t="str">
            <v>Class I2 GBP QD (D)</v>
          </cell>
          <cell r="D177" t="str">
            <v>GBP</v>
          </cell>
          <cell r="E177" t="str">
            <v>01-Dec-2025</v>
          </cell>
          <cell r="F177">
            <v>4649.26</v>
          </cell>
          <cell r="G177">
            <v>5</v>
          </cell>
          <cell r="H177">
            <v>929.85</v>
          </cell>
          <cell r="I177">
            <v>0</v>
          </cell>
          <cell r="J177">
            <v>929.85</v>
          </cell>
          <cell r="K177">
            <v>-2.27</v>
          </cell>
          <cell r="P177">
            <v>0</v>
          </cell>
        </row>
        <row r="178">
          <cell r="A178" t="str">
            <v>LU2347636446</v>
          </cell>
          <cell r="B178" t="str">
            <v>AMUNDI FUNDS GLOBAL AGGREGATE BOND</v>
          </cell>
          <cell r="C178" t="str">
            <v>Class Z EUR Hgd (C)</v>
          </cell>
          <cell r="D178" t="str">
            <v>EUR</v>
          </cell>
          <cell r="E178" t="str">
            <v>01-Dec-2025</v>
          </cell>
          <cell r="F178">
            <v>8608870.9800000004</v>
          </cell>
          <cell r="G178">
            <v>7717.7879999999996</v>
          </cell>
          <cell r="H178">
            <v>1115.46</v>
          </cell>
          <cell r="I178">
            <v>0</v>
          </cell>
          <cell r="J178">
            <v>1115.46</v>
          </cell>
          <cell r="K178">
            <v>-2.56</v>
          </cell>
          <cell r="P178">
            <v>0</v>
          </cell>
        </row>
        <row r="179">
          <cell r="A179" t="str">
            <v>LU1883317858</v>
          </cell>
          <cell r="B179" t="str">
            <v>AMUNDI FUNDS GLOBAL AGGREGATE BOND</v>
          </cell>
          <cell r="C179" t="str">
            <v>Class I2 USD (C)</v>
          </cell>
          <cell r="D179" t="str">
            <v>USD</v>
          </cell>
          <cell r="E179" t="str">
            <v>01-Dec-2025</v>
          </cell>
          <cell r="F179">
            <v>459833721.86000001</v>
          </cell>
          <cell r="G179">
            <v>401277.32</v>
          </cell>
          <cell r="H179">
            <v>1145.93</v>
          </cell>
          <cell r="I179">
            <v>0</v>
          </cell>
          <cell r="J179">
            <v>1145.93</v>
          </cell>
          <cell r="K179">
            <v>-2.59</v>
          </cell>
          <cell r="P179">
            <v>0</v>
          </cell>
        </row>
        <row r="180">
          <cell r="A180" t="str">
            <v>LU0839535860</v>
          </cell>
          <cell r="B180" t="str">
            <v>AMUNDI FUNDS GLOBAL AGGREGATE BOND</v>
          </cell>
          <cell r="C180" t="str">
            <v>Class I EUR AD (D)</v>
          </cell>
          <cell r="D180" t="str">
            <v>EUR</v>
          </cell>
          <cell r="E180" t="str">
            <v>01-Dec-2025</v>
          </cell>
          <cell r="F180">
            <v>14662118.43</v>
          </cell>
          <cell r="G180">
            <v>13559.689</v>
          </cell>
          <cell r="H180">
            <v>1081.3</v>
          </cell>
          <cell r="I180">
            <v>0</v>
          </cell>
          <cell r="J180">
            <v>1081.3</v>
          </cell>
          <cell r="K180">
            <v>-4.68</v>
          </cell>
          <cell r="P180">
            <v>0</v>
          </cell>
        </row>
        <row r="181">
          <cell r="A181" t="str">
            <v>LU0319687710</v>
          </cell>
          <cell r="B181" t="str">
            <v>AMUNDI FUNDS GLOBAL AGGREGATE BOND</v>
          </cell>
          <cell r="C181" t="str">
            <v>Class I USD AD (D)</v>
          </cell>
          <cell r="D181" t="str">
            <v>USD</v>
          </cell>
          <cell r="E181" t="str">
            <v>01-Dec-2025</v>
          </cell>
          <cell r="F181">
            <v>582962.49</v>
          </cell>
          <cell r="G181">
            <v>513.32799999999997</v>
          </cell>
          <cell r="H181">
            <v>1135.6500000000001</v>
          </cell>
          <cell r="I181">
            <v>0</v>
          </cell>
          <cell r="J181">
            <v>1135.6500000000001</v>
          </cell>
          <cell r="K181">
            <v>-2.5099999999999998</v>
          </cell>
          <cell r="P181">
            <v>0</v>
          </cell>
        </row>
        <row r="182">
          <cell r="A182" t="str">
            <v>LU0329444938</v>
          </cell>
          <cell r="B182" t="str">
            <v>AMUNDI FUNDS GLOBAL AGGREGATE BOND</v>
          </cell>
          <cell r="C182" t="str">
            <v>Class M USD (C)</v>
          </cell>
          <cell r="D182" t="str">
            <v>USD</v>
          </cell>
          <cell r="E182" t="str">
            <v>01-Dec-2025</v>
          </cell>
          <cell r="F182">
            <v>61652171.640000001</v>
          </cell>
          <cell r="G182">
            <v>344962.01500000001</v>
          </cell>
          <cell r="H182">
            <v>178.72</v>
          </cell>
          <cell r="I182">
            <v>0</v>
          </cell>
          <cell r="J182">
            <v>178.72</v>
          </cell>
          <cell r="K182">
            <v>-0.4</v>
          </cell>
          <cell r="P182">
            <v>0</v>
          </cell>
        </row>
        <row r="183">
          <cell r="A183" t="str">
            <v>LU0613076487</v>
          </cell>
          <cell r="B183" t="str">
            <v>AMUNDI FUNDS GLOBAL AGGREGATE BOND</v>
          </cell>
          <cell r="C183" t="str">
            <v>Class M EUR Hgd (C)</v>
          </cell>
          <cell r="D183" t="str">
            <v>EUR</v>
          </cell>
          <cell r="E183" t="str">
            <v>01-Dec-2025</v>
          </cell>
          <cell r="F183">
            <v>168271968.50999999</v>
          </cell>
          <cell r="G183">
            <v>1269901.743</v>
          </cell>
          <cell r="H183">
            <v>132.51</v>
          </cell>
          <cell r="I183">
            <v>0</v>
          </cell>
          <cell r="J183">
            <v>132.51</v>
          </cell>
          <cell r="K183">
            <v>-0.3</v>
          </cell>
          <cell r="P183">
            <v>0</v>
          </cell>
        </row>
        <row r="184">
          <cell r="A184" t="str">
            <v>LU0557861514</v>
          </cell>
          <cell r="B184" t="str">
            <v>AMUNDI FUNDS GLOBAL AGGREGATE BOND</v>
          </cell>
          <cell r="C184" t="str">
            <v>Class O USD (C)</v>
          </cell>
          <cell r="D184" t="str">
            <v>USD</v>
          </cell>
          <cell r="E184" t="str">
            <v>01-Dec-2025</v>
          </cell>
          <cell r="F184">
            <v>9829823.4000000004</v>
          </cell>
          <cell r="G184">
            <v>5607.2240000000002</v>
          </cell>
          <cell r="H184">
            <v>1753.06</v>
          </cell>
          <cell r="I184">
            <v>0</v>
          </cell>
          <cell r="J184">
            <v>1753.06</v>
          </cell>
          <cell r="K184">
            <v>-3.9</v>
          </cell>
          <cell r="P184">
            <v>0</v>
          </cell>
        </row>
        <row r="185">
          <cell r="A185" t="str">
            <v>LU1883318237</v>
          </cell>
          <cell r="B185" t="str">
            <v>AMUNDI FUNDS GLOBAL AGGREGATE BOND</v>
          </cell>
          <cell r="C185" t="str">
            <v>Class P2 USD (C)</v>
          </cell>
          <cell r="D185" t="str">
            <v>USD</v>
          </cell>
          <cell r="E185" t="str">
            <v>01-Dec-2025</v>
          </cell>
          <cell r="F185">
            <v>137261.41</v>
          </cell>
          <cell r="G185">
            <v>2316.25</v>
          </cell>
          <cell r="H185">
            <v>59.26</v>
          </cell>
          <cell r="I185">
            <v>0</v>
          </cell>
          <cell r="J185">
            <v>59.26</v>
          </cell>
          <cell r="K185">
            <v>-0.14000000000000001</v>
          </cell>
          <cell r="P185">
            <v>0</v>
          </cell>
        </row>
        <row r="186">
          <cell r="A186" t="str">
            <v>LU0906524946</v>
          </cell>
          <cell r="B186" t="str">
            <v>AMUNDI FUNDS GLOBAL AGGREGATE BOND</v>
          </cell>
          <cell r="C186" t="str">
            <v>Class Q-R GBP Hgd AD (D)</v>
          </cell>
          <cell r="D186" t="str">
            <v>GBP</v>
          </cell>
          <cell r="E186" t="str">
            <v>01-Dec-2025</v>
          </cell>
          <cell r="F186">
            <v>19092.150000000001</v>
          </cell>
          <cell r="G186">
            <v>184.297</v>
          </cell>
          <cell r="H186">
            <v>103.59</v>
          </cell>
          <cell r="I186">
            <v>0</v>
          </cell>
          <cell r="J186">
            <v>103.59</v>
          </cell>
          <cell r="K186">
            <v>-0.24</v>
          </cell>
          <cell r="P186">
            <v>0</v>
          </cell>
        </row>
        <row r="187">
          <cell r="A187" t="str">
            <v>LU1250884738</v>
          </cell>
          <cell r="B187" t="str">
            <v>AMUNDI FUNDS GLOBAL AGGREGATE BOND</v>
          </cell>
          <cell r="C187" t="str">
            <v>Class R CHF Hgd (C)</v>
          </cell>
          <cell r="D187" t="str">
            <v>CHF</v>
          </cell>
          <cell r="E187" t="str">
            <v>01-Dec-2025</v>
          </cell>
          <cell r="F187">
            <v>91712.12</v>
          </cell>
          <cell r="G187">
            <v>950</v>
          </cell>
          <cell r="H187">
            <v>96.54</v>
          </cell>
          <cell r="I187">
            <v>0</v>
          </cell>
          <cell r="J187">
            <v>96.54</v>
          </cell>
          <cell r="K187">
            <v>-0.23</v>
          </cell>
          <cell r="P187">
            <v>0</v>
          </cell>
        </row>
        <row r="188">
          <cell r="A188" t="str">
            <v>LU0839533659</v>
          </cell>
          <cell r="B188" t="str">
            <v>AMUNDI FUNDS GLOBAL AGGREGATE BOND</v>
          </cell>
          <cell r="C188" t="str">
            <v>Class Q-R GBP (C)</v>
          </cell>
          <cell r="D188" t="str">
            <v>GBP</v>
          </cell>
          <cell r="E188" t="str">
            <v>01-Dec-2025</v>
          </cell>
          <cell r="F188">
            <v>99379.75</v>
          </cell>
          <cell r="G188">
            <v>801.59299999999996</v>
          </cell>
          <cell r="H188">
            <v>123.98</v>
          </cell>
          <cell r="I188">
            <v>0</v>
          </cell>
          <cell r="J188">
            <v>123.98</v>
          </cell>
          <cell r="K188">
            <v>-0.3</v>
          </cell>
          <cell r="P188">
            <v>0</v>
          </cell>
        </row>
        <row r="189">
          <cell r="A189" t="str">
            <v>LU0839534624</v>
          </cell>
          <cell r="B189" t="str">
            <v>AMUNDI FUNDS GLOBAL AGGREGATE BOND</v>
          </cell>
          <cell r="C189" t="str">
            <v>Class R USD (C)</v>
          </cell>
          <cell r="D189" t="str">
            <v>USD</v>
          </cell>
          <cell r="E189" t="str">
            <v>01-Dec-2025</v>
          </cell>
          <cell r="F189">
            <v>8619749.0199999996</v>
          </cell>
          <cell r="G189">
            <v>60181.057999999997</v>
          </cell>
          <cell r="H189">
            <v>143.22999999999999</v>
          </cell>
          <cell r="I189">
            <v>0</v>
          </cell>
          <cell r="J189">
            <v>143.22999999999999</v>
          </cell>
          <cell r="K189">
            <v>-0.32</v>
          </cell>
          <cell r="P189">
            <v>0</v>
          </cell>
        </row>
        <row r="190">
          <cell r="A190" t="str">
            <v>LU0839534384</v>
          </cell>
          <cell r="B190" t="str">
            <v>AMUNDI FUNDS GLOBAL AGGREGATE BOND</v>
          </cell>
          <cell r="C190" t="str">
            <v>Class R EUR Hgd AD (D)</v>
          </cell>
          <cell r="D190" t="str">
            <v>EUR</v>
          </cell>
          <cell r="E190" t="str">
            <v>01-Dec-2025</v>
          </cell>
          <cell r="F190">
            <v>1589227.15</v>
          </cell>
          <cell r="G190">
            <v>17397.117999999999</v>
          </cell>
          <cell r="H190">
            <v>91.35</v>
          </cell>
          <cell r="I190">
            <v>0</v>
          </cell>
          <cell r="J190">
            <v>91.35</v>
          </cell>
          <cell r="K190">
            <v>-0.21</v>
          </cell>
          <cell r="P190">
            <v>0</v>
          </cell>
        </row>
        <row r="191">
          <cell r="A191" t="str">
            <v>LU0839534970</v>
          </cell>
          <cell r="B191" t="str">
            <v>AMUNDI FUNDS GLOBAL AGGREGATE BOND</v>
          </cell>
          <cell r="C191" t="str">
            <v>Class R USD AD (D)</v>
          </cell>
          <cell r="D191" t="str">
            <v>USD</v>
          </cell>
          <cell r="E191" t="str">
            <v>01-Dec-2025</v>
          </cell>
          <cell r="F191">
            <v>193367.06</v>
          </cell>
          <cell r="G191">
            <v>1732.7909999999999</v>
          </cell>
          <cell r="H191">
            <v>111.59</v>
          </cell>
          <cell r="I191">
            <v>0</v>
          </cell>
          <cell r="J191">
            <v>111.59</v>
          </cell>
          <cell r="K191">
            <v>-0.25</v>
          </cell>
          <cell r="P191">
            <v>0</v>
          </cell>
        </row>
        <row r="192">
          <cell r="A192" t="str">
            <v>LU0839533816</v>
          </cell>
          <cell r="B192" t="str">
            <v>AMUNDI FUNDS GLOBAL AGGREGATE BOND</v>
          </cell>
          <cell r="C192" t="str">
            <v>Class Q-R GBP AD (D)</v>
          </cell>
          <cell r="D192" t="str">
            <v>GBP</v>
          </cell>
          <cell r="E192" t="str">
            <v>01-Dec-2025</v>
          </cell>
          <cell r="F192">
            <v>236480.44</v>
          </cell>
          <cell r="G192">
            <v>1665</v>
          </cell>
          <cell r="H192">
            <v>142.03</v>
          </cell>
          <cell r="I192">
            <v>0</v>
          </cell>
          <cell r="J192">
            <v>142.03</v>
          </cell>
          <cell r="K192">
            <v>-0.35</v>
          </cell>
          <cell r="P192">
            <v>0</v>
          </cell>
        </row>
        <row r="193">
          <cell r="A193" t="str">
            <v>LU1873222944</v>
          </cell>
          <cell r="B193" t="str">
            <v>AMUNDI FUNDS GLOBAL AGGREGATE BOND</v>
          </cell>
          <cell r="C193" t="str">
            <v>Class R CHF Hgd AD (D)</v>
          </cell>
          <cell r="D193" t="str">
            <v>CHF</v>
          </cell>
          <cell r="E193" t="str">
            <v>01-Dec-2025</v>
          </cell>
          <cell r="F193">
            <v>314016.98</v>
          </cell>
          <cell r="G193">
            <v>3751.9369999999999</v>
          </cell>
          <cell r="H193">
            <v>83.69</v>
          </cell>
          <cell r="I193">
            <v>0</v>
          </cell>
          <cell r="J193">
            <v>83.69</v>
          </cell>
          <cell r="K193">
            <v>-0.2</v>
          </cell>
          <cell r="P193">
            <v>0</v>
          </cell>
        </row>
        <row r="194">
          <cell r="A194" t="str">
            <v>LU1327397144</v>
          </cell>
          <cell r="B194" t="str">
            <v>AMUNDI FUNDS GLOBAL AGGREGATE BOND</v>
          </cell>
          <cell r="C194" t="str">
            <v>Class R EUR (C)</v>
          </cell>
          <cell r="D194" t="str">
            <v>EUR</v>
          </cell>
          <cell r="E194" t="str">
            <v>01-Dec-2025</v>
          </cell>
          <cell r="F194">
            <v>5571025.5599999996</v>
          </cell>
          <cell r="G194">
            <v>45586.267</v>
          </cell>
          <cell r="H194">
            <v>122.21</v>
          </cell>
          <cell r="I194">
            <v>0</v>
          </cell>
          <cell r="J194">
            <v>122.21</v>
          </cell>
          <cell r="K194">
            <v>-0.53</v>
          </cell>
          <cell r="P194">
            <v>0</v>
          </cell>
        </row>
        <row r="195">
          <cell r="A195" t="str">
            <v>LU1327397227</v>
          </cell>
          <cell r="B195" t="str">
            <v>AMUNDI FUNDS GLOBAL AGGREGATE BOND</v>
          </cell>
          <cell r="C195" t="str">
            <v>Class R EUR AD (D)</v>
          </cell>
          <cell r="D195" t="str">
            <v>EUR</v>
          </cell>
          <cell r="E195" t="str">
            <v>01-Dec-2025</v>
          </cell>
          <cell r="F195">
            <v>112520.64</v>
          </cell>
          <cell r="G195">
            <v>1020.563</v>
          </cell>
          <cell r="H195">
            <v>110.25</v>
          </cell>
          <cell r="I195">
            <v>0</v>
          </cell>
          <cell r="J195">
            <v>110.25</v>
          </cell>
          <cell r="K195">
            <v>-0.48</v>
          </cell>
          <cell r="P195">
            <v>0</v>
          </cell>
        </row>
        <row r="196">
          <cell r="A196" t="str">
            <v>LU0839534111</v>
          </cell>
          <cell r="B196" t="str">
            <v>AMUNDI FUNDS GLOBAL AGGREGATE BOND</v>
          </cell>
          <cell r="C196" t="str">
            <v>Class R EUR Hgd (C)</v>
          </cell>
          <cell r="D196" t="str">
            <v>EUR</v>
          </cell>
          <cell r="E196" t="str">
            <v>01-Dec-2025</v>
          </cell>
          <cell r="F196">
            <v>23343491.949999999</v>
          </cell>
          <cell r="G196">
            <v>199460.90299999999</v>
          </cell>
          <cell r="H196">
            <v>117.03</v>
          </cell>
          <cell r="I196">
            <v>0</v>
          </cell>
          <cell r="J196">
            <v>117.03</v>
          </cell>
          <cell r="K196">
            <v>-0.27</v>
          </cell>
          <cell r="P196">
            <v>0</v>
          </cell>
        </row>
        <row r="197">
          <cell r="A197" t="str">
            <v>LU0906524862</v>
          </cell>
          <cell r="B197" t="str">
            <v>AMUNDI FUNDS GLOBAL AGGREGATE BOND</v>
          </cell>
          <cell r="C197" t="str">
            <v>Class Q-R GBP Hgd (C)</v>
          </cell>
          <cell r="D197" t="str">
            <v>GBP</v>
          </cell>
          <cell r="E197" t="str">
            <v>01-Dec-2025</v>
          </cell>
          <cell r="F197">
            <v>647402.61</v>
          </cell>
          <cell r="G197">
            <v>4820.4780000000001</v>
          </cell>
          <cell r="H197">
            <v>134.30000000000001</v>
          </cell>
          <cell r="I197">
            <v>0</v>
          </cell>
          <cell r="J197">
            <v>134.30000000000001</v>
          </cell>
          <cell r="K197">
            <v>-0.31</v>
          </cell>
          <cell r="P197">
            <v>0</v>
          </cell>
        </row>
        <row r="198">
          <cell r="A198" t="str">
            <v>LU1508889729</v>
          </cell>
          <cell r="B198" t="str">
            <v>AMUNDI FUNDS GLOBAL AGGREGATE BOND</v>
          </cell>
          <cell r="C198" t="str">
            <v>Class Q-R2 EUR Hgd (C)</v>
          </cell>
          <cell r="D198" t="str">
            <v>EUR</v>
          </cell>
          <cell r="E198" t="str">
            <v>01-Dec-2025</v>
          </cell>
          <cell r="F198">
            <v>7185275.25</v>
          </cell>
          <cell r="G198">
            <v>65652.649999999994</v>
          </cell>
          <cell r="H198">
            <v>109.44</v>
          </cell>
          <cell r="I198">
            <v>0</v>
          </cell>
          <cell r="J198">
            <v>109.44</v>
          </cell>
          <cell r="K198">
            <v>-0.25</v>
          </cell>
          <cell r="P198">
            <v>0</v>
          </cell>
        </row>
        <row r="199">
          <cell r="A199" t="str">
            <v>LU1883318583</v>
          </cell>
          <cell r="B199" t="str">
            <v>AMUNDI FUNDS GLOBAL AGGREGATE BOND</v>
          </cell>
          <cell r="C199" t="str">
            <v>Class R2 USD (C)</v>
          </cell>
          <cell r="D199" t="str">
            <v>USD</v>
          </cell>
          <cell r="E199" t="str">
            <v>01-Dec-2025</v>
          </cell>
          <cell r="F199">
            <v>5589743.4199999999</v>
          </cell>
          <cell r="G199">
            <v>93737.127999999997</v>
          </cell>
          <cell r="H199">
            <v>59.63</v>
          </cell>
          <cell r="I199">
            <v>0</v>
          </cell>
          <cell r="J199">
            <v>59.63</v>
          </cell>
          <cell r="K199">
            <v>-0.14000000000000001</v>
          </cell>
          <cell r="P199">
            <v>0</v>
          </cell>
        </row>
        <row r="200">
          <cell r="A200" t="str">
            <v>LU0319688361</v>
          </cell>
          <cell r="B200" t="str">
            <v>AMUNDI FUNDS GLOBAL AGGREGATE BOND</v>
          </cell>
          <cell r="C200" t="str">
            <v>Class G USD (C)</v>
          </cell>
          <cell r="D200" t="str">
            <v>USD</v>
          </cell>
          <cell r="E200" t="str">
            <v>01-Dec-2025</v>
          </cell>
          <cell r="F200">
            <v>118114401.45999999</v>
          </cell>
          <cell r="G200">
            <v>450181.23700000002</v>
          </cell>
          <cell r="H200">
            <v>262.37</v>
          </cell>
          <cell r="I200">
            <v>0</v>
          </cell>
          <cell r="J200">
            <v>270.24</v>
          </cell>
          <cell r="K200">
            <v>-0.59</v>
          </cell>
          <cell r="P200">
            <v>0</v>
          </cell>
        </row>
        <row r="201">
          <cell r="A201" t="str">
            <v>LU0797053575</v>
          </cell>
          <cell r="B201" t="str">
            <v>AMUNDI FUNDS GLOBAL AGGREGATE BOND</v>
          </cell>
          <cell r="C201" t="str">
            <v>Class G GBP Hgd AD (D)</v>
          </cell>
          <cell r="D201" t="str">
            <v>GBP</v>
          </cell>
          <cell r="E201" t="str">
            <v>01-Dec-2025</v>
          </cell>
          <cell r="F201">
            <v>388829.46</v>
          </cell>
          <cell r="G201">
            <v>3866.4609999999998</v>
          </cell>
          <cell r="H201">
            <v>100.56</v>
          </cell>
          <cell r="I201">
            <v>0</v>
          </cell>
          <cell r="J201">
            <v>103.58</v>
          </cell>
          <cell r="K201">
            <v>-0.23</v>
          </cell>
          <cell r="P201">
            <v>0</v>
          </cell>
        </row>
        <row r="202">
          <cell r="A202" t="str">
            <v>LU0613076990</v>
          </cell>
          <cell r="B202" t="str">
            <v>AMUNDI FUNDS GLOBAL AGGREGATE BOND</v>
          </cell>
          <cell r="C202" t="str">
            <v>Class G EUR Hgd (C)</v>
          </cell>
          <cell r="D202" t="str">
            <v>EUR</v>
          </cell>
          <cell r="E202" t="str">
            <v>01-Dec-2025</v>
          </cell>
          <cell r="F202">
            <v>85770947.959999993</v>
          </cell>
          <cell r="G202">
            <v>709403.68299999996</v>
          </cell>
          <cell r="H202">
            <v>120.91</v>
          </cell>
          <cell r="I202">
            <v>0</v>
          </cell>
          <cell r="J202">
            <v>124.54</v>
          </cell>
          <cell r="K202">
            <v>-0.28000000000000003</v>
          </cell>
          <cell r="P202">
            <v>0</v>
          </cell>
        </row>
        <row r="203">
          <cell r="A203" t="str">
            <v>LU1327397060</v>
          </cell>
          <cell r="B203" t="str">
            <v>AMUNDI FUNDS GLOBAL AGGREGATE BOND</v>
          </cell>
          <cell r="C203" t="str">
            <v>Class G USD MD (D)</v>
          </cell>
          <cell r="D203" t="str">
            <v>USD</v>
          </cell>
          <cell r="E203" t="str">
            <v>01-Dec-2025</v>
          </cell>
          <cell r="F203">
            <v>863321.41</v>
          </cell>
          <cell r="G203">
            <v>9393.5580000000009</v>
          </cell>
          <cell r="H203">
            <v>91.91</v>
          </cell>
          <cell r="I203">
            <v>0.37659999999999999</v>
          </cell>
          <cell r="J203">
            <v>91.91</v>
          </cell>
          <cell r="K203">
            <v>-0.57999999999999996</v>
          </cell>
          <cell r="P203">
            <v>0</v>
          </cell>
        </row>
        <row r="204">
          <cell r="A204" t="str">
            <v>LU2085676323</v>
          </cell>
          <cell r="B204" t="str">
            <v>AMUNDI FUNDS GLOBAL AGGREGATE BOND</v>
          </cell>
          <cell r="C204" t="str">
            <v>Class X EUR Hgd AD  ( D )</v>
          </cell>
          <cell r="D204" t="str">
            <v>EUR</v>
          </cell>
          <cell r="E204" t="str">
            <v>01-Dec-2025</v>
          </cell>
          <cell r="F204">
            <v>762666448.79999995</v>
          </cell>
          <cell r="G204">
            <v>849650.90399999998</v>
          </cell>
          <cell r="H204">
            <v>897.62</v>
          </cell>
          <cell r="I204">
            <v>0</v>
          </cell>
          <cell r="J204">
            <v>897.62</v>
          </cell>
          <cell r="K204">
            <v>-2.04</v>
          </cell>
          <cell r="P204">
            <v>0</v>
          </cell>
        </row>
        <row r="205">
          <cell r="A205" t="str">
            <v>LU3208782410</v>
          </cell>
          <cell r="B205" t="str">
            <v>AMUNDI FUNDS GLOBAL AGGREGATE BOND</v>
          </cell>
          <cell r="C205" t="str">
            <v>Class X2 EUR Hgd (C)</v>
          </cell>
          <cell r="D205" t="str">
            <v>EUR</v>
          </cell>
          <cell r="E205" t="str">
            <v>01-Dec-2025</v>
          </cell>
          <cell r="F205">
            <v>14445142.33</v>
          </cell>
          <cell r="G205">
            <v>14425.764999999999</v>
          </cell>
          <cell r="H205">
            <v>1001.34</v>
          </cell>
          <cell r="I205">
            <v>0</v>
          </cell>
          <cell r="J205">
            <v>1001.34</v>
          </cell>
          <cell r="K205">
            <v>-2.2400000000000002</v>
          </cell>
          <cell r="P205">
            <v>0</v>
          </cell>
        </row>
        <row r="206">
          <cell r="A206" t="str">
            <v>LU1327396419</v>
          </cell>
          <cell r="B206" t="str">
            <v>AMUNDI FUNDS GLOBAL AGGREGATE BOND</v>
          </cell>
          <cell r="C206" t="str">
            <v>Class I USD MD (D)</v>
          </cell>
          <cell r="D206" t="str">
            <v>USD</v>
          </cell>
          <cell r="E206" t="str">
            <v>01-Dec-2025</v>
          </cell>
          <cell r="F206">
            <v>2906620.57</v>
          </cell>
          <cell r="G206">
            <v>2887.306</v>
          </cell>
          <cell r="H206">
            <v>1006.69</v>
          </cell>
          <cell r="I206">
            <v>4.1048999999999998</v>
          </cell>
          <cell r="J206">
            <v>1006.69</v>
          </cell>
          <cell r="K206">
            <v>-6.33</v>
          </cell>
          <cell r="P206">
            <v>0</v>
          </cell>
        </row>
        <row r="207">
          <cell r="A207" t="str">
            <v>LU1327396849</v>
          </cell>
          <cell r="B207" t="str">
            <v>AMUNDI FUNDS GLOBAL AGGREGATE BOND</v>
          </cell>
          <cell r="C207" t="str">
            <v>Class A2 SGD (C)</v>
          </cell>
          <cell r="D207" t="str">
            <v>SGD</v>
          </cell>
          <cell r="E207" t="str">
            <v>01-Dec-2025</v>
          </cell>
          <cell r="F207">
            <v>424307.32</v>
          </cell>
          <cell r="G207">
            <v>3473.36</v>
          </cell>
          <cell r="H207">
            <v>122.16</v>
          </cell>
          <cell r="I207">
            <v>0</v>
          </cell>
          <cell r="J207">
            <v>122.16</v>
          </cell>
          <cell r="K207">
            <v>-0.3</v>
          </cell>
          <cell r="P207">
            <v>0</v>
          </cell>
        </row>
        <row r="208">
          <cell r="A208" t="str">
            <v>LU1327396922</v>
          </cell>
          <cell r="B208" t="str">
            <v>AMUNDI FUNDS GLOBAL AGGREGATE BOND</v>
          </cell>
          <cell r="C208" t="str">
            <v>Class A2 SGD MD (D)</v>
          </cell>
          <cell r="D208" t="str">
            <v>SGD</v>
          </cell>
          <cell r="E208" t="str">
            <v>01-Dec-2025</v>
          </cell>
          <cell r="F208">
            <v>102404.88</v>
          </cell>
          <cell r="G208">
            <v>1150.337</v>
          </cell>
          <cell r="H208">
            <v>89.02</v>
          </cell>
          <cell r="I208">
            <v>0.3831</v>
          </cell>
          <cell r="J208">
            <v>89.02</v>
          </cell>
          <cell r="K208">
            <v>-0.6</v>
          </cell>
          <cell r="P208">
            <v>0</v>
          </cell>
        </row>
        <row r="209">
          <cell r="A209" t="str">
            <v>LU0557863056</v>
          </cell>
          <cell r="B209" t="str">
            <v>AMUNDI FUNDS GLOBAL CORPORATE BOND</v>
          </cell>
          <cell r="C209" t="str">
            <v>Class A EUR (C)</v>
          </cell>
          <cell r="D209" t="str">
            <v>EUR</v>
          </cell>
          <cell r="E209" t="str">
            <v>01-Dec-2025</v>
          </cell>
          <cell r="F209">
            <v>18316080.280000001</v>
          </cell>
          <cell r="G209">
            <v>89602.032999999996</v>
          </cell>
          <cell r="H209">
            <v>204.42</v>
          </cell>
          <cell r="I209">
            <v>0</v>
          </cell>
          <cell r="J209">
            <v>210.55</v>
          </cell>
          <cell r="K209">
            <v>-1.05</v>
          </cell>
          <cell r="P209">
            <v>0</v>
          </cell>
        </row>
        <row r="210">
          <cell r="A210" t="str">
            <v>LU0319688791</v>
          </cell>
          <cell r="B210" t="str">
            <v>AMUNDI FUNDS GLOBAL CORPORATE BOND</v>
          </cell>
          <cell r="C210" t="str">
            <v>Class A USD (C)</v>
          </cell>
          <cell r="D210" t="str">
            <v>USD</v>
          </cell>
          <cell r="E210" t="str">
            <v>01-Dec-2025</v>
          </cell>
          <cell r="F210">
            <v>11346664.289999999</v>
          </cell>
          <cell r="G210">
            <v>56043.669000000002</v>
          </cell>
          <cell r="H210">
            <v>202.46</v>
          </cell>
          <cell r="I210">
            <v>0</v>
          </cell>
          <cell r="J210">
            <v>208.53</v>
          </cell>
          <cell r="K210">
            <v>-0.62</v>
          </cell>
          <cell r="P210">
            <v>0</v>
          </cell>
        </row>
        <row r="211">
          <cell r="A211" t="str">
            <v>LU0906525240</v>
          </cell>
          <cell r="B211" t="str">
            <v>AMUNDI FUNDS GLOBAL CORPORATE BOND</v>
          </cell>
          <cell r="C211" t="str">
            <v>Class A EUR Hgd MD (D)</v>
          </cell>
          <cell r="D211" t="str">
            <v>EUR</v>
          </cell>
          <cell r="E211" t="str">
            <v>01-Dec-2025</v>
          </cell>
          <cell r="F211">
            <v>1819271.23</v>
          </cell>
          <cell r="G211">
            <v>25292.651000000002</v>
          </cell>
          <cell r="H211">
            <v>71.930000000000007</v>
          </cell>
          <cell r="I211">
            <v>0.3024</v>
          </cell>
          <cell r="J211">
            <v>71.930000000000007</v>
          </cell>
          <cell r="K211">
            <v>-0.53</v>
          </cell>
          <cell r="P211">
            <v>0</v>
          </cell>
        </row>
        <row r="212">
          <cell r="A212" t="str">
            <v>LU0839536322</v>
          </cell>
          <cell r="B212" t="str">
            <v>AMUNDI FUNDS GLOBAL CORPORATE BOND</v>
          </cell>
          <cell r="C212" t="str">
            <v>Class A EUR Hgd (C)</v>
          </cell>
          <cell r="D212" t="str">
            <v>EUR</v>
          </cell>
          <cell r="E212" t="str">
            <v>01-Dec-2025</v>
          </cell>
          <cell r="F212">
            <v>8270687.4000000004</v>
          </cell>
          <cell r="G212">
            <v>69764.248999999996</v>
          </cell>
          <cell r="H212">
            <v>118.55</v>
          </cell>
          <cell r="I212">
            <v>0</v>
          </cell>
          <cell r="J212">
            <v>122.11</v>
          </cell>
          <cell r="K212">
            <v>-0.37</v>
          </cell>
          <cell r="P212">
            <v>0</v>
          </cell>
        </row>
        <row r="213">
          <cell r="A213" t="str">
            <v>LU2976322052</v>
          </cell>
          <cell r="B213" t="str">
            <v>AMUNDI FUNDS GLOBAL CORPORATE BOND</v>
          </cell>
          <cell r="C213" t="str">
            <v>Class A2 JPY Hgd MTD3 (D)</v>
          </cell>
          <cell r="D213" t="str">
            <v>JPY</v>
          </cell>
          <cell r="E213" t="str">
            <v>01-Dec-2025</v>
          </cell>
          <cell r="F213">
            <v>15519874</v>
          </cell>
          <cell r="G213">
            <v>1600</v>
          </cell>
          <cell r="H213">
            <v>9700</v>
          </cell>
          <cell r="I213">
            <v>50</v>
          </cell>
          <cell r="J213">
            <v>9700</v>
          </cell>
          <cell r="K213">
            <v>-81</v>
          </cell>
          <cell r="P213">
            <v>0</v>
          </cell>
        </row>
        <row r="214">
          <cell r="A214" t="str">
            <v>LU2976321914</v>
          </cell>
          <cell r="B214" t="str">
            <v>AMUNDI FUNDS GLOBAL CORPORATE BOND</v>
          </cell>
          <cell r="C214" t="str">
            <v>Class A2 USD MTD3 (D)</v>
          </cell>
          <cell r="D214" t="str">
            <v>USD</v>
          </cell>
          <cell r="E214" t="str">
            <v>01-Dec-2025</v>
          </cell>
          <cell r="F214">
            <v>5033.07</v>
          </cell>
          <cell r="G214">
            <v>100</v>
          </cell>
          <cell r="H214">
            <v>50.33</v>
          </cell>
          <cell r="I214">
            <v>0.25</v>
          </cell>
          <cell r="J214">
            <v>50.33</v>
          </cell>
          <cell r="K214">
            <v>-0.41</v>
          </cell>
          <cell r="P214">
            <v>0</v>
          </cell>
        </row>
        <row r="215">
          <cell r="A215" t="str">
            <v>LU0557863130</v>
          </cell>
          <cell r="B215" t="str">
            <v>AMUNDI FUNDS GLOBAL CORPORATE BOND</v>
          </cell>
          <cell r="C215" t="str">
            <v>Class A EUR AD (D)</v>
          </cell>
          <cell r="D215" t="str">
            <v>EUR</v>
          </cell>
          <cell r="E215" t="str">
            <v>01-Dec-2025</v>
          </cell>
          <cell r="F215">
            <v>26931711.07</v>
          </cell>
          <cell r="G215">
            <v>187585.891</v>
          </cell>
          <cell r="H215">
            <v>143.57</v>
          </cell>
          <cell r="I215">
            <v>0</v>
          </cell>
          <cell r="J215">
            <v>147.88</v>
          </cell>
          <cell r="K215">
            <v>-0.74</v>
          </cell>
          <cell r="P215">
            <v>0</v>
          </cell>
        </row>
        <row r="216">
          <cell r="A216" t="str">
            <v>LU0319688874</v>
          </cell>
          <cell r="B216" t="str">
            <v>AMUNDI FUNDS GLOBAL CORPORATE BOND</v>
          </cell>
          <cell r="C216" t="str">
            <v>Class A USD AD (D)</v>
          </cell>
          <cell r="D216" t="str">
            <v>USD</v>
          </cell>
          <cell r="E216" t="str">
            <v>01-Dec-2025</v>
          </cell>
          <cell r="F216">
            <v>2417165.86</v>
          </cell>
          <cell r="G216">
            <v>18668.5</v>
          </cell>
          <cell r="H216">
            <v>129.47999999999999</v>
          </cell>
          <cell r="I216">
            <v>0</v>
          </cell>
          <cell r="J216">
            <v>133.36000000000001</v>
          </cell>
          <cell r="K216">
            <v>-0.39</v>
          </cell>
          <cell r="P216">
            <v>0</v>
          </cell>
        </row>
        <row r="217">
          <cell r="A217" t="str">
            <v>LU2002722002</v>
          </cell>
          <cell r="B217" t="str">
            <v>AMUNDI FUNDS GLOBAL CORPORATE BOND</v>
          </cell>
          <cell r="C217" t="str">
            <v>Class M2 EUR Hgd ( C )</v>
          </cell>
          <cell r="D217" t="str">
            <v>EUR</v>
          </cell>
          <cell r="E217" t="str">
            <v>01-Dec-2025</v>
          </cell>
          <cell r="F217">
            <v>29485285.129999999</v>
          </cell>
          <cell r="G217">
            <v>28553.205999999998</v>
          </cell>
          <cell r="H217">
            <v>1032.6400000000001</v>
          </cell>
          <cell r="I217">
            <v>0</v>
          </cell>
          <cell r="J217">
            <v>1032.6400000000001</v>
          </cell>
          <cell r="K217">
            <v>-3.16</v>
          </cell>
          <cell r="P217">
            <v>0</v>
          </cell>
        </row>
        <row r="218">
          <cell r="A218" t="str">
            <v>LU2110861221</v>
          </cell>
          <cell r="B218" t="str">
            <v>AMUNDI FUNDS GLOBAL CORPORATE BOND</v>
          </cell>
          <cell r="C218" t="str">
            <v>Class M2 EUR Hgd QTD (D)</v>
          </cell>
          <cell r="D218" t="str">
            <v>EUR</v>
          </cell>
          <cell r="E218" t="str">
            <v>01-Dec-2025</v>
          </cell>
          <cell r="F218">
            <v>3240481.78</v>
          </cell>
          <cell r="G218">
            <v>4025.748</v>
          </cell>
          <cell r="H218">
            <v>804.94</v>
          </cell>
          <cell r="I218">
            <v>0</v>
          </cell>
          <cell r="J218">
            <v>804.94</v>
          </cell>
          <cell r="K218">
            <v>-2.46</v>
          </cell>
          <cell r="P218">
            <v>0</v>
          </cell>
        </row>
        <row r="219">
          <cell r="A219" t="str">
            <v>LU1327397573</v>
          </cell>
          <cell r="B219" t="str">
            <v>AMUNDI FUNDS GLOBAL CORPORATE BOND</v>
          </cell>
          <cell r="C219" t="str">
            <v>Class Q-I4 USD (C)</v>
          </cell>
          <cell r="D219" t="str">
            <v>USD</v>
          </cell>
          <cell r="E219" t="str">
            <v>01-Dec-2025</v>
          </cell>
          <cell r="F219">
            <v>858528.48</v>
          </cell>
          <cell r="G219">
            <v>644.91600000000005</v>
          </cell>
          <cell r="H219">
            <v>1331.23</v>
          </cell>
          <cell r="I219">
            <v>0</v>
          </cell>
          <cell r="J219">
            <v>1331.23</v>
          </cell>
          <cell r="K219">
            <v>-4.01</v>
          </cell>
          <cell r="P219">
            <v>0</v>
          </cell>
        </row>
        <row r="220">
          <cell r="A220" t="str">
            <v>LU1103153331</v>
          </cell>
          <cell r="B220" t="str">
            <v>AMUNDI FUNDS GLOBAL CORPORATE BOND</v>
          </cell>
          <cell r="C220" t="str">
            <v>Class A2 USD (C)</v>
          </cell>
          <cell r="D220" t="str">
            <v>USD</v>
          </cell>
          <cell r="E220" t="str">
            <v>01-Dec-2025</v>
          </cell>
          <cell r="F220">
            <v>6854.04</v>
          </cell>
          <cell r="G220">
            <v>66.043999999999997</v>
          </cell>
          <cell r="H220">
            <v>103.78</v>
          </cell>
          <cell r="I220">
            <v>0</v>
          </cell>
          <cell r="J220">
            <v>103.78</v>
          </cell>
          <cell r="K220">
            <v>-0.32</v>
          </cell>
          <cell r="P220">
            <v>0</v>
          </cell>
        </row>
        <row r="221">
          <cell r="A221" t="str">
            <v>LU2018722780</v>
          </cell>
          <cell r="B221" t="str">
            <v>AMUNDI FUNDS GLOBAL CORPORATE BOND</v>
          </cell>
          <cell r="C221" t="str">
            <v>Class F EUR Hgd MTD (D)</v>
          </cell>
          <cell r="D221" t="str">
            <v>EUR</v>
          </cell>
          <cell r="E221" t="str">
            <v>01-Dec-2025</v>
          </cell>
          <cell r="F221">
            <v>140646.78</v>
          </cell>
          <cell r="G221">
            <v>36933.502</v>
          </cell>
          <cell r="H221">
            <v>3.8079999999999998</v>
          </cell>
          <cell r="I221">
            <v>1.61E-2</v>
          </cell>
          <cell r="J221">
            <v>3.8079999999999998</v>
          </cell>
          <cell r="K221">
            <v>-2.8000000000000001E-2</v>
          </cell>
          <cell r="P221">
            <v>0</v>
          </cell>
        </row>
        <row r="222">
          <cell r="A222" t="str">
            <v>LU0557863213</v>
          </cell>
          <cell r="B222" t="str">
            <v>AMUNDI FUNDS GLOBAL CORPORATE BOND</v>
          </cell>
          <cell r="C222" t="str">
            <v>Class F2 USD (C)</v>
          </cell>
          <cell r="D222" t="str">
            <v>USD</v>
          </cell>
          <cell r="E222" t="str">
            <v>01-Dec-2025</v>
          </cell>
          <cell r="F222">
            <v>798474.13</v>
          </cell>
          <cell r="G222">
            <v>5320.1639999999998</v>
          </cell>
          <cell r="H222">
            <v>150.08000000000001</v>
          </cell>
          <cell r="I222">
            <v>0</v>
          </cell>
          <cell r="J222">
            <v>150.08000000000001</v>
          </cell>
          <cell r="K222">
            <v>-0.47</v>
          </cell>
          <cell r="P222">
            <v>0</v>
          </cell>
        </row>
        <row r="223">
          <cell r="A223" t="str">
            <v>LU1103153091</v>
          </cell>
          <cell r="B223" t="str">
            <v>AMUNDI FUNDS GLOBAL CORPORATE BOND</v>
          </cell>
          <cell r="C223" t="str">
            <v>Class F2 EUR Hgd MD (D)</v>
          </cell>
          <cell r="D223" t="str">
            <v>EUR</v>
          </cell>
          <cell r="E223" t="str">
            <v>01-Dec-2025</v>
          </cell>
          <cell r="F223">
            <v>614643.56999999995</v>
          </cell>
          <cell r="G223">
            <v>9201.6880000000001</v>
          </cell>
          <cell r="H223">
            <v>66.8</v>
          </cell>
          <cell r="I223">
            <v>0.28210000000000002</v>
          </cell>
          <cell r="J223">
            <v>66.8</v>
          </cell>
          <cell r="K223">
            <v>-0.49</v>
          </cell>
          <cell r="P223">
            <v>0</v>
          </cell>
        </row>
        <row r="224">
          <cell r="A224" t="str">
            <v>LU1103152879</v>
          </cell>
          <cell r="B224" t="str">
            <v>AMUNDI FUNDS GLOBAL CORPORATE BOND</v>
          </cell>
          <cell r="C224" t="str">
            <v>Class G EUR Hgd MD (D)</v>
          </cell>
          <cell r="D224" t="str">
            <v>EUR</v>
          </cell>
          <cell r="E224" t="str">
            <v>01-Dec-2025</v>
          </cell>
          <cell r="F224">
            <v>16698512.5</v>
          </cell>
          <cell r="G224">
            <v>236508.95499999999</v>
          </cell>
          <cell r="H224">
            <v>70.599999999999994</v>
          </cell>
          <cell r="I224">
            <v>0.29730000000000001</v>
          </cell>
          <cell r="J224">
            <v>70.599999999999994</v>
          </cell>
          <cell r="K224">
            <v>-0.52</v>
          </cell>
          <cell r="P224">
            <v>0</v>
          </cell>
        </row>
        <row r="225">
          <cell r="A225" t="str">
            <v>LU2183143416</v>
          </cell>
          <cell r="B225" t="str">
            <v>AMUNDI FUNDS GLOBAL CORPORATE BOND</v>
          </cell>
          <cell r="C225" t="str">
            <v>Class I2 USD (C)</v>
          </cell>
          <cell r="D225" t="str">
            <v>USD</v>
          </cell>
          <cell r="E225" t="str">
            <v>01-Dec-2025</v>
          </cell>
          <cell r="F225">
            <v>5494.77</v>
          </cell>
          <cell r="G225">
            <v>5</v>
          </cell>
          <cell r="H225">
            <v>1098.95</v>
          </cell>
          <cell r="I225">
            <v>0</v>
          </cell>
          <cell r="J225">
            <v>1098.95</v>
          </cell>
          <cell r="K225">
            <v>-3.32</v>
          </cell>
          <cell r="P225">
            <v>0</v>
          </cell>
        </row>
        <row r="226">
          <cell r="A226" t="str">
            <v>LU0319688445</v>
          </cell>
          <cell r="B226" t="str">
            <v>AMUNDI FUNDS GLOBAL CORPORATE BOND</v>
          </cell>
          <cell r="C226" t="str">
            <v>Class I USD (C)</v>
          </cell>
          <cell r="D226" t="str">
            <v>USD</v>
          </cell>
          <cell r="E226" t="str">
            <v>01-Dec-2025</v>
          </cell>
          <cell r="F226">
            <v>22805463.289999999</v>
          </cell>
          <cell r="G226">
            <v>10320.347</v>
          </cell>
          <cell r="H226">
            <v>2209.7600000000002</v>
          </cell>
          <cell r="I226">
            <v>0</v>
          </cell>
          <cell r="J226">
            <v>2209.7600000000002</v>
          </cell>
          <cell r="K226">
            <v>-6.8</v>
          </cell>
          <cell r="P226">
            <v>0</v>
          </cell>
        </row>
        <row r="227">
          <cell r="A227" t="str">
            <v>LU0839536082</v>
          </cell>
          <cell r="B227" t="str">
            <v>AMUNDI FUNDS GLOBAL CORPORATE BOND</v>
          </cell>
          <cell r="C227" t="str">
            <v>Class I EUR Hgd (C)</v>
          </cell>
          <cell r="D227" t="str">
            <v>EUR</v>
          </cell>
          <cell r="E227" t="str">
            <v>01-Dec-2025</v>
          </cell>
          <cell r="F227">
            <v>10727893.460000001</v>
          </cell>
          <cell r="G227">
            <v>8396.259</v>
          </cell>
          <cell r="H227">
            <v>1277.7</v>
          </cell>
          <cell r="I227">
            <v>0</v>
          </cell>
          <cell r="J227">
            <v>1277.7</v>
          </cell>
          <cell r="K227">
            <v>-4</v>
          </cell>
          <cell r="P227">
            <v>0</v>
          </cell>
        </row>
        <row r="228">
          <cell r="A228" t="str">
            <v>LU2931223189</v>
          </cell>
          <cell r="B228" t="str">
            <v>AMUNDI FUNDS GLOBAL CORPORATE BOND</v>
          </cell>
          <cell r="C228" t="str">
            <v>Class J19 EUR Hgd AD (D)</v>
          </cell>
          <cell r="D228" t="str">
            <v>EUR</v>
          </cell>
          <cell r="E228" t="str">
            <v>01-Dec-2025</v>
          </cell>
          <cell r="F228">
            <v>16533613.02</v>
          </cell>
          <cell r="G228">
            <v>16100</v>
          </cell>
          <cell r="H228">
            <v>1026.93</v>
          </cell>
          <cell r="I228">
            <v>0</v>
          </cell>
          <cell r="J228">
            <v>1026.93</v>
          </cell>
          <cell r="K228">
            <v>-3.12</v>
          </cell>
          <cell r="P228">
            <v>0</v>
          </cell>
        </row>
        <row r="229">
          <cell r="A229" t="str">
            <v>LU2782805357</v>
          </cell>
          <cell r="B229" t="str">
            <v>AMUNDI FUNDS GLOBAL CORPORATE BOND</v>
          </cell>
          <cell r="C229" t="str">
            <v>Class J19 USD (C)</v>
          </cell>
          <cell r="D229" t="str">
            <v>USD</v>
          </cell>
          <cell r="E229" t="str">
            <v>01-Dec-2025</v>
          </cell>
          <cell r="F229">
            <v>26839549.469999999</v>
          </cell>
          <cell r="G229">
            <v>23931.972000000002</v>
          </cell>
          <cell r="H229">
            <v>1121.49</v>
          </cell>
          <cell r="I229">
            <v>0</v>
          </cell>
          <cell r="J229">
            <v>1121.49</v>
          </cell>
          <cell r="K229">
            <v>-3.35</v>
          </cell>
          <cell r="P229">
            <v>0</v>
          </cell>
        </row>
        <row r="230">
          <cell r="A230" t="str">
            <v>LU2782805431</v>
          </cell>
          <cell r="B230" t="str">
            <v>AMUNDI FUNDS GLOBAL CORPORATE BOND</v>
          </cell>
          <cell r="C230" t="str">
            <v>Class J19 EUR Hgd (C)</v>
          </cell>
          <cell r="D230" t="str">
            <v>EUR</v>
          </cell>
          <cell r="E230" t="str">
            <v>01-Dec-2025</v>
          </cell>
          <cell r="F230">
            <v>55626252.990000002</v>
          </cell>
          <cell r="G230">
            <v>51125.112000000001</v>
          </cell>
          <cell r="H230">
            <v>1088.04</v>
          </cell>
          <cell r="I230">
            <v>0</v>
          </cell>
          <cell r="J230">
            <v>1088.04</v>
          </cell>
          <cell r="K230">
            <v>-3.29</v>
          </cell>
          <cell r="P230">
            <v>0</v>
          </cell>
        </row>
        <row r="231">
          <cell r="A231" t="str">
            <v>LU2782805514</v>
          </cell>
          <cell r="B231" t="str">
            <v>AMUNDI FUNDS GLOBAL CORPORATE BOND</v>
          </cell>
          <cell r="C231" t="str">
            <v>Class J19 GBP Hgd (C)</v>
          </cell>
          <cell r="D231" t="str">
            <v>GBP</v>
          </cell>
          <cell r="E231" t="str">
            <v>01-Dec-2025</v>
          </cell>
          <cell r="F231">
            <v>223525.73</v>
          </cell>
          <cell r="G231">
            <v>200</v>
          </cell>
          <cell r="H231">
            <v>1117.6300000000001</v>
          </cell>
          <cell r="I231">
            <v>0</v>
          </cell>
          <cell r="J231">
            <v>1117.6300000000001</v>
          </cell>
          <cell r="K231">
            <v>-3.33</v>
          </cell>
          <cell r="P231">
            <v>0</v>
          </cell>
        </row>
        <row r="232">
          <cell r="A232" t="str">
            <v>LU2782805605</v>
          </cell>
          <cell r="B232" t="str">
            <v>AMUNDI FUNDS GLOBAL CORPORATE BOND</v>
          </cell>
          <cell r="C232" t="str">
            <v>Class J19 GBP Hgd QD (D)</v>
          </cell>
          <cell r="D232" t="str">
            <v>GBP</v>
          </cell>
          <cell r="E232" t="str">
            <v>01-Dec-2025</v>
          </cell>
          <cell r="F232">
            <v>2827143.65</v>
          </cell>
          <cell r="G232">
            <v>2677.6089999999999</v>
          </cell>
          <cell r="H232">
            <v>1055.8499999999999</v>
          </cell>
          <cell r="I232">
            <v>0</v>
          </cell>
          <cell r="J232">
            <v>1055.8499999999999</v>
          </cell>
          <cell r="K232">
            <v>-3.14</v>
          </cell>
          <cell r="P232">
            <v>0</v>
          </cell>
        </row>
        <row r="233">
          <cell r="A233" t="str">
            <v>LU2782805787</v>
          </cell>
          <cell r="B233" t="str">
            <v>AMUNDI FUNDS GLOBAL CORPORATE BOND</v>
          </cell>
          <cell r="C233" t="str">
            <v>Class J19 CHF Hgd (C)</v>
          </cell>
          <cell r="D233" t="str">
            <v>CHF</v>
          </cell>
          <cell r="E233" t="str">
            <v>01-Dec-2025</v>
          </cell>
          <cell r="F233">
            <v>14453537.65</v>
          </cell>
          <cell r="G233">
            <v>13793</v>
          </cell>
          <cell r="H233">
            <v>1047.8900000000001</v>
          </cell>
          <cell r="I233">
            <v>0</v>
          </cell>
          <cell r="J233">
            <v>1047.8900000000001</v>
          </cell>
          <cell r="K233">
            <v>-3.25</v>
          </cell>
          <cell r="P233">
            <v>0</v>
          </cell>
        </row>
        <row r="234">
          <cell r="A234" t="str">
            <v>LU2870883290</v>
          </cell>
          <cell r="B234" t="str">
            <v>AMUNDI FUNDS GLOBAL CORPORATE BOND</v>
          </cell>
          <cell r="C234" t="str">
            <v>Class J19 USD AD (D)</v>
          </cell>
          <cell r="D234" t="str">
            <v>USD</v>
          </cell>
          <cell r="E234" t="str">
            <v>01-Dec-2025</v>
          </cell>
          <cell r="F234">
            <v>3731092.99</v>
          </cell>
          <cell r="G234">
            <v>3595</v>
          </cell>
          <cell r="H234">
            <v>1037.8599999999999</v>
          </cell>
          <cell r="I234">
            <v>0</v>
          </cell>
          <cell r="J234">
            <v>1037.8599999999999</v>
          </cell>
          <cell r="K234">
            <v>-3.09</v>
          </cell>
          <cell r="P234">
            <v>0</v>
          </cell>
        </row>
        <row r="235">
          <cell r="A235" t="str">
            <v>LU3097925054</v>
          </cell>
          <cell r="B235" t="str">
            <v>AMUNDI FUNDS GLOBAL CORPORATE BOND</v>
          </cell>
          <cell r="C235" t="str">
            <v>Class J27 USD (C)</v>
          </cell>
          <cell r="D235" t="str">
            <v>USD</v>
          </cell>
          <cell r="E235" t="str">
            <v>01-Dec-2025</v>
          </cell>
          <cell r="F235">
            <v>63542473.439999998</v>
          </cell>
          <cell r="G235">
            <v>61964.09</v>
          </cell>
          <cell r="H235">
            <v>1025.47</v>
          </cell>
          <cell r="I235">
            <v>0</v>
          </cell>
          <cell r="J235">
            <v>1025.47</v>
          </cell>
          <cell r="K235">
            <v>-3.07</v>
          </cell>
          <cell r="P235">
            <v>0</v>
          </cell>
        </row>
        <row r="236">
          <cell r="A236" t="str">
            <v>LU0329445315</v>
          </cell>
          <cell r="B236" t="str">
            <v>AMUNDI FUNDS GLOBAL CORPORATE BOND</v>
          </cell>
          <cell r="C236" t="str">
            <v>Class M USD (C)</v>
          </cell>
          <cell r="D236" t="str">
            <v>USD</v>
          </cell>
          <cell r="E236" t="str">
            <v>01-Dec-2025</v>
          </cell>
          <cell r="F236">
            <v>149854.95000000001</v>
          </cell>
          <cell r="G236">
            <v>903.18799999999999</v>
          </cell>
          <cell r="H236">
            <v>165.92</v>
          </cell>
          <cell r="I236">
            <v>0</v>
          </cell>
          <cell r="J236">
            <v>165.92</v>
          </cell>
          <cell r="K236">
            <v>-0.51</v>
          </cell>
          <cell r="P236">
            <v>0</v>
          </cell>
        </row>
        <row r="237">
          <cell r="A237" t="str">
            <v>LU1971433120</v>
          </cell>
          <cell r="B237" t="str">
            <v>AMUNDI FUNDS GLOBAL CORPORATE BOND</v>
          </cell>
          <cell r="C237" t="str">
            <v>Class M EUR HGD (C)</v>
          </cell>
          <cell r="D237" t="str">
            <v>EUR</v>
          </cell>
          <cell r="E237" t="str">
            <v>01-Dec-2025</v>
          </cell>
          <cell r="F237">
            <v>13391948.6</v>
          </cell>
          <cell r="G237">
            <v>124966.264</v>
          </cell>
          <cell r="H237">
            <v>107.16</v>
          </cell>
          <cell r="I237">
            <v>0</v>
          </cell>
          <cell r="J237">
            <v>0</v>
          </cell>
          <cell r="K237">
            <v>-0.33</v>
          </cell>
          <cell r="P237">
            <v>0</v>
          </cell>
        </row>
        <row r="238">
          <cell r="A238" t="str">
            <v>LU0557863304</v>
          </cell>
          <cell r="B238" t="str">
            <v>AMUNDI FUNDS GLOBAL CORPORATE BOND</v>
          </cell>
          <cell r="C238" t="str">
            <v>Class O USD (C)</v>
          </cell>
          <cell r="D238" t="str">
            <v>USD</v>
          </cell>
          <cell r="E238" t="str">
            <v>01-Dec-2025</v>
          </cell>
          <cell r="F238">
            <v>365458424.18000001</v>
          </cell>
          <cell r="G238">
            <v>206552.72099999999</v>
          </cell>
          <cell r="H238">
            <v>1769.32</v>
          </cell>
          <cell r="I238">
            <v>0</v>
          </cell>
          <cell r="J238">
            <v>1769.32</v>
          </cell>
          <cell r="K238">
            <v>-5.26</v>
          </cell>
          <cell r="P238">
            <v>0</v>
          </cell>
        </row>
        <row r="239">
          <cell r="A239" t="str">
            <v>LU1103153174</v>
          </cell>
          <cell r="B239" t="str">
            <v>AMUNDI FUNDS GLOBAL CORPORATE BOND</v>
          </cell>
          <cell r="C239" t="str">
            <v>Class O EUR Hgd (C)</v>
          </cell>
          <cell r="D239" t="str">
            <v>EUR</v>
          </cell>
          <cell r="E239" t="str">
            <v>01-Dec-2025</v>
          </cell>
          <cell r="F239">
            <v>28974584.859999999</v>
          </cell>
          <cell r="G239">
            <v>24422.026000000002</v>
          </cell>
          <cell r="H239">
            <v>1186.4100000000001</v>
          </cell>
          <cell r="I239">
            <v>0</v>
          </cell>
          <cell r="J239">
            <v>1186.4100000000001</v>
          </cell>
          <cell r="K239">
            <v>-3.58</v>
          </cell>
          <cell r="P239">
            <v>0</v>
          </cell>
        </row>
        <row r="240">
          <cell r="A240" t="str">
            <v>LU1737510369</v>
          </cell>
          <cell r="B240" t="str">
            <v>AMUNDI FUNDS GLOBAL CORPORATE BOND</v>
          </cell>
          <cell r="C240" t="str">
            <v>Class R USD (C)</v>
          </cell>
          <cell r="D240" t="str">
            <v>USD</v>
          </cell>
          <cell r="E240" t="str">
            <v>01-Dec-2025</v>
          </cell>
          <cell r="F240">
            <v>1826980.42</v>
          </cell>
          <cell r="G240">
            <v>30206.58</v>
          </cell>
          <cell r="H240">
            <v>60.48</v>
          </cell>
          <cell r="I240">
            <v>0</v>
          </cell>
          <cell r="J240">
            <v>60.48</v>
          </cell>
          <cell r="K240">
            <v>-0.19</v>
          </cell>
          <cell r="P240">
            <v>0</v>
          </cell>
        </row>
        <row r="241">
          <cell r="A241" t="str">
            <v>LU0906525679</v>
          </cell>
          <cell r="B241" t="str">
            <v>AMUNDI FUNDS GLOBAL CORPORATE BOND</v>
          </cell>
          <cell r="C241" t="str">
            <v>Class R EUR Hgd AD (D)</v>
          </cell>
          <cell r="D241" t="str">
            <v>EUR</v>
          </cell>
          <cell r="E241" t="str">
            <v>01-Dec-2025</v>
          </cell>
          <cell r="F241">
            <v>13312.12</v>
          </cell>
          <cell r="G241">
            <v>150</v>
          </cell>
          <cell r="H241">
            <v>88.75</v>
          </cell>
          <cell r="I241">
            <v>0</v>
          </cell>
          <cell r="J241">
            <v>88.75</v>
          </cell>
          <cell r="K241">
            <v>-0.27</v>
          </cell>
          <cell r="P241">
            <v>0</v>
          </cell>
        </row>
        <row r="242">
          <cell r="A242" t="str">
            <v>LU3208785785</v>
          </cell>
          <cell r="B242" t="str">
            <v>AMUNDI FUNDS GLOBAL CORPORATE BOND</v>
          </cell>
          <cell r="C242" t="str">
            <v>Class R2 EUR (C)</v>
          </cell>
          <cell r="D242" t="str">
            <v>EUR</v>
          </cell>
          <cell r="E242" t="str">
            <v>01-Dec-2025</v>
          </cell>
          <cell r="F242">
            <v>4955.96</v>
          </cell>
          <cell r="G242">
            <v>100</v>
          </cell>
          <cell r="H242">
            <v>49.56</v>
          </cell>
          <cell r="I242">
            <v>0</v>
          </cell>
          <cell r="J242">
            <v>49.56</v>
          </cell>
          <cell r="K242">
            <v>-0.25</v>
          </cell>
          <cell r="P242">
            <v>0</v>
          </cell>
        </row>
        <row r="243">
          <cell r="A243" t="str">
            <v>LU0906525596</v>
          </cell>
          <cell r="B243" t="str">
            <v>AMUNDI FUNDS GLOBAL CORPORATE BOND</v>
          </cell>
          <cell r="C243" t="str">
            <v>Class R EUR Hgd (C)</v>
          </cell>
          <cell r="D243" t="str">
            <v>EUR</v>
          </cell>
          <cell r="E243" t="str">
            <v>01-Dec-2025</v>
          </cell>
          <cell r="F243">
            <v>14331437.220000001</v>
          </cell>
          <cell r="G243">
            <v>135092.992</v>
          </cell>
          <cell r="H243">
            <v>106.09</v>
          </cell>
          <cell r="I243">
            <v>0</v>
          </cell>
          <cell r="J243">
            <v>106.09</v>
          </cell>
          <cell r="K243">
            <v>-0.32</v>
          </cell>
          <cell r="P243">
            <v>0</v>
          </cell>
        </row>
        <row r="244">
          <cell r="A244" t="str">
            <v>LU0319688957</v>
          </cell>
          <cell r="B244" t="str">
            <v>AMUNDI FUNDS GLOBAL CORPORATE BOND</v>
          </cell>
          <cell r="C244" t="str">
            <v>Class G USD (C)</v>
          </cell>
          <cell r="D244" t="str">
            <v>USD</v>
          </cell>
          <cell r="E244" t="str">
            <v>01-Dec-2025</v>
          </cell>
          <cell r="F244">
            <v>7992748.4100000001</v>
          </cell>
          <cell r="G244">
            <v>40612.226000000002</v>
          </cell>
          <cell r="H244">
            <v>196.81</v>
          </cell>
          <cell r="I244">
            <v>0</v>
          </cell>
          <cell r="J244">
            <v>202.71</v>
          </cell>
          <cell r="K244">
            <v>-0.6</v>
          </cell>
          <cell r="P244">
            <v>0</v>
          </cell>
        </row>
        <row r="245">
          <cell r="A245" t="str">
            <v>LU2976322300</v>
          </cell>
          <cell r="B245" t="str">
            <v>AMUNDI FUNDS GLOBAL CORPORATE BOND</v>
          </cell>
          <cell r="C245" t="str">
            <v>Class U JPY Hgd MTD3 (D)</v>
          </cell>
          <cell r="D245" t="str">
            <v>JPY</v>
          </cell>
          <cell r="E245" t="str">
            <v>01-Dec-2025</v>
          </cell>
          <cell r="F245">
            <v>15397011</v>
          </cell>
          <cell r="G245">
            <v>1600</v>
          </cell>
          <cell r="H245">
            <v>9623</v>
          </cell>
          <cell r="I245">
            <v>50</v>
          </cell>
          <cell r="J245">
            <v>9623</v>
          </cell>
          <cell r="K245">
            <v>-81</v>
          </cell>
          <cell r="P245">
            <v>0</v>
          </cell>
        </row>
        <row r="246">
          <cell r="A246" t="str">
            <v>LU2976322136</v>
          </cell>
          <cell r="B246" t="str">
            <v>AMUNDI FUNDS GLOBAL CORPORATE BOND</v>
          </cell>
          <cell r="C246" t="str">
            <v>Class U USD (C)</v>
          </cell>
          <cell r="D246" t="str">
            <v>USD</v>
          </cell>
          <cell r="E246" t="str">
            <v>01-Dec-2025</v>
          </cell>
          <cell r="F246">
            <v>5275.3</v>
          </cell>
          <cell r="G246">
            <v>100</v>
          </cell>
          <cell r="H246">
            <v>52.75</v>
          </cell>
          <cell r="I246">
            <v>0</v>
          </cell>
          <cell r="J246">
            <v>52.75</v>
          </cell>
          <cell r="K246">
            <v>-0.17</v>
          </cell>
          <cell r="P246">
            <v>0</v>
          </cell>
        </row>
        <row r="247">
          <cell r="A247" t="str">
            <v>LU2976322219</v>
          </cell>
          <cell r="B247" t="str">
            <v>AMUNDI FUNDS GLOBAL CORPORATE BOND</v>
          </cell>
          <cell r="C247" t="str">
            <v>Class U USD MTD3 (D)</v>
          </cell>
          <cell r="D247" t="str">
            <v>USD</v>
          </cell>
          <cell r="E247" t="str">
            <v>01-Dec-2025</v>
          </cell>
          <cell r="F247">
            <v>4993.97</v>
          </cell>
          <cell r="G247">
            <v>100</v>
          </cell>
          <cell r="H247">
            <v>49.94</v>
          </cell>
          <cell r="I247">
            <v>0.25</v>
          </cell>
          <cell r="J247">
            <v>49.94</v>
          </cell>
          <cell r="K247">
            <v>-0.41</v>
          </cell>
          <cell r="P247">
            <v>0</v>
          </cell>
        </row>
        <row r="248">
          <cell r="A248" t="str">
            <v>LU2401725697</v>
          </cell>
          <cell r="B248" t="str">
            <v>AMUNDI FUNDS GLOBAL CORPORATE BOND</v>
          </cell>
          <cell r="C248" t="str">
            <v>Class X USD (C)</v>
          </cell>
          <cell r="D248" t="str">
            <v>USD</v>
          </cell>
          <cell r="E248" t="str">
            <v>01-Dec-2025</v>
          </cell>
          <cell r="F248">
            <v>95653368.209999993</v>
          </cell>
          <cell r="G248">
            <v>80100.963000000003</v>
          </cell>
          <cell r="H248">
            <v>1194.1600000000001</v>
          </cell>
          <cell r="I248">
            <v>0</v>
          </cell>
          <cell r="J248">
            <v>1194.1600000000001</v>
          </cell>
          <cell r="K248">
            <v>-3.55</v>
          </cell>
          <cell r="P248">
            <v>0</v>
          </cell>
        </row>
        <row r="249">
          <cell r="A249" t="str">
            <v>LU1998921693</v>
          </cell>
          <cell r="B249" t="str">
            <v>AMUNDI FUNDS GLOBAL CORPORATE BOND</v>
          </cell>
          <cell r="C249" t="str">
            <v>Class X EUR Hgd  ( C )</v>
          </cell>
          <cell r="D249" t="str">
            <v>EUR</v>
          </cell>
          <cell r="E249" t="str">
            <v>01-Dec-2025</v>
          </cell>
          <cell r="F249">
            <v>31067176.420000002</v>
          </cell>
          <cell r="G249">
            <v>29100.375</v>
          </cell>
          <cell r="H249">
            <v>1067.5899999999999</v>
          </cell>
          <cell r="I249">
            <v>0</v>
          </cell>
          <cell r="J249">
            <v>1067.5899999999999</v>
          </cell>
          <cell r="K249">
            <v>-3.21</v>
          </cell>
          <cell r="P249">
            <v>0</v>
          </cell>
        </row>
        <row r="250">
          <cell r="A250" t="str">
            <v>LU0442405998</v>
          </cell>
          <cell r="B250" t="str">
            <v>AMUNDI FUNDS GLOBAL INFLATION SHORT DURATION BOND</v>
          </cell>
          <cell r="C250" t="str">
            <v>Class A EUR (C)</v>
          </cell>
          <cell r="D250" t="str">
            <v>EUR</v>
          </cell>
          <cell r="E250" t="str">
            <v>01-Dec-2025</v>
          </cell>
          <cell r="F250">
            <v>3245220.16</v>
          </cell>
          <cell r="G250">
            <v>30848.284</v>
          </cell>
          <cell r="H250">
            <v>105.2</v>
          </cell>
          <cell r="I250">
            <v>0</v>
          </cell>
          <cell r="J250">
            <v>108.36</v>
          </cell>
          <cell r="K250">
            <v>-0.06</v>
          </cell>
          <cell r="P250">
            <v>0</v>
          </cell>
        </row>
        <row r="251">
          <cell r="A251" t="str">
            <v>LU2070308056</v>
          </cell>
          <cell r="B251" t="str">
            <v>AMUNDI FUNDS GLOBAL INFLATION SHORT DURATION BOND</v>
          </cell>
          <cell r="C251" t="str">
            <v>Class A5 EUR (C)</v>
          </cell>
          <cell r="D251" t="str">
            <v>EUR</v>
          </cell>
          <cell r="E251" t="str">
            <v>01-Dec-2025</v>
          </cell>
          <cell r="F251">
            <v>36334.07</v>
          </cell>
          <cell r="G251">
            <v>830.31899999999996</v>
          </cell>
          <cell r="H251">
            <v>43.76</v>
          </cell>
          <cell r="I251">
            <v>0</v>
          </cell>
          <cell r="J251">
            <v>43.76</v>
          </cell>
          <cell r="K251">
            <v>-0.02</v>
          </cell>
          <cell r="P251">
            <v>0</v>
          </cell>
        </row>
        <row r="252">
          <cell r="A252" t="str">
            <v>LU0906528699</v>
          </cell>
          <cell r="B252" t="str">
            <v>AMUNDI FUNDS GLOBAL INFLATION SHORT DURATION BOND</v>
          </cell>
          <cell r="C252" t="str">
            <v>Class A EUR MD (D)</v>
          </cell>
          <cell r="D252" t="str">
            <v>EUR</v>
          </cell>
          <cell r="E252" t="str">
            <v>01-Dec-2025</v>
          </cell>
          <cell r="F252">
            <v>598.15</v>
          </cell>
          <cell r="G252">
            <v>12.177</v>
          </cell>
          <cell r="H252">
            <v>49.12</v>
          </cell>
          <cell r="I252">
            <v>6.1199999999999997E-2</v>
          </cell>
          <cell r="J252">
            <v>49.12</v>
          </cell>
          <cell r="K252">
            <v>-0.09</v>
          </cell>
          <cell r="P252">
            <v>0</v>
          </cell>
        </row>
        <row r="253">
          <cell r="A253" t="str">
            <v>LU0442406376</v>
          </cell>
          <cell r="B253" t="str">
            <v>AMUNDI FUNDS GLOBAL INFLATION SHORT DURATION BOND</v>
          </cell>
          <cell r="C253" t="str">
            <v>Class A EUR AD (D)</v>
          </cell>
          <cell r="D253" t="str">
            <v>EUR</v>
          </cell>
          <cell r="E253" t="str">
            <v>01-Dec-2025</v>
          </cell>
          <cell r="F253">
            <v>539596.62</v>
          </cell>
          <cell r="G253">
            <v>5867.8819999999996</v>
          </cell>
          <cell r="H253">
            <v>91.96</v>
          </cell>
          <cell r="I253">
            <v>0</v>
          </cell>
          <cell r="J253">
            <v>94.72</v>
          </cell>
          <cell r="K253">
            <v>-0.05</v>
          </cell>
          <cell r="P253">
            <v>0</v>
          </cell>
        </row>
        <row r="254">
          <cell r="A254" t="str">
            <v>LU1883325109</v>
          </cell>
          <cell r="B254" t="str">
            <v>AMUNDI FUNDS GLOBAL INFLATION SHORT DURATION BOND</v>
          </cell>
          <cell r="C254" t="str">
            <v>Class M2 EUR (C)</v>
          </cell>
          <cell r="D254" t="str">
            <v>EUR</v>
          </cell>
          <cell r="E254" t="str">
            <v>01-Dec-2025</v>
          </cell>
          <cell r="F254">
            <v>159083.38</v>
          </cell>
          <cell r="G254">
            <v>174.768</v>
          </cell>
          <cell r="H254">
            <v>910.25</v>
          </cell>
          <cell r="I254">
            <v>0</v>
          </cell>
          <cell r="J254">
            <v>910.25</v>
          </cell>
          <cell r="K254">
            <v>-0.48</v>
          </cell>
          <cell r="P254">
            <v>0</v>
          </cell>
        </row>
        <row r="255">
          <cell r="A255" t="str">
            <v>LU1883324805</v>
          </cell>
          <cell r="B255" t="str">
            <v>AMUNDI FUNDS GLOBAL INFLATION SHORT DURATION BOND</v>
          </cell>
          <cell r="C255" t="str">
            <v>Class A2 EUR (C)</v>
          </cell>
          <cell r="D255" t="str">
            <v>EUR</v>
          </cell>
          <cell r="E255" t="str">
            <v>01-Dec-2025</v>
          </cell>
          <cell r="F255">
            <v>193686.26</v>
          </cell>
          <cell r="G255">
            <v>4428.982</v>
          </cell>
          <cell r="H255">
            <v>43.73</v>
          </cell>
          <cell r="I255">
            <v>0</v>
          </cell>
          <cell r="J255">
            <v>45.04</v>
          </cell>
          <cell r="K255">
            <v>-0.03</v>
          </cell>
          <cell r="P255">
            <v>0</v>
          </cell>
        </row>
        <row r="256">
          <cell r="A256" t="str">
            <v>LU1883324987</v>
          </cell>
          <cell r="B256" t="str">
            <v>AMUNDI FUNDS GLOBAL INFLATION SHORT DURATION BOND</v>
          </cell>
          <cell r="C256" t="str">
            <v>Class E2 EUR (C)</v>
          </cell>
          <cell r="D256" t="str">
            <v>EUR</v>
          </cell>
          <cell r="E256" t="str">
            <v>01-Dec-2025</v>
          </cell>
          <cell r="F256">
            <v>437302.54</v>
          </cell>
          <cell r="G256">
            <v>98376.051999999996</v>
          </cell>
          <cell r="H256">
            <v>4.4450000000000003</v>
          </cell>
          <cell r="I256">
            <v>0</v>
          </cell>
          <cell r="J256">
            <v>4.4450000000000003</v>
          </cell>
          <cell r="K256">
            <v>-3.0000000000000001E-3</v>
          </cell>
          <cell r="P256">
            <v>0</v>
          </cell>
        </row>
        <row r="257">
          <cell r="A257" t="str">
            <v>LU2018722277</v>
          </cell>
          <cell r="B257" t="str">
            <v>AMUNDI FUNDS GLOBAL INFLATION SHORT DURATION BOND</v>
          </cell>
          <cell r="C257" t="str">
            <v>Class F EUR (C)</v>
          </cell>
          <cell r="D257" t="str">
            <v>EUR</v>
          </cell>
          <cell r="E257" t="str">
            <v>01-Dec-2025</v>
          </cell>
          <cell r="F257">
            <v>152889.96</v>
          </cell>
          <cell r="G257">
            <v>36276.110999999997</v>
          </cell>
          <cell r="H257">
            <v>4.2149999999999999</v>
          </cell>
          <cell r="I257">
            <v>0</v>
          </cell>
          <cell r="J257">
            <v>4.2149999999999999</v>
          </cell>
          <cell r="K257">
            <v>-2E-3</v>
          </cell>
          <cell r="P257">
            <v>0</v>
          </cell>
        </row>
        <row r="258">
          <cell r="A258" t="str">
            <v>LU0557864377</v>
          </cell>
          <cell r="B258" t="str">
            <v>AMUNDI FUNDS GLOBAL INFLATION SHORT DURATION BOND</v>
          </cell>
          <cell r="C258" t="str">
            <v>Class F2 EUR (C)</v>
          </cell>
          <cell r="D258" t="str">
            <v>EUR</v>
          </cell>
          <cell r="E258" t="str">
            <v>01-Dec-2025</v>
          </cell>
          <cell r="F258">
            <v>223606.05</v>
          </cell>
          <cell r="G258">
            <v>2555.8820000000001</v>
          </cell>
          <cell r="H258">
            <v>87.49</v>
          </cell>
          <cell r="I258">
            <v>0</v>
          </cell>
          <cell r="J258">
            <v>87.49</v>
          </cell>
          <cell r="K258">
            <v>-0.05</v>
          </cell>
          <cell r="P258">
            <v>0</v>
          </cell>
        </row>
        <row r="259">
          <cell r="A259" t="str">
            <v>LU0442406616</v>
          </cell>
          <cell r="B259" t="str">
            <v>AMUNDI FUNDS GLOBAL INFLATION SHORT DURATION BOND</v>
          </cell>
          <cell r="C259" t="str">
            <v>Class I EUR (C)</v>
          </cell>
          <cell r="D259" t="str">
            <v>EUR</v>
          </cell>
          <cell r="E259" t="str">
            <v>01-Dec-2025</v>
          </cell>
          <cell r="F259">
            <v>206635.91</v>
          </cell>
          <cell r="G259">
            <v>179.29400000000001</v>
          </cell>
          <cell r="H259">
            <v>1152.5</v>
          </cell>
          <cell r="I259">
            <v>0</v>
          </cell>
          <cell r="J259">
            <v>1152.5</v>
          </cell>
          <cell r="K259">
            <v>-0.6</v>
          </cell>
          <cell r="P259">
            <v>0</v>
          </cell>
        </row>
        <row r="260">
          <cell r="A260" t="str">
            <v>LU1272326445</v>
          </cell>
          <cell r="B260" t="str">
            <v>AMUNDI FUNDS GLOBAL INFLATION SHORT DURATION BOND</v>
          </cell>
          <cell r="C260" t="str">
            <v>Class Q-I13 USD Hgd (C)</v>
          </cell>
          <cell r="D260" t="str">
            <v>USD</v>
          </cell>
          <cell r="E260" t="str">
            <v>01-Dec-2025</v>
          </cell>
          <cell r="F260">
            <v>124735.47</v>
          </cell>
          <cell r="G260">
            <v>107.74299999999999</v>
          </cell>
          <cell r="H260">
            <v>1157.71</v>
          </cell>
          <cell r="I260">
            <v>0</v>
          </cell>
          <cell r="J260">
            <v>1157.71</v>
          </cell>
          <cell r="K260">
            <v>-0.52</v>
          </cell>
          <cell r="P260">
            <v>0</v>
          </cell>
        </row>
        <row r="261">
          <cell r="A261" t="str">
            <v>LU1272328227</v>
          </cell>
          <cell r="B261" t="str">
            <v>AMUNDI FUNDS GLOBAL INFLATION SHORT DURATION BOND</v>
          </cell>
          <cell r="C261" t="str">
            <v>Class Q-I13 EUR (C)</v>
          </cell>
          <cell r="D261" t="str">
            <v>EUR</v>
          </cell>
          <cell r="E261" t="str">
            <v>01-Dec-2025</v>
          </cell>
          <cell r="F261">
            <v>1117629.25</v>
          </cell>
          <cell r="G261">
            <v>1166.3050000000001</v>
          </cell>
          <cell r="H261">
            <v>958.26</v>
          </cell>
          <cell r="I261">
            <v>0</v>
          </cell>
          <cell r="J261">
            <v>958.26</v>
          </cell>
          <cell r="K261">
            <v>-0.48</v>
          </cell>
          <cell r="P261">
            <v>0</v>
          </cell>
        </row>
        <row r="262">
          <cell r="A262" t="str">
            <v>LU0442406533</v>
          </cell>
          <cell r="B262" t="str">
            <v>AMUNDI FUNDS GLOBAL INFLATION SHORT DURATION BOND</v>
          </cell>
          <cell r="C262" t="str">
            <v>Class M EUR (C)</v>
          </cell>
          <cell r="D262" t="str">
            <v>EUR</v>
          </cell>
          <cell r="E262" t="str">
            <v>01-Dec-2025</v>
          </cell>
          <cell r="F262">
            <v>4102790.22</v>
          </cell>
          <cell r="G262">
            <v>38143.447999999997</v>
          </cell>
          <cell r="H262">
            <v>107.56</v>
          </cell>
          <cell r="I262">
            <v>0</v>
          </cell>
          <cell r="J262">
            <v>107.56</v>
          </cell>
          <cell r="K262">
            <v>-0.06</v>
          </cell>
          <cell r="P262">
            <v>0</v>
          </cell>
        </row>
        <row r="263">
          <cell r="A263" t="str">
            <v>LU1883325281</v>
          </cell>
          <cell r="B263" t="str">
            <v>AMUNDI FUNDS GLOBAL INFLATION SHORT DURATION BOND</v>
          </cell>
          <cell r="C263" t="str">
            <v>Class R2 EUR (C)</v>
          </cell>
          <cell r="D263" t="str">
            <v>EUR</v>
          </cell>
          <cell r="E263" t="str">
            <v>01-Dec-2025</v>
          </cell>
          <cell r="F263">
            <v>4274.68</v>
          </cell>
          <cell r="G263">
            <v>94.988</v>
          </cell>
          <cell r="H263">
            <v>45</v>
          </cell>
          <cell r="I263">
            <v>0</v>
          </cell>
          <cell r="J263">
            <v>45</v>
          </cell>
          <cell r="K263">
            <v>-0.03</v>
          </cell>
          <cell r="P263">
            <v>0</v>
          </cell>
        </row>
        <row r="264">
          <cell r="A264" t="str">
            <v>LU0557864534</v>
          </cell>
          <cell r="B264" t="str">
            <v>AMUNDI FUNDS GLOBAL INFLATION SHORT DURATION BOND</v>
          </cell>
          <cell r="C264" t="str">
            <v>Class O EUR (C)</v>
          </cell>
          <cell r="D264" t="str">
            <v>EUR</v>
          </cell>
          <cell r="E264" t="str">
            <v>01-Dec-2025</v>
          </cell>
          <cell r="F264">
            <v>5200364.01</v>
          </cell>
          <cell r="G264">
            <v>5032.2839999999997</v>
          </cell>
          <cell r="H264">
            <v>1033.4000000000001</v>
          </cell>
          <cell r="I264">
            <v>0</v>
          </cell>
          <cell r="J264">
            <v>1033.4000000000001</v>
          </cell>
          <cell r="K264">
            <v>-0.51</v>
          </cell>
          <cell r="P264">
            <v>0</v>
          </cell>
        </row>
        <row r="265">
          <cell r="A265" t="str">
            <v>LU0839539771</v>
          </cell>
          <cell r="B265" t="str">
            <v>AMUNDI FUNDS GLOBAL INFLATION SHORT DURATION BOND</v>
          </cell>
          <cell r="C265" t="str">
            <v>Class R EUR (C)</v>
          </cell>
          <cell r="D265" t="str">
            <v>EUR</v>
          </cell>
          <cell r="E265" t="str">
            <v>01-Dec-2025</v>
          </cell>
          <cell r="F265">
            <v>272149.12</v>
          </cell>
          <cell r="G265">
            <v>2844</v>
          </cell>
          <cell r="H265">
            <v>95.69</v>
          </cell>
          <cell r="I265">
            <v>0</v>
          </cell>
          <cell r="J265">
            <v>95.69</v>
          </cell>
          <cell r="K265">
            <v>-0.05</v>
          </cell>
          <cell r="P265">
            <v>0</v>
          </cell>
        </row>
        <row r="266">
          <cell r="A266" t="str">
            <v>LU0839539938</v>
          </cell>
          <cell r="B266" t="str">
            <v>AMUNDI FUNDS GLOBAL INFLATION SHORT DURATION BOND</v>
          </cell>
          <cell r="C266" t="str">
            <v>Class R EUR AD (D)</v>
          </cell>
          <cell r="D266" t="str">
            <v>EUR</v>
          </cell>
          <cell r="E266" t="str">
            <v>01-Dec-2025</v>
          </cell>
          <cell r="F266">
            <v>41998.3</v>
          </cell>
          <cell r="G266">
            <v>452</v>
          </cell>
          <cell r="H266">
            <v>92.92</v>
          </cell>
          <cell r="I266">
            <v>0</v>
          </cell>
          <cell r="J266">
            <v>92.92</v>
          </cell>
          <cell r="K266">
            <v>-0.05</v>
          </cell>
          <cell r="P266">
            <v>0</v>
          </cell>
        </row>
        <row r="267">
          <cell r="A267" t="str">
            <v>LU0442406459</v>
          </cell>
          <cell r="B267" t="str">
            <v>AMUNDI FUNDS GLOBAL INFLATION SHORT DURATION BOND</v>
          </cell>
          <cell r="C267" t="str">
            <v>Class G EUR (C)</v>
          </cell>
          <cell r="D267" t="str">
            <v>EUR</v>
          </cell>
          <cell r="E267" t="str">
            <v>01-Dec-2025</v>
          </cell>
          <cell r="F267">
            <v>6215216.1699999999</v>
          </cell>
          <cell r="G267">
            <v>60282.400000000001</v>
          </cell>
          <cell r="H267">
            <v>103.1</v>
          </cell>
          <cell r="I267">
            <v>0</v>
          </cell>
          <cell r="J267">
            <v>106.19</v>
          </cell>
          <cell r="K267">
            <v>-0.06</v>
          </cell>
          <cell r="P267">
            <v>0</v>
          </cell>
        </row>
        <row r="268">
          <cell r="A268" t="str">
            <v>LU0752743277</v>
          </cell>
          <cell r="B268" t="str">
            <v>AMUNDI FUNDS GLOBAL INFLATION SHORT DURATION BOND</v>
          </cell>
          <cell r="C268" t="str">
            <v>Class G USD Hgd (C)</v>
          </cell>
          <cell r="D268" t="str">
            <v>USD</v>
          </cell>
          <cell r="E268" t="str">
            <v>01-Dec-2025</v>
          </cell>
          <cell r="F268">
            <v>32540.31</v>
          </cell>
          <cell r="G268">
            <v>300</v>
          </cell>
          <cell r="H268">
            <v>108.47</v>
          </cell>
          <cell r="I268">
            <v>0</v>
          </cell>
          <cell r="J268">
            <v>111.72</v>
          </cell>
          <cell r="K268">
            <v>-0.05</v>
          </cell>
          <cell r="P268">
            <v>0</v>
          </cell>
        </row>
        <row r="269">
          <cell r="A269" t="str">
            <v>LU0568615057</v>
          </cell>
          <cell r="B269" t="str">
            <v>AMUNDI FUNDS EUROPEAN CONVERTIBLE BOND</v>
          </cell>
          <cell r="C269" t="str">
            <v>Class A EUR (C)</v>
          </cell>
          <cell r="D269" t="str">
            <v>EUR</v>
          </cell>
          <cell r="E269" t="str">
            <v>01-Dec-2025</v>
          </cell>
          <cell r="F269">
            <v>7172859.5700000003</v>
          </cell>
          <cell r="G269">
            <v>63981.167000000001</v>
          </cell>
          <cell r="H269">
            <v>112.11</v>
          </cell>
          <cell r="I269">
            <v>0</v>
          </cell>
          <cell r="J269">
            <v>116.59</v>
          </cell>
          <cell r="K269">
            <v>-0.28999999999999998</v>
          </cell>
          <cell r="P269">
            <v>0</v>
          </cell>
        </row>
        <row r="270">
          <cell r="A270" t="str">
            <v>LU0568615214</v>
          </cell>
          <cell r="B270" t="str">
            <v>AMUNDI FUNDS EUROPEAN CONVERTIBLE BOND</v>
          </cell>
          <cell r="C270" t="str">
            <v>Class A EUR AD (D)</v>
          </cell>
          <cell r="D270" t="str">
            <v>EUR</v>
          </cell>
          <cell r="E270" t="str">
            <v>01-Dec-2025</v>
          </cell>
          <cell r="F270">
            <v>1318217.04</v>
          </cell>
          <cell r="G270">
            <v>12438.761</v>
          </cell>
          <cell r="H270">
            <v>105.98</v>
          </cell>
          <cell r="I270">
            <v>0</v>
          </cell>
          <cell r="J270">
            <v>0</v>
          </cell>
          <cell r="K270">
            <v>-0.27</v>
          </cell>
          <cell r="P270">
            <v>0</v>
          </cell>
        </row>
        <row r="271">
          <cell r="A271" t="str">
            <v>LU2018721899</v>
          </cell>
          <cell r="B271" t="str">
            <v>AMUNDI FUNDS EUROPEAN CONVERTIBLE BOND</v>
          </cell>
          <cell r="C271" t="str">
            <v>Class F EUR (C)</v>
          </cell>
          <cell r="D271" t="str">
            <v>EUR</v>
          </cell>
          <cell r="E271" t="str">
            <v>01-Dec-2025</v>
          </cell>
          <cell r="F271">
            <v>15859.13</v>
          </cell>
          <cell r="G271">
            <v>3313.9589999999998</v>
          </cell>
          <cell r="H271">
            <v>4.7859999999999996</v>
          </cell>
          <cell r="I271">
            <v>0</v>
          </cell>
          <cell r="J271">
            <v>4.7859999999999996</v>
          </cell>
          <cell r="K271">
            <v>-1.2E-2</v>
          </cell>
          <cell r="P271">
            <v>0</v>
          </cell>
        </row>
        <row r="272">
          <cell r="A272" t="str">
            <v>LU0568615487</v>
          </cell>
          <cell r="B272" t="str">
            <v>AMUNDI FUNDS EUROPEAN CONVERTIBLE BOND</v>
          </cell>
          <cell r="C272" t="str">
            <v>Class F2 EUR (C)</v>
          </cell>
          <cell r="D272" t="str">
            <v>EUR</v>
          </cell>
          <cell r="E272" t="str">
            <v>01-Dec-2025</v>
          </cell>
          <cell r="F272">
            <v>428179.14</v>
          </cell>
          <cell r="G272">
            <v>4161.857</v>
          </cell>
          <cell r="H272">
            <v>102.88</v>
          </cell>
          <cell r="I272">
            <v>0</v>
          </cell>
          <cell r="J272">
            <v>0</v>
          </cell>
          <cell r="K272">
            <v>-0.28000000000000003</v>
          </cell>
          <cell r="P272">
            <v>0</v>
          </cell>
        </row>
        <row r="273">
          <cell r="A273" t="str">
            <v>LU0568614670</v>
          </cell>
          <cell r="B273" t="str">
            <v>AMUNDI FUNDS EUROPEAN CONVERTIBLE BOND</v>
          </cell>
          <cell r="C273" t="str">
            <v>Class I EUR (C)</v>
          </cell>
          <cell r="D273" t="str">
            <v>EUR</v>
          </cell>
          <cell r="E273" t="str">
            <v>01-Dec-2025</v>
          </cell>
          <cell r="F273">
            <v>2286496.44</v>
          </cell>
          <cell r="G273">
            <v>1821.4559999999999</v>
          </cell>
          <cell r="H273">
            <v>1255.31</v>
          </cell>
          <cell r="I273">
            <v>0</v>
          </cell>
          <cell r="J273">
            <v>1255.31</v>
          </cell>
          <cell r="K273">
            <v>-3.21</v>
          </cell>
          <cell r="P273">
            <v>0</v>
          </cell>
        </row>
        <row r="274">
          <cell r="A274" t="str">
            <v>LU0568614837</v>
          </cell>
          <cell r="B274" t="str">
            <v>AMUNDI FUNDS EUROPEAN CONVERTIBLE BOND</v>
          </cell>
          <cell r="C274" t="str">
            <v>Class M EUR (C)</v>
          </cell>
          <cell r="D274" t="str">
            <v>EUR</v>
          </cell>
          <cell r="E274" t="str">
            <v>01-Dec-2025</v>
          </cell>
          <cell r="F274">
            <v>2302396.25</v>
          </cell>
          <cell r="G274">
            <v>18363.294000000002</v>
          </cell>
          <cell r="H274">
            <v>125.38</v>
          </cell>
          <cell r="I274">
            <v>0</v>
          </cell>
          <cell r="J274">
            <v>0</v>
          </cell>
          <cell r="K274">
            <v>-0.32</v>
          </cell>
          <cell r="P274">
            <v>0</v>
          </cell>
        </row>
        <row r="275">
          <cell r="A275" t="str">
            <v>LU0987194742</v>
          </cell>
          <cell r="B275" t="str">
            <v>AMUNDI FUNDS EUROPEAN CONVERTIBLE BOND</v>
          </cell>
          <cell r="C275" t="str">
            <v>Class R EUR (C)</v>
          </cell>
          <cell r="D275" t="str">
            <v>EUR</v>
          </cell>
          <cell r="E275" t="str">
            <v>01-Dec-2025</v>
          </cell>
          <cell r="F275">
            <v>10008.959999999999</v>
          </cell>
          <cell r="G275">
            <v>100</v>
          </cell>
          <cell r="H275">
            <v>100.09</v>
          </cell>
          <cell r="I275">
            <v>0</v>
          </cell>
          <cell r="J275">
            <v>0</v>
          </cell>
          <cell r="K275">
            <v>-0.26</v>
          </cell>
          <cell r="P275">
            <v>0</v>
          </cell>
        </row>
        <row r="276">
          <cell r="A276" t="str">
            <v>LU0987194825</v>
          </cell>
          <cell r="B276" t="str">
            <v>AMUNDI FUNDS EUROPEAN CONVERTIBLE BOND</v>
          </cell>
          <cell r="C276" t="str">
            <v>Class R EUR AD (D)</v>
          </cell>
          <cell r="D276" t="str">
            <v>EUR</v>
          </cell>
          <cell r="E276" t="str">
            <v>01-Dec-2025</v>
          </cell>
          <cell r="F276">
            <v>191908.7</v>
          </cell>
          <cell r="G276">
            <v>1942.3109999999999</v>
          </cell>
          <cell r="H276">
            <v>98.8</v>
          </cell>
          <cell r="I276">
            <v>0</v>
          </cell>
          <cell r="J276">
            <v>0</v>
          </cell>
          <cell r="K276">
            <v>-0.26</v>
          </cell>
          <cell r="P276">
            <v>0</v>
          </cell>
        </row>
        <row r="277">
          <cell r="A277" t="str">
            <v>LU0568615305</v>
          </cell>
          <cell r="B277" t="str">
            <v>AMUNDI FUNDS EUROPEAN CONVERTIBLE BOND</v>
          </cell>
          <cell r="C277" t="str">
            <v>Class G EUR (C)</v>
          </cell>
          <cell r="D277" t="str">
            <v>EUR</v>
          </cell>
          <cell r="E277" t="str">
            <v>01-Dec-2025</v>
          </cell>
          <cell r="F277">
            <v>3491253.88</v>
          </cell>
          <cell r="G277">
            <v>32439.156999999999</v>
          </cell>
          <cell r="H277">
            <v>107.62</v>
          </cell>
          <cell r="I277">
            <v>0</v>
          </cell>
          <cell r="J277">
            <v>0</v>
          </cell>
          <cell r="K277">
            <v>-0.28999999999999998</v>
          </cell>
          <cell r="P277">
            <v>0</v>
          </cell>
        </row>
        <row r="278">
          <cell r="A278" t="str">
            <v>LU2132231197</v>
          </cell>
          <cell r="B278" t="str">
            <v>AMUNDI FUNDS EUROPEAN CONVERTIBLE BOND</v>
          </cell>
          <cell r="C278" t="str">
            <v>Class Z EUR (C)</v>
          </cell>
          <cell r="D278" t="str">
            <v>EUR</v>
          </cell>
          <cell r="E278" t="str">
            <v>01-Dec-2025</v>
          </cell>
          <cell r="F278">
            <v>2905149.46</v>
          </cell>
          <cell r="G278">
            <v>3066</v>
          </cell>
          <cell r="H278">
            <v>947.54</v>
          </cell>
          <cell r="I278">
            <v>0</v>
          </cell>
          <cell r="J278">
            <v>947.54</v>
          </cell>
          <cell r="K278">
            <v>-2.41</v>
          </cell>
          <cell r="P278">
            <v>0</v>
          </cell>
        </row>
        <row r="279">
          <cell r="A279" t="str">
            <v>LU0557854147</v>
          </cell>
          <cell r="B279" t="str">
            <v>AMUNDI FUNDS ASIA EQUITY FOCUS</v>
          </cell>
          <cell r="C279" t="str">
            <v>Class A EUR (C)</v>
          </cell>
          <cell r="D279" t="str">
            <v>EUR</v>
          </cell>
          <cell r="E279" t="str">
            <v>01-Dec-2025</v>
          </cell>
          <cell r="F279">
            <v>34450569.659999996</v>
          </cell>
          <cell r="G279">
            <v>176158.40100000001</v>
          </cell>
          <cell r="H279">
            <v>195.57</v>
          </cell>
          <cell r="I279">
            <v>0</v>
          </cell>
          <cell r="J279">
            <v>204.37</v>
          </cell>
          <cell r="K279">
            <v>-0.56000000000000005</v>
          </cell>
          <cell r="P279">
            <v>0</v>
          </cell>
        </row>
        <row r="280">
          <cell r="A280" t="str">
            <v>LU0119085271</v>
          </cell>
          <cell r="B280" t="str">
            <v>AMUNDI FUNDS ASIA EQUITY FOCUS</v>
          </cell>
          <cell r="C280" t="str">
            <v>Class A USD (C)</v>
          </cell>
          <cell r="D280" t="str">
            <v>USD</v>
          </cell>
          <cell r="E280" t="str">
            <v>01-Dec-2025</v>
          </cell>
          <cell r="F280">
            <v>33551201.329999998</v>
          </cell>
          <cell r="G280">
            <v>751598.07299999997</v>
          </cell>
          <cell r="H280">
            <v>44.64</v>
          </cell>
          <cell r="I280">
            <v>0</v>
          </cell>
          <cell r="J280">
            <v>46.65</v>
          </cell>
          <cell r="K280">
            <v>-0.03</v>
          </cell>
          <cell r="P280">
            <v>0</v>
          </cell>
        </row>
        <row r="281">
          <cell r="A281" t="str">
            <v>LU3081005293</v>
          </cell>
          <cell r="B281" t="str">
            <v>AMUNDI FUNDS ASIA EQUITY FOCUS</v>
          </cell>
          <cell r="C281" t="str">
            <v>Class A2 EUR (C)</v>
          </cell>
          <cell r="D281" t="str">
            <v>EUR</v>
          </cell>
          <cell r="E281" t="str">
            <v>01-Dec-2025</v>
          </cell>
          <cell r="F281">
            <v>361839.72</v>
          </cell>
          <cell r="G281">
            <v>7258.25</v>
          </cell>
          <cell r="H281">
            <v>49.85</v>
          </cell>
          <cell r="I281">
            <v>0</v>
          </cell>
          <cell r="J281">
            <v>52.09</v>
          </cell>
          <cell r="K281">
            <v>49.85</v>
          </cell>
          <cell r="P281">
            <v>0</v>
          </cell>
        </row>
        <row r="282">
          <cell r="A282" t="str">
            <v>LU0119085867</v>
          </cell>
          <cell r="B282" t="str">
            <v>AMUNDI FUNDS ASIA EQUITY FOCUS</v>
          </cell>
          <cell r="C282" t="str">
            <v>Class A USD AD (D)</v>
          </cell>
          <cell r="D282" t="str">
            <v>USD</v>
          </cell>
          <cell r="E282" t="str">
            <v>01-Dec-2025</v>
          </cell>
          <cell r="F282">
            <v>3754299.1</v>
          </cell>
          <cell r="G282">
            <v>86105.209000000003</v>
          </cell>
          <cell r="H282">
            <v>43.6</v>
          </cell>
          <cell r="I282">
            <v>0</v>
          </cell>
          <cell r="J282">
            <v>45.56</v>
          </cell>
          <cell r="K282">
            <v>-0.03</v>
          </cell>
          <cell r="P282">
            <v>0</v>
          </cell>
        </row>
        <row r="283">
          <cell r="A283" t="str">
            <v>LU1882444919</v>
          </cell>
          <cell r="B283" t="str">
            <v>AMUNDI FUNDS ASIA EQUITY FOCUS</v>
          </cell>
          <cell r="C283" t="str">
            <v>Class M2 EUR (C)</v>
          </cell>
          <cell r="D283" t="str">
            <v>EUR</v>
          </cell>
          <cell r="E283" t="str">
            <v>01-Dec-2025</v>
          </cell>
          <cell r="F283">
            <v>4473179.68</v>
          </cell>
          <cell r="G283">
            <v>2827.43</v>
          </cell>
          <cell r="H283">
            <v>1582.07</v>
          </cell>
          <cell r="I283">
            <v>0</v>
          </cell>
          <cell r="J283">
            <v>1582.07</v>
          </cell>
          <cell r="K283">
            <v>-4.4000000000000004</v>
          </cell>
          <cell r="P283">
            <v>0</v>
          </cell>
        </row>
        <row r="284">
          <cell r="A284" t="str">
            <v>LU1882445056</v>
          </cell>
          <cell r="B284" t="str">
            <v>AMUNDI FUNDS ASIA EQUITY FOCUS</v>
          </cell>
          <cell r="C284" t="str">
            <v>Class M2 EUR AD (D)</v>
          </cell>
          <cell r="D284" t="str">
            <v>EUR</v>
          </cell>
          <cell r="E284" t="str">
            <v>01-Dec-2025</v>
          </cell>
          <cell r="F284">
            <v>10224.879999999999</v>
          </cell>
          <cell r="G284">
            <v>6.6859999999999999</v>
          </cell>
          <cell r="H284">
            <v>1529.3</v>
          </cell>
          <cell r="I284">
            <v>0</v>
          </cell>
          <cell r="J284">
            <v>1529.3</v>
          </cell>
          <cell r="K284">
            <v>-4.26</v>
          </cell>
          <cell r="P284">
            <v>0</v>
          </cell>
        </row>
        <row r="285">
          <cell r="A285" t="str">
            <v>LU1882444323</v>
          </cell>
          <cell r="B285" t="str">
            <v>AMUNDI FUNDS ASIA EQUITY FOCUS</v>
          </cell>
          <cell r="C285" t="str">
            <v>Class E2 EUR (C)</v>
          </cell>
          <cell r="D285" t="str">
            <v>EUR</v>
          </cell>
          <cell r="E285" t="str">
            <v>01-Dec-2025</v>
          </cell>
          <cell r="F285">
            <v>27129292.5</v>
          </cell>
          <cell r="G285">
            <v>3620047.94</v>
          </cell>
          <cell r="H285">
            <v>7.4939999999999998</v>
          </cell>
          <cell r="I285">
            <v>0</v>
          </cell>
          <cell r="J285">
            <v>7.4939999999999998</v>
          </cell>
          <cell r="K285">
            <v>-2.1999999999999999E-2</v>
          </cell>
          <cell r="P285">
            <v>0</v>
          </cell>
        </row>
        <row r="286">
          <cell r="A286" t="str">
            <v>LU0823038988</v>
          </cell>
          <cell r="B286" t="str">
            <v>AMUNDI FUNDS ASIA EQUITY FOCUS</v>
          </cell>
          <cell r="C286" t="str">
            <v>Class A2 USD (C)</v>
          </cell>
          <cell r="D286" t="str">
            <v>USD</v>
          </cell>
          <cell r="E286" t="str">
            <v>01-Dec-2025</v>
          </cell>
          <cell r="F286">
            <v>14810289.449999999</v>
          </cell>
          <cell r="G286">
            <v>337841.21600000001</v>
          </cell>
          <cell r="H286">
            <v>43.84</v>
          </cell>
          <cell r="I286">
            <v>0</v>
          </cell>
          <cell r="J286">
            <v>43.84</v>
          </cell>
          <cell r="K286">
            <v>-0.03</v>
          </cell>
          <cell r="P286">
            <v>0</v>
          </cell>
        </row>
        <row r="287">
          <cell r="A287" t="str">
            <v>LU0823039010</v>
          </cell>
          <cell r="B287" t="str">
            <v>AMUNDI FUNDS ASIA EQUITY FOCUS</v>
          </cell>
          <cell r="C287" t="str">
            <v>Class A2 USD AD (D)</v>
          </cell>
          <cell r="D287" t="str">
            <v>USD</v>
          </cell>
          <cell r="E287" t="str">
            <v>01-Dec-2025</v>
          </cell>
          <cell r="F287">
            <v>1027469.72</v>
          </cell>
          <cell r="G287">
            <v>23890.016</v>
          </cell>
          <cell r="H287">
            <v>43.01</v>
          </cell>
          <cell r="I287">
            <v>0</v>
          </cell>
          <cell r="J287">
            <v>43.01</v>
          </cell>
          <cell r="K287">
            <v>-0.03</v>
          </cell>
          <cell r="P287">
            <v>0</v>
          </cell>
        </row>
        <row r="288">
          <cell r="A288" t="str">
            <v>LU1882444596</v>
          </cell>
          <cell r="B288" t="str">
            <v>AMUNDI FUNDS ASIA EQUITY FOCUS</v>
          </cell>
          <cell r="C288" t="str">
            <v>Class F EUR (C)</v>
          </cell>
          <cell r="D288" t="str">
            <v>EUR</v>
          </cell>
          <cell r="E288" t="str">
            <v>01-Dec-2025</v>
          </cell>
          <cell r="F288">
            <v>11235929.060000001</v>
          </cell>
          <cell r="G288">
            <v>1602806.746</v>
          </cell>
          <cell r="H288">
            <v>7.01</v>
          </cell>
          <cell r="I288">
            <v>0</v>
          </cell>
          <cell r="J288">
            <v>7.01</v>
          </cell>
          <cell r="K288">
            <v>-2.1000000000000001E-2</v>
          </cell>
          <cell r="P288">
            <v>0</v>
          </cell>
        </row>
        <row r="289">
          <cell r="A289" t="str">
            <v>LU0557854493</v>
          </cell>
          <cell r="B289" t="str">
            <v>AMUNDI FUNDS ASIA EQUITY FOCUS</v>
          </cell>
          <cell r="C289" t="str">
            <v>Class F2 USD (C)</v>
          </cell>
          <cell r="D289" t="str">
            <v>USD</v>
          </cell>
          <cell r="E289" t="str">
            <v>01-Dec-2025</v>
          </cell>
          <cell r="F289">
            <v>386406.45</v>
          </cell>
          <cell r="G289">
            <v>2818.0320000000002</v>
          </cell>
          <cell r="H289">
            <v>137.12</v>
          </cell>
          <cell r="I289">
            <v>0</v>
          </cell>
          <cell r="J289">
            <v>137.12</v>
          </cell>
          <cell r="K289">
            <v>-0.11</v>
          </cell>
          <cell r="P289">
            <v>0</v>
          </cell>
        </row>
        <row r="290">
          <cell r="A290" t="str">
            <v>LU1882444836</v>
          </cell>
          <cell r="B290" t="str">
            <v>AMUNDI FUNDS ASIA EQUITY FOCUS</v>
          </cell>
          <cell r="C290" t="str">
            <v>Class I2 USD (C)</v>
          </cell>
          <cell r="D290" t="str">
            <v>USD</v>
          </cell>
          <cell r="E290" t="str">
            <v>01-Dec-2025</v>
          </cell>
          <cell r="F290">
            <v>32908252.039999999</v>
          </cell>
          <cell r="G290">
            <v>19995.517</v>
          </cell>
          <cell r="H290">
            <v>1645.78</v>
          </cell>
          <cell r="I290">
            <v>0</v>
          </cell>
          <cell r="J290">
            <v>1645.78</v>
          </cell>
          <cell r="K290">
            <v>-1.1100000000000001</v>
          </cell>
          <cell r="P290">
            <v>0</v>
          </cell>
        </row>
        <row r="291">
          <cell r="A291" t="str">
            <v>LU1882444679</v>
          </cell>
          <cell r="B291" t="str">
            <v>AMUNDI FUNDS ASIA EQUITY FOCUS</v>
          </cell>
          <cell r="C291" t="str">
            <v>Class G EUR (C)</v>
          </cell>
          <cell r="D291" t="str">
            <v>EUR</v>
          </cell>
          <cell r="E291" t="str">
            <v>01-Dec-2025</v>
          </cell>
          <cell r="F291">
            <v>1176570.04</v>
          </cell>
          <cell r="G291">
            <v>163395.367</v>
          </cell>
          <cell r="H291">
            <v>7.2009999999999996</v>
          </cell>
          <cell r="I291">
            <v>0</v>
          </cell>
          <cell r="J291">
            <v>7.2009999999999996</v>
          </cell>
          <cell r="K291">
            <v>-2.1000000000000001E-2</v>
          </cell>
          <cell r="P291">
            <v>0</v>
          </cell>
        </row>
        <row r="292">
          <cell r="A292" t="str">
            <v>LU0329440605</v>
          </cell>
          <cell r="B292" t="str">
            <v>AMUNDI FUNDS ASIA EQUITY FOCUS</v>
          </cell>
          <cell r="C292" t="str">
            <v>Class M USD (C)</v>
          </cell>
          <cell r="D292" t="str">
            <v>USD</v>
          </cell>
          <cell r="E292" t="str">
            <v>01-Dec-2025</v>
          </cell>
          <cell r="F292">
            <v>3726.67</v>
          </cell>
          <cell r="G292">
            <v>22.707999999999998</v>
          </cell>
          <cell r="H292">
            <v>164.11</v>
          </cell>
          <cell r="I292">
            <v>0</v>
          </cell>
          <cell r="J292">
            <v>164.11</v>
          </cell>
          <cell r="K292">
            <v>-0.11</v>
          </cell>
          <cell r="P292">
            <v>0</v>
          </cell>
        </row>
        <row r="293">
          <cell r="A293" t="str">
            <v>LU1882445130</v>
          </cell>
          <cell r="B293" t="str">
            <v>AMUNDI FUNDS ASIA EQUITY FOCUS</v>
          </cell>
          <cell r="C293" t="str">
            <v>Class R2 EUR (C)</v>
          </cell>
          <cell r="D293" t="str">
            <v>EUR</v>
          </cell>
          <cell r="E293" t="str">
            <v>01-Dec-2025</v>
          </cell>
          <cell r="F293">
            <v>4267867.6399999997</v>
          </cell>
          <cell r="G293">
            <v>54969.374000000003</v>
          </cell>
          <cell r="H293">
            <v>77.64</v>
          </cell>
          <cell r="I293">
            <v>0</v>
          </cell>
          <cell r="J293">
            <v>77.64</v>
          </cell>
          <cell r="K293">
            <v>-0.22</v>
          </cell>
          <cell r="P293">
            <v>0</v>
          </cell>
        </row>
        <row r="294">
          <cell r="A294" t="str">
            <v>LU1882445213</v>
          </cell>
          <cell r="B294" t="str">
            <v>AMUNDI FUNDS ASIA EQUITY FOCUS</v>
          </cell>
          <cell r="C294" t="str">
            <v>Class R2 USD (C)</v>
          </cell>
          <cell r="D294" t="str">
            <v>USD</v>
          </cell>
          <cell r="E294" t="str">
            <v>01-Dec-2025</v>
          </cell>
          <cell r="F294">
            <v>7910.65</v>
          </cell>
          <cell r="G294">
            <v>100</v>
          </cell>
          <cell r="H294">
            <v>79.11</v>
          </cell>
          <cell r="I294">
            <v>0</v>
          </cell>
          <cell r="J294">
            <v>79.11</v>
          </cell>
          <cell r="K294">
            <v>-0.05</v>
          </cell>
          <cell r="P294">
            <v>0</v>
          </cell>
        </row>
        <row r="295">
          <cell r="A295" t="str">
            <v>LU0119086162</v>
          </cell>
          <cell r="B295" t="str">
            <v>AMUNDI FUNDS ASIA EQUITY FOCUS</v>
          </cell>
          <cell r="C295" t="str">
            <v>Class G USD (C)</v>
          </cell>
          <cell r="D295" t="str">
            <v>USD</v>
          </cell>
          <cell r="E295" t="str">
            <v>01-Dec-2025</v>
          </cell>
          <cell r="F295">
            <v>5706141.6200000001</v>
          </cell>
          <cell r="G295">
            <v>141209.348</v>
          </cell>
          <cell r="H295">
            <v>40.409999999999997</v>
          </cell>
          <cell r="I295">
            <v>0</v>
          </cell>
          <cell r="J295">
            <v>41.62</v>
          </cell>
          <cell r="K295">
            <v>-0.03</v>
          </cell>
          <cell r="P295">
            <v>0</v>
          </cell>
        </row>
        <row r="296">
          <cell r="A296" t="str">
            <v>LU1103154735</v>
          </cell>
          <cell r="B296" t="str">
            <v>AMUNDI FUNDS ASIA EQUITY FOCUS</v>
          </cell>
          <cell r="C296" t="str">
            <v>Class G EUR Hgd (C)</v>
          </cell>
          <cell r="D296" t="str">
            <v>EUR</v>
          </cell>
          <cell r="E296" t="str">
            <v>01-Dec-2025</v>
          </cell>
          <cell r="F296">
            <v>2249194.64</v>
          </cell>
          <cell r="G296">
            <v>18077.633999999998</v>
          </cell>
          <cell r="H296">
            <v>124.42</v>
          </cell>
          <cell r="I296">
            <v>0</v>
          </cell>
          <cell r="J296">
            <v>128.15</v>
          </cell>
          <cell r="K296">
            <v>-0.1</v>
          </cell>
          <cell r="P296">
            <v>0</v>
          </cell>
        </row>
        <row r="297">
          <cell r="A297" t="str">
            <v>LU1706528780</v>
          </cell>
          <cell r="B297" t="str">
            <v>AMUNDI FUNDS EMERGING MARKETS EQUITY FOCUS</v>
          </cell>
          <cell r="C297" t="str">
            <v>Class Q-A5 CZK (C)</v>
          </cell>
          <cell r="D297" t="str">
            <v>CZK</v>
          </cell>
          <cell r="E297" t="str">
            <v>01-Dec-2025</v>
          </cell>
          <cell r="F297">
            <v>304192.7</v>
          </cell>
          <cell r="G297">
            <v>91.786000000000001</v>
          </cell>
          <cell r="H297">
            <v>3314.15</v>
          </cell>
          <cell r="I297">
            <v>0</v>
          </cell>
          <cell r="J297">
            <v>3314.15</v>
          </cell>
          <cell r="K297">
            <v>-3.88</v>
          </cell>
          <cell r="P297">
            <v>0</v>
          </cell>
        </row>
        <row r="298">
          <cell r="A298" t="str">
            <v>LU0552028184</v>
          </cell>
          <cell r="B298" t="str">
            <v>AMUNDI FUNDS EMERGING MARKETS EQUITY FOCUS</v>
          </cell>
          <cell r="C298" t="str">
            <v>Class A EUR (C)</v>
          </cell>
          <cell r="D298" t="str">
            <v>EUR</v>
          </cell>
          <cell r="E298" t="str">
            <v>01-Dec-2025</v>
          </cell>
          <cell r="F298">
            <v>310081541.19999999</v>
          </cell>
          <cell r="G298">
            <v>1688275.9669999999</v>
          </cell>
          <cell r="H298">
            <v>183.67</v>
          </cell>
          <cell r="I298">
            <v>0</v>
          </cell>
          <cell r="J298">
            <v>191.94</v>
          </cell>
          <cell r="K298">
            <v>-0.1</v>
          </cell>
          <cell r="P298">
            <v>0</v>
          </cell>
        </row>
        <row r="299">
          <cell r="A299" t="str">
            <v>LU0319685854</v>
          </cell>
          <cell r="B299" t="str">
            <v>AMUNDI FUNDS EMERGING MARKETS EQUITY FOCUS</v>
          </cell>
          <cell r="C299" t="str">
            <v>Class A USD (C)</v>
          </cell>
          <cell r="D299" t="str">
            <v>USD</v>
          </cell>
          <cell r="E299" t="str">
            <v>01-Dec-2025</v>
          </cell>
          <cell r="F299">
            <v>38741705.020000003</v>
          </cell>
          <cell r="G299">
            <v>247850.88699999999</v>
          </cell>
          <cell r="H299">
            <v>156.31</v>
          </cell>
          <cell r="I299">
            <v>0</v>
          </cell>
          <cell r="J299">
            <v>163.34</v>
          </cell>
          <cell r="K299">
            <v>0.25</v>
          </cell>
          <cell r="P299">
            <v>0</v>
          </cell>
        </row>
        <row r="300">
          <cell r="A300" t="str">
            <v>LU2032055209</v>
          </cell>
          <cell r="B300" t="str">
            <v>AMUNDI FUNDS EMERGING MARKETS EQUITY FOCUS</v>
          </cell>
          <cell r="C300" t="str">
            <v>Class A5 EUR (C)</v>
          </cell>
          <cell r="D300" t="str">
            <v>EUR</v>
          </cell>
          <cell r="E300" t="str">
            <v>01-Dec-2025</v>
          </cell>
          <cell r="F300">
            <v>676505.93</v>
          </cell>
          <cell r="G300">
            <v>9580.6209999999992</v>
          </cell>
          <cell r="H300">
            <v>70.61</v>
          </cell>
          <cell r="I300">
            <v>0</v>
          </cell>
          <cell r="J300">
            <v>70.61</v>
          </cell>
          <cell r="K300">
            <v>-0.04</v>
          </cell>
          <cell r="P300">
            <v>0</v>
          </cell>
        </row>
        <row r="301">
          <cell r="A301" t="str">
            <v>LU2032055464</v>
          </cell>
          <cell r="B301" t="str">
            <v>AMUNDI FUNDS EMERGING MARKETS EQUITY FOCUS</v>
          </cell>
          <cell r="C301" t="str">
            <v>Class A6 EUR (C)</v>
          </cell>
          <cell r="D301" t="str">
            <v>EUR</v>
          </cell>
          <cell r="E301" t="str">
            <v>01-Dec-2025</v>
          </cell>
          <cell r="F301">
            <v>7945874.71</v>
          </cell>
          <cell r="G301">
            <v>115834.09299999999</v>
          </cell>
          <cell r="H301">
            <v>68.599999999999994</v>
          </cell>
          <cell r="I301">
            <v>0</v>
          </cell>
          <cell r="J301">
            <v>68.599999999999994</v>
          </cell>
          <cell r="K301">
            <v>-0.04</v>
          </cell>
          <cell r="P301">
            <v>0</v>
          </cell>
        </row>
        <row r="302">
          <cell r="A302" t="str">
            <v>LU1808314444</v>
          </cell>
          <cell r="B302" t="str">
            <v>AMUNDI FUNDS EMERGING MARKETS EQUITY FOCUS</v>
          </cell>
          <cell r="C302" t="str">
            <v>Class A CHF Hgd (C)</v>
          </cell>
          <cell r="D302" t="str">
            <v>CHF</v>
          </cell>
          <cell r="E302" t="str">
            <v>01-Dec-2025</v>
          </cell>
          <cell r="F302">
            <v>2640255.61</v>
          </cell>
          <cell r="G302">
            <v>26654.165000000001</v>
          </cell>
          <cell r="H302">
            <v>99.06</v>
          </cell>
          <cell r="I302">
            <v>0</v>
          </cell>
          <cell r="J302">
            <v>99.06</v>
          </cell>
          <cell r="K302">
            <v>0.15</v>
          </cell>
          <cell r="P302">
            <v>0</v>
          </cell>
        </row>
        <row r="303">
          <cell r="A303" t="str">
            <v>LU0613075240</v>
          </cell>
          <cell r="B303" t="str">
            <v>AMUNDI FUNDS EMERGING MARKETS EQUITY FOCUS</v>
          </cell>
          <cell r="C303" t="str">
            <v>Class A EUR Hgd (C)</v>
          </cell>
          <cell r="D303" t="str">
            <v>EUR</v>
          </cell>
          <cell r="E303" t="str">
            <v>01-Dec-2025</v>
          </cell>
          <cell r="F303">
            <v>50593594.219999999</v>
          </cell>
          <cell r="G303">
            <v>411802.02</v>
          </cell>
          <cell r="H303">
            <v>122.86</v>
          </cell>
          <cell r="I303">
            <v>0</v>
          </cell>
          <cell r="J303">
            <v>128.38999999999999</v>
          </cell>
          <cell r="K303">
            <v>0.19</v>
          </cell>
          <cell r="P303">
            <v>0</v>
          </cell>
        </row>
        <row r="304">
          <cell r="A304" t="str">
            <v>LU0552028341</v>
          </cell>
          <cell r="B304" t="str">
            <v>AMUNDI FUNDS EMERGING MARKETS EQUITY FOCUS</v>
          </cell>
          <cell r="C304" t="str">
            <v>Class A EUR AD (D)</v>
          </cell>
          <cell r="D304" t="str">
            <v>EUR</v>
          </cell>
          <cell r="E304" t="str">
            <v>01-Dec-2025</v>
          </cell>
          <cell r="F304">
            <v>23171188.440000001</v>
          </cell>
          <cell r="G304">
            <v>135760.15</v>
          </cell>
          <cell r="H304">
            <v>170.68</v>
          </cell>
          <cell r="I304">
            <v>0</v>
          </cell>
          <cell r="J304">
            <v>178.36</v>
          </cell>
          <cell r="K304">
            <v>-0.09</v>
          </cell>
          <cell r="P304">
            <v>0</v>
          </cell>
        </row>
        <row r="305">
          <cell r="A305" t="str">
            <v>LU0319686076</v>
          </cell>
          <cell r="B305" t="str">
            <v>AMUNDI FUNDS EMERGING MARKETS EQUITY FOCUS</v>
          </cell>
          <cell r="C305" t="str">
            <v>Class A USD AD (D)</v>
          </cell>
          <cell r="D305" t="str">
            <v>USD</v>
          </cell>
          <cell r="E305" t="str">
            <v>01-Dec-2025</v>
          </cell>
          <cell r="F305">
            <v>9240106.5099999998</v>
          </cell>
          <cell r="G305">
            <v>43985.705999999998</v>
          </cell>
          <cell r="H305">
            <v>210.07</v>
          </cell>
          <cell r="I305">
            <v>0</v>
          </cell>
          <cell r="J305">
            <v>219.52</v>
          </cell>
          <cell r="K305">
            <v>0.33</v>
          </cell>
          <cell r="P305">
            <v>0</v>
          </cell>
        </row>
        <row r="306">
          <cell r="A306" t="str">
            <v>LU2070309880</v>
          </cell>
          <cell r="B306" t="str">
            <v>AMUNDI FUNDS EMERGING MARKETS EQUITY FOCUS</v>
          </cell>
          <cell r="C306" t="str">
            <v>Class A2 EUR (C)</v>
          </cell>
          <cell r="D306" t="str">
            <v>EUR</v>
          </cell>
          <cell r="E306" t="str">
            <v>01-Dec-2025</v>
          </cell>
          <cell r="F306">
            <v>383266431.25999999</v>
          </cell>
          <cell r="G306">
            <v>5876651.0429999996</v>
          </cell>
          <cell r="H306">
            <v>65.22</v>
          </cell>
          <cell r="I306">
            <v>0</v>
          </cell>
          <cell r="J306">
            <v>68.150000000000006</v>
          </cell>
          <cell r="K306">
            <v>-0.03</v>
          </cell>
          <cell r="P306">
            <v>0</v>
          </cell>
        </row>
        <row r="307">
          <cell r="A307" t="str">
            <v>LU2036674005</v>
          </cell>
          <cell r="B307" t="str">
            <v>AMUNDI FUNDS EMERGING MARKETS EQUITY FOCUS</v>
          </cell>
          <cell r="C307" t="str">
            <v>Class E2 EUR (C)</v>
          </cell>
          <cell r="D307" t="str">
            <v>EUR</v>
          </cell>
          <cell r="E307" t="str">
            <v>01-Dec-2025</v>
          </cell>
          <cell r="F307">
            <v>63089994.399999999</v>
          </cell>
          <cell r="G307">
            <v>9172768.7699999996</v>
          </cell>
          <cell r="H307">
            <v>6.8780000000000001</v>
          </cell>
          <cell r="I307">
            <v>0</v>
          </cell>
          <cell r="J307">
            <v>6.8780000000000001</v>
          </cell>
          <cell r="K307">
            <v>-4.0000000000000001E-3</v>
          </cell>
          <cell r="P307">
            <v>0</v>
          </cell>
        </row>
        <row r="308">
          <cell r="A308" t="str">
            <v>LU0823040885</v>
          </cell>
          <cell r="B308" t="str">
            <v>AMUNDI FUNDS EMERGING MARKETS EQUITY FOCUS</v>
          </cell>
          <cell r="C308" t="str">
            <v>Class A2 USD (C)</v>
          </cell>
          <cell r="D308" t="str">
            <v>USD</v>
          </cell>
          <cell r="E308" t="str">
            <v>01-Dec-2025</v>
          </cell>
          <cell r="F308">
            <v>8016464.6399999997</v>
          </cell>
          <cell r="G308">
            <v>50904.415000000001</v>
          </cell>
          <cell r="H308">
            <v>157.47999999999999</v>
          </cell>
          <cell r="I308">
            <v>0</v>
          </cell>
          <cell r="J308">
            <v>157.47999999999999</v>
          </cell>
          <cell r="K308">
            <v>0.25</v>
          </cell>
          <cell r="P308">
            <v>0</v>
          </cell>
        </row>
        <row r="309">
          <cell r="A309" t="str">
            <v>LU0557857595</v>
          </cell>
          <cell r="B309" t="str">
            <v>AMUNDI FUNDS EMERGING MARKETS EQUITY FOCUS</v>
          </cell>
          <cell r="C309" t="str">
            <v>Class F2 USD (C)</v>
          </cell>
          <cell r="D309" t="str">
            <v>USD</v>
          </cell>
          <cell r="E309" t="str">
            <v>01-Dec-2025</v>
          </cell>
          <cell r="F309">
            <v>944274.54</v>
          </cell>
          <cell r="G309">
            <v>7110.0330000000004</v>
          </cell>
          <cell r="H309">
            <v>132.81</v>
          </cell>
          <cell r="I309">
            <v>0</v>
          </cell>
          <cell r="J309">
            <v>132.81</v>
          </cell>
          <cell r="K309">
            <v>0.2</v>
          </cell>
          <cell r="P309">
            <v>0</v>
          </cell>
        </row>
        <row r="310">
          <cell r="A310" t="str">
            <v>LU2018721543</v>
          </cell>
          <cell r="B310" t="str">
            <v>AMUNDI FUNDS EMERGING MARKETS EQUITY FOCUS</v>
          </cell>
          <cell r="C310" t="str">
            <v>Class F USD (C)</v>
          </cell>
          <cell r="D310" t="str">
            <v>USD</v>
          </cell>
          <cell r="E310" t="str">
            <v>01-Dec-2025</v>
          </cell>
          <cell r="F310">
            <v>293237.78000000003</v>
          </cell>
          <cell r="G310">
            <v>43071.553999999996</v>
          </cell>
          <cell r="H310">
            <v>6.8079999999999998</v>
          </cell>
          <cell r="I310">
            <v>0</v>
          </cell>
          <cell r="J310">
            <v>6.8079999999999998</v>
          </cell>
          <cell r="K310">
            <v>0.01</v>
          </cell>
          <cell r="P310">
            <v>0</v>
          </cell>
        </row>
        <row r="311">
          <cell r="A311" t="str">
            <v>LU2002720568</v>
          </cell>
          <cell r="B311" t="str">
            <v>AMUNDI FUNDS EMERGING MARKETS EQUITY FOCUS</v>
          </cell>
          <cell r="C311" t="str">
            <v>Class M2 USD ( C )</v>
          </cell>
          <cell r="D311" t="str">
            <v>USD</v>
          </cell>
          <cell r="E311" t="str">
            <v>01-Dec-2025</v>
          </cell>
          <cell r="F311">
            <v>88051757.629999995</v>
          </cell>
          <cell r="G311">
            <v>54822.421999999999</v>
          </cell>
          <cell r="H311">
            <v>1606.13</v>
          </cell>
          <cell r="I311">
            <v>0</v>
          </cell>
          <cell r="J311">
            <v>1606.13</v>
          </cell>
          <cell r="K311">
            <v>2.62</v>
          </cell>
          <cell r="P311">
            <v>0</v>
          </cell>
        </row>
        <row r="312">
          <cell r="A312" t="str">
            <v>LU2098275659</v>
          </cell>
          <cell r="B312" t="str">
            <v>AMUNDI FUNDS EMERGING MARKETS EQUITY FOCUS</v>
          </cell>
          <cell r="C312" t="str">
            <v>Class I2 EUR (C)</v>
          </cell>
          <cell r="D312" t="str">
            <v>EUR</v>
          </cell>
          <cell r="E312" t="str">
            <v>01-Dec-2025</v>
          </cell>
          <cell r="F312">
            <v>153763956.15000001</v>
          </cell>
          <cell r="G312">
            <v>120805.60400000001</v>
          </cell>
          <cell r="H312">
            <v>1272.82</v>
          </cell>
          <cell r="I312">
            <v>0</v>
          </cell>
          <cell r="J312">
            <v>1272.82</v>
          </cell>
          <cell r="K312">
            <v>-0.61</v>
          </cell>
          <cell r="P312">
            <v>0</v>
          </cell>
        </row>
        <row r="313">
          <cell r="A313" t="str">
            <v>LU0319685342</v>
          </cell>
          <cell r="B313" t="str">
            <v>AMUNDI FUNDS EMERGING MARKETS EQUITY FOCUS</v>
          </cell>
          <cell r="C313" t="str">
            <v>Class I USD (C)</v>
          </cell>
          <cell r="D313" t="str">
            <v>USD</v>
          </cell>
          <cell r="E313" t="str">
            <v>01-Dec-2025</v>
          </cell>
          <cell r="F313">
            <v>80620731.109999999</v>
          </cell>
          <cell r="G313">
            <v>45148.648000000001</v>
          </cell>
          <cell r="H313">
            <v>1785.67</v>
          </cell>
          <cell r="I313">
            <v>0</v>
          </cell>
          <cell r="J313">
            <v>1785.67</v>
          </cell>
          <cell r="K313">
            <v>2.92</v>
          </cell>
          <cell r="P313">
            <v>0</v>
          </cell>
        </row>
        <row r="314">
          <cell r="A314" t="str">
            <v>LU2696142939</v>
          </cell>
          <cell r="B314" t="str">
            <v>AMUNDI FUNDS EMERGING MARKETS EQUITY FOCUS</v>
          </cell>
          <cell r="C314" t="str">
            <v>Class I18 USD (C)</v>
          </cell>
          <cell r="D314" t="str">
            <v>USD</v>
          </cell>
          <cell r="E314" t="str">
            <v>01-Dec-2025</v>
          </cell>
          <cell r="F314">
            <v>141408724.28999999</v>
          </cell>
          <cell r="G314">
            <v>100000</v>
          </cell>
          <cell r="H314">
            <v>1414.09</v>
          </cell>
          <cell r="I314">
            <v>0</v>
          </cell>
          <cell r="J314">
            <v>1414.09</v>
          </cell>
          <cell r="K314">
            <v>2.38</v>
          </cell>
          <cell r="P314">
            <v>0</v>
          </cell>
        </row>
        <row r="315">
          <cell r="A315" t="str">
            <v>LU2696143150</v>
          </cell>
          <cell r="B315" t="str">
            <v>AMUNDI FUNDS EMERGING MARKETS EQUITY FOCUS</v>
          </cell>
          <cell r="C315" t="str">
            <v>Class I20 USD (C)</v>
          </cell>
          <cell r="D315" t="str">
            <v>USD</v>
          </cell>
          <cell r="E315" t="str">
            <v>01-Dec-2025</v>
          </cell>
          <cell r="F315">
            <v>449372659.75</v>
          </cell>
          <cell r="G315">
            <v>326576.35200000001</v>
          </cell>
          <cell r="H315">
            <v>1376.01</v>
          </cell>
          <cell r="I315">
            <v>0</v>
          </cell>
          <cell r="J315">
            <v>1376.01</v>
          </cell>
          <cell r="K315">
            <v>2.31</v>
          </cell>
          <cell r="P315">
            <v>0</v>
          </cell>
        </row>
        <row r="316">
          <cell r="A316" t="str">
            <v>LU1897303738</v>
          </cell>
          <cell r="B316" t="str">
            <v>AMUNDI FUNDS EMERGING MARKETS EQUITY FOCUS</v>
          </cell>
          <cell r="C316" t="str">
            <v>Class I2 GBP (C)</v>
          </cell>
          <cell r="D316" t="str">
            <v>GBP</v>
          </cell>
          <cell r="E316" t="str">
            <v>01-Dec-2025</v>
          </cell>
          <cell r="F316">
            <v>118209469.42</v>
          </cell>
          <cell r="G316">
            <v>82724.22</v>
          </cell>
          <cell r="H316">
            <v>1428.96</v>
          </cell>
          <cell r="I316">
            <v>0</v>
          </cell>
          <cell r="J316">
            <v>1428.96</v>
          </cell>
          <cell r="K316">
            <v>2.08</v>
          </cell>
          <cell r="P316">
            <v>0</v>
          </cell>
        </row>
        <row r="317">
          <cell r="A317" t="str">
            <v>LU2801257689</v>
          </cell>
          <cell r="B317" t="str">
            <v>AMUNDI FUNDS EMERGING MARKETS EQUITY FOCUS</v>
          </cell>
          <cell r="C317" t="str">
            <v>Class I21 EUR (C)</v>
          </cell>
          <cell r="D317" t="str">
            <v>EUR</v>
          </cell>
          <cell r="E317" t="str">
            <v>01-Dec-2025</v>
          </cell>
          <cell r="F317">
            <v>78372589.819999993</v>
          </cell>
          <cell r="G317">
            <v>68137.778999999995</v>
          </cell>
          <cell r="H317">
            <v>1150.21</v>
          </cell>
          <cell r="I317">
            <v>0</v>
          </cell>
          <cell r="J317">
            <v>1150.21</v>
          </cell>
          <cell r="K317">
            <v>-0.49</v>
          </cell>
          <cell r="P317">
            <v>0</v>
          </cell>
        </row>
        <row r="318">
          <cell r="A318" t="str">
            <v>LU2609514240</v>
          </cell>
          <cell r="B318" t="str">
            <v>AMUNDI FUNDS EMERGING MARKETS EQUITY FOCUS</v>
          </cell>
          <cell r="C318" t="str">
            <v>Class I2 USD (C)</v>
          </cell>
          <cell r="D318" t="str">
            <v>USD</v>
          </cell>
          <cell r="E318" t="str">
            <v>01-Dec-2025</v>
          </cell>
          <cell r="F318">
            <v>10038252.32</v>
          </cell>
          <cell r="G318">
            <v>7589.9620000000004</v>
          </cell>
          <cell r="H318">
            <v>1322.57</v>
          </cell>
          <cell r="I318">
            <v>0</v>
          </cell>
          <cell r="J318">
            <v>1322.57</v>
          </cell>
          <cell r="K318">
            <v>2.15</v>
          </cell>
          <cell r="P318">
            <v>0</v>
          </cell>
        </row>
        <row r="319">
          <cell r="A319" t="str">
            <v>LU2085675788</v>
          </cell>
          <cell r="B319" t="str">
            <v>AMUNDI FUNDS EMERGING MARKETS EQUITY FOCUS</v>
          </cell>
          <cell r="C319" t="str">
            <v>Class J2 USD (C)</v>
          </cell>
          <cell r="D319" t="str">
            <v>USD</v>
          </cell>
          <cell r="E319" t="str">
            <v>01-Dec-2025</v>
          </cell>
          <cell r="F319">
            <v>134492904.58000001</v>
          </cell>
          <cell r="G319">
            <v>95579.774000000005</v>
          </cell>
          <cell r="H319">
            <v>1407.13</v>
          </cell>
          <cell r="I319">
            <v>0</v>
          </cell>
          <cell r="J319">
            <v>1407.13</v>
          </cell>
          <cell r="K319">
            <v>2.3199999999999998</v>
          </cell>
          <cell r="P319">
            <v>0</v>
          </cell>
        </row>
        <row r="320">
          <cell r="A320" t="str">
            <v>LU2643913184</v>
          </cell>
          <cell r="B320" t="str">
            <v>AMUNDI FUNDS EMERGING MARKETS EQUITY FOCUS</v>
          </cell>
          <cell r="C320" t="str">
            <v>Class J5 EUR (C)</v>
          </cell>
          <cell r="D320" t="str">
            <v>EUR</v>
          </cell>
          <cell r="E320" t="str">
            <v>01-Dec-2025</v>
          </cell>
          <cell r="F320">
            <v>2408202.42</v>
          </cell>
          <cell r="G320">
            <v>1866.18</v>
          </cell>
          <cell r="H320">
            <v>1290.44</v>
          </cell>
          <cell r="I320">
            <v>0</v>
          </cell>
          <cell r="J320">
            <v>1290.44</v>
          </cell>
          <cell r="K320">
            <v>-0.57999999999999996</v>
          </cell>
          <cell r="P320">
            <v>0</v>
          </cell>
        </row>
        <row r="321">
          <cell r="A321" t="str">
            <v>LU2237439190</v>
          </cell>
          <cell r="B321" t="str">
            <v>AMUNDI FUNDS EMERGING MARKETS EQUITY FOCUS</v>
          </cell>
          <cell r="C321" t="str">
            <v>Class M2 EUR (C)</v>
          </cell>
          <cell r="D321" t="str">
            <v>EUR</v>
          </cell>
          <cell r="E321" t="str">
            <v>01-Dec-2025</v>
          </cell>
          <cell r="F321">
            <v>4344100.38</v>
          </cell>
          <cell r="G321">
            <v>3338.721</v>
          </cell>
          <cell r="H321">
            <v>1301.1300000000001</v>
          </cell>
          <cell r="I321">
            <v>0</v>
          </cell>
          <cell r="J321">
            <v>1301.1300000000001</v>
          </cell>
          <cell r="K321">
            <v>-0.62</v>
          </cell>
          <cell r="P321">
            <v>0</v>
          </cell>
        </row>
        <row r="322">
          <cell r="A322" t="str">
            <v>LU0329442304</v>
          </cell>
          <cell r="B322" t="str">
            <v>AMUNDI FUNDS EMERGING MARKETS EQUITY FOCUS</v>
          </cell>
          <cell r="C322" t="str">
            <v>Class M USD (C)</v>
          </cell>
          <cell r="D322" t="str">
            <v>USD</v>
          </cell>
          <cell r="E322" t="str">
            <v>01-Dec-2025</v>
          </cell>
          <cell r="F322">
            <v>32711202.399999999</v>
          </cell>
          <cell r="G322">
            <v>173222.924</v>
          </cell>
          <cell r="H322">
            <v>188.84</v>
          </cell>
          <cell r="I322">
            <v>0</v>
          </cell>
          <cell r="J322">
            <v>188.84</v>
          </cell>
          <cell r="K322">
            <v>0.31</v>
          </cell>
          <cell r="P322">
            <v>0</v>
          </cell>
        </row>
        <row r="323">
          <cell r="A323" t="str">
            <v>LU2446087871</v>
          </cell>
          <cell r="B323" t="str">
            <v>AMUNDI FUNDS EMERGING MARKETS EQUITY FOCUS</v>
          </cell>
          <cell r="C323" t="str">
            <v>Class R2 EUR (C)</v>
          </cell>
          <cell r="D323" t="str">
            <v>EUR</v>
          </cell>
          <cell r="E323" t="str">
            <v>01-Dec-2025</v>
          </cell>
          <cell r="F323">
            <v>57364134.780000001</v>
          </cell>
          <cell r="G323">
            <v>900354.58499999996</v>
          </cell>
          <cell r="H323">
            <v>63.71</v>
          </cell>
          <cell r="I323">
            <v>0</v>
          </cell>
          <cell r="J323">
            <v>63.71</v>
          </cell>
          <cell r="K323">
            <v>-0.03</v>
          </cell>
          <cell r="P323">
            <v>0</v>
          </cell>
        </row>
        <row r="324">
          <cell r="A324" t="str">
            <v>LU1600318916</v>
          </cell>
          <cell r="B324" t="str">
            <v>AMUNDI FUNDS EMERGING MARKETS EQUITY FOCUS</v>
          </cell>
          <cell r="C324" t="str">
            <v>Class Q-OF EUR (C)</v>
          </cell>
          <cell r="D324" t="str">
            <v>EUR</v>
          </cell>
          <cell r="E324" t="str">
            <v>01-Dec-2025</v>
          </cell>
          <cell r="F324">
            <v>3822241.32</v>
          </cell>
          <cell r="G324">
            <v>2480.116</v>
          </cell>
          <cell r="H324">
            <v>1541.15</v>
          </cell>
          <cell r="I324">
            <v>0</v>
          </cell>
          <cell r="J324">
            <v>1541.15</v>
          </cell>
          <cell r="K324">
            <v>-0.62</v>
          </cell>
          <cell r="P324">
            <v>0</v>
          </cell>
        </row>
        <row r="325">
          <cell r="A325" t="str">
            <v>LU2052289340</v>
          </cell>
          <cell r="B325" t="str">
            <v>AMUNDI FUNDS EMERGING MARKETS EQUITY FOCUS</v>
          </cell>
          <cell r="C325" t="str">
            <v>Class P2 USD (C)</v>
          </cell>
          <cell r="D325" t="str">
            <v>USD</v>
          </cell>
          <cell r="E325" t="str">
            <v>01-Dec-2025</v>
          </cell>
          <cell r="F325">
            <v>98333.24</v>
          </cell>
          <cell r="G325">
            <v>1327.721</v>
          </cell>
          <cell r="H325">
            <v>74.06</v>
          </cell>
          <cell r="I325">
            <v>0</v>
          </cell>
          <cell r="J325">
            <v>74.06</v>
          </cell>
          <cell r="K325">
            <v>0.12</v>
          </cell>
          <cell r="P325">
            <v>0</v>
          </cell>
        </row>
        <row r="326">
          <cell r="A326" t="str">
            <v>LU1661675402</v>
          </cell>
          <cell r="B326" t="str">
            <v>AMUNDI FUNDS EMERGING MARKETS EQUITY FOCUS</v>
          </cell>
          <cell r="C326" t="str">
            <v>Class R USD (C)</v>
          </cell>
          <cell r="D326" t="str">
            <v>USD</v>
          </cell>
          <cell r="E326" t="str">
            <v>01-Dec-2025</v>
          </cell>
          <cell r="F326">
            <v>2386558.4900000002</v>
          </cell>
          <cell r="G326">
            <v>16187.436</v>
          </cell>
          <cell r="H326">
            <v>147.43</v>
          </cell>
          <cell r="I326">
            <v>0</v>
          </cell>
          <cell r="J326">
            <v>147.43</v>
          </cell>
          <cell r="K326">
            <v>0.24</v>
          </cell>
          <cell r="P326">
            <v>0</v>
          </cell>
        </row>
        <row r="327">
          <cell r="A327" t="str">
            <v>LU0823040455</v>
          </cell>
          <cell r="B327" t="str">
            <v>AMUNDI FUNDS EMERGING MARKETS EQUITY FOCUS</v>
          </cell>
          <cell r="C327" t="str">
            <v>Class R EUR Hgd (C)</v>
          </cell>
          <cell r="D327" t="str">
            <v>EUR</v>
          </cell>
          <cell r="E327" t="str">
            <v>01-Dec-2025</v>
          </cell>
          <cell r="F327">
            <v>1705124.58</v>
          </cell>
          <cell r="G327">
            <v>14628.288</v>
          </cell>
          <cell r="H327">
            <v>116.56</v>
          </cell>
          <cell r="I327">
            <v>0</v>
          </cell>
          <cell r="J327">
            <v>116.56</v>
          </cell>
          <cell r="K327">
            <v>0.18</v>
          </cell>
          <cell r="P327">
            <v>0</v>
          </cell>
        </row>
        <row r="328">
          <cell r="A328" t="str">
            <v>LU0987197331</v>
          </cell>
          <cell r="B328" t="str">
            <v>AMUNDI FUNDS EMERGING MARKETS EQUITY FOCUS</v>
          </cell>
          <cell r="C328" t="str">
            <v>Class R GBP Hgd (C)</v>
          </cell>
          <cell r="D328" t="str">
            <v>GBP</v>
          </cell>
          <cell r="E328" t="str">
            <v>01-Dec-2025</v>
          </cell>
          <cell r="F328">
            <v>150480.18</v>
          </cell>
          <cell r="G328">
            <v>1015</v>
          </cell>
          <cell r="H328">
            <v>148.26</v>
          </cell>
          <cell r="I328">
            <v>0</v>
          </cell>
          <cell r="J328">
            <v>148.26</v>
          </cell>
          <cell r="K328">
            <v>0.25</v>
          </cell>
          <cell r="P328">
            <v>0</v>
          </cell>
        </row>
        <row r="329">
          <cell r="A329" t="str">
            <v>LU0552028770</v>
          </cell>
          <cell r="B329" t="str">
            <v>AMUNDI FUNDS EMERGING MARKETS EQUITY FOCUS</v>
          </cell>
          <cell r="C329" t="str">
            <v>Class G EUR (C)</v>
          </cell>
          <cell r="D329" t="str">
            <v>EUR</v>
          </cell>
          <cell r="E329" t="str">
            <v>01-Dec-2025</v>
          </cell>
          <cell r="F329">
            <v>49496368.960000001</v>
          </cell>
          <cell r="G329">
            <v>277311.60100000002</v>
          </cell>
          <cell r="H329">
            <v>178.49</v>
          </cell>
          <cell r="I329">
            <v>0</v>
          </cell>
          <cell r="J329">
            <v>183.84</v>
          </cell>
          <cell r="K329">
            <v>-0.1</v>
          </cell>
          <cell r="P329">
            <v>0</v>
          </cell>
        </row>
        <row r="330">
          <cell r="A330" t="str">
            <v>LU0319686159</v>
          </cell>
          <cell r="B330" t="str">
            <v>AMUNDI FUNDS EMERGING MARKETS EQUITY FOCUS</v>
          </cell>
          <cell r="C330" t="str">
            <v>Class G USD (C)</v>
          </cell>
          <cell r="D330" t="str">
            <v>USD</v>
          </cell>
          <cell r="E330" t="str">
            <v>01-Dec-2025</v>
          </cell>
          <cell r="F330">
            <v>13026321.6</v>
          </cell>
          <cell r="G330">
            <v>90119.604999999996</v>
          </cell>
          <cell r="H330">
            <v>144.54</v>
          </cell>
          <cell r="I330">
            <v>0</v>
          </cell>
          <cell r="J330">
            <v>148.88</v>
          </cell>
          <cell r="K330">
            <v>0.22</v>
          </cell>
          <cell r="P330">
            <v>0</v>
          </cell>
        </row>
        <row r="331">
          <cell r="A331" t="str">
            <v>LU0906530919</v>
          </cell>
          <cell r="B331" t="str">
            <v>AMUNDI FUNDS EMERGING MARKETS EQUITY FOCUS</v>
          </cell>
          <cell r="C331" t="str">
            <v>Class Q-I8 USD (C)</v>
          </cell>
          <cell r="D331" t="str">
            <v>USD</v>
          </cell>
          <cell r="E331" t="str">
            <v>01-Dec-2025</v>
          </cell>
          <cell r="F331">
            <v>95621222.25</v>
          </cell>
          <cell r="G331">
            <v>59900.165000000001</v>
          </cell>
          <cell r="H331">
            <v>1596.34</v>
          </cell>
          <cell r="I331">
            <v>0</v>
          </cell>
          <cell r="J331">
            <v>1596.34</v>
          </cell>
          <cell r="K331">
            <v>2.63</v>
          </cell>
          <cell r="P331">
            <v>0</v>
          </cell>
        </row>
        <row r="332">
          <cell r="A332" t="str">
            <v>LU1998920885</v>
          </cell>
          <cell r="B332" t="str">
            <v>AMUNDI FUNDS EMERGING MARKETS EQUITY FOCUS</v>
          </cell>
          <cell r="C332" t="str">
            <v>Class X USD ( C )</v>
          </cell>
          <cell r="D332" t="str">
            <v>USD</v>
          </cell>
          <cell r="E332" t="str">
            <v>01-Dec-2025</v>
          </cell>
          <cell r="F332">
            <v>68522423.870000005</v>
          </cell>
          <cell r="G332">
            <v>40290.864000000001</v>
          </cell>
          <cell r="H332">
            <v>1700.69</v>
          </cell>
          <cell r="I332">
            <v>0</v>
          </cell>
          <cell r="J332">
            <v>1700.69</v>
          </cell>
          <cell r="K332">
            <v>2.9</v>
          </cell>
          <cell r="P332">
            <v>0</v>
          </cell>
        </row>
        <row r="333">
          <cell r="A333" t="str">
            <v>LU2643911725</v>
          </cell>
          <cell r="B333" t="str">
            <v>AMUNDI FUNDS EMERGING MARKETS EQUITY FOCUS</v>
          </cell>
          <cell r="C333" t="str">
            <v>Class X19 CAD (C)</v>
          </cell>
          <cell r="D333" t="str">
            <v>CAD</v>
          </cell>
          <cell r="E333" t="str">
            <v>01-Dec-2025</v>
          </cell>
          <cell r="F333">
            <v>256721035.38</v>
          </cell>
          <cell r="G333">
            <v>177623.92300000001</v>
          </cell>
          <cell r="H333">
            <v>1445.31</v>
          </cell>
          <cell r="I333">
            <v>0</v>
          </cell>
          <cell r="J333">
            <v>1445.31</v>
          </cell>
          <cell r="K333">
            <v>5.08</v>
          </cell>
          <cell r="P333">
            <v>0</v>
          </cell>
        </row>
        <row r="334">
          <cell r="A334" t="str">
            <v>LU3208780802</v>
          </cell>
          <cell r="B334" t="str">
            <v>AMUNDI FUNDS EMERGING MARKETS EQUITY FOCUS</v>
          </cell>
          <cell r="C334" t="str">
            <v>Class X2 EUR (C)</v>
          </cell>
          <cell r="D334" t="str">
            <v>EUR</v>
          </cell>
          <cell r="E334" t="str">
            <v>01-Dec-2025</v>
          </cell>
          <cell r="F334">
            <v>5047.5200000000004</v>
          </cell>
          <cell r="G334">
            <v>5</v>
          </cell>
          <cell r="H334">
            <v>1009.5</v>
          </cell>
          <cell r="I334">
            <v>0</v>
          </cell>
          <cell r="J334">
            <v>1009.5</v>
          </cell>
          <cell r="K334">
            <v>-0.41</v>
          </cell>
          <cell r="P334">
            <v>0</v>
          </cell>
        </row>
        <row r="335">
          <cell r="A335" t="str">
            <v>LU1998918046</v>
          </cell>
          <cell r="B335" t="str">
            <v>AMUNDI FUNDS EMERGING MARKETS EQUITY FOCUS</v>
          </cell>
          <cell r="C335" t="str">
            <v>Class H USD ( C )</v>
          </cell>
          <cell r="D335" t="str">
            <v>USD</v>
          </cell>
          <cell r="E335" t="str">
            <v>01-Dec-2025</v>
          </cell>
          <cell r="F335">
            <v>2878907.81</v>
          </cell>
          <cell r="G335">
            <v>1736.2149999999999</v>
          </cell>
          <cell r="H335">
            <v>1658.15</v>
          </cell>
          <cell r="I335">
            <v>0</v>
          </cell>
          <cell r="J335">
            <v>1658.15</v>
          </cell>
          <cell r="K335">
            <v>2.77</v>
          </cell>
          <cell r="P335">
            <v>0</v>
          </cell>
        </row>
        <row r="336">
          <cell r="A336" t="str">
            <v>LU1891089317</v>
          </cell>
          <cell r="B336" t="str">
            <v>AMUNDI FUNDS EMERGING MARKETS EQUITY FOCUS</v>
          </cell>
          <cell r="C336" t="str">
            <v>Class Q-I GBP (C)</v>
          </cell>
          <cell r="D336" t="str">
            <v>GBP</v>
          </cell>
          <cell r="E336" t="str">
            <v>01-Dec-2025</v>
          </cell>
          <cell r="F336">
            <v>291315788.69999999</v>
          </cell>
          <cell r="G336">
            <v>201592.2</v>
          </cell>
          <cell r="H336">
            <v>1445.07</v>
          </cell>
          <cell r="I336">
            <v>0</v>
          </cell>
          <cell r="J336">
            <v>1445.07</v>
          </cell>
          <cell r="K336">
            <v>2.1800000000000002</v>
          </cell>
          <cell r="P336">
            <v>0</v>
          </cell>
        </row>
        <row r="337">
          <cell r="A337" t="str">
            <v>LU0557858130</v>
          </cell>
          <cell r="B337" t="str">
            <v>AMUNDI FUNDS EMERGING WORLD EQUITY</v>
          </cell>
          <cell r="C337" t="str">
            <v>Class A EUR (C)</v>
          </cell>
          <cell r="D337" t="str">
            <v>EUR</v>
          </cell>
          <cell r="E337" t="str">
            <v>01-Dec-2025</v>
          </cell>
          <cell r="F337">
            <v>102874883.48999999</v>
          </cell>
          <cell r="G337">
            <v>570501.33499999996</v>
          </cell>
          <cell r="H337">
            <v>180.32</v>
          </cell>
          <cell r="I337">
            <v>0</v>
          </cell>
          <cell r="J337">
            <v>188.43</v>
          </cell>
          <cell r="K337">
            <v>-0.04</v>
          </cell>
          <cell r="P337">
            <v>0</v>
          </cell>
        </row>
        <row r="338">
          <cell r="A338" t="str">
            <v>LU0347592197</v>
          </cell>
          <cell r="B338" t="str">
            <v>AMUNDI FUNDS EMERGING WORLD EQUITY</v>
          </cell>
          <cell r="C338" t="str">
            <v>Class A USD (C)</v>
          </cell>
          <cell r="D338" t="str">
            <v>USD</v>
          </cell>
          <cell r="E338" t="str">
            <v>01-Dec-2025</v>
          </cell>
          <cell r="F338">
            <v>39328037.18</v>
          </cell>
          <cell r="G338">
            <v>259368.228</v>
          </cell>
          <cell r="H338">
            <v>151.63</v>
          </cell>
          <cell r="I338">
            <v>0</v>
          </cell>
          <cell r="J338">
            <v>158.44999999999999</v>
          </cell>
          <cell r="K338">
            <v>0.28999999999999998</v>
          </cell>
          <cell r="P338">
            <v>0</v>
          </cell>
        </row>
        <row r="339">
          <cell r="A339" t="str">
            <v>LU1049754457</v>
          </cell>
          <cell r="B339" t="str">
            <v>AMUNDI FUNDS EMERGING WORLD EQUITY</v>
          </cell>
          <cell r="C339" t="str">
            <v>Class A CZK Hgd (C)</v>
          </cell>
          <cell r="D339" t="str">
            <v>CZK</v>
          </cell>
          <cell r="E339" t="str">
            <v>01-Dec-2025</v>
          </cell>
          <cell r="F339">
            <v>203299708.81999999</v>
          </cell>
          <cell r="G339">
            <v>59737.987999999998</v>
          </cell>
          <cell r="H339">
            <v>3403.19</v>
          </cell>
          <cell r="I339">
            <v>0</v>
          </cell>
          <cell r="J339">
            <v>3403.19</v>
          </cell>
          <cell r="K339">
            <v>6.35</v>
          </cell>
          <cell r="P339">
            <v>0</v>
          </cell>
        </row>
        <row r="340">
          <cell r="A340" t="str">
            <v>LU3081005889</v>
          </cell>
          <cell r="B340" t="str">
            <v>AMUNDI FUNDS EMERGING WORLD EQUITY</v>
          </cell>
          <cell r="C340" t="str">
            <v>Class A2 EUR (C)</v>
          </cell>
          <cell r="D340" t="str">
            <v>EUR</v>
          </cell>
          <cell r="E340" t="str">
            <v>01-Dec-2025</v>
          </cell>
          <cell r="F340">
            <v>715790.28</v>
          </cell>
          <cell r="G340">
            <v>14757.035</v>
          </cell>
          <cell r="H340">
            <v>48.51</v>
          </cell>
          <cell r="I340">
            <v>0</v>
          </cell>
          <cell r="J340">
            <v>50.69</v>
          </cell>
          <cell r="K340">
            <v>-0.01</v>
          </cell>
          <cell r="P340">
            <v>0</v>
          </cell>
        </row>
        <row r="341">
          <cell r="A341" t="str">
            <v>LU0557858213</v>
          </cell>
          <cell r="B341" t="str">
            <v>AMUNDI FUNDS EMERGING WORLD EQUITY</v>
          </cell>
          <cell r="C341" t="str">
            <v>Class A EUR AD (D)</v>
          </cell>
          <cell r="D341" t="str">
            <v>EUR</v>
          </cell>
          <cell r="E341" t="str">
            <v>01-Dec-2025</v>
          </cell>
          <cell r="F341">
            <v>3611701.7</v>
          </cell>
          <cell r="G341">
            <v>21095.601999999999</v>
          </cell>
          <cell r="H341">
            <v>171.21</v>
          </cell>
          <cell r="I341">
            <v>0</v>
          </cell>
          <cell r="J341">
            <v>178.91</v>
          </cell>
          <cell r="K341">
            <v>-0.03</v>
          </cell>
          <cell r="P341">
            <v>0</v>
          </cell>
        </row>
        <row r="342">
          <cell r="A342" t="str">
            <v>LU0347592270</v>
          </cell>
          <cell r="B342" t="str">
            <v>AMUNDI FUNDS EMERGING WORLD EQUITY</v>
          </cell>
          <cell r="C342" t="str">
            <v>Class A USD AD (D)</v>
          </cell>
          <cell r="D342" t="str">
            <v>USD</v>
          </cell>
          <cell r="E342" t="str">
            <v>01-Dec-2025</v>
          </cell>
          <cell r="F342">
            <v>3296003.53</v>
          </cell>
          <cell r="G342">
            <v>22857.383000000002</v>
          </cell>
          <cell r="H342">
            <v>144.19999999999999</v>
          </cell>
          <cell r="I342">
            <v>0</v>
          </cell>
          <cell r="J342">
            <v>150.69</v>
          </cell>
          <cell r="K342">
            <v>0.27</v>
          </cell>
          <cell r="P342">
            <v>0</v>
          </cell>
        </row>
        <row r="343">
          <cell r="A343" t="str">
            <v>LU1882466482</v>
          </cell>
          <cell r="B343" t="str">
            <v>AMUNDI FUNDS EMERGING WORLD EQUITY</v>
          </cell>
          <cell r="C343" t="str">
            <v>Class M2 EUR (C)</v>
          </cell>
          <cell r="D343" t="str">
            <v>EUR</v>
          </cell>
          <cell r="E343" t="str">
            <v>01-Dec-2025</v>
          </cell>
          <cell r="F343">
            <v>13566205.58</v>
          </cell>
          <cell r="G343">
            <v>8873.5740000000005</v>
          </cell>
          <cell r="H343">
            <v>1528.83</v>
          </cell>
          <cell r="I343">
            <v>0</v>
          </cell>
          <cell r="J343">
            <v>1528.83</v>
          </cell>
          <cell r="K343">
            <v>-0.21</v>
          </cell>
          <cell r="P343">
            <v>0</v>
          </cell>
        </row>
        <row r="344">
          <cell r="A344" t="str">
            <v>LU1882465914</v>
          </cell>
          <cell r="B344" t="str">
            <v>AMUNDI FUNDS EMERGING WORLD EQUITY</v>
          </cell>
          <cell r="C344" t="str">
            <v>Class E2 EUR (C)</v>
          </cell>
          <cell r="D344" t="str">
            <v>EUR</v>
          </cell>
          <cell r="E344" t="str">
            <v>01-Dec-2025</v>
          </cell>
          <cell r="F344">
            <v>17487733.739999998</v>
          </cell>
          <cell r="G344">
            <v>2414657.2420000001</v>
          </cell>
          <cell r="H344">
            <v>7.242</v>
          </cell>
          <cell r="I344">
            <v>0</v>
          </cell>
          <cell r="J344">
            <v>7.242</v>
          </cell>
          <cell r="K344">
            <v>-2E-3</v>
          </cell>
          <cell r="P344">
            <v>0</v>
          </cell>
        </row>
        <row r="345">
          <cell r="A345" t="str">
            <v>LU0823041008</v>
          </cell>
          <cell r="B345" t="str">
            <v>AMUNDI FUNDS EMERGING WORLD EQUITY</v>
          </cell>
          <cell r="C345" t="str">
            <v>Class A2 USD (C)</v>
          </cell>
          <cell r="D345" t="str">
            <v>USD</v>
          </cell>
          <cell r="E345" t="str">
            <v>01-Dec-2025</v>
          </cell>
          <cell r="F345">
            <v>557970.13</v>
          </cell>
          <cell r="G345">
            <v>11139.333000000001</v>
          </cell>
          <cell r="H345">
            <v>50.09</v>
          </cell>
          <cell r="I345">
            <v>0</v>
          </cell>
          <cell r="J345">
            <v>50.09</v>
          </cell>
          <cell r="K345">
            <v>0</v>
          </cell>
          <cell r="P345">
            <v>0</v>
          </cell>
        </row>
        <row r="346">
          <cell r="A346" t="str">
            <v>LU1882466052</v>
          </cell>
          <cell r="B346" t="str">
            <v>AMUNDI FUNDS EMERGING WORLD EQUITY</v>
          </cell>
          <cell r="C346" t="str">
            <v>Class F EUR (C)</v>
          </cell>
          <cell r="D346" t="str">
            <v>EUR</v>
          </cell>
          <cell r="E346" t="str">
            <v>01-Dec-2025</v>
          </cell>
          <cell r="F346">
            <v>12678895.77</v>
          </cell>
          <cell r="G346">
            <v>1866004.436</v>
          </cell>
          <cell r="H346">
            <v>6.7949999999999999</v>
          </cell>
          <cell r="I346">
            <v>0</v>
          </cell>
          <cell r="J346">
            <v>6.7949999999999999</v>
          </cell>
          <cell r="K346">
            <v>-2E-3</v>
          </cell>
          <cell r="P346">
            <v>0</v>
          </cell>
        </row>
        <row r="347">
          <cell r="A347" t="str">
            <v>LU0557858304</v>
          </cell>
          <cell r="B347" t="str">
            <v>AMUNDI FUNDS EMERGING WORLD EQUITY</v>
          </cell>
          <cell r="C347" t="str">
            <v>Class F2 USD (C)</v>
          </cell>
          <cell r="D347" t="str">
            <v>USD</v>
          </cell>
          <cell r="E347" t="str">
            <v>01-Dec-2025</v>
          </cell>
          <cell r="F347">
            <v>550269.94999999995</v>
          </cell>
          <cell r="G347">
            <v>4479.8249999999998</v>
          </cell>
          <cell r="H347">
            <v>122.83</v>
          </cell>
          <cell r="I347">
            <v>0</v>
          </cell>
          <cell r="J347">
            <v>122.83</v>
          </cell>
          <cell r="K347">
            <v>0.22</v>
          </cell>
          <cell r="P347">
            <v>0</v>
          </cell>
        </row>
        <row r="348">
          <cell r="A348" t="str">
            <v>LU1882466300</v>
          </cell>
          <cell r="B348" t="str">
            <v>AMUNDI FUNDS EMERGING WORLD EQUITY</v>
          </cell>
          <cell r="C348" t="str">
            <v>Class I2 USD (C)</v>
          </cell>
          <cell r="D348" t="str">
            <v>USD</v>
          </cell>
          <cell r="E348" t="str">
            <v>01-Dec-2025</v>
          </cell>
          <cell r="F348">
            <v>27070.14</v>
          </cell>
          <cell r="G348">
            <v>16.989000000000001</v>
          </cell>
          <cell r="H348">
            <v>1593.39</v>
          </cell>
          <cell r="I348">
            <v>0</v>
          </cell>
          <cell r="J348">
            <v>1593.39</v>
          </cell>
          <cell r="K348">
            <v>3.14</v>
          </cell>
          <cell r="P348">
            <v>0</v>
          </cell>
        </row>
        <row r="349">
          <cell r="A349" t="str">
            <v>LU0906531487</v>
          </cell>
          <cell r="B349" t="str">
            <v>AMUNDI FUNDS EMERGING WORLD EQUITY</v>
          </cell>
          <cell r="C349" t="str">
            <v>Class I EUR (C)</v>
          </cell>
          <cell r="D349" t="str">
            <v>EUR</v>
          </cell>
          <cell r="E349" t="str">
            <v>01-Dec-2025</v>
          </cell>
          <cell r="F349">
            <v>55918124.939999998</v>
          </cell>
          <cell r="G349">
            <v>28505.493999999999</v>
          </cell>
          <cell r="H349">
            <v>1961.66</v>
          </cell>
          <cell r="I349">
            <v>0</v>
          </cell>
          <cell r="J349">
            <v>1961.66</v>
          </cell>
          <cell r="K349">
            <v>-0.26</v>
          </cell>
          <cell r="P349">
            <v>0</v>
          </cell>
        </row>
        <row r="350">
          <cell r="A350" t="str">
            <v>LU0347592437</v>
          </cell>
          <cell r="B350" t="str">
            <v>AMUNDI FUNDS EMERGING WORLD EQUITY</v>
          </cell>
          <cell r="C350" t="str">
            <v>Class I USD (C)</v>
          </cell>
          <cell r="D350" t="str">
            <v>USD</v>
          </cell>
          <cell r="E350" t="str">
            <v>01-Dec-2025</v>
          </cell>
          <cell r="F350">
            <v>9887732.9700000007</v>
          </cell>
          <cell r="G350">
            <v>5607.6660000000002</v>
          </cell>
          <cell r="H350">
            <v>1763.25</v>
          </cell>
          <cell r="I350">
            <v>0</v>
          </cell>
          <cell r="J350">
            <v>1763.25</v>
          </cell>
          <cell r="K350">
            <v>3.48</v>
          </cell>
          <cell r="P350">
            <v>0</v>
          </cell>
        </row>
        <row r="351">
          <cell r="A351" t="str">
            <v>LU2052289266</v>
          </cell>
          <cell r="B351" t="str">
            <v>AMUNDI FUNDS EMERGING WORLD EQUITY</v>
          </cell>
          <cell r="C351" t="str">
            <v>Class I2 GBP (C)</v>
          </cell>
          <cell r="D351" t="str">
            <v>GBP</v>
          </cell>
          <cell r="E351" t="str">
            <v>01-Dec-2025</v>
          </cell>
          <cell r="F351">
            <v>7317.8</v>
          </cell>
          <cell r="G351">
            <v>5</v>
          </cell>
          <cell r="H351">
            <v>1463.56</v>
          </cell>
          <cell r="I351">
            <v>0</v>
          </cell>
          <cell r="J351">
            <v>1463.56</v>
          </cell>
          <cell r="K351">
            <v>2.63</v>
          </cell>
          <cell r="P351">
            <v>0</v>
          </cell>
        </row>
        <row r="352">
          <cell r="A352" t="str">
            <v>LU1882466219</v>
          </cell>
          <cell r="B352" t="str">
            <v>AMUNDI FUNDS EMERGING WORLD EQUITY</v>
          </cell>
          <cell r="C352" t="str">
            <v>Class I2 EUR (C)</v>
          </cell>
          <cell r="D352" t="str">
            <v>EUR</v>
          </cell>
          <cell r="E352" t="str">
            <v>01-Dec-2025</v>
          </cell>
          <cell r="F352">
            <v>1060144.8899999999</v>
          </cell>
          <cell r="G352">
            <v>695.59699999999998</v>
          </cell>
          <cell r="H352">
            <v>1524.08</v>
          </cell>
          <cell r="I352">
            <v>0</v>
          </cell>
          <cell r="J352">
            <v>1524.08</v>
          </cell>
          <cell r="K352">
            <v>-0.21</v>
          </cell>
          <cell r="P352">
            <v>0</v>
          </cell>
        </row>
        <row r="353">
          <cell r="A353" t="str">
            <v>LU1882466136</v>
          </cell>
          <cell r="B353" t="str">
            <v>AMUNDI FUNDS EMERGING WORLD EQUITY</v>
          </cell>
          <cell r="C353" t="str">
            <v>Class G EUR (C)</v>
          </cell>
          <cell r="D353" t="str">
            <v>EUR</v>
          </cell>
          <cell r="E353" t="str">
            <v>01-Dec-2025</v>
          </cell>
          <cell r="F353">
            <v>496302.8</v>
          </cell>
          <cell r="G353">
            <v>71040.611000000004</v>
          </cell>
          <cell r="H353">
            <v>6.9859999999999998</v>
          </cell>
          <cell r="I353">
            <v>0</v>
          </cell>
          <cell r="J353">
            <v>6.9859999999999998</v>
          </cell>
          <cell r="K353">
            <v>-2E-3</v>
          </cell>
          <cell r="P353">
            <v>0</v>
          </cell>
        </row>
        <row r="354">
          <cell r="A354" t="str">
            <v>LU0347591975</v>
          </cell>
          <cell r="B354" t="str">
            <v>AMUNDI FUNDS EMERGING WORLD EQUITY</v>
          </cell>
          <cell r="C354" t="str">
            <v>Class M USD (C)</v>
          </cell>
          <cell r="D354" t="str">
            <v>USD</v>
          </cell>
          <cell r="E354" t="str">
            <v>01-Dec-2025</v>
          </cell>
          <cell r="F354">
            <v>2654315.81</v>
          </cell>
          <cell r="G354">
            <v>13711.679</v>
          </cell>
          <cell r="H354">
            <v>193.58</v>
          </cell>
          <cell r="I354">
            <v>0</v>
          </cell>
          <cell r="J354">
            <v>193.58</v>
          </cell>
          <cell r="K354">
            <v>0.38</v>
          </cell>
          <cell r="P354">
            <v>0</v>
          </cell>
        </row>
        <row r="355">
          <cell r="A355" t="str">
            <v>LU1882466649</v>
          </cell>
          <cell r="B355" t="str">
            <v>AMUNDI FUNDS EMERGING WORLD EQUITY</v>
          </cell>
          <cell r="C355" t="str">
            <v>Class R2 EUR (C)</v>
          </cell>
          <cell r="D355" t="str">
            <v>EUR</v>
          </cell>
          <cell r="E355" t="str">
            <v>01-Dec-2025</v>
          </cell>
          <cell r="F355">
            <v>7010.99</v>
          </cell>
          <cell r="G355">
            <v>93.405000000000001</v>
          </cell>
          <cell r="H355">
            <v>75.06</v>
          </cell>
          <cell r="I355">
            <v>0</v>
          </cell>
          <cell r="J355">
            <v>75.06</v>
          </cell>
          <cell r="K355">
            <v>-0.01</v>
          </cell>
          <cell r="P355">
            <v>0</v>
          </cell>
        </row>
        <row r="356">
          <cell r="A356" t="str">
            <v>LU1327395288</v>
          </cell>
          <cell r="B356" t="str">
            <v>AMUNDI FUNDS EMERGING WORLD EQUITY</v>
          </cell>
          <cell r="C356" t="str">
            <v>Class O EUR (C)</v>
          </cell>
          <cell r="D356" t="str">
            <v>EUR</v>
          </cell>
          <cell r="E356" t="str">
            <v>01-Dec-2025</v>
          </cell>
          <cell r="F356">
            <v>446816508.51999998</v>
          </cell>
          <cell r="G356">
            <v>208766.851</v>
          </cell>
          <cell r="H356">
            <v>2140.27</v>
          </cell>
          <cell r="I356">
            <v>0</v>
          </cell>
          <cell r="J356">
            <v>2140.27</v>
          </cell>
          <cell r="K356">
            <v>-0.12</v>
          </cell>
          <cell r="P356">
            <v>0</v>
          </cell>
        </row>
        <row r="357">
          <cell r="A357" t="str">
            <v>LU0552028853</v>
          </cell>
          <cell r="B357" t="str">
            <v>AMUNDI FUNDS EMERGING WORLD EQUITY</v>
          </cell>
          <cell r="C357" t="str">
            <v>Class Q-O1 USD (C)</v>
          </cell>
          <cell r="D357" t="str">
            <v>USD</v>
          </cell>
          <cell r="E357" t="str">
            <v>01-Dec-2025</v>
          </cell>
          <cell r="F357">
            <v>438325836.43000001</v>
          </cell>
          <cell r="G357">
            <v>200649.595</v>
          </cell>
          <cell r="H357">
            <v>2184.5300000000002</v>
          </cell>
          <cell r="I357">
            <v>0</v>
          </cell>
          <cell r="J357">
            <v>2184.5300000000002</v>
          </cell>
          <cell r="K357">
            <v>4.46</v>
          </cell>
          <cell r="P357">
            <v>0</v>
          </cell>
        </row>
        <row r="358">
          <cell r="A358" t="str">
            <v>LU1882466565</v>
          </cell>
          <cell r="B358" t="str">
            <v>AMUNDI FUNDS EMERGING WORLD EQUITY</v>
          </cell>
          <cell r="C358" t="str">
            <v>Class P2 USD (C)</v>
          </cell>
          <cell r="D358" t="str">
            <v>USD</v>
          </cell>
          <cell r="E358" t="str">
            <v>01-Dec-2025</v>
          </cell>
          <cell r="F358">
            <v>8093.15</v>
          </cell>
          <cell r="G358">
            <v>103.935</v>
          </cell>
          <cell r="H358">
            <v>77.87</v>
          </cell>
          <cell r="I358">
            <v>0</v>
          </cell>
          <cell r="J358">
            <v>77.87</v>
          </cell>
          <cell r="K358">
            <v>0.15</v>
          </cell>
          <cell r="P358">
            <v>0</v>
          </cell>
        </row>
        <row r="359">
          <cell r="A359" t="str">
            <v>LU0823041859</v>
          </cell>
          <cell r="B359" t="str">
            <v>AMUNDI FUNDS EMERGING WORLD EQUITY</v>
          </cell>
          <cell r="C359" t="str">
            <v>Class R USD (C)</v>
          </cell>
          <cell r="D359" t="str">
            <v>USD</v>
          </cell>
          <cell r="E359" t="str">
            <v>01-Dec-2025</v>
          </cell>
          <cell r="F359">
            <v>703879.35</v>
          </cell>
          <cell r="G359">
            <v>3661.4009999999998</v>
          </cell>
          <cell r="H359">
            <v>192.24</v>
          </cell>
          <cell r="I359">
            <v>0</v>
          </cell>
          <cell r="J359">
            <v>192.24</v>
          </cell>
          <cell r="K359">
            <v>0.37</v>
          </cell>
          <cell r="P359">
            <v>0</v>
          </cell>
        </row>
        <row r="360">
          <cell r="A360" t="str">
            <v>LU1737510872</v>
          </cell>
          <cell r="B360" t="str">
            <v>AMUNDI FUNDS EMERGING WORLD EQUITY</v>
          </cell>
          <cell r="C360" t="str">
            <v>Class R EUR (C)</v>
          </cell>
          <cell r="D360" t="str">
            <v>EUR</v>
          </cell>
          <cell r="E360" t="str">
            <v>01-Dec-2025</v>
          </cell>
          <cell r="F360">
            <v>33940.03</v>
          </cell>
          <cell r="G360">
            <v>230</v>
          </cell>
          <cell r="H360">
            <v>147.57</v>
          </cell>
          <cell r="I360">
            <v>0</v>
          </cell>
          <cell r="J360">
            <v>147.57</v>
          </cell>
          <cell r="K360">
            <v>-0.02</v>
          </cell>
          <cell r="P360">
            <v>0</v>
          </cell>
        </row>
        <row r="361">
          <cell r="A361" t="str">
            <v>LU1882466722</v>
          </cell>
          <cell r="B361" t="str">
            <v>AMUNDI FUNDS EMERGING WORLD EQUITY</v>
          </cell>
          <cell r="C361" t="str">
            <v>Class R2 USD (C)</v>
          </cell>
          <cell r="D361" t="str">
            <v>USD</v>
          </cell>
          <cell r="E361" t="str">
            <v>01-Dec-2025</v>
          </cell>
          <cell r="F361">
            <v>7639.62</v>
          </cell>
          <cell r="G361">
            <v>100</v>
          </cell>
          <cell r="H361">
            <v>76.400000000000006</v>
          </cell>
          <cell r="I361">
            <v>0</v>
          </cell>
          <cell r="J361">
            <v>76.400000000000006</v>
          </cell>
          <cell r="K361">
            <v>0.15</v>
          </cell>
          <cell r="P361">
            <v>0</v>
          </cell>
        </row>
        <row r="362">
          <cell r="A362" t="str">
            <v>LU0347592353</v>
          </cell>
          <cell r="B362" t="str">
            <v>AMUNDI FUNDS EMERGING WORLD EQUITY</v>
          </cell>
          <cell r="C362" t="str">
            <v>Class G USD (C)</v>
          </cell>
          <cell r="D362" t="str">
            <v>USD</v>
          </cell>
          <cell r="E362" t="str">
            <v>01-Dec-2025</v>
          </cell>
          <cell r="F362">
            <v>3735529.72</v>
          </cell>
          <cell r="G362">
            <v>26342.077000000001</v>
          </cell>
          <cell r="H362">
            <v>141.81</v>
          </cell>
          <cell r="I362">
            <v>0</v>
          </cell>
          <cell r="J362">
            <v>146.06</v>
          </cell>
          <cell r="K362">
            <v>0.27</v>
          </cell>
          <cell r="P362">
            <v>0</v>
          </cell>
        </row>
        <row r="363">
          <cell r="A363" t="str">
            <v>LU1882467456</v>
          </cell>
          <cell r="B363" t="str">
            <v>AMUNDI FUNDS EMERGING WORLD EQUITY</v>
          </cell>
          <cell r="C363" t="str">
            <v>Class X EUR (C)</v>
          </cell>
          <cell r="D363" t="str">
            <v>EUR</v>
          </cell>
          <cell r="E363" t="str">
            <v>01-Dec-2025</v>
          </cell>
          <cell r="F363">
            <v>186848912.78999999</v>
          </cell>
          <cell r="G363">
            <v>115228.098</v>
          </cell>
          <cell r="H363">
            <v>1621.56</v>
          </cell>
          <cell r="I363">
            <v>0</v>
          </cell>
          <cell r="J363">
            <v>1621.56</v>
          </cell>
          <cell r="K363">
            <v>-0.09</v>
          </cell>
          <cell r="P363">
            <v>0</v>
          </cell>
        </row>
        <row r="364">
          <cell r="A364" t="str">
            <v>LU2031984854</v>
          </cell>
          <cell r="B364" t="str">
            <v>AMUNDI FUNDS EMERGING WORLD EQUITY</v>
          </cell>
          <cell r="C364" t="str">
            <v>Class Z USD (C)</v>
          </cell>
          <cell r="D364" t="str">
            <v>USD</v>
          </cell>
          <cell r="E364" t="str">
            <v>01-Dec-2025</v>
          </cell>
          <cell r="F364">
            <v>1503514.5</v>
          </cell>
          <cell r="G364">
            <v>995.53599999999994</v>
          </cell>
          <cell r="H364">
            <v>1510.26</v>
          </cell>
          <cell r="I364">
            <v>0</v>
          </cell>
          <cell r="J364">
            <v>1510.26</v>
          </cell>
          <cell r="K364">
            <v>3.01</v>
          </cell>
          <cell r="P364">
            <v>0</v>
          </cell>
        </row>
        <row r="365">
          <cell r="A365" t="str">
            <v>LU0568607203</v>
          </cell>
          <cell r="B365" t="str">
            <v>AMUNDI FUNDS EUROLAND EQUITY SMALL CAP SELECT</v>
          </cell>
          <cell r="C365" t="str">
            <v>Class A EUR (C)</v>
          </cell>
          <cell r="D365" t="str">
            <v>EUR</v>
          </cell>
          <cell r="E365" t="str">
            <v>01-Dec-2025</v>
          </cell>
          <cell r="F365">
            <v>268654382.91000003</v>
          </cell>
          <cell r="G365">
            <v>1094950.206</v>
          </cell>
          <cell r="H365">
            <v>245.36</v>
          </cell>
          <cell r="I365">
            <v>0</v>
          </cell>
          <cell r="J365">
            <v>256.39999999999998</v>
          </cell>
          <cell r="K365">
            <v>-0.83</v>
          </cell>
          <cell r="P365">
            <v>0</v>
          </cell>
        </row>
        <row r="366">
          <cell r="A366" t="str">
            <v>LU0568607385</v>
          </cell>
          <cell r="B366" t="str">
            <v>AMUNDI FUNDS EUROLAND EQUITY SMALL CAP SELECT</v>
          </cell>
          <cell r="C366" t="str">
            <v>Class A EUR AD (D)</v>
          </cell>
          <cell r="D366" t="str">
            <v>EUR</v>
          </cell>
          <cell r="E366" t="str">
            <v>01-Dec-2025</v>
          </cell>
          <cell r="F366">
            <v>9388434.3499999996</v>
          </cell>
          <cell r="G366">
            <v>39425.391000000003</v>
          </cell>
          <cell r="H366">
            <v>238.13</v>
          </cell>
          <cell r="I366">
            <v>0</v>
          </cell>
          <cell r="J366">
            <v>248.85</v>
          </cell>
          <cell r="K366">
            <v>-0.81</v>
          </cell>
          <cell r="P366">
            <v>0</v>
          </cell>
        </row>
        <row r="367">
          <cell r="A367" t="str">
            <v>LU1049754531</v>
          </cell>
          <cell r="B367" t="str">
            <v>AMUNDI FUNDS EUROLAND EQUITY SMALL CAP SELECT</v>
          </cell>
          <cell r="C367" t="str">
            <v>Class A2 USD (C)</v>
          </cell>
          <cell r="D367" t="str">
            <v>USD</v>
          </cell>
          <cell r="E367" t="str">
            <v>01-Dec-2025</v>
          </cell>
          <cell r="F367">
            <v>17431.3</v>
          </cell>
          <cell r="G367">
            <v>103.947</v>
          </cell>
          <cell r="H367">
            <v>167.69</v>
          </cell>
          <cell r="I367">
            <v>0</v>
          </cell>
          <cell r="J367">
            <v>167.69</v>
          </cell>
          <cell r="K367">
            <v>-0.22</v>
          </cell>
          <cell r="P367">
            <v>0</v>
          </cell>
        </row>
        <row r="368">
          <cell r="A368" t="str">
            <v>LU2018720578</v>
          </cell>
          <cell r="B368" t="str">
            <v>AMUNDI FUNDS EUROLAND EQUITY SMALL CAP SELECT</v>
          </cell>
          <cell r="C368" t="str">
            <v>Class F EUR (C)</v>
          </cell>
          <cell r="D368" t="str">
            <v>EUR</v>
          </cell>
          <cell r="E368" t="str">
            <v>01-Dec-2025</v>
          </cell>
          <cell r="F368">
            <v>208593.57</v>
          </cell>
          <cell r="G368">
            <v>34829.256000000001</v>
          </cell>
          <cell r="H368">
            <v>5.9889999999999999</v>
          </cell>
          <cell r="I368">
            <v>0</v>
          </cell>
          <cell r="J368">
            <v>5.9889999999999999</v>
          </cell>
          <cell r="K368">
            <v>-2.1000000000000001E-2</v>
          </cell>
          <cell r="P368">
            <v>0</v>
          </cell>
        </row>
        <row r="369">
          <cell r="A369" t="str">
            <v>LU0568607542</v>
          </cell>
          <cell r="B369" t="str">
            <v>AMUNDI FUNDS EUROLAND EQUITY SMALL CAP SELECT</v>
          </cell>
          <cell r="C369" t="str">
            <v>Class F2 EUR (C)</v>
          </cell>
          <cell r="D369" t="str">
            <v>EUR</v>
          </cell>
          <cell r="E369" t="str">
            <v>01-Dec-2025</v>
          </cell>
          <cell r="F369">
            <v>1820694.9</v>
          </cell>
          <cell r="G369">
            <v>8743.5930000000008</v>
          </cell>
          <cell r="H369">
            <v>208.23</v>
          </cell>
          <cell r="I369">
            <v>0</v>
          </cell>
          <cell r="J369">
            <v>208.23</v>
          </cell>
          <cell r="K369">
            <v>-0.72</v>
          </cell>
          <cell r="P369">
            <v>0</v>
          </cell>
        </row>
        <row r="370">
          <cell r="A370" t="str">
            <v>LU2031984771</v>
          </cell>
          <cell r="B370" t="str">
            <v>AMUNDI FUNDS EUROLAND EQUITY SMALL CAP SELECT</v>
          </cell>
          <cell r="C370" t="str">
            <v>Class I2 EUR (C)</v>
          </cell>
          <cell r="D370" t="str">
            <v>EUR</v>
          </cell>
          <cell r="E370" t="str">
            <v>01-Dec-2025</v>
          </cell>
          <cell r="F370">
            <v>20497360.219999999</v>
          </cell>
          <cell r="G370">
            <v>15054.282999999999</v>
          </cell>
          <cell r="H370">
            <v>1361.56</v>
          </cell>
          <cell r="I370">
            <v>0</v>
          </cell>
          <cell r="J370">
            <v>1361.56</v>
          </cell>
          <cell r="K370">
            <v>-4.51</v>
          </cell>
          <cell r="P370">
            <v>0</v>
          </cell>
        </row>
        <row r="371">
          <cell r="A371" t="str">
            <v>LU0568606817</v>
          </cell>
          <cell r="B371" t="str">
            <v>AMUNDI FUNDS EUROLAND EQUITY SMALL CAP SELECT</v>
          </cell>
          <cell r="C371" t="str">
            <v>Class I EUR (C)</v>
          </cell>
          <cell r="D371" t="str">
            <v>EUR</v>
          </cell>
          <cell r="E371" t="str">
            <v>01-Dec-2025</v>
          </cell>
          <cell r="F371">
            <v>27463855.5</v>
          </cell>
          <cell r="G371">
            <v>9673.0370000000003</v>
          </cell>
          <cell r="H371">
            <v>2839.22</v>
          </cell>
          <cell r="I371">
            <v>0</v>
          </cell>
          <cell r="J371">
            <v>2839.22</v>
          </cell>
          <cell r="K371">
            <v>-9.3800000000000008</v>
          </cell>
          <cell r="P371">
            <v>0</v>
          </cell>
        </row>
        <row r="372">
          <cell r="A372" t="str">
            <v>LU2330497194</v>
          </cell>
          <cell r="B372" t="str">
            <v>AMUNDI FUNDS EUROLAND EQUITY SMALL CAP SELECT</v>
          </cell>
          <cell r="C372" t="str">
            <v>Class I2 USD (C)</v>
          </cell>
          <cell r="D372" t="str">
            <v>USD</v>
          </cell>
          <cell r="E372" t="str">
            <v>01-Dec-2025</v>
          </cell>
          <cell r="F372">
            <v>5447.29</v>
          </cell>
          <cell r="G372">
            <v>5</v>
          </cell>
          <cell r="H372">
            <v>1089.46</v>
          </cell>
          <cell r="I372">
            <v>0</v>
          </cell>
          <cell r="J372">
            <v>1089.46</v>
          </cell>
          <cell r="K372">
            <v>-1.3</v>
          </cell>
          <cell r="P372">
            <v>0</v>
          </cell>
        </row>
        <row r="373">
          <cell r="A373" t="str">
            <v>LU0568606908</v>
          </cell>
          <cell r="B373" t="str">
            <v>AMUNDI FUNDS EUROLAND EQUITY SMALL CAP SELECT</v>
          </cell>
          <cell r="C373" t="str">
            <v>Class I EUR AD (D)</v>
          </cell>
          <cell r="D373" t="str">
            <v>EUR</v>
          </cell>
          <cell r="E373" t="str">
            <v>01-Dec-2025</v>
          </cell>
          <cell r="F373">
            <v>7028587.8899999997</v>
          </cell>
          <cell r="G373">
            <v>4653.3549999999996</v>
          </cell>
          <cell r="H373">
            <v>1510.43</v>
          </cell>
          <cell r="I373">
            <v>0</v>
          </cell>
          <cell r="J373">
            <v>1510.43</v>
          </cell>
          <cell r="K373">
            <v>-4.99</v>
          </cell>
          <cell r="P373">
            <v>0</v>
          </cell>
        </row>
        <row r="374">
          <cell r="A374" t="str">
            <v>LU0568607039</v>
          </cell>
          <cell r="B374" t="str">
            <v>AMUNDI FUNDS EUROLAND EQUITY SMALL CAP SELECT</v>
          </cell>
          <cell r="C374" t="str">
            <v>Class M EUR (C)</v>
          </cell>
          <cell r="D374" t="str">
            <v>EUR</v>
          </cell>
          <cell r="E374" t="str">
            <v>01-Dec-2025</v>
          </cell>
          <cell r="F374">
            <v>13923731.810000001</v>
          </cell>
          <cell r="G374">
            <v>48781.877999999997</v>
          </cell>
          <cell r="H374">
            <v>285.43</v>
          </cell>
          <cell r="I374">
            <v>0</v>
          </cell>
          <cell r="J374">
            <v>285.43</v>
          </cell>
          <cell r="K374">
            <v>-0.94</v>
          </cell>
          <cell r="P374">
            <v>0</v>
          </cell>
        </row>
        <row r="375">
          <cell r="A375" t="str">
            <v>LU0906532022</v>
          </cell>
          <cell r="B375" t="str">
            <v>AMUNDI FUNDS EUROLAND EQUITY SMALL CAP SELECT</v>
          </cell>
          <cell r="C375" t="str">
            <v>Class OR EUR (C)</v>
          </cell>
          <cell r="D375" t="str">
            <v>EUR</v>
          </cell>
          <cell r="E375" t="str">
            <v>01-Dec-2025</v>
          </cell>
          <cell r="F375">
            <v>120167143.39</v>
          </cell>
          <cell r="G375">
            <v>88652.993000000002</v>
          </cell>
          <cell r="H375">
            <v>1355.48</v>
          </cell>
          <cell r="I375">
            <v>0</v>
          </cell>
          <cell r="J375">
            <v>1355.48</v>
          </cell>
          <cell r="K375">
            <v>-4.3899999999999997</v>
          </cell>
          <cell r="P375">
            <v>0</v>
          </cell>
        </row>
        <row r="376">
          <cell r="A376" t="str">
            <v>LU0945156379</v>
          </cell>
          <cell r="B376" t="str">
            <v>AMUNDI FUNDS EUROLAND EQUITY SMALL CAP SELECT</v>
          </cell>
          <cell r="C376" t="str">
            <v>Class R EUR (C)</v>
          </cell>
          <cell r="D376" t="str">
            <v>EUR</v>
          </cell>
          <cell r="E376" t="str">
            <v>01-Dec-2025</v>
          </cell>
          <cell r="F376">
            <v>33733486.049999997</v>
          </cell>
          <cell r="G376">
            <v>600919.43700000003</v>
          </cell>
          <cell r="H376">
            <v>56.14</v>
          </cell>
          <cell r="I376">
            <v>0</v>
          </cell>
          <cell r="J376">
            <v>56.14</v>
          </cell>
          <cell r="K376">
            <v>-0.18</v>
          </cell>
          <cell r="P376">
            <v>0</v>
          </cell>
        </row>
        <row r="377">
          <cell r="A377" t="str">
            <v>LU0568607468</v>
          </cell>
          <cell r="B377" t="str">
            <v>AMUNDI FUNDS EUROLAND EQUITY SMALL CAP SELECT</v>
          </cell>
          <cell r="C377" t="str">
            <v>Class G EUR (C)</v>
          </cell>
          <cell r="D377" t="str">
            <v>EUR</v>
          </cell>
          <cell r="E377" t="str">
            <v>01-Dec-2025</v>
          </cell>
          <cell r="F377">
            <v>7930378.8200000003</v>
          </cell>
          <cell r="G377">
            <v>33726.402999999998</v>
          </cell>
          <cell r="H377">
            <v>235.14</v>
          </cell>
          <cell r="I377">
            <v>0</v>
          </cell>
          <cell r="J377">
            <v>242.19</v>
          </cell>
          <cell r="K377">
            <v>-0.8</v>
          </cell>
          <cell r="P377">
            <v>0</v>
          </cell>
        </row>
        <row r="378">
          <cell r="A378" t="str">
            <v>LU1103155112</v>
          </cell>
          <cell r="B378" t="str">
            <v>AMUNDI FUNDS EUROLAND EQUITY SMALL CAP SELECT</v>
          </cell>
          <cell r="C378" t="str">
            <v>Class G USD (C)</v>
          </cell>
          <cell r="D378" t="str">
            <v>USD</v>
          </cell>
          <cell r="E378" t="str">
            <v>01-Dec-2025</v>
          </cell>
          <cell r="F378">
            <v>50728.94</v>
          </cell>
          <cell r="G378">
            <v>385.40300000000002</v>
          </cell>
          <cell r="H378">
            <v>131.63</v>
          </cell>
          <cell r="I378">
            <v>0</v>
          </cell>
          <cell r="J378">
            <v>131.63</v>
          </cell>
          <cell r="K378">
            <v>-0.17</v>
          </cell>
          <cell r="P378">
            <v>0</v>
          </cell>
        </row>
        <row r="379">
          <cell r="A379" t="str">
            <v>LU3208781016</v>
          </cell>
          <cell r="B379" t="str">
            <v>AMUNDI FUNDS EUROLAND EQUITY SMALL CAP SELECT</v>
          </cell>
          <cell r="C379" t="str">
            <v>Class X2 EUR (C)</v>
          </cell>
          <cell r="D379" t="str">
            <v>EUR</v>
          </cell>
          <cell r="E379" t="str">
            <v>01-Dec-2025</v>
          </cell>
          <cell r="F379">
            <v>3733349.01</v>
          </cell>
          <cell r="G379">
            <v>3617.89</v>
          </cell>
          <cell r="H379">
            <v>1031.9100000000001</v>
          </cell>
          <cell r="I379">
            <v>0</v>
          </cell>
          <cell r="J379">
            <v>1031.9100000000001</v>
          </cell>
          <cell r="K379">
            <v>-3.35</v>
          </cell>
          <cell r="P379">
            <v>0</v>
          </cell>
        </row>
        <row r="380">
          <cell r="A380" t="str">
            <v>LU1600319138</v>
          </cell>
          <cell r="B380" t="str">
            <v>AMUNDI FUNDS EUROLAND EQUITY SMALL CAP SELECT</v>
          </cell>
          <cell r="C380" t="str">
            <v>Class Z EUR (C)</v>
          </cell>
          <cell r="D380" t="str">
            <v>EUR</v>
          </cell>
          <cell r="E380" t="str">
            <v>01-Dec-2025</v>
          </cell>
          <cell r="F380">
            <v>123870735.14</v>
          </cell>
          <cell r="G380">
            <v>87391.073999999993</v>
          </cell>
          <cell r="H380">
            <v>1417.43</v>
          </cell>
          <cell r="I380">
            <v>0</v>
          </cell>
          <cell r="J380">
            <v>1417.43</v>
          </cell>
          <cell r="K380">
            <v>-4.67</v>
          </cell>
          <cell r="P380">
            <v>0</v>
          </cell>
        </row>
        <row r="381">
          <cell r="A381" t="str">
            <v>LU1638831393</v>
          </cell>
          <cell r="B381" t="str">
            <v>AMUNDI FUNDS EUROLAND EQUITY SMALL CAP SELECT</v>
          </cell>
          <cell r="C381" t="str">
            <v>Class Z EUR AD (D)</v>
          </cell>
          <cell r="D381" t="str">
            <v>EUR</v>
          </cell>
          <cell r="E381" t="str">
            <v>01-Dec-2025</v>
          </cell>
          <cell r="F381">
            <v>23755415.370000001</v>
          </cell>
          <cell r="G381">
            <v>20253.392</v>
          </cell>
          <cell r="H381">
            <v>1172.9100000000001</v>
          </cell>
          <cell r="I381">
            <v>0</v>
          </cell>
          <cell r="J381">
            <v>1172.9100000000001</v>
          </cell>
          <cell r="K381">
            <v>-3.86</v>
          </cell>
          <cell r="P381">
            <v>0</v>
          </cell>
        </row>
        <row r="382">
          <cell r="A382" t="str">
            <v>LU0552029232</v>
          </cell>
          <cell r="B382" t="str">
            <v>AMUNDI FUNDS SBI FM INDIA EQUITY</v>
          </cell>
          <cell r="C382" t="str">
            <v>Class A EUR (C)</v>
          </cell>
          <cell r="D382" t="str">
            <v>EUR</v>
          </cell>
          <cell r="E382" t="str">
            <v>01-Dec-2025</v>
          </cell>
          <cell r="F382">
            <v>222668498.53</v>
          </cell>
          <cell r="G382">
            <v>903524.15500000003</v>
          </cell>
          <cell r="H382">
            <v>246.44</v>
          </cell>
          <cell r="I382">
            <v>0</v>
          </cell>
          <cell r="J382">
            <v>257.52999999999997</v>
          </cell>
          <cell r="K382">
            <v>-0.7</v>
          </cell>
          <cell r="P382">
            <v>0</v>
          </cell>
        </row>
        <row r="383">
          <cell r="A383" t="str">
            <v>LU0236501697</v>
          </cell>
          <cell r="B383" t="str">
            <v>AMUNDI FUNDS SBI FM INDIA EQUITY</v>
          </cell>
          <cell r="C383" t="str">
            <v>Class A USD (C)</v>
          </cell>
          <cell r="D383" t="str">
            <v>USD</v>
          </cell>
          <cell r="E383" t="str">
            <v>01-Dec-2025</v>
          </cell>
          <cell r="F383">
            <v>45650713.539999999</v>
          </cell>
          <cell r="G383">
            <v>112998.46799999999</v>
          </cell>
          <cell r="H383">
            <v>403.99</v>
          </cell>
          <cell r="I383">
            <v>0</v>
          </cell>
          <cell r="J383">
            <v>422.17</v>
          </cell>
          <cell r="K383">
            <v>-0.28999999999999998</v>
          </cell>
          <cell r="P383">
            <v>0</v>
          </cell>
        </row>
        <row r="384">
          <cell r="A384" t="str">
            <v>LU2032056785</v>
          </cell>
          <cell r="B384" t="str">
            <v>AMUNDI FUNDS SBI FM INDIA EQUITY</v>
          </cell>
          <cell r="C384" t="str">
            <v>Class A5 EUR (C)</v>
          </cell>
          <cell r="D384" t="str">
            <v>EUR</v>
          </cell>
          <cell r="E384" t="str">
            <v>01-Dec-2025</v>
          </cell>
          <cell r="F384">
            <v>8468.43</v>
          </cell>
          <cell r="G384">
            <v>100</v>
          </cell>
          <cell r="H384">
            <v>84.68</v>
          </cell>
          <cell r="I384">
            <v>0</v>
          </cell>
          <cell r="J384">
            <v>84.68</v>
          </cell>
          <cell r="K384">
            <v>-0.24</v>
          </cell>
          <cell r="P384">
            <v>0</v>
          </cell>
        </row>
        <row r="385">
          <cell r="A385" t="str">
            <v>LU2716742528</v>
          </cell>
          <cell r="B385" t="str">
            <v>AMUNDI FUNDS SBI FM INDIA EQUITY</v>
          </cell>
          <cell r="C385" t="str">
            <v>Class A CZK (C)</v>
          </cell>
          <cell r="D385" t="str">
            <v>CZK</v>
          </cell>
          <cell r="E385" t="str">
            <v>01-Dec-2025</v>
          </cell>
          <cell r="F385">
            <v>401363165.80000001</v>
          </cell>
          <cell r="G385">
            <v>374998.01500000001</v>
          </cell>
          <cell r="H385">
            <v>1070.31</v>
          </cell>
          <cell r="I385">
            <v>0</v>
          </cell>
          <cell r="J385">
            <v>1070.31</v>
          </cell>
          <cell r="K385">
            <v>-3.67</v>
          </cell>
          <cell r="P385">
            <v>0</v>
          </cell>
        </row>
        <row r="386">
          <cell r="A386" t="str">
            <v>LU0552029315</v>
          </cell>
          <cell r="B386" t="str">
            <v>AMUNDI FUNDS SBI FM INDIA EQUITY</v>
          </cell>
          <cell r="C386" t="str">
            <v>Class A EUR AD (D)</v>
          </cell>
          <cell r="D386" t="str">
            <v>EUR</v>
          </cell>
          <cell r="E386" t="str">
            <v>01-Dec-2025</v>
          </cell>
          <cell r="F386">
            <v>12391851.02</v>
          </cell>
          <cell r="G386">
            <v>50095.985000000001</v>
          </cell>
          <cell r="H386">
            <v>247.36</v>
          </cell>
          <cell r="I386">
            <v>0</v>
          </cell>
          <cell r="J386">
            <v>258.49</v>
          </cell>
          <cell r="K386">
            <v>-0.7</v>
          </cell>
          <cell r="P386">
            <v>0</v>
          </cell>
        </row>
        <row r="387">
          <cell r="A387" t="str">
            <v>LU0236502158</v>
          </cell>
          <cell r="B387" t="str">
            <v>AMUNDI FUNDS SBI FM INDIA EQUITY</v>
          </cell>
          <cell r="C387" t="str">
            <v>Class A USD AD (D)</v>
          </cell>
          <cell r="D387" t="str">
            <v>USD</v>
          </cell>
          <cell r="E387" t="str">
            <v>01-Dec-2025</v>
          </cell>
          <cell r="F387">
            <v>3520570.46</v>
          </cell>
          <cell r="G387">
            <v>10739.742</v>
          </cell>
          <cell r="H387">
            <v>327.81</v>
          </cell>
          <cell r="I387">
            <v>0</v>
          </cell>
          <cell r="J387">
            <v>342.56</v>
          </cell>
          <cell r="K387">
            <v>-0.23</v>
          </cell>
          <cell r="P387">
            <v>0</v>
          </cell>
        </row>
        <row r="388">
          <cell r="A388" t="str">
            <v>LU0236503040</v>
          </cell>
          <cell r="B388" t="str">
            <v>AMUNDI FUNDS SBI FM INDIA EQUITY</v>
          </cell>
          <cell r="C388" t="str">
            <v>Class Q-I4 USD (C)</v>
          </cell>
          <cell r="D388" t="str">
            <v>USD</v>
          </cell>
          <cell r="E388" t="str">
            <v>01-Dec-2025</v>
          </cell>
          <cell r="F388">
            <v>386341164.42000002</v>
          </cell>
          <cell r="G388">
            <v>755090.75899999996</v>
          </cell>
          <cell r="H388">
            <v>511.65</v>
          </cell>
          <cell r="I388">
            <v>0</v>
          </cell>
          <cell r="J388">
            <v>511.65</v>
          </cell>
          <cell r="K388">
            <v>-0.31</v>
          </cell>
          <cell r="P388">
            <v>0</v>
          </cell>
        </row>
        <row r="389">
          <cell r="A389" t="str">
            <v>LU0351777106</v>
          </cell>
          <cell r="B389" t="str">
            <v>AMUNDI FUNDS SBI FM INDIA EQUITY</v>
          </cell>
          <cell r="C389" t="str">
            <v>Class Q-I9 USD (C)</v>
          </cell>
          <cell r="D389" t="str">
            <v>USD</v>
          </cell>
          <cell r="E389" t="str">
            <v>01-Dec-2025</v>
          </cell>
          <cell r="F389">
            <v>141751.82</v>
          </cell>
          <cell r="G389">
            <v>428</v>
          </cell>
          <cell r="H389">
            <v>331.2</v>
          </cell>
          <cell r="I389">
            <v>0</v>
          </cell>
          <cell r="J389">
            <v>331.2</v>
          </cell>
          <cell r="K389">
            <v>-0.2</v>
          </cell>
          <cell r="P389">
            <v>0</v>
          </cell>
        </row>
        <row r="390">
          <cell r="A390" t="str">
            <v>LU0823045413</v>
          </cell>
          <cell r="B390" t="str">
            <v>AMUNDI FUNDS SBI FM INDIA EQUITY</v>
          </cell>
          <cell r="C390" t="str">
            <v>Class A2 USD (C)</v>
          </cell>
          <cell r="D390" t="str">
            <v>USD</v>
          </cell>
          <cell r="E390" t="str">
            <v>01-Dec-2025</v>
          </cell>
          <cell r="F390">
            <v>18583924.140000001</v>
          </cell>
          <cell r="G390">
            <v>44776.224999999999</v>
          </cell>
          <cell r="H390">
            <v>415.04</v>
          </cell>
          <cell r="I390">
            <v>0</v>
          </cell>
          <cell r="J390">
            <v>415.04</v>
          </cell>
          <cell r="K390">
            <v>-0.3</v>
          </cell>
          <cell r="P390">
            <v>0</v>
          </cell>
        </row>
        <row r="391">
          <cell r="A391" t="str">
            <v>LU0557865937</v>
          </cell>
          <cell r="B391" t="str">
            <v>AMUNDI FUNDS SBI FM INDIA EQUITY</v>
          </cell>
          <cell r="C391" t="str">
            <v>Class F2 USD (C)</v>
          </cell>
          <cell r="D391" t="str">
            <v>USD</v>
          </cell>
          <cell r="E391" t="str">
            <v>01-Dec-2025</v>
          </cell>
          <cell r="F391">
            <v>2549924.54</v>
          </cell>
          <cell r="G391">
            <v>12439.700999999999</v>
          </cell>
          <cell r="H391">
            <v>204.98</v>
          </cell>
          <cell r="I391">
            <v>0</v>
          </cell>
          <cell r="J391">
            <v>204.98</v>
          </cell>
          <cell r="K391">
            <v>-0.17</v>
          </cell>
          <cell r="P391">
            <v>0</v>
          </cell>
        </row>
        <row r="392">
          <cell r="A392" t="str">
            <v>LU2002724123</v>
          </cell>
          <cell r="B392" t="str">
            <v>AMUNDI FUNDS SBI FM INDIA EQUITY</v>
          </cell>
          <cell r="C392" t="str">
            <v>Class M2 USD ( C )</v>
          </cell>
          <cell r="D392" t="str">
            <v>USD</v>
          </cell>
          <cell r="E392" t="str">
            <v>01-Dec-2025</v>
          </cell>
          <cell r="F392">
            <v>3739909.26</v>
          </cell>
          <cell r="G392">
            <v>2078.9789999999998</v>
          </cell>
          <cell r="H392">
            <v>1798.92</v>
          </cell>
          <cell r="I392">
            <v>0</v>
          </cell>
          <cell r="J392">
            <v>1798.92</v>
          </cell>
          <cell r="K392">
            <v>-1.1299999999999999</v>
          </cell>
          <cell r="P392">
            <v>0</v>
          </cell>
        </row>
        <row r="393">
          <cell r="A393" t="str">
            <v>LU2052289183</v>
          </cell>
          <cell r="B393" t="str">
            <v>AMUNDI FUNDS SBI FM INDIA EQUITY</v>
          </cell>
          <cell r="C393" t="str">
            <v>Class I2 GBP (C)</v>
          </cell>
          <cell r="D393" t="str">
            <v>GBP</v>
          </cell>
          <cell r="E393" t="str">
            <v>01-Dec-2025</v>
          </cell>
          <cell r="F393">
            <v>8429.4699999999993</v>
          </cell>
          <cell r="G393">
            <v>5</v>
          </cell>
          <cell r="H393">
            <v>1685.89</v>
          </cell>
          <cell r="I393">
            <v>0</v>
          </cell>
          <cell r="J393">
            <v>1685.89</v>
          </cell>
          <cell r="K393">
            <v>-1.36</v>
          </cell>
          <cell r="P393">
            <v>0</v>
          </cell>
        </row>
        <row r="394">
          <cell r="A394" t="str">
            <v>LU0236502588</v>
          </cell>
          <cell r="B394" t="str">
            <v>AMUNDI FUNDS SBI FM INDIA EQUITY</v>
          </cell>
          <cell r="C394" t="str">
            <v>Class I USD (C)</v>
          </cell>
          <cell r="D394" t="str">
            <v>USD</v>
          </cell>
          <cell r="E394" t="str">
            <v>01-Dec-2025</v>
          </cell>
          <cell r="F394">
            <v>2027777.07</v>
          </cell>
          <cell r="G394">
            <v>428.18400000000003</v>
          </cell>
          <cell r="H394">
            <v>4735.76</v>
          </cell>
          <cell r="I394">
            <v>0</v>
          </cell>
          <cell r="J394">
            <v>4735.76</v>
          </cell>
          <cell r="K394">
            <v>-2.98</v>
          </cell>
          <cell r="P394">
            <v>0</v>
          </cell>
        </row>
        <row r="395">
          <cell r="A395" t="str">
            <v>LU2330498754</v>
          </cell>
          <cell r="B395" t="str">
            <v>AMUNDI FUNDS SBI FM INDIA EQUITY</v>
          </cell>
          <cell r="C395" t="str">
            <v>Class I2 USD (C)</v>
          </cell>
          <cell r="D395" t="str">
            <v>USD</v>
          </cell>
          <cell r="E395" t="str">
            <v>01-Dec-2025</v>
          </cell>
          <cell r="F395">
            <v>36819856.289999999</v>
          </cell>
          <cell r="G395">
            <v>25241.663</v>
          </cell>
          <cell r="H395">
            <v>1458.69</v>
          </cell>
          <cell r="I395">
            <v>0</v>
          </cell>
          <cell r="J395">
            <v>1458.69</v>
          </cell>
          <cell r="K395">
            <v>-0.93</v>
          </cell>
          <cell r="P395">
            <v>0</v>
          </cell>
        </row>
        <row r="396">
          <cell r="A396" t="str">
            <v>LU0236502661</v>
          </cell>
          <cell r="B396" t="str">
            <v>AMUNDI FUNDS SBI FM INDIA EQUITY</v>
          </cell>
          <cell r="C396" t="str">
            <v>Class I USD AD (D)</v>
          </cell>
          <cell r="D396" t="str">
            <v>USD</v>
          </cell>
          <cell r="E396" t="str">
            <v>01-Dec-2025</v>
          </cell>
          <cell r="F396">
            <v>1673.4</v>
          </cell>
          <cell r="G396">
            <v>1</v>
          </cell>
          <cell r="H396">
            <v>1673.4</v>
          </cell>
          <cell r="I396">
            <v>0</v>
          </cell>
          <cell r="J396">
            <v>1673.4</v>
          </cell>
          <cell r="K396">
            <v>-1.05</v>
          </cell>
          <cell r="P396">
            <v>0</v>
          </cell>
        </row>
        <row r="397">
          <cell r="A397" t="str">
            <v>LU2778931183</v>
          </cell>
          <cell r="B397" t="str">
            <v>AMUNDI FUNDS SBI FM INDIA EQUITY</v>
          </cell>
          <cell r="C397" t="str">
            <v>Class G EUR (C)</v>
          </cell>
          <cell r="D397" t="str">
            <v>EUR</v>
          </cell>
          <cell r="E397" t="str">
            <v>01-Dec-2025</v>
          </cell>
          <cell r="F397">
            <v>690974.71</v>
          </cell>
          <cell r="G397">
            <v>141506.97399999999</v>
          </cell>
          <cell r="H397">
            <v>4.883</v>
          </cell>
          <cell r="I397">
            <v>0</v>
          </cell>
          <cell r="J397">
            <v>4.883</v>
          </cell>
          <cell r="K397">
            <v>-1.4E-2</v>
          </cell>
          <cell r="P397">
            <v>0</v>
          </cell>
        </row>
        <row r="398">
          <cell r="A398" t="str">
            <v>LU0329446719</v>
          </cell>
          <cell r="B398" t="str">
            <v>AMUNDI FUNDS SBI FM INDIA EQUITY</v>
          </cell>
          <cell r="C398" t="str">
            <v>Class M USD (C)</v>
          </cell>
          <cell r="D398" t="str">
            <v>USD</v>
          </cell>
          <cell r="E398" t="str">
            <v>01-Dec-2025</v>
          </cell>
          <cell r="F398">
            <v>2402960.54</v>
          </cell>
          <cell r="G398">
            <v>10340.573</v>
          </cell>
          <cell r="H398">
            <v>232.38</v>
          </cell>
          <cell r="I398">
            <v>0</v>
          </cell>
          <cell r="J398">
            <v>232.38</v>
          </cell>
          <cell r="K398">
            <v>-0.15</v>
          </cell>
          <cell r="P398">
            <v>0</v>
          </cell>
        </row>
        <row r="399">
          <cell r="A399" t="str">
            <v>LU0557866406</v>
          </cell>
          <cell r="B399" t="str">
            <v>AMUNDI FUNDS SBI FM INDIA EQUITY</v>
          </cell>
          <cell r="C399" t="str">
            <v>Class O USD (C)</v>
          </cell>
          <cell r="D399" t="str">
            <v>USD</v>
          </cell>
          <cell r="E399" t="str">
            <v>01-Dec-2025</v>
          </cell>
          <cell r="F399">
            <v>9522.4599999999991</v>
          </cell>
          <cell r="G399">
            <v>5.27</v>
          </cell>
          <cell r="H399">
            <v>1806.92</v>
          </cell>
          <cell r="I399">
            <v>0</v>
          </cell>
          <cell r="J399">
            <v>1806.92</v>
          </cell>
          <cell r="K399">
            <v>-1.01</v>
          </cell>
          <cell r="P399">
            <v>0</v>
          </cell>
        </row>
        <row r="400">
          <cell r="A400" t="str">
            <v>LU2052289852</v>
          </cell>
          <cell r="B400" t="str">
            <v>AMUNDI FUNDS SBI FM INDIA EQUITY</v>
          </cell>
          <cell r="C400" t="str">
            <v>Class P2 USD (C)</v>
          </cell>
          <cell r="D400" t="str">
            <v>USD</v>
          </cell>
          <cell r="E400" t="str">
            <v>01-Dec-2025</v>
          </cell>
          <cell r="F400">
            <v>54704.83</v>
          </cell>
          <cell r="G400">
            <v>632.71400000000006</v>
          </cell>
          <cell r="H400">
            <v>86.46</v>
          </cell>
          <cell r="I400">
            <v>0</v>
          </cell>
          <cell r="J400">
            <v>86.46</v>
          </cell>
          <cell r="K400">
            <v>-0.06</v>
          </cell>
          <cell r="P400">
            <v>0</v>
          </cell>
        </row>
        <row r="401">
          <cell r="A401" t="str">
            <v>LU0987201976</v>
          </cell>
          <cell r="B401" t="str">
            <v>AMUNDI FUNDS SBI FM INDIA EQUITY</v>
          </cell>
          <cell r="C401" t="str">
            <v>Class R USD (C)</v>
          </cell>
          <cell r="D401" t="str">
            <v>USD</v>
          </cell>
          <cell r="E401" t="str">
            <v>01-Dec-2025</v>
          </cell>
          <cell r="F401">
            <v>15547.63</v>
          </cell>
          <cell r="G401">
            <v>308.661</v>
          </cell>
          <cell r="H401">
            <v>50.37</v>
          </cell>
          <cell r="I401">
            <v>0</v>
          </cell>
          <cell r="J401">
            <v>50.37</v>
          </cell>
          <cell r="K401">
            <v>-0.03</v>
          </cell>
          <cell r="P401">
            <v>0</v>
          </cell>
        </row>
        <row r="402">
          <cell r="A402" t="str">
            <v>LU2259110612</v>
          </cell>
          <cell r="B402" t="str">
            <v>AMUNDI FUNDS SBI FM INDIA EQUITY</v>
          </cell>
          <cell r="C402" t="str">
            <v>Class R2 GBP (C)</v>
          </cell>
          <cell r="D402" t="str">
            <v>GBP</v>
          </cell>
          <cell r="E402" t="str">
            <v>01-Dec-2025</v>
          </cell>
          <cell r="F402">
            <v>7502.58</v>
          </cell>
          <cell r="G402">
            <v>100</v>
          </cell>
          <cell r="H402">
            <v>75.03</v>
          </cell>
          <cell r="I402">
            <v>0</v>
          </cell>
          <cell r="J402">
            <v>75.03</v>
          </cell>
          <cell r="K402">
            <v>-0.06</v>
          </cell>
          <cell r="P402">
            <v>0</v>
          </cell>
        </row>
        <row r="403">
          <cell r="A403" t="str">
            <v>LU2931223346</v>
          </cell>
          <cell r="B403" t="str">
            <v>AMUNDI FUNDS SBI FM INDIA EQUITY</v>
          </cell>
          <cell r="C403" t="str">
            <v>Class R EUR (C)</v>
          </cell>
          <cell r="D403" t="str">
            <v>EUR</v>
          </cell>
          <cell r="E403" t="str">
            <v>01-Dec-2025</v>
          </cell>
          <cell r="F403">
            <v>4412.2700000000004</v>
          </cell>
          <cell r="G403">
            <v>100</v>
          </cell>
          <cell r="H403">
            <v>44.12</v>
          </cell>
          <cell r="I403">
            <v>0</v>
          </cell>
          <cell r="J403">
            <v>44.12</v>
          </cell>
          <cell r="K403">
            <v>-0.12</v>
          </cell>
          <cell r="P403">
            <v>0</v>
          </cell>
        </row>
        <row r="404">
          <cell r="A404" t="str">
            <v>LU0236502315</v>
          </cell>
          <cell r="B404" t="str">
            <v>AMUNDI FUNDS SBI FM INDIA EQUITY</v>
          </cell>
          <cell r="C404" t="str">
            <v>Class G USD (C)</v>
          </cell>
          <cell r="D404" t="str">
            <v>USD</v>
          </cell>
          <cell r="E404" t="str">
            <v>01-Dec-2025</v>
          </cell>
          <cell r="F404">
            <v>66276792.659999996</v>
          </cell>
          <cell r="G404">
            <v>176629.378</v>
          </cell>
          <cell r="H404">
            <v>375.23</v>
          </cell>
          <cell r="I404">
            <v>0</v>
          </cell>
          <cell r="J404">
            <v>386.49</v>
          </cell>
          <cell r="K404">
            <v>-0.28000000000000003</v>
          </cell>
          <cell r="P404">
            <v>0</v>
          </cell>
        </row>
        <row r="405">
          <cell r="A405" t="str">
            <v>LU1880406837</v>
          </cell>
          <cell r="B405" t="str">
            <v>AMUNDI FUNDS SBI FM INDIA EQUITY</v>
          </cell>
          <cell r="C405" t="str">
            <v>Class Q-I6 USD (C)</v>
          </cell>
          <cell r="D405" t="str">
            <v>USD</v>
          </cell>
          <cell r="E405" t="str">
            <v>01-Dec-2025</v>
          </cell>
          <cell r="F405">
            <v>10715616.560000001</v>
          </cell>
          <cell r="G405">
            <v>6363.9790000000003</v>
          </cell>
          <cell r="H405">
            <v>1683.79</v>
          </cell>
          <cell r="I405">
            <v>0</v>
          </cell>
          <cell r="J405">
            <v>1683.79</v>
          </cell>
          <cell r="K405">
            <v>-1.0900000000000001</v>
          </cell>
          <cell r="P405">
            <v>0</v>
          </cell>
        </row>
        <row r="406">
          <cell r="A406" t="str">
            <v>LU3208810567</v>
          </cell>
          <cell r="B406" t="str">
            <v>AMUNDI FUNDS SBI FM INDIA EQUITY</v>
          </cell>
          <cell r="C406" t="str">
            <v>Class X2 EUR (C)</v>
          </cell>
          <cell r="D406" t="str">
            <v>EUR</v>
          </cell>
          <cell r="E406" t="str">
            <v>01-Dec-2025</v>
          </cell>
          <cell r="F406">
            <v>5005.03</v>
          </cell>
          <cell r="G406">
            <v>5</v>
          </cell>
          <cell r="H406">
            <v>1001.01</v>
          </cell>
          <cell r="I406">
            <v>0</v>
          </cell>
          <cell r="J406">
            <v>1001.01</v>
          </cell>
          <cell r="K406">
            <v>-2.67</v>
          </cell>
          <cell r="P406">
            <v>0</v>
          </cell>
        </row>
        <row r="407">
          <cell r="A407" t="str">
            <v>LU0568583420</v>
          </cell>
          <cell r="B407" t="str">
            <v>AMUNDI FUNDS EQUITY JAPAN TARGET</v>
          </cell>
          <cell r="C407" t="str">
            <v>Class A EUR (C)</v>
          </cell>
          <cell r="D407" t="str">
            <v>EUR</v>
          </cell>
          <cell r="E407" t="str">
            <v>01-Dec-2025</v>
          </cell>
          <cell r="F407">
            <v>53364607.140000001</v>
          </cell>
          <cell r="G407">
            <v>184362.10399999999</v>
          </cell>
          <cell r="H407">
            <v>289.45</v>
          </cell>
          <cell r="I407">
            <v>0</v>
          </cell>
          <cell r="J407">
            <v>302.48</v>
          </cell>
          <cell r="K407">
            <v>-1.84</v>
          </cell>
          <cell r="P407">
            <v>0</v>
          </cell>
        </row>
        <row r="408">
          <cell r="A408" t="str">
            <v>LU0568583008</v>
          </cell>
          <cell r="B408" t="str">
            <v>AMUNDI FUNDS EQUITY JAPAN TARGET</v>
          </cell>
          <cell r="C408" t="str">
            <v>Class A JPY (C)</v>
          </cell>
          <cell r="D408" t="str">
            <v>JPY</v>
          </cell>
          <cell r="E408" t="str">
            <v>01-Dec-2025</v>
          </cell>
          <cell r="F408">
            <v>940364471</v>
          </cell>
          <cell r="G408">
            <v>21009.235000000001</v>
          </cell>
          <cell r="H408">
            <v>44759.58</v>
          </cell>
          <cell r="I408">
            <v>0</v>
          </cell>
          <cell r="J408">
            <v>46773.760000000002</v>
          </cell>
          <cell r="K408">
            <v>-467.29</v>
          </cell>
          <cell r="P408">
            <v>0</v>
          </cell>
        </row>
        <row r="409">
          <cell r="A409" t="str">
            <v>LU0568583933</v>
          </cell>
          <cell r="B409" t="str">
            <v>AMUNDI FUNDS EQUITY JAPAN TARGET</v>
          </cell>
          <cell r="C409" t="str">
            <v>Class A EUR Hgd (C)</v>
          </cell>
          <cell r="D409" t="str">
            <v>EUR</v>
          </cell>
          <cell r="E409" t="str">
            <v>01-Dec-2025</v>
          </cell>
          <cell r="F409">
            <v>52413310.259999998</v>
          </cell>
          <cell r="G409">
            <v>118916.614</v>
          </cell>
          <cell r="H409">
            <v>440.75</v>
          </cell>
          <cell r="I409">
            <v>0</v>
          </cell>
          <cell r="J409">
            <v>460.58</v>
          </cell>
          <cell r="K409">
            <v>-4.5599999999999996</v>
          </cell>
          <cell r="P409">
            <v>0</v>
          </cell>
        </row>
        <row r="410">
          <cell r="A410" t="str">
            <v>LU0987202867</v>
          </cell>
          <cell r="B410" t="str">
            <v>AMUNDI FUNDS EQUITY JAPAN TARGET</v>
          </cell>
          <cell r="C410" t="str">
            <v>Class A USD Hgd (C)</v>
          </cell>
          <cell r="D410" t="str">
            <v>USD</v>
          </cell>
          <cell r="E410" t="str">
            <v>01-Dec-2025</v>
          </cell>
          <cell r="F410">
            <v>2048430.38</v>
          </cell>
          <cell r="G410">
            <v>6488.1880000000001</v>
          </cell>
          <cell r="H410">
            <v>315.70999999999998</v>
          </cell>
          <cell r="I410">
            <v>0</v>
          </cell>
          <cell r="J410">
            <v>329.92</v>
          </cell>
          <cell r="K410">
            <v>-3.22</v>
          </cell>
          <cell r="P410">
            <v>0</v>
          </cell>
        </row>
        <row r="411">
          <cell r="A411" t="str">
            <v>LU0568583776</v>
          </cell>
          <cell r="B411" t="str">
            <v>AMUNDI FUNDS EQUITY JAPAN TARGET</v>
          </cell>
          <cell r="C411" t="str">
            <v>Class A EUR AD (D)</v>
          </cell>
          <cell r="D411" t="str">
            <v>EUR</v>
          </cell>
          <cell r="E411" t="str">
            <v>01-Dec-2025</v>
          </cell>
          <cell r="F411">
            <v>2778483.57</v>
          </cell>
          <cell r="G411">
            <v>11446.325999999999</v>
          </cell>
          <cell r="H411">
            <v>242.74</v>
          </cell>
          <cell r="I411">
            <v>0</v>
          </cell>
          <cell r="J411">
            <v>253.66</v>
          </cell>
          <cell r="K411">
            <v>-1.54</v>
          </cell>
          <cell r="P411">
            <v>0</v>
          </cell>
        </row>
        <row r="412">
          <cell r="A412" t="str">
            <v>LU0568583263</v>
          </cell>
          <cell r="B412" t="str">
            <v>AMUNDI FUNDS EQUITY JAPAN TARGET</v>
          </cell>
          <cell r="C412" t="str">
            <v>Class A JPY AD (D)</v>
          </cell>
          <cell r="D412" t="str">
            <v>JPY</v>
          </cell>
          <cell r="E412" t="str">
            <v>01-Dec-2025</v>
          </cell>
          <cell r="F412">
            <v>222877574</v>
          </cell>
          <cell r="G412">
            <v>5914.2479999999996</v>
          </cell>
          <cell r="H412">
            <v>37684.85</v>
          </cell>
          <cell r="I412">
            <v>0</v>
          </cell>
          <cell r="J412">
            <v>39380.67</v>
          </cell>
          <cell r="K412">
            <v>-393.19</v>
          </cell>
          <cell r="P412">
            <v>0</v>
          </cell>
        </row>
        <row r="413">
          <cell r="A413" t="str">
            <v>LU2018721626</v>
          </cell>
          <cell r="B413" t="str">
            <v>AMUNDI FUNDS EQUITY JAPAN TARGET</v>
          </cell>
          <cell r="C413" t="str">
            <v>Class F EUR Hgd (C)</v>
          </cell>
          <cell r="D413" t="str">
            <v>EUR</v>
          </cell>
          <cell r="E413" t="str">
            <v>01-Dec-2025</v>
          </cell>
          <cell r="F413">
            <v>840437.73</v>
          </cell>
          <cell r="G413">
            <v>75364.633000000002</v>
          </cell>
          <cell r="H413">
            <v>11.151</v>
          </cell>
          <cell r="I413">
            <v>0</v>
          </cell>
          <cell r="J413">
            <v>11.151</v>
          </cell>
          <cell r="K413">
            <v>-0.11600000000000001</v>
          </cell>
          <cell r="P413">
            <v>0</v>
          </cell>
        </row>
        <row r="414">
          <cell r="A414" t="str">
            <v>LU0568584311</v>
          </cell>
          <cell r="B414" t="str">
            <v>AMUNDI FUNDS EQUITY JAPAN TARGET</v>
          </cell>
          <cell r="C414" t="str">
            <v>Class F2 JPY (C)</v>
          </cell>
          <cell r="D414" t="str">
            <v>JPY</v>
          </cell>
          <cell r="E414" t="str">
            <v>01-Dec-2025</v>
          </cell>
          <cell r="F414">
            <v>21087054</v>
          </cell>
          <cell r="G414">
            <v>550.22</v>
          </cell>
          <cell r="H414">
            <v>38324.769999999997</v>
          </cell>
          <cell r="I414">
            <v>0</v>
          </cell>
          <cell r="J414">
            <v>38324.769999999997</v>
          </cell>
          <cell r="K414">
            <v>-335.94</v>
          </cell>
          <cell r="P414">
            <v>0</v>
          </cell>
        </row>
        <row r="415">
          <cell r="A415" t="str">
            <v>LU0568584584</v>
          </cell>
          <cell r="B415" t="str">
            <v>AMUNDI FUNDS EQUITY JAPAN TARGET</v>
          </cell>
          <cell r="C415" t="str">
            <v>Class F2 EUR Hgd (C)</v>
          </cell>
          <cell r="D415" t="str">
            <v>EUR</v>
          </cell>
          <cell r="E415" t="str">
            <v>01-Dec-2025</v>
          </cell>
          <cell r="F415">
            <v>1454334.07</v>
          </cell>
          <cell r="G415">
            <v>3722.127</v>
          </cell>
          <cell r="H415">
            <v>390.72</v>
          </cell>
          <cell r="I415">
            <v>0</v>
          </cell>
          <cell r="J415">
            <v>390.72</v>
          </cell>
          <cell r="K415">
            <v>-3.38</v>
          </cell>
          <cell r="P415">
            <v>0</v>
          </cell>
        </row>
        <row r="416">
          <cell r="A416" t="str">
            <v>LU2031983617</v>
          </cell>
          <cell r="B416" t="str">
            <v>AMUNDI FUNDS EQUITY JAPAN TARGET</v>
          </cell>
          <cell r="C416" t="str">
            <v>Class I2 GBP QD (D)</v>
          </cell>
          <cell r="D416" t="str">
            <v>GBP</v>
          </cell>
          <cell r="E416" t="str">
            <v>01-Dec-2025</v>
          </cell>
          <cell r="F416">
            <v>7009.01</v>
          </cell>
          <cell r="G416">
            <v>5</v>
          </cell>
          <cell r="H416">
            <v>1401.8</v>
          </cell>
          <cell r="I416">
            <v>0</v>
          </cell>
          <cell r="J416">
            <v>1401.8</v>
          </cell>
          <cell r="K416">
            <v>-3.65</v>
          </cell>
          <cell r="P416">
            <v>0</v>
          </cell>
        </row>
        <row r="417">
          <cell r="A417" t="str">
            <v>LU0568582299</v>
          </cell>
          <cell r="B417" t="str">
            <v>AMUNDI FUNDS EQUITY JAPAN TARGET</v>
          </cell>
          <cell r="C417" t="str">
            <v>Class I JPY (C)</v>
          </cell>
          <cell r="D417" t="str">
            <v>JPY</v>
          </cell>
          <cell r="E417" t="str">
            <v>01-Dec-2025</v>
          </cell>
          <cell r="F417">
            <v>2227514258</v>
          </cell>
          <cell r="G417">
            <v>4256.74</v>
          </cell>
          <cell r="H417">
            <v>523291.12</v>
          </cell>
          <cell r="I417">
            <v>0</v>
          </cell>
          <cell r="J417">
            <v>523291.12</v>
          </cell>
          <cell r="K417">
            <v>-5416.04</v>
          </cell>
          <cell r="P417">
            <v>0</v>
          </cell>
        </row>
        <row r="418">
          <cell r="A418" t="str">
            <v>LU1897303902</v>
          </cell>
          <cell r="B418" t="str">
            <v>AMUNDI FUNDS EQUITY JAPAN TARGET</v>
          </cell>
          <cell r="C418" t="str">
            <v>Class I2 GBP (C)</v>
          </cell>
          <cell r="D418" t="str">
            <v>GBP</v>
          </cell>
          <cell r="E418" t="str">
            <v>01-Dec-2025</v>
          </cell>
          <cell r="F418">
            <v>7774.38</v>
          </cell>
          <cell r="G418">
            <v>5</v>
          </cell>
          <cell r="H418">
            <v>1554.87</v>
          </cell>
          <cell r="I418">
            <v>0</v>
          </cell>
          <cell r="J418">
            <v>1554.87</v>
          </cell>
          <cell r="K418">
            <v>-4.05</v>
          </cell>
          <cell r="P418">
            <v>0</v>
          </cell>
        </row>
        <row r="419">
          <cell r="A419" t="str">
            <v>LU0797053906</v>
          </cell>
          <cell r="B419" t="str">
            <v>AMUNDI FUNDS EQUITY JAPAN TARGET</v>
          </cell>
          <cell r="C419" t="str">
            <v>Class I EUR Hgd (C)</v>
          </cell>
          <cell r="D419" t="str">
            <v>EUR</v>
          </cell>
          <cell r="E419" t="str">
            <v>01-Dec-2025</v>
          </cell>
          <cell r="F419">
            <v>1808540.6</v>
          </cell>
          <cell r="G419">
            <v>419.93200000000002</v>
          </cell>
          <cell r="H419">
            <v>4306.74</v>
          </cell>
          <cell r="I419">
            <v>0</v>
          </cell>
          <cell r="J419">
            <v>4306.74</v>
          </cell>
          <cell r="K419">
            <v>-43.97</v>
          </cell>
          <cell r="P419">
            <v>0</v>
          </cell>
        </row>
        <row r="420">
          <cell r="A420" t="str">
            <v>LU0568582612</v>
          </cell>
          <cell r="B420" t="str">
            <v>AMUNDI FUNDS EQUITY JAPAN TARGET</v>
          </cell>
          <cell r="C420" t="str">
            <v>Class M JPY (C)</v>
          </cell>
          <cell r="D420" t="str">
            <v>JPY</v>
          </cell>
          <cell r="E420" t="str">
            <v>01-Dec-2025</v>
          </cell>
          <cell r="F420">
            <v>600515056</v>
          </cell>
          <cell r="G420">
            <v>11307.705</v>
          </cell>
          <cell r="H420">
            <v>53106.71</v>
          </cell>
          <cell r="I420">
            <v>0</v>
          </cell>
          <cell r="J420">
            <v>53106.71</v>
          </cell>
          <cell r="K420">
            <v>-549.91999999999996</v>
          </cell>
          <cell r="P420">
            <v>0</v>
          </cell>
        </row>
        <row r="421">
          <cell r="A421" t="str">
            <v>LU0797053815</v>
          </cell>
          <cell r="B421" t="str">
            <v>AMUNDI FUNDS EQUITY JAPAN TARGET</v>
          </cell>
          <cell r="C421" t="str">
            <v>Class M EUR Hgd (C)</v>
          </cell>
          <cell r="D421" t="str">
            <v>EUR</v>
          </cell>
          <cell r="E421" t="str">
            <v>01-Dec-2025</v>
          </cell>
          <cell r="F421">
            <v>2166889.13</v>
          </cell>
          <cell r="G421">
            <v>4998.7359999999999</v>
          </cell>
          <cell r="H421">
            <v>433.48</v>
          </cell>
          <cell r="I421">
            <v>0</v>
          </cell>
          <cell r="J421">
            <v>433.48</v>
          </cell>
          <cell r="K421">
            <v>-4.43</v>
          </cell>
          <cell r="P421">
            <v>0</v>
          </cell>
        </row>
        <row r="422">
          <cell r="A422" t="str">
            <v>LU1049755694</v>
          </cell>
          <cell r="B422" t="str">
            <v>AMUNDI FUNDS EQUITY JAPAN TARGET</v>
          </cell>
          <cell r="C422" t="str">
            <v>Class O EUR Hgd (C)</v>
          </cell>
          <cell r="D422" t="str">
            <v>EUR</v>
          </cell>
          <cell r="E422" t="str">
            <v>01-Dec-2025</v>
          </cell>
          <cell r="F422">
            <v>12360864.470000001</v>
          </cell>
          <cell r="G422">
            <v>4959.09</v>
          </cell>
          <cell r="H422">
            <v>2492.56</v>
          </cell>
          <cell r="I422">
            <v>0</v>
          </cell>
          <cell r="J422">
            <v>2492.56</v>
          </cell>
          <cell r="K422">
            <v>-21.08</v>
          </cell>
          <cell r="P422">
            <v>0</v>
          </cell>
        </row>
        <row r="423">
          <cell r="A423" t="str">
            <v>LU2931223692</v>
          </cell>
          <cell r="B423" t="str">
            <v>AMUNDI FUNDS EQUITY JAPAN TARGET</v>
          </cell>
          <cell r="C423" t="str">
            <v>Class R EUR (C)</v>
          </cell>
          <cell r="D423" t="str">
            <v>EUR</v>
          </cell>
          <cell r="E423" t="str">
            <v>01-Dec-2025</v>
          </cell>
          <cell r="F423">
            <v>5972.83</v>
          </cell>
          <cell r="G423">
            <v>100</v>
          </cell>
          <cell r="H423">
            <v>59.72</v>
          </cell>
          <cell r="I423">
            <v>0</v>
          </cell>
          <cell r="J423">
            <v>59.72</v>
          </cell>
          <cell r="K423">
            <v>-0.38</v>
          </cell>
          <cell r="P423">
            <v>0</v>
          </cell>
        </row>
        <row r="424">
          <cell r="A424" t="str">
            <v>LU0823046148</v>
          </cell>
          <cell r="B424" t="str">
            <v>AMUNDI FUNDS EQUITY JAPAN TARGET</v>
          </cell>
          <cell r="C424" t="str">
            <v>Class R JPY (C)</v>
          </cell>
          <cell r="D424" t="str">
            <v>JPY</v>
          </cell>
          <cell r="E424" t="str">
            <v>01-Dec-2025</v>
          </cell>
          <cell r="F424">
            <v>4882901</v>
          </cell>
          <cell r="G424">
            <v>128.97900000000001</v>
          </cell>
          <cell r="H424">
            <v>37858.11</v>
          </cell>
          <cell r="I424">
            <v>0</v>
          </cell>
          <cell r="J424">
            <v>37858.11</v>
          </cell>
          <cell r="K424">
            <v>-392.09</v>
          </cell>
          <cell r="P424">
            <v>0</v>
          </cell>
        </row>
        <row r="425">
          <cell r="A425" t="str">
            <v>LU0568584154</v>
          </cell>
          <cell r="B425" t="str">
            <v>AMUNDI FUNDS EQUITY JAPAN TARGET</v>
          </cell>
          <cell r="C425" t="str">
            <v>Class G JPY (C)</v>
          </cell>
          <cell r="D425" t="str">
            <v>JPY</v>
          </cell>
          <cell r="E425" t="str">
            <v>01-Dec-2025</v>
          </cell>
          <cell r="F425">
            <v>348251633</v>
          </cell>
          <cell r="G425">
            <v>8314.0679999999993</v>
          </cell>
          <cell r="H425">
            <v>41887.03</v>
          </cell>
          <cell r="I425">
            <v>0</v>
          </cell>
          <cell r="J425">
            <v>43143.64</v>
          </cell>
          <cell r="K425">
            <v>-437.48</v>
          </cell>
          <cell r="P425">
            <v>0</v>
          </cell>
        </row>
        <row r="426">
          <cell r="A426" t="str">
            <v>LU0797053732</v>
          </cell>
          <cell r="B426" t="str">
            <v>AMUNDI FUNDS EQUITY JAPAN TARGET</v>
          </cell>
          <cell r="C426" t="str">
            <v>Class G EUR Hgd (C)</v>
          </cell>
          <cell r="D426" t="str">
            <v>EUR</v>
          </cell>
          <cell r="E426" t="str">
            <v>01-Dec-2025</v>
          </cell>
          <cell r="F426">
            <v>6496974.4100000001</v>
          </cell>
          <cell r="G426">
            <v>18383.448</v>
          </cell>
          <cell r="H426">
            <v>353.41</v>
          </cell>
          <cell r="I426">
            <v>0</v>
          </cell>
          <cell r="J426">
            <v>364.01</v>
          </cell>
          <cell r="K426">
            <v>-3.66</v>
          </cell>
          <cell r="P426">
            <v>0</v>
          </cell>
        </row>
        <row r="427">
          <cell r="A427" t="str">
            <v>LU2778930615</v>
          </cell>
          <cell r="B427" t="str">
            <v>AMUNDI FUNDS EQUITY JAPAN TARGET</v>
          </cell>
          <cell r="C427" t="str">
            <v>Class X3 USD (C)</v>
          </cell>
          <cell r="D427" t="str">
            <v>USD</v>
          </cell>
          <cell r="E427" t="str">
            <v>01-Dec-2025</v>
          </cell>
          <cell r="F427">
            <v>74658545.530000001</v>
          </cell>
          <cell r="G427">
            <v>54534.896000000001</v>
          </cell>
          <cell r="H427">
            <v>1369</v>
          </cell>
          <cell r="I427">
            <v>0</v>
          </cell>
          <cell r="J427">
            <v>1369</v>
          </cell>
          <cell r="K427">
            <v>-3.25</v>
          </cell>
          <cell r="P427">
            <v>0</v>
          </cell>
        </row>
        <row r="428">
          <cell r="A428" t="str">
            <v>LU3208780984</v>
          </cell>
          <cell r="B428" t="str">
            <v>AMUNDI FUNDS EQUITY JAPAN TARGET</v>
          </cell>
          <cell r="C428" t="str">
            <v>Class X2 EUR (C)</v>
          </cell>
          <cell r="D428" t="str">
            <v>EUR</v>
          </cell>
          <cell r="E428" t="str">
            <v>01-Dec-2025</v>
          </cell>
          <cell r="F428">
            <v>5146.8500000000004</v>
          </cell>
          <cell r="G428">
            <v>5</v>
          </cell>
          <cell r="H428">
            <v>1029.3699999999999</v>
          </cell>
          <cell r="I428">
            <v>0</v>
          </cell>
          <cell r="J428">
            <v>1029.3699999999999</v>
          </cell>
          <cell r="K428">
            <v>-4.6100000000000003</v>
          </cell>
          <cell r="P428">
            <v>0</v>
          </cell>
        </row>
        <row r="429">
          <cell r="A429" t="str">
            <v>LU0557866588</v>
          </cell>
          <cell r="B429" t="str">
            <v>AMUNDI FUNDS JAPAN EQUITY VALUE</v>
          </cell>
          <cell r="C429" t="str">
            <v>Class A2 EUR (C)</v>
          </cell>
          <cell r="D429" t="str">
            <v>EUR</v>
          </cell>
          <cell r="E429" t="str">
            <v>01-Dec-2025</v>
          </cell>
          <cell r="F429">
            <v>2473725.3199999998</v>
          </cell>
          <cell r="G429">
            <v>9946.8529999999992</v>
          </cell>
          <cell r="H429">
            <v>248.69</v>
          </cell>
          <cell r="I429">
            <v>0</v>
          </cell>
          <cell r="J429">
            <v>259.88</v>
          </cell>
          <cell r="K429">
            <v>-1.47</v>
          </cell>
          <cell r="P429">
            <v>0</v>
          </cell>
        </row>
        <row r="430">
          <cell r="A430" t="str">
            <v>LU0248702192</v>
          </cell>
          <cell r="B430" t="str">
            <v>AMUNDI FUNDS JAPAN EQUITY VALUE</v>
          </cell>
          <cell r="C430" t="str">
            <v>Class A2 JPY (C)</v>
          </cell>
          <cell r="D430" t="str">
            <v>JPY</v>
          </cell>
          <cell r="E430" t="str">
            <v>01-Dec-2025</v>
          </cell>
          <cell r="F430">
            <v>5429386910</v>
          </cell>
          <cell r="G430">
            <v>230350.234</v>
          </cell>
          <cell r="H430">
            <v>23570</v>
          </cell>
          <cell r="I430">
            <v>0</v>
          </cell>
          <cell r="J430">
            <v>24630</v>
          </cell>
          <cell r="K430">
            <v>-235</v>
          </cell>
          <cell r="P430">
            <v>0</v>
          </cell>
        </row>
        <row r="431">
          <cell r="A431" t="str">
            <v>LU0945155991</v>
          </cell>
          <cell r="B431" t="str">
            <v>AMUNDI FUNDS JAPAN EQUITY VALUE</v>
          </cell>
          <cell r="C431" t="str">
            <v>Class A2 EUR Hgd (C)</v>
          </cell>
          <cell r="D431" t="str">
            <v>EUR</v>
          </cell>
          <cell r="E431" t="str">
            <v>01-Dec-2025</v>
          </cell>
          <cell r="F431">
            <v>1160369.6499999999</v>
          </cell>
          <cell r="G431">
            <v>4450.6369999999997</v>
          </cell>
          <cell r="H431">
            <v>260.70999999999998</v>
          </cell>
          <cell r="I431">
            <v>0</v>
          </cell>
          <cell r="J431">
            <v>272.44</v>
          </cell>
          <cell r="K431">
            <v>-2.59</v>
          </cell>
          <cell r="P431">
            <v>0</v>
          </cell>
        </row>
        <row r="432">
          <cell r="A432" t="str">
            <v>LU1049755934</v>
          </cell>
          <cell r="B432" t="str">
            <v>AMUNDI FUNDS JAPAN EQUITY VALUE</v>
          </cell>
          <cell r="C432" t="str">
            <v>Class A2 CZK Hgd (C)</v>
          </cell>
          <cell r="D432" t="str">
            <v>CZK</v>
          </cell>
          <cell r="E432" t="str">
            <v>01-Dec-2025</v>
          </cell>
          <cell r="F432">
            <v>712166793.87</v>
          </cell>
          <cell r="G432">
            <v>93547.456999999995</v>
          </cell>
          <cell r="H432">
            <v>7612.89</v>
          </cell>
          <cell r="I432">
            <v>0</v>
          </cell>
          <cell r="J432">
            <v>7612.89</v>
          </cell>
          <cell r="K432">
            <v>-75.31</v>
          </cell>
          <cell r="P432">
            <v>0</v>
          </cell>
        </row>
        <row r="433">
          <cell r="A433" t="str">
            <v>LU0557867800</v>
          </cell>
          <cell r="B433" t="str">
            <v>AMUNDI FUNDS JAPAN EQUITY VALUE</v>
          </cell>
          <cell r="C433" t="str">
            <v>Class A2 EUR AD (D)</v>
          </cell>
          <cell r="D433" t="str">
            <v>EUR</v>
          </cell>
          <cell r="E433" t="str">
            <v>01-Dec-2025</v>
          </cell>
          <cell r="F433">
            <v>183139.71</v>
          </cell>
          <cell r="G433">
            <v>1108.4110000000001</v>
          </cell>
          <cell r="H433">
            <v>165.23</v>
          </cell>
          <cell r="I433">
            <v>0</v>
          </cell>
          <cell r="J433">
            <v>172.67</v>
          </cell>
          <cell r="K433">
            <v>-0.97</v>
          </cell>
          <cell r="P433">
            <v>0</v>
          </cell>
        </row>
        <row r="434">
          <cell r="A434" t="str">
            <v>LU0248702275</v>
          </cell>
          <cell r="B434" t="str">
            <v>AMUNDI FUNDS JAPAN EQUITY VALUE</v>
          </cell>
          <cell r="C434" t="str">
            <v>Class A2 JPY AD (D)</v>
          </cell>
          <cell r="D434" t="str">
            <v>JPY</v>
          </cell>
          <cell r="E434" t="str">
            <v>01-Dec-2025</v>
          </cell>
          <cell r="F434">
            <v>573596358</v>
          </cell>
          <cell r="G434">
            <v>14761.16</v>
          </cell>
          <cell r="H434">
            <v>38858</v>
          </cell>
          <cell r="I434">
            <v>0</v>
          </cell>
          <cell r="J434">
            <v>40606</v>
          </cell>
          <cell r="K434">
            <v>-387</v>
          </cell>
          <cell r="P434">
            <v>0</v>
          </cell>
        </row>
        <row r="435">
          <cell r="A435" t="str">
            <v>LU0557868360</v>
          </cell>
          <cell r="B435" t="str">
            <v>AMUNDI FUNDS JAPAN EQUITY VALUE</v>
          </cell>
          <cell r="C435" t="str">
            <v>Class F2 JPY (C)</v>
          </cell>
          <cell r="D435" t="str">
            <v>JPY</v>
          </cell>
          <cell r="E435" t="str">
            <v>01-Dec-2025</v>
          </cell>
          <cell r="F435">
            <v>115379668</v>
          </cell>
          <cell r="G435">
            <v>3527.5250000000001</v>
          </cell>
          <cell r="H435">
            <v>32708</v>
          </cell>
          <cell r="I435">
            <v>0</v>
          </cell>
          <cell r="J435">
            <v>32708</v>
          </cell>
          <cell r="K435">
            <v>-328</v>
          </cell>
          <cell r="P435">
            <v>0</v>
          </cell>
        </row>
        <row r="436">
          <cell r="A436" t="str">
            <v>LU0945156296</v>
          </cell>
          <cell r="B436" t="str">
            <v>AMUNDI FUNDS JAPAN EQUITY VALUE</v>
          </cell>
          <cell r="C436" t="str">
            <v>Class F2 EUR Hgd (C)</v>
          </cell>
          <cell r="D436" t="str">
            <v>EUR</v>
          </cell>
          <cell r="E436" t="str">
            <v>01-Dec-2025</v>
          </cell>
          <cell r="F436">
            <v>625272.43999999994</v>
          </cell>
          <cell r="G436">
            <v>2588.5790000000002</v>
          </cell>
          <cell r="H436">
            <v>241.55</v>
          </cell>
          <cell r="I436">
            <v>0</v>
          </cell>
          <cell r="J436">
            <v>241.55</v>
          </cell>
          <cell r="K436">
            <v>-2.41</v>
          </cell>
          <cell r="P436">
            <v>0</v>
          </cell>
        </row>
        <row r="437">
          <cell r="A437" t="str">
            <v>LU0248702432</v>
          </cell>
          <cell r="B437" t="str">
            <v>AMUNDI FUNDS JAPAN EQUITY VALUE</v>
          </cell>
          <cell r="C437" t="str">
            <v>Class I2 JPY (C)</v>
          </cell>
          <cell r="D437" t="str">
            <v>JPY</v>
          </cell>
          <cell r="E437" t="str">
            <v>01-Dec-2025</v>
          </cell>
          <cell r="F437">
            <v>2350981675</v>
          </cell>
          <cell r="G437">
            <v>8533.1290000000008</v>
          </cell>
          <cell r="H437">
            <v>275512</v>
          </cell>
          <cell r="I437">
            <v>0</v>
          </cell>
          <cell r="J437">
            <v>275512</v>
          </cell>
          <cell r="K437">
            <v>-2727</v>
          </cell>
          <cell r="P437">
            <v>0</v>
          </cell>
        </row>
        <row r="438">
          <cell r="A438" t="str">
            <v>LU0945155728</v>
          </cell>
          <cell r="B438" t="str">
            <v>AMUNDI FUNDS JAPAN EQUITY VALUE</v>
          </cell>
          <cell r="C438" t="str">
            <v>Class I2 EUR Hgd (C)</v>
          </cell>
          <cell r="D438" t="str">
            <v>EUR</v>
          </cell>
          <cell r="E438" t="str">
            <v>01-Dec-2025</v>
          </cell>
          <cell r="F438">
            <v>25668.79</v>
          </cell>
          <cell r="G438">
            <v>8.8109999999999999</v>
          </cell>
          <cell r="H438">
            <v>2913.26</v>
          </cell>
          <cell r="I438">
            <v>0</v>
          </cell>
          <cell r="J438">
            <v>2913.26</v>
          </cell>
          <cell r="K438">
            <v>-28.69</v>
          </cell>
          <cell r="P438">
            <v>0</v>
          </cell>
        </row>
        <row r="439">
          <cell r="A439" t="str">
            <v>LU1971433393</v>
          </cell>
          <cell r="B439" t="str">
            <v>AMUNDI FUNDS JAPAN EQUITY VALUE</v>
          </cell>
          <cell r="C439" t="str">
            <v>Class M2 EUR Hgd (C)</v>
          </cell>
          <cell r="D439" t="str">
            <v>EUR</v>
          </cell>
          <cell r="E439" t="str">
            <v>01-Dec-2025</v>
          </cell>
          <cell r="F439">
            <v>331031.15999999997</v>
          </cell>
          <cell r="G439">
            <v>1373.374</v>
          </cell>
          <cell r="H439">
            <v>241.03</v>
          </cell>
          <cell r="I439">
            <v>0</v>
          </cell>
          <cell r="J439">
            <v>0</v>
          </cell>
          <cell r="K439">
            <v>-2.38</v>
          </cell>
          <cell r="P439">
            <v>0</v>
          </cell>
        </row>
        <row r="440">
          <cell r="A440" t="str">
            <v>LU0248702358</v>
          </cell>
          <cell r="B440" t="str">
            <v>AMUNDI FUNDS JAPAN EQUITY VALUE</v>
          </cell>
          <cell r="C440" t="str">
            <v>Class G2 JPY (C)</v>
          </cell>
          <cell r="D440" t="str">
            <v>JPY</v>
          </cell>
          <cell r="E440" t="str">
            <v>01-Dec-2025</v>
          </cell>
          <cell r="F440">
            <v>751953367</v>
          </cell>
          <cell r="G440">
            <v>33986.038</v>
          </cell>
          <cell r="H440">
            <v>22125</v>
          </cell>
          <cell r="I440">
            <v>0</v>
          </cell>
          <cell r="J440">
            <v>22788</v>
          </cell>
          <cell r="K440">
            <v>-221</v>
          </cell>
          <cell r="P440">
            <v>0</v>
          </cell>
        </row>
        <row r="441">
          <cell r="A441" t="str">
            <v>LU0945156023</v>
          </cell>
          <cell r="B441" t="str">
            <v>AMUNDI FUNDS JAPAN EQUITY VALUE</v>
          </cell>
          <cell r="C441" t="str">
            <v>Class G2 EUR Hgd (C)</v>
          </cell>
          <cell r="D441" t="str">
            <v>EUR</v>
          </cell>
          <cell r="E441" t="str">
            <v>01-Dec-2025</v>
          </cell>
          <cell r="F441">
            <v>8424804.9199999999</v>
          </cell>
          <cell r="G441">
            <v>32187.821</v>
          </cell>
          <cell r="H441">
            <v>261.73</v>
          </cell>
          <cell r="I441">
            <v>0</v>
          </cell>
          <cell r="J441">
            <v>269.58</v>
          </cell>
          <cell r="K441">
            <v>-2.6</v>
          </cell>
          <cell r="P441">
            <v>0</v>
          </cell>
        </row>
        <row r="442">
          <cell r="A442" t="str">
            <v>LU0552029406</v>
          </cell>
          <cell r="B442" t="str">
            <v>AMUNDI FUNDS LATIN AMERICA EQUITY</v>
          </cell>
          <cell r="C442" t="str">
            <v>Class A EUR (C)</v>
          </cell>
          <cell r="D442" t="str">
            <v>EUR</v>
          </cell>
          <cell r="E442" t="str">
            <v>01-Dec-2025</v>
          </cell>
          <cell r="F442">
            <v>41527717.420000002</v>
          </cell>
          <cell r="G442">
            <v>391961.26</v>
          </cell>
          <cell r="H442">
            <v>105.95</v>
          </cell>
          <cell r="I442">
            <v>0</v>
          </cell>
          <cell r="J442">
            <v>110.72</v>
          </cell>
          <cell r="K442">
            <v>-0.41</v>
          </cell>
          <cell r="P442">
            <v>0</v>
          </cell>
        </row>
        <row r="443">
          <cell r="A443" t="str">
            <v>LU0201575346</v>
          </cell>
          <cell r="B443" t="str">
            <v>AMUNDI FUNDS LATIN AMERICA EQUITY</v>
          </cell>
          <cell r="C443" t="str">
            <v>Class A USD (C)</v>
          </cell>
          <cell r="D443" t="str">
            <v>USD</v>
          </cell>
          <cell r="E443" t="str">
            <v>01-Dec-2025</v>
          </cell>
          <cell r="F443">
            <v>43542173.640000001</v>
          </cell>
          <cell r="G443">
            <v>64261.389000000003</v>
          </cell>
          <cell r="H443">
            <v>677.58</v>
          </cell>
          <cell r="I443">
            <v>0</v>
          </cell>
          <cell r="J443">
            <v>708.07</v>
          </cell>
          <cell r="K443">
            <v>-1.1399999999999999</v>
          </cell>
          <cell r="P443">
            <v>0</v>
          </cell>
        </row>
        <row r="444">
          <cell r="A444" t="str">
            <v>LU0201602173</v>
          </cell>
          <cell r="B444" t="str">
            <v>AMUNDI FUNDS LATIN AMERICA EQUITY</v>
          </cell>
          <cell r="C444" t="str">
            <v>Class A USD AD (D)</v>
          </cell>
          <cell r="D444" t="str">
            <v>USD</v>
          </cell>
          <cell r="E444" t="str">
            <v>01-Dec-2025</v>
          </cell>
          <cell r="F444">
            <v>2061158.91</v>
          </cell>
          <cell r="G444">
            <v>4291.7439999999997</v>
          </cell>
          <cell r="H444">
            <v>480.26</v>
          </cell>
          <cell r="I444">
            <v>0</v>
          </cell>
          <cell r="J444">
            <v>501.87</v>
          </cell>
          <cell r="K444">
            <v>-0.81</v>
          </cell>
          <cell r="P444">
            <v>0</v>
          </cell>
        </row>
        <row r="445">
          <cell r="A445" t="str">
            <v>LU0823046494</v>
          </cell>
          <cell r="B445" t="str">
            <v>AMUNDI FUNDS LATIN AMERICA EQUITY</v>
          </cell>
          <cell r="C445" t="str">
            <v>Class A2 USD (C)</v>
          </cell>
          <cell r="D445" t="str">
            <v>USD</v>
          </cell>
          <cell r="E445" t="str">
            <v>01-Dec-2025</v>
          </cell>
          <cell r="F445">
            <v>19324187.949999999</v>
          </cell>
          <cell r="G445">
            <v>28623.73</v>
          </cell>
          <cell r="H445">
            <v>675.11</v>
          </cell>
          <cell r="I445">
            <v>0</v>
          </cell>
          <cell r="J445">
            <v>675.11</v>
          </cell>
          <cell r="K445">
            <v>-1.2</v>
          </cell>
          <cell r="P445">
            <v>0</v>
          </cell>
        </row>
        <row r="446">
          <cell r="A446" t="str">
            <v>LU0823046577</v>
          </cell>
          <cell r="B446" t="str">
            <v>AMUNDI FUNDS LATIN AMERICA EQUITY</v>
          </cell>
          <cell r="C446" t="str">
            <v>Class A2 USD AD (D)</v>
          </cell>
          <cell r="D446" t="str">
            <v>USD</v>
          </cell>
          <cell r="E446" t="str">
            <v>01-Dec-2025</v>
          </cell>
          <cell r="F446">
            <v>8607.4699999999993</v>
          </cell>
          <cell r="G446">
            <v>17.689</v>
          </cell>
          <cell r="H446">
            <v>486.6</v>
          </cell>
          <cell r="I446">
            <v>0</v>
          </cell>
          <cell r="J446">
            <v>486.6</v>
          </cell>
          <cell r="K446">
            <v>-0.87</v>
          </cell>
          <cell r="P446">
            <v>0</v>
          </cell>
        </row>
        <row r="447">
          <cell r="A447" t="str">
            <v>LU0557869764</v>
          </cell>
          <cell r="B447" t="str">
            <v>AMUNDI FUNDS LATIN AMERICA EQUITY</v>
          </cell>
          <cell r="C447" t="str">
            <v>Class F2 USD (C)</v>
          </cell>
          <cell r="D447" t="str">
            <v>USD</v>
          </cell>
          <cell r="E447" t="str">
            <v>01-Dec-2025</v>
          </cell>
          <cell r="F447">
            <v>306610.46000000002</v>
          </cell>
          <cell r="G447">
            <v>3789.1179999999999</v>
          </cell>
          <cell r="H447">
            <v>80.92</v>
          </cell>
          <cell r="I447">
            <v>0</v>
          </cell>
          <cell r="J447">
            <v>80.92</v>
          </cell>
          <cell r="K447">
            <v>-0.15</v>
          </cell>
          <cell r="P447">
            <v>0</v>
          </cell>
        </row>
        <row r="448">
          <cell r="A448" t="str">
            <v>LU2052288961</v>
          </cell>
          <cell r="B448" t="str">
            <v>AMUNDI FUNDS LATIN AMERICA EQUITY</v>
          </cell>
          <cell r="C448" t="str">
            <v>Class I2 GBP (C)</v>
          </cell>
          <cell r="D448" t="str">
            <v>GBP</v>
          </cell>
          <cell r="E448" t="str">
            <v>01-Dec-2025</v>
          </cell>
          <cell r="F448">
            <v>51045.88</v>
          </cell>
          <cell r="G448">
            <v>35.875999999999998</v>
          </cell>
          <cell r="H448">
            <v>1422.84</v>
          </cell>
          <cell r="I448">
            <v>0</v>
          </cell>
          <cell r="J448">
            <v>1422.84</v>
          </cell>
          <cell r="K448">
            <v>-2.65</v>
          </cell>
          <cell r="P448">
            <v>0</v>
          </cell>
        </row>
        <row r="449">
          <cell r="A449" t="str">
            <v>LU0201576070</v>
          </cell>
          <cell r="B449" t="str">
            <v>AMUNDI FUNDS LATIN AMERICA EQUITY</v>
          </cell>
          <cell r="C449" t="str">
            <v>Class I USD (C)</v>
          </cell>
          <cell r="D449" t="str">
            <v>USD</v>
          </cell>
          <cell r="E449" t="str">
            <v>01-Dec-2025</v>
          </cell>
          <cell r="F449">
            <v>52902942.810000002</v>
          </cell>
          <cell r="G449">
            <v>6970.2030000000004</v>
          </cell>
          <cell r="H449">
            <v>7589.87</v>
          </cell>
          <cell r="I449">
            <v>0</v>
          </cell>
          <cell r="J449">
            <v>7589.87</v>
          </cell>
          <cell r="K449">
            <v>-12.77</v>
          </cell>
          <cell r="P449">
            <v>0</v>
          </cell>
        </row>
        <row r="450">
          <cell r="A450" t="str">
            <v>LU0201602413</v>
          </cell>
          <cell r="B450" t="str">
            <v>AMUNDI FUNDS LATIN AMERICA EQUITY</v>
          </cell>
          <cell r="C450" t="str">
            <v>Class I USD AD (D)</v>
          </cell>
          <cell r="D450" t="str">
            <v>USD</v>
          </cell>
          <cell r="E450" t="str">
            <v>01-Dec-2025</v>
          </cell>
          <cell r="F450">
            <v>19391439.890000001</v>
          </cell>
          <cell r="G450">
            <v>11752.477000000001</v>
          </cell>
          <cell r="H450">
            <v>1649.99</v>
          </cell>
          <cell r="I450">
            <v>0</v>
          </cell>
          <cell r="J450">
            <v>1649.99</v>
          </cell>
          <cell r="K450">
            <v>-2.64</v>
          </cell>
          <cell r="P450">
            <v>0</v>
          </cell>
        </row>
        <row r="451">
          <cell r="A451" t="str">
            <v>LU0329447527</v>
          </cell>
          <cell r="B451" t="str">
            <v>AMUNDI FUNDS LATIN AMERICA EQUITY</v>
          </cell>
          <cell r="C451" t="str">
            <v>Class M USD (C)</v>
          </cell>
          <cell r="D451" t="str">
            <v>USD</v>
          </cell>
          <cell r="E451" t="str">
            <v>01-Dec-2025</v>
          </cell>
          <cell r="F451">
            <v>1947564.84</v>
          </cell>
          <cell r="G451">
            <v>15953.869000000001</v>
          </cell>
          <cell r="H451">
            <v>122.07</v>
          </cell>
          <cell r="I451">
            <v>0</v>
          </cell>
          <cell r="J451">
            <v>122.07</v>
          </cell>
          <cell r="K451">
            <v>-0.2</v>
          </cell>
          <cell r="P451">
            <v>0</v>
          </cell>
        </row>
        <row r="452">
          <cell r="A452" t="str">
            <v>LU0823047039</v>
          </cell>
          <cell r="B452" t="str">
            <v>AMUNDI FUNDS LATIN AMERICA EQUITY</v>
          </cell>
          <cell r="C452" t="str">
            <v>Class R USD (C)</v>
          </cell>
          <cell r="D452" t="str">
            <v>USD</v>
          </cell>
          <cell r="E452" t="str">
            <v>01-Dec-2025</v>
          </cell>
          <cell r="F452">
            <v>246603.68</v>
          </cell>
          <cell r="G452">
            <v>1726.085</v>
          </cell>
          <cell r="H452">
            <v>142.87</v>
          </cell>
          <cell r="I452">
            <v>0</v>
          </cell>
          <cell r="J452">
            <v>142.87</v>
          </cell>
          <cell r="K452">
            <v>-0.23</v>
          </cell>
          <cell r="P452">
            <v>0</v>
          </cell>
        </row>
        <row r="453">
          <cell r="A453" t="str">
            <v>LU0823047112</v>
          </cell>
          <cell r="B453" t="str">
            <v>AMUNDI FUNDS LATIN AMERICA EQUITY</v>
          </cell>
          <cell r="C453" t="str">
            <v>Class R USD AD (D)</v>
          </cell>
          <cell r="D453" t="str">
            <v>USD</v>
          </cell>
          <cell r="E453" t="str">
            <v>01-Dec-2025</v>
          </cell>
          <cell r="F453">
            <v>79719.72</v>
          </cell>
          <cell r="G453">
            <v>782.07</v>
          </cell>
          <cell r="H453">
            <v>101.93</v>
          </cell>
          <cell r="I453">
            <v>0</v>
          </cell>
          <cell r="J453">
            <v>101.93</v>
          </cell>
          <cell r="K453">
            <v>-0.17</v>
          </cell>
          <cell r="P453">
            <v>0</v>
          </cell>
        </row>
        <row r="454">
          <cell r="A454" t="str">
            <v>LU0552029661</v>
          </cell>
          <cell r="B454" t="str">
            <v>AMUNDI FUNDS LATIN AMERICA EQUITY</v>
          </cell>
          <cell r="C454" t="str">
            <v>Class G EUR (C)</v>
          </cell>
          <cell r="D454" t="str">
            <v>EUR</v>
          </cell>
          <cell r="E454" t="str">
            <v>01-Dec-2025</v>
          </cell>
          <cell r="F454">
            <v>2869529.17</v>
          </cell>
          <cell r="G454">
            <v>27515.561000000002</v>
          </cell>
          <cell r="H454">
            <v>104.29</v>
          </cell>
          <cell r="I454">
            <v>0</v>
          </cell>
          <cell r="J454">
            <v>107.42</v>
          </cell>
          <cell r="K454">
            <v>-0.4</v>
          </cell>
          <cell r="P454">
            <v>0</v>
          </cell>
        </row>
        <row r="455">
          <cell r="A455" t="str">
            <v>LU0201575858</v>
          </cell>
          <cell r="B455" t="str">
            <v>AMUNDI FUNDS LATIN AMERICA EQUITY</v>
          </cell>
          <cell r="C455" t="str">
            <v>Class G USD (C)</v>
          </cell>
          <cell r="D455" t="str">
            <v>USD</v>
          </cell>
          <cell r="E455" t="str">
            <v>01-Dec-2025</v>
          </cell>
          <cell r="F455">
            <v>5656487.7999999998</v>
          </cell>
          <cell r="G455">
            <v>9001.4959999999992</v>
          </cell>
          <cell r="H455">
            <v>628.39</v>
          </cell>
          <cell r="I455">
            <v>0</v>
          </cell>
          <cell r="J455">
            <v>647.24</v>
          </cell>
          <cell r="K455">
            <v>-1.07</v>
          </cell>
          <cell r="P455">
            <v>0</v>
          </cell>
        </row>
        <row r="456">
          <cell r="A456" t="str">
            <v>LU0276938817</v>
          </cell>
          <cell r="B456" t="str">
            <v>AMUNDI FUNDS LATIN AMERICA EQUITY</v>
          </cell>
          <cell r="C456" t="str">
            <v>Class Q-X USD (C)</v>
          </cell>
          <cell r="D456" t="str">
            <v>USD</v>
          </cell>
          <cell r="E456" t="str">
            <v>01-Dec-2025</v>
          </cell>
          <cell r="F456">
            <v>2223.9699999999998</v>
          </cell>
          <cell r="G456">
            <v>0.98599999999999999</v>
          </cell>
          <cell r="H456">
            <v>2255.5500000000002</v>
          </cell>
          <cell r="I456">
            <v>0</v>
          </cell>
          <cell r="J456">
            <v>2255.5500000000002</v>
          </cell>
          <cell r="K456">
            <v>-3.63</v>
          </cell>
          <cell r="P456">
            <v>0</v>
          </cell>
        </row>
        <row r="457">
          <cell r="A457" t="str">
            <v>LU3208806961</v>
          </cell>
          <cell r="B457" t="str">
            <v>AMUNDI FUNDS LATIN AMERICA EQUITY</v>
          </cell>
          <cell r="C457" t="str">
            <v>Class X2 EUR (C)</v>
          </cell>
          <cell r="D457" t="str">
            <v>EUR</v>
          </cell>
          <cell r="E457" t="str">
            <v>01-Dec-2025</v>
          </cell>
          <cell r="F457">
            <v>2492931.84</v>
          </cell>
          <cell r="G457">
            <v>2427.5320000000002</v>
          </cell>
          <cell r="H457">
            <v>1026.94</v>
          </cell>
          <cell r="I457">
            <v>0</v>
          </cell>
          <cell r="J457">
            <v>1026.94</v>
          </cell>
          <cell r="K457">
            <v>-3.83</v>
          </cell>
          <cell r="P457">
            <v>0</v>
          </cell>
        </row>
        <row r="458">
          <cell r="A458" t="str">
            <v>LU0569690554</v>
          </cell>
          <cell r="B458" t="str">
            <v>AMUNDI FUNDS EQUITY MENA</v>
          </cell>
          <cell r="C458" t="str">
            <v>Class A EUR (C)</v>
          </cell>
          <cell r="D458" t="str">
            <v>EUR</v>
          </cell>
          <cell r="E458" t="str">
            <v>01-Dec-2025</v>
          </cell>
          <cell r="F458">
            <v>880429.99</v>
          </cell>
          <cell r="G458">
            <v>3036.9659999999999</v>
          </cell>
          <cell r="H458">
            <v>289.89999999999998</v>
          </cell>
          <cell r="I458">
            <v>0</v>
          </cell>
          <cell r="J458">
            <v>302.95</v>
          </cell>
          <cell r="K458">
            <v>-0.25</v>
          </cell>
          <cell r="P458">
            <v>0</v>
          </cell>
        </row>
        <row r="459">
          <cell r="A459" t="str">
            <v>LU0568613946</v>
          </cell>
          <cell r="B459" t="str">
            <v>AMUNDI FUNDS EQUITY MENA</v>
          </cell>
          <cell r="C459" t="str">
            <v>Class A USD (C)</v>
          </cell>
          <cell r="D459" t="str">
            <v>USD</v>
          </cell>
          <cell r="E459" t="str">
            <v>01-Dec-2025</v>
          </cell>
          <cell r="F459">
            <v>3020844.88</v>
          </cell>
          <cell r="G459">
            <v>12884.097</v>
          </cell>
          <cell r="H459">
            <v>234.46</v>
          </cell>
          <cell r="I459">
            <v>0</v>
          </cell>
          <cell r="J459">
            <v>245.01</v>
          </cell>
          <cell r="K459">
            <v>0.52</v>
          </cell>
          <cell r="P459">
            <v>0</v>
          </cell>
        </row>
        <row r="460">
          <cell r="A460" t="str">
            <v>LU0569690471</v>
          </cell>
          <cell r="B460" t="str">
            <v>AMUNDI FUNDS EQUITY MENA</v>
          </cell>
          <cell r="C460" t="str">
            <v>Class A EUR Hgd (C)</v>
          </cell>
          <cell r="D460" t="str">
            <v>EUR</v>
          </cell>
          <cell r="E460" t="str">
            <v>01-Dec-2025</v>
          </cell>
          <cell r="F460">
            <v>647021.1</v>
          </cell>
          <cell r="G460">
            <v>3396.944</v>
          </cell>
          <cell r="H460">
            <v>190.47</v>
          </cell>
          <cell r="I460">
            <v>0</v>
          </cell>
          <cell r="J460">
            <v>199.04</v>
          </cell>
          <cell r="K460">
            <v>0.4</v>
          </cell>
          <cell r="P460">
            <v>0</v>
          </cell>
        </row>
        <row r="461">
          <cell r="A461" t="str">
            <v>LU0568614084</v>
          </cell>
          <cell r="B461" t="str">
            <v>AMUNDI FUNDS EQUITY MENA</v>
          </cell>
          <cell r="C461" t="str">
            <v>Class A USD AD (D)</v>
          </cell>
          <cell r="D461" t="str">
            <v>USD</v>
          </cell>
          <cell r="E461" t="str">
            <v>01-Dec-2025</v>
          </cell>
          <cell r="F461">
            <v>73636.67</v>
          </cell>
          <cell r="G461">
            <v>335.435</v>
          </cell>
          <cell r="H461">
            <v>219.53</v>
          </cell>
          <cell r="I461">
            <v>0</v>
          </cell>
          <cell r="J461">
            <v>229.41</v>
          </cell>
          <cell r="K461">
            <v>0.49</v>
          </cell>
          <cell r="P461">
            <v>0</v>
          </cell>
        </row>
        <row r="462">
          <cell r="A462" t="str">
            <v>LU0823047385</v>
          </cell>
          <cell r="B462" t="str">
            <v>AMUNDI FUNDS EQUITY MENA</v>
          </cell>
          <cell r="C462" t="str">
            <v>Class A2 USD (C)</v>
          </cell>
          <cell r="D462" t="str">
            <v>USD</v>
          </cell>
          <cell r="E462" t="str">
            <v>01-Dec-2025</v>
          </cell>
          <cell r="F462">
            <v>8230093.04</v>
          </cell>
          <cell r="G462">
            <v>34907.635000000002</v>
          </cell>
          <cell r="H462">
            <v>235.77</v>
          </cell>
          <cell r="I462">
            <v>0</v>
          </cell>
          <cell r="J462">
            <v>235.77</v>
          </cell>
          <cell r="K462">
            <v>0.52</v>
          </cell>
          <cell r="P462">
            <v>0</v>
          </cell>
        </row>
        <row r="463">
          <cell r="A463" t="str">
            <v>LU0568614324</v>
          </cell>
          <cell r="B463" t="str">
            <v>AMUNDI FUNDS EQUITY MENA</v>
          </cell>
          <cell r="C463" t="str">
            <v>Class F2 USD (C)</v>
          </cell>
          <cell r="D463" t="str">
            <v>USD</v>
          </cell>
          <cell r="E463" t="str">
            <v>01-Dec-2025</v>
          </cell>
          <cell r="F463">
            <v>190900.71</v>
          </cell>
          <cell r="G463">
            <v>959.37099999999998</v>
          </cell>
          <cell r="H463">
            <v>198.99</v>
          </cell>
          <cell r="I463">
            <v>0</v>
          </cell>
          <cell r="J463">
            <v>198.99</v>
          </cell>
          <cell r="K463">
            <v>0.42</v>
          </cell>
          <cell r="P463">
            <v>0</v>
          </cell>
        </row>
        <row r="464">
          <cell r="A464" t="str">
            <v>LU0568614597</v>
          </cell>
          <cell r="B464" t="str">
            <v>AMUNDI FUNDS EQUITY MENA</v>
          </cell>
          <cell r="C464" t="str">
            <v>Class F2 EUR Hgd (C)</v>
          </cell>
          <cell r="D464" t="str">
            <v>EUR</v>
          </cell>
          <cell r="E464" t="str">
            <v>01-Dec-2025</v>
          </cell>
          <cell r="F464">
            <v>275845.99</v>
          </cell>
          <cell r="G464">
            <v>1718.415</v>
          </cell>
          <cell r="H464">
            <v>160.52000000000001</v>
          </cell>
          <cell r="I464">
            <v>0</v>
          </cell>
          <cell r="J464">
            <v>160.52000000000001</v>
          </cell>
          <cell r="K464">
            <v>0.32</v>
          </cell>
          <cell r="P464">
            <v>0</v>
          </cell>
        </row>
        <row r="465">
          <cell r="A465" t="str">
            <v>LU0568613433</v>
          </cell>
          <cell r="B465" t="str">
            <v>AMUNDI FUNDS EQUITY MENA</v>
          </cell>
          <cell r="C465" t="str">
            <v>Class I USD (C)</v>
          </cell>
          <cell r="D465" t="str">
            <v>USD</v>
          </cell>
          <cell r="E465" t="str">
            <v>01-Dec-2025</v>
          </cell>
          <cell r="F465">
            <v>14982786.09</v>
          </cell>
          <cell r="G465">
            <v>5758.5190000000002</v>
          </cell>
          <cell r="H465">
            <v>2601.85</v>
          </cell>
          <cell r="I465">
            <v>0</v>
          </cell>
          <cell r="J465">
            <v>2601.85</v>
          </cell>
          <cell r="K465">
            <v>6.08</v>
          </cell>
          <cell r="P465">
            <v>0</v>
          </cell>
        </row>
        <row r="466">
          <cell r="A466" t="str">
            <v>LU0568613607</v>
          </cell>
          <cell r="B466" t="str">
            <v>AMUNDI FUNDS EQUITY MENA</v>
          </cell>
          <cell r="C466" t="str">
            <v>Class I EUR Hgd (C)</v>
          </cell>
          <cell r="D466" t="str">
            <v>EUR</v>
          </cell>
          <cell r="E466" t="str">
            <v>01-Dec-2025</v>
          </cell>
          <cell r="F466">
            <v>31683.02</v>
          </cell>
          <cell r="G466">
            <v>15</v>
          </cell>
          <cell r="H466">
            <v>2112.1999999999998</v>
          </cell>
          <cell r="I466">
            <v>0</v>
          </cell>
          <cell r="J466">
            <v>2112.1999999999998</v>
          </cell>
          <cell r="K466">
            <v>4.67</v>
          </cell>
          <cell r="P466">
            <v>0</v>
          </cell>
        </row>
        <row r="467">
          <cell r="A467" t="str">
            <v>LU0568613516</v>
          </cell>
          <cell r="B467" t="str">
            <v>AMUNDI FUNDS EQUITY MENA</v>
          </cell>
          <cell r="C467" t="str">
            <v>Class I USD AD (D)</v>
          </cell>
          <cell r="D467" t="str">
            <v>USD</v>
          </cell>
          <cell r="E467" t="str">
            <v>01-Dec-2025</v>
          </cell>
          <cell r="F467">
            <v>22284.27</v>
          </cell>
          <cell r="G467">
            <v>10</v>
          </cell>
          <cell r="H467">
            <v>2228.4299999999998</v>
          </cell>
          <cell r="I467">
            <v>0</v>
          </cell>
          <cell r="J467">
            <v>2228.4299999999998</v>
          </cell>
          <cell r="K467">
            <v>5.2</v>
          </cell>
          <cell r="P467">
            <v>0</v>
          </cell>
        </row>
        <row r="468">
          <cell r="A468" t="str">
            <v>LU0568613789</v>
          </cell>
          <cell r="B468" t="str">
            <v>AMUNDI FUNDS EQUITY MENA</v>
          </cell>
          <cell r="C468" t="str">
            <v>Class M USD (C)</v>
          </cell>
          <cell r="D468" t="str">
            <v>USD</v>
          </cell>
          <cell r="E468" t="str">
            <v>01-Dec-2025</v>
          </cell>
          <cell r="F468">
            <v>4094719.5</v>
          </cell>
          <cell r="G468">
            <v>21392.32</v>
          </cell>
          <cell r="H468">
            <v>191.41</v>
          </cell>
          <cell r="I468">
            <v>0</v>
          </cell>
          <cell r="J468">
            <v>191.41</v>
          </cell>
          <cell r="K468">
            <v>0.45</v>
          </cell>
          <cell r="P468">
            <v>0</v>
          </cell>
        </row>
        <row r="469">
          <cell r="A469" t="str">
            <v>LU0568614167</v>
          </cell>
          <cell r="B469" t="str">
            <v>AMUNDI FUNDS EQUITY MENA</v>
          </cell>
          <cell r="C469" t="str">
            <v>Class G USD (C)</v>
          </cell>
          <cell r="D469" t="str">
            <v>USD</v>
          </cell>
          <cell r="E469" t="str">
            <v>01-Dec-2025</v>
          </cell>
          <cell r="F469">
            <v>2382646.06</v>
          </cell>
          <cell r="G469">
            <v>10756.673000000001</v>
          </cell>
          <cell r="H469">
            <v>221.5</v>
          </cell>
          <cell r="I469">
            <v>0</v>
          </cell>
          <cell r="J469">
            <v>228.15</v>
          </cell>
          <cell r="K469">
            <v>0.48</v>
          </cell>
          <cell r="P469">
            <v>0</v>
          </cell>
        </row>
        <row r="470">
          <cell r="A470" t="str">
            <v>LU0568614241</v>
          </cell>
          <cell r="B470" t="str">
            <v>AMUNDI FUNDS EQUITY MENA</v>
          </cell>
          <cell r="C470" t="str">
            <v>Class G EUR Hgd (C)</v>
          </cell>
          <cell r="D470" t="str">
            <v>EUR</v>
          </cell>
          <cell r="E470" t="str">
            <v>01-Dec-2025</v>
          </cell>
          <cell r="F470">
            <v>1431281.69</v>
          </cell>
          <cell r="G470">
            <v>8046.2529999999997</v>
          </cell>
          <cell r="H470">
            <v>177.88</v>
          </cell>
          <cell r="I470">
            <v>0</v>
          </cell>
          <cell r="J470">
            <v>183.22</v>
          </cell>
          <cell r="K470">
            <v>0.37</v>
          </cell>
          <cell r="P470">
            <v>0</v>
          </cell>
        </row>
        <row r="471">
          <cell r="A471" t="str">
            <v>LU0518421895</v>
          </cell>
          <cell r="B471" t="str">
            <v>AMUNDI FUNDS EURO GOVERNMENT BOND RESPONSIBLE</v>
          </cell>
          <cell r="C471" t="str">
            <v>Class A EUR (C)</v>
          </cell>
          <cell r="D471" t="str">
            <v>EUR</v>
          </cell>
          <cell r="E471" t="str">
            <v>01-Dec-2025</v>
          </cell>
          <cell r="F471">
            <v>36046233.600000001</v>
          </cell>
          <cell r="G471">
            <v>292645.32</v>
          </cell>
          <cell r="H471">
            <v>123.17</v>
          </cell>
          <cell r="I471">
            <v>0</v>
          </cell>
          <cell r="J471">
            <v>126.87</v>
          </cell>
          <cell r="K471">
            <v>-0.44</v>
          </cell>
          <cell r="P471">
            <v>0</v>
          </cell>
        </row>
        <row r="472">
          <cell r="A472" t="str">
            <v>LU0518421978</v>
          </cell>
          <cell r="B472" t="str">
            <v>AMUNDI FUNDS EURO GOVERNMENT BOND RESPONSIBLE</v>
          </cell>
          <cell r="C472" t="str">
            <v>Class A EUR AD (D)</v>
          </cell>
          <cell r="D472" t="str">
            <v>EUR</v>
          </cell>
          <cell r="E472" t="str">
            <v>01-Dec-2025</v>
          </cell>
          <cell r="F472">
            <v>2378695.41</v>
          </cell>
          <cell r="G472">
            <v>23661.498</v>
          </cell>
          <cell r="H472">
            <v>100.53</v>
          </cell>
          <cell r="I472">
            <v>0</v>
          </cell>
          <cell r="J472">
            <v>103.55</v>
          </cell>
          <cell r="K472">
            <v>-0.35</v>
          </cell>
          <cell r="P472">
            <v>0</v>
          </cell>
        </row>
        <row r="473">
          <cell r="A473" t="str">
            <v>LU1882474668</v>
          </cell>
          <cell r="B473" t="str">
            <v>AMUNDI FUNDS EURO GOVERNMENT BOND RESPONSIBLE</v>
          </cell>
          <cell r="C473" t="str">
            <v>Class M2 EUR (C)</v>
          </cell>
          <cell r="D473" t="str">
            <v>EUR</v>
          </cell>
          <cell r="E473" t="str">
            <v>01-Dec-2025</v>
          </cell>
          <cell r="F473">
            <v>60515428.590000004</v>
          </cell>
          <cell r="G473">
            <v>64810.707999999999</v>
          </cell>
          <cell r="H473">
            <v>933.73</v>
          </cell>
          <cell r="I473">
            <v>0</v>
          </cell>
          <cell r="J473">
            <v>933.73</v>
          </cell>
          <cell r="K473">
            <v>-3.26</v>
          </cell>
          <cell r="P473">
            <v>0</v>
          </cell>
        </row>
        <row r="474">
          <cell r="A474" t="str">
            <v>LU1882474742</v>
          </cell>
          <cell r="B474" t="str">
            <v>AMUNDI FUNDS EURO GOVERNMENT BOND RESPONSIBLE</v>
          </cell>
          <cell r="C474" t="str">
            <v>Class M2 EUR QTD (D)</v>
          </cell>
          <cell r="D474" t="str">
            <v>EUR</v>
          </cell>
          <cell r="E474" t="str">
            <v>01-Dec-2025</v>
          </cell>
          <cell r="F474">
            <v>9213827.9800000004</v>
          </cell>
          <cell r="G474">
            <v>10701.904</v>
          </cell>
          <cell r="H474">
            <v>860.95</v>
          </cell>
          <cell r="I474">
            <v>0</v>
          </cell>
          <cell r="J474">
            <v>860.95</v>
          </cell>
          <cell r="K474">
            <v>-3.01</v>
          </cell>
          <cell r="P474">
            <v>0</v>
          </cell>
        </row>
        <row r="475">
          <cell r="A475" t="str">
            <v>LU1882473777</v>
          </cell>
          <cell r="B475" t="str">
            <v>AMUNDI FUNDS EURO GOVERNMENT BOND RESPONSIBLE</v>
          </cell>
          <cell r="C475" t="str">
            <v>Class A2 USD MTD (D)</v>
          </cell>
          <cell r="D475" t="str">
            <v>USD</v>
          </cell>
          <cell r="E475" t="str">
            <v>01-Dec-2025</v>
          </cell>
          <cell r="F475">
            <v>64986.17</v>
          </cell>
          <cell r="G475">
            <v>1509.5450000000001</v>
          </cell>
          <cell r="H475">
            <v>43.05</v>
          </cell>
          <cell r="I475">
            <v>6.4699999999999994E-2</v>
          </cell>
          <cell r="J475">
            <v>44.34</v>
          </cell>
          <cell r="K475">
            <v>-0.13</v>
          </cell>
          <cell r="P475">
            <v>0</v>
          </cell>
        </row>
        <row r="476">
          <cell r="A476" t="str">
            <v>LU1882473264</v>
          </cell>
          <cell r="B476" t="str">
            <v>AMUNDI FUNDS EURO GOVERNMENT BOND RESPONSIBLE</v>
          </cell>
          <cell r="C476" t="str">
            <v>Class A2 EUR (C)</v>
          </cell>
          <cell r="D476" t="str">
            <v>EUR</v>
          </cell>
          <cell r="E476" t="str">
            <v>01-Dec-2025</v>
          </cell>
          <cell r="F476">
            <v>46665030.200000003</v>
          </cell>
          <cell r="G476">
            <v>1034667.3909999999</v>
          </cell>
          <cell r="H476">
            <v>45.1</v>
          </cell>
          <cell r="I476">
            <v>0</v>
          </cell>
          <cell r="J476">
            <v>46.45</v>
          </cell>
          <cell r="K476">
            <v>-0.16</v>
          </cell>
          <cell r="P476">
            <v>0</v>
          </cell>
        </row>
        <row r="477">
          <cell r="A477" t="str">
            <v>LU1882473348</v>
          </cell>
          <cell r="B477" t="str">
            <v>AMUNDI FUNDS EURO GOVERNMENT BOND RESPONSIBLE</v>
          </cell>
          <cell r="C477" t="str">
            <v>Class A2 EUR AD (D)</v>
          </cell>
          <cell r="D477" t="str">
            <v>EUR</v>
          </cell>
          <cell r="E477" t="str">
            <v>01-Dec-2025</v>
          </cell>
          <cell r="F477">
            <v>753667.69</v>
          </cell>
          <cell r="G477">
            <v>17192.623</v>
          </cell>
          <cell r="H477">
            <v>43.84</v>
          </cell>
          <cell r="I477">
            <v>0</v>
          </cell>
          <cell r="J477">
            <v>45.16</v>
          </cell>
          <cell r="K477">
            <v>-0.15</v>
          </cell>
          <cell r="P477">
            <v>0</v>
          </cell>
        </row>
        <row r="478">
          <cell r="A478" t="str">
            <v>LU1882473421</v>
          </cell>
          <cell r="B478" t="str">
            <v>AMUNDI FUNDS EURO GOVERNMENT BOND RESPONSIBLE</v>
          </cell>
          <cell r="C478" t="str">
            <v>Class A2 EUR MTD (D)</v>
          </cell>
          <cell r="D478" t="str">
            <v>EUR</v>
          </cell>
          <cell r="E478" t="str">
            <v>01-Dec-2025</v>
          </cell>
          <cell r="F478">
            <v>43429.48</v>
          </cell>
          <cell r="G478">
            <v>1048.9780000000001</v>
          </cell>
          <cell r="H478">
            <v>41.4</v>
          </cell>
          <cell r="I478">
            <v>7.0400000000000004E-2</v>
          </cell>
          <cell r="J478">
            <v>42.64</v>
          </cell>
          <cell r="K478">
            <v>-0.22</v>
          </cell>
          <cell r="P478">
            <v>0</v>
          </cell>
        </row>
        <row r="479">
          <cell r="A479" t="str">
            <v>LU1882474239</v>
          </cell>
          <cell r="B479" t="str">
            <v>AMUNDI FUNDS EURO GOVERNMENT BOND RESPONSIBLE</v>
          </cell>
          <cell r="C479" t="str">
            <v>Class E2 EUR (C)</v>
          </cell>
          <cell r="D479" t="str">
            <v>EUR</v>
          </cell>
          <cell r="E479" t="str">
            <v>01-Dec-2025</v>
          </cell>
          <cell r="F479">
            <v>41840086.329999998</v>
          </cell>
          <cell r="G479">
            <v>9155931.7129999995</v>
          </cell>
          <cell r="H479">
            <v>4.57</v>
          </cell>
          <cell r="I479">
            <v>0</v>
          </cell>
          <cell r="J479">
            <v>4.57</v>
          </cell>
          <cell r="K479">
            <v>-1.6E-2</v>
          </cell>
          <cell r="P479">
            <v>0</v>
          </cell>
        </row>
        <row r="480">
          <cell r="A480" t="str">
            <v>LU1882474403</v>
          </cell>
          <cell r="B480" t="str">
            <v>AMUNDI FUNDS EURO GOVERNMENT BOND RESPONSIBLE</v>
          </cell>
          <cell r="C480" t="str">
            <v>Class F EUR (C)</v>
          </cell>
          <cell r="D480" t="str">
            <v>EUR</v>
          </cell>
          <cell r="E480" t="str">
            <v>01-Dec-2025</v>
          </cell>
          <cell r="F480">
            <v>9439809.8800000008</v>
          </cell>
          <cell r="G480">
            <v>2134616.8659999999</v>
          </cell>
          <cell r="H480">
            <v>4.4219999999999997</v>
          </cell>
          <cell r="I480">
            <v>0</v>
          </cell>
          <cell r="J480">
            <v>4.4219999999999997</v>
          </cell>
          <cell r="K480">
            <v>-1.6E-2</v>
          </cell>
          <cell r="P480">
            <v>0</v>
          </cell>
        </row>
        <row r="481">
          <cell r="A481" t="str">
            <v>LU0557859450</v>
          </cell>
          <cell r="B481" t="str">
            <v>AMUNDI FUNDS EURO GOVERNMENT BOND RESPONSIBLE</v>
          </cell>
          <cell r="C481" t="str">
            <v>Class F2 EUR (C)</v>
          </cell>
          <cell r="D481" t="str">
            <v>EUR</v>
          </cell>
          <cell r="E481" t="str">
            <v>01-Dec-2025</v>
          </cell>
          <cell r="F481">
            <v>322693.74</v>
          </cell>
          <cell r="G481">
            <v>2732.6239999999998</v>
          </cell>
          <cell r="H481">
            <v>118.09</v>
          </cell>
          <cell r="I481">
            <v>0</v>
          </cell>
          <cell r="J481">
            <v>118.09</v>
          </cell>
          <cell r="K481">
            <v>-0.42</v>
          </cell>
          <cell r="P481">
            <v>0</v>
          </cell>
        </row>
        <row r="482">
          <cell r="A482" t="str">
            <v>LU1882474312</v>
          </cell>
          <cell r="B482" t="str">
            <v>AMUNDI FUNDS EURO GOVERNMENT BOND RESPONSIBLE</v>
          </cell>
          <cell r="C482" t="str">
            <v>Class E2 EUR QTD (D)</v>
          </cell>
          <cell r="D482" t="str">
            <v>EUR</v>
          </cell>
          <cell r="E482" t="str">
            <v>01-Dec-2025</v>
          </cell>
          <cell r="F482">
            <v>3827228.23</v>
          </cell>
          <cell r="G482">
            <v>904915.71299999999</v>
          </cell>
          <cell r="H482">
            <v>4.2290000000000001</v>
          </cell>
          <cell r="I482">
            <v>0</v>
          </cell>
          <cell r="J482">
            <v>4.2290000000000001</v>
          </cell>
          <cell r="K482">
            <v>-1.4999999999999999E-2</v>
          </cell>
          <cell r="P482">
            <v>0</v>
          </cell>
        </row>
        <row r="483">
          <cell r="A483" t="str">
            <v>LU1882474585</v>
          </cell>
          <cell r="B483" t="str">
            <v>AMUNDI FUNDS EURO GOVERNMENT BOND RESPONSIBLE</v>
          </cell>
          <cell r="C483" t="str">
            <v>Class I2 EUR (C)</v>
          </cell>
          <cell r="D483" t="str">
            <v>EUR</v>
          </cell>
          <cell r="E483" t="str">
            <v>01-Dec-2025</v>
          </cell>
          <cell r="F483">
            <v>59872478.82</v>
          </cell>
          <cell r="G483">
            <v>64120.743999999999</v>
          </cell>
          <cell r="H483">
            <v>933.75</v>
          </cell>
          <cell r="I483">
            <v>0</v>
          </cell>
          <cell r="J483">
            <v>933.75</v>
          </cell>
          <cell r="K483">
            <v>-3.26</v>
          </cell>
          <cell r="P483">
            <v>0</v>
          </cell>
        </row>
        <row r="484">
          <cell r="A484" t="str">
            <v>LU0557859534</v>
          </cell>
          <cell r="B484" t="str">
            <v>AMUNDI FUNDS EURO GOVERNMENT BOND RESPONSIBLE</v>
          </cell>
          <cell r="C484" t="str">
            <v>Class M EUR (C)</v>
          </cell>
          <cell r="D484" t="str">
            <v>EUR</v>
          </cell>
          <cell r="E484" t="str">
            <v>01-Dec-2025</v>
          </cell>
          <cell r="F484">
            <v>2427850.81</v>
          </cell>
          <cell r="G484">
            <v>18003.456999999999</v>
          </cell>
          <cell r="H484">
            <v>134.85</v>
          </cell>
          <cell r="I484">
            <v>0</v>
          </cell>
          <cell r="J484">
            <v>134.85</v>
          </cell>
          <cell r="K484">
            <v>-0.47</v>
          </cell>
          <cell r="P484">
            <v>0</v>
          </cell>
        </row>
        <row r="485">
          <cell r="A485" t="str">
            <v>LU1882474825</v>
          </cell>
          <cell r="B485" t="str">
            <v>AMUNDI FUNDS EURO GOVERNMENT BOND RESPONSIBLE</v>
          </cell>
          <cell r="C485" t="str">
            <v>Class R2 EUR (C)</v>
          </cell>
          <cell r="D485" t="str">
            <v>EUR</v>
          </cell>
          <cell r="E485" t="str">
            <v>01-Dec-2025</v>
          </cell>
          <cell r="F485">
            <v>7714164.1600000001</v>
          </cell>
          <cell r="G485">
            <v>166758.26</v>
          </cell>
          <cell r="H485">
            <v>46.26</v>
          </cell>
          <cell r="I485">
            <v>0</v>
          </cell>
          <cell r="J485">
            <v>46.26</v>
          </cell>
          <cell r="K485">
            <v>-0.16</v>
          </cell>
          <cell r="P485">
            <v>0</v>
          </cell>
        </row>
        <row r="486">
          <cell r="A486" t="str">
            <v>LU0557859617</v>
          </cell>
          <cell r="B486" t="str">
            <v>AMUNDI FUNDS EURO GOVERNMENT BOND RESPONSIBLE</v>
          </cell>
          <cell r="C486" t="str">
            <v>Class O EUR (C)</v>
          </cell>
          <cell r="D486" t="str">
            <v>EUR</v>
          </cell>
          <cell r="E486" t="str">
            <v>01-Dec-2025</v>
          </cell>
          <cell r="F486">
            <v>12620847.33</v>
          </cell>
          <cell r="G486">
            <v>8686.3140000000003</v>
          </cell>
          <cell r="H486">
            <v>1452.96</v>
          </cell>
          <cell r="I486">
            <v>0</v>
          </cell>
          <cell r="J486">
            <v>1452.96</v>
          </cell>
          <cell r="K486">
            <v>-5.0199999999999996</v>
          </cell>
          <cell r="P486">
            <v>0</v>
          </cell>
        </row>
        <row r="487">
          <cell r="A487" t="str">
            <v>LU1882473694</v>
          </cell>
          <cell r="B487" t="str">
            <v>AMUNDI FUNDS EURO GOVERNMENT BOND RESPONSIBLE</v>
          </cell>
          <cell r="C487" t="str">
            <v>Class A2 USD (C)</v>
          </cell>
          <cell r="D487" t="str">
            <v>USD</v>
          </cell>
          <cell r="E487" t="str">
            <v>01-Dec-2025</v>
          </cell>
          <cell r="F487">
            <v>792089.93</v>
          </cell>
          <cell r="G487">
            <v>17120.517</v>
          </cell>
          <cell r="H487">
            <v>46.27</v>
          </cell>
          <cell r="I487">
            <v>0</v>
          </cell>
          <cell r="J487">
            <v>47.66</v>
          </cell>
          <cell r="K487">
            <v>-0.06</v>
          </cell>
          <cell r="P487">
            <v>0</v>
          </cell>
        </row>
        <row r="488">
          <cell r="A488" t="str">
            <v>LU0557859708</v>
          </cell>
          <cell r="B488" t="str">
            <v>AMUNDI FUNDS EURO GOVERNMENT BOND RESPONSIBLE</v>
          </cell>
          <cell r="C488" t="str">
            <v>Class G EUR (C)</v>
          </cell>
          <cell r="D488" t="str">
            <v>EUR</v>
          </cell>
          <cell r="E488" t="str">
            <v>01-Dec-2025</v>
          </cell>
          <cell r="F488">
            <v>13135826.76</v>
          </cell>
          <cell r="G488">
            <v>110141.59</v>
          </cell>
          <cell r="H488">
            <v>119.26</v>
          </cell>
          <cell r="I488">
            <v>0</v>
          </cell>
          <cell r="J488">
            <v>122.84</v>
          </cell>
          <cell r="K488">
            <v>-0.42</v>
          </cell>
          <cell r="P488">
            <v>0</v>
          </cell>
        </row>
        <row r="489">
          <cell r="A489" t="str">
            <v>LU1998921263</v>
          </cell>
          <cell r="B489" t="str">
            <v>AMUNDI FUNDS EURO GOVERNMENT BOND RESPONSIBLE</v>
          </cell>
          <cell r="C489" t="str">
            <v>Class X EUR ( C )</v>
          </cell>
          <cell r="D489" t="str">
            <v>EUR</v>
          </cell>
          <cell r="E489" t="str">
            <v>01-Dec-2025</v>
          </cell>
          <cell r="F489">
            <v>918983.51</v>
          </cell>
          <cell r="G489">
            <v>994.70600000000002</v>
          </cell>
          <cell r="H489">
            <v>923.87</v>
          </cell>
          <cell r="I489">
            <v>0</v>
          </cell>
          <cell r="J489">
            <v>923.87</v>
          </cell>
          <cell r="K489">
            <v>-3.2</v>
          </cell>
          <cell r="P489">
            <v>0</v>
          </cell>
        </row>
        <row r="490">
          <cell r="A490" t="str">
            <v>LU0518422273</v>
          </cell>
          <cell r="B490" t="str">
            <v>AMUNDI FUNDS EURO GOVERNMENT BOND RESPONSIBLE</v>
          </cell>
          <cell r="C490" t="str">
            <v>Class I EUR (C)</v>
          </cell>
          <cell r="D490" t="str">
            <v>EUR</v>
          </cell>
          <cell r="E490" t="str">
            <v>01-Dec-2025</v>
          </cell>
          <cell r="F490">
            <v>92316727.030000001</v>
          </cell>
          <cell r="G490">
            <v>68118.64</v>
          </cell>
          <cell r="H490">
            <v>1355.23</v>
          </cell>
          <cell r="I490">
            <v>0</v>
          </cell>
          <cell r="J490">
            <v>1355.23</v>
          </cell>
          <cell r="K490">
            <v>-4.7300000000000004</v>
          </cell>
          <cell r="P490">
            <v>0</v>
          </cell>
        </row>
        <row r="491">
          <cell r="A491" t="str">
            <v>LU2085674971</v>
          </cell>
          <cell r="B491" t="str">
            <v>AMUNDI FUNDS EURO GOVERNMENT BOND RESPONSIBLE</v>
          </cell>
          <cell r="C491" t="str">
            <v>Class Z EUR (C)</v>
          </cell>
          <cell r="D491" t="str">
            <v>EUR</v>
          </cell>
          <cell r="E491" t="str">
            <v>01-Dec-2025</v>
          </cell>
          <cell r="F491">
            <v>152439105.94999999</v>
          </cell>
          <cell r="G491">
            <v>165329.095</v>
          </cell>
          <cell r="H491">
            <v>922.03</v>
          </cell>
          <cell r="I491">
            <v>0</v>
          </cell>
          <cell r="J491">
            <v>922.03</v>
          </cell>
          <cell r="K491">
            <v>-3.21</v>
          </cell>
          <cell r="P491">
            <v>0</v>
          </cell>
        </row>
        <row r="492">
          <cell r="A492" t="str">
            <v>LU0568621618</v>
          </cell>
          <cell r="B492" t="str">
            <v>AMUNDI FUNDS CASH USD</v>
          </cell>
          <cell r="C492" t="str">
            <v>Class A2 USD (C)</v>
          </cell>
          <cell r="D492" t="str">
            <v>USD</v>
          </cell>
          <cell r="E492" t="str">
            <v>01-Dec-2025</v>
          </cell>
          <cell r="F492">
            <v>2526923540.1500001</v>
          </cell>
          <cell r="G492">
            <v>19777097.895</v>
          </cell>
          <cell r="H492">
            <v>127.77</v>
          </cell>
          <cell r="I492">
            <v>0</v>
          </cell>
          <cell r="J492">
            <v>127.77</v>
          </cell>
          <cell r="K492">
            <v>0.04</v>
          </cell>
          <cell r="P492">
            <v>0</v>
          </cell>
        </row>
        <row r="493">
          <cell r="A493" t="str">
            <v>LU2819203592</v>
          </cell>
          <cell r="B493" t="str">
            <v>AMUNDI FUNDS CASH USD</v>
          </cell>
          <cell r="C493" t="str">
            <v>Class A11 USD (C)</v>
          </cell>
          <cell r="D493" t="str">
            <v>USD</v>
          </cell>
          <cell r="E493" t="str">
            <v>01-Dec-2025</v>
          </cell>
          <cell r="F493">
            <v>5317.98</v>
          </cell>
          <cell r="G493">
            <v>100</v>
          </cell>
          <cell r="H493">
            <v>53.18</v>
          </cell>
          <cell r="I493">
            <v>0</v>
          </cell>
          <cell r="J493">
            <v>53.18</v>
          </cell>
          <cell r="K493">
            <v>0.02</v>
          </cell>
          <cell r="P493">
            <v>0</v>
          </cell>
        </row>
        <row r="494">
          <cell r="A494" t="str">
            <v>LU0568621709</v>
          </cell>
          <cell r="B494" t="str">
            <v>AMUNDI FUNDS CASH USD</v>
          </cell>
          <cell r="C494" t="str">
            <v>Class A2 USD AD (D)</v>
          </cell>
          <cell r="D494" t="str">
            <v>USD</v>
          </cell>
          <cell r="E494" t="str">
            <v>01-Dec-2025</v>
          </cell>
          <cell r="F494">
            <v>35736371.609999999</v>
          </cell>
          <cell r="G494">
            <v>340357.30599999998</v>
          </cell>
          <cell r="H494">
            <v>105</v>
          </cell>
          <cell r="I494">
            <v>0</v>
          </cell>
          <cell r="J494">
            <v>105</v>
          </cell>
          <cell r="K494">
            <v>0.04</v>
          </cell>
          <cell r="P494">
            <v>0</v>
          </cell>
        </row>
        <row r="495">
          <cell r="A495" t="str">
            <v>LU0568622186</v>
          </cell>
          <cell r="B495" t="str">
            <v>AMUNDI FUNDS CASH USD</v>
          </cell>
          <cell r="C495" t="str">
            <v>Class F2 USD (C)</v>
          </cell>
          <cell r="D495" t="str">
            <v>USD</v>
          </cell>
          <cell r="E495" t="str">
            <v>01-Dec-2025</v>
          </cell>
          <cell r="F495">
            <v>71538547.890000001</v>
          </cell>
          <cell r="G495">
            <v>562741.05599999998</v>
          </cell>
          <cell r="H495">
            <v>127.13</v>
          </cell>
          <cell r="I495">
            <v>0</v>
          </cell>
          <cell r="J495">
            <v>127.13</v>
          </cell>
          <cell r="K495">
            <v>0.04</v>
          </cell>
          <cell r="P495">
            <v>0</v>
          </cell>
        </row>
        <row r="496">
          <cell r="A496" t="str">
            <v>LU0568621022</v>
          </cell>
          <cell r="B496" t="str">
            <v>AMUNDI FUNDS CASH USD</v>
          </cell>
          <cell r="C496" t="str">
            <v>Class I2 USD (C)</v>
          </cell>
          <cell r="D496" t="str">
            <v>USD</v>
          </cell>
          <cell r="E496" t="str">
            <v>01-Dec-2025</v>
          </cell>
          <cell r="F496">
            <v>709358739.37</v>
          </cell>
          <cell r="G496">
            <v>551291.48800000001</v>
          </cell>
          <cell r="H496">
            <v>1286.72</v>
          </cell>
          <cell r="I496">
            <v>0</v>
          </cell>
          <cell r="J496">
            <v>1286.72</v>
          </cell>
          <cell r="K496">
            <v>0.43</v>
          </cell>
          <cell r="P496">
            <v>0</v>
          </cell>
        </row>
        <row r="497">
          <cell r="A497" t="str">
            <v>LU0568621295</v>
          </cell>
          <cell r="B497" t="str">
            <v>AMUNDI FUNDS CASH USD</v>
          </cell>
          <cell r="C497" t="str">
            <v>Class I2 USD AD (D)</v>
          </cell>
          <cell r="D497" t="str">
            <v>USD</v>
          </cell>
          <cell r="E497" t="str">
            <v>01-Dec-2025</v>
          </cell>
          <cell r="F497">
            <v>63106092.509999998</v>
          </cell>
          <cell r="G497">
            <v>61859.894</v>
          </cell>
          <cell r="H497">
            <v>1020.15</v>
          </cell>
          <cell r="I497">
            <v>0</v>
          </cell>
          <cell r="J497">
            <v>1020.15</v>
          </cell>
          <cell r="K497">
            <v>0.35</v>
          </cell>
          <cell r="P497">
            <v>0</v>
          </cell>
        </row>
        <row r="498">
          <cell r="A498" t="str">
            <v>LU2009162558</v>
          </cell>
          <cell r="B498" t="str">
            <v>AMUNDI FUNDS CASH USD</v>
          </cell>
          <cell r="C498" t="str">
            <v>Class J2 USD (C)</v>
          </cell>
          <cell r="D498" t="str">
            <v>USD</v>
          </cell>
          <cell r="E498" t="str">
            <v>01-Dec-2025</v>
          </cell>
          <cell r="F498">
            <v>1030643763.17</v>
          </cell>
          <cell r="G498">
            <v>854404.11600000004</v>
          </cell>
          <cell r="H498">
            <v>1206.27</v>
          </cell>
          <cell r="I498">
            <v>0</v>
          </cell>
          <cell r="J498">
            <v>1206.27</v>
          </cell>
          <cell r="K498">
            <v>0.42</v>
          </cell>
          <cell r="P498">
            <v>0</v>
          </cell>
        </row>
        <row r="499">
          <cell r="A499" t="str">
            <v>LU0568621378</v>
          </cell>
          <cell r="B499" t="str">
            <v>AMUNDI FUNDS CASH USD</v>
          </cell>
          <cell r="C499" t="str">
            <v>Class M2 USD (C)</v>
          </cell>
          <cell r="D499" t="str">
            <v>USD</v>
          </cell>
          <cell r="E499" t="str">
            <v>01-Dec-2025</v>
          </cell>
          <cell r="F499">
            <v>21483487.960000001</v>
          </cell>
          <cell r="G499">
            <v>167152.71</v>
          </cell>
          <cell r="H499">
            <v>128.53</v>
          </cell>
          <cell r="I499">
            <v>0</v>
          </cell>
          <cell r="J499">
            <v>128.53</v>
          </cell>
          <cell r="K499">
            <v>0.05</v>
          </cell>
          <cell r="P499">
            <v>0</v>
          </cell>
        </row>
        <row r="500">
          <cell r="A500" t="str">
            <v>LU2110859910</v>
          </cell>
          <cell r="B500" t="str">
            <v>AMUNDI FUNDS CASH USD</v>
          </cell>
          <cell r="C500" t="str">
            <v>Class P2 USD (C)</v>
          </cell>
          <cell r="D500" t="str">
            <v>USD</v>
          </cell>
          <cell r="E500" t="str">
            <v>01-Dec-2025</v>
          </cell>
          <cell r="F500">
            <v>127919.47</v>
          </cell>
          <cell r="G500">
            <v>2176.087</v>
          </cell>
          <cell r="H500">
            <v>58.78</v>
          </cell>
          <cell r="I500">
            <v>0</v>
          </cell>
          <cell r="J500">
            <v>58.78</v>
          </cell>
          <cell r="K500">
            <v>0.02</v>
          </cell>
          <cell r="P500">
            <v>0</v>
          </cell>
        </row>
        <row r="501">
          <cell r="A501" t="str">
            <v>LU0987193777</v>
          </cell>
          <cell r="B501" t="str">
            <v>AMUNDI FUNDS CASH USD</v>
          </cell>
          <cell r="C501" t="str">
            <v>Class R2 USD (C)</v>
          </cell>
          <cell r="D501" t="str">
            <v>USD</v>
          </cell>
          <cell r="E501" t="str">
            <v>01-Dec-2025</v>
          </cell>
          <cell r="F501">
            <v>91109928.849999994</v>
          </cell>
          <cell r="G501">
            <v>736603.32499999995</v>
          </cell>
          <cell r="H501">
            <v>123.69</v>
          </cell>
          <cell r="I501">
            <v>0</v>
          </cell>
          <cell r="J501">
            <v>123.69</v>
          </cell>
          <cell r="K501">
            <v>0.04</v>
          </cell>
          <cell r="P501">
            <v>0</v>
          </cell>
        </row>
        <row r="502">
          <cell r="A502" t="str">
            <v>LU0568622004</v>
          </cell>
          <cell r="B502" t="str">
            <v>AMUNDI FUNDS CASH USD</v>
          </cell>
          <cell r="C502" t="str">
            <v>Class G2 USD (C)</v>
          </cell>
          <cell r="D502" t="str">
            <v>USD</v>
          </cell>
          <cell r="E502" t="str">
            <v>01-Dec-2025</v>
          </cell>
          <cell r="F502">
            <v>13015006.720000001</v>
          </cell>
          <cell r="G502">
            <v>102195.25199999999</v>
          </cell>
          <cell r="H502">
            <v>127.35</v>
          </cell>
          <cell r="I502">
            <v>0</v>
          </cell>
          <cell r="J502">
            <v>127.35</v>
          </cell>
          <cell r="K502">
            <v>0.03</v>
          </cell>
          <cell r="P502">
            <v>0</v>
          </cell>
        </row>
        <row r="503">
          <cell r="A503" t="str">
            <v>LU1327400542</v>
          </cell>
          <cell r="B503" t="str">
            <v>AMUNDI FUNDS CASH USD</v>
          </cell>
          <cell r="C503" t="str">
            <v>Class Q-X USD AD (D)</v>
          </cell>
          <cell r="D503" t="str">
            <v>USD</v>
          </cell>
          <cell r="E503" t="str">
            <v>01-Dec-2025</v>
          </cell>
          <cell r="F503">
            <v>350362.35</v>
          </cell>
          <cell r="G503">
            <v>345.46100000000001</v>
          </cell>
          <cell r="H503">
            <v>1014.19</v>
          </cell>
          <cell r="I503">
            <v>0</v>
          </cell>
          <cell r="J503">
            <v>1014.19</v>
          </cell>
          <cell r="K503">
            <v>0.35</v>
          </cell>
          <cell r="P503">
            <v>0</v>
          </cell>
        </row>
        <row r="504">
          <cell r="A504" t="str">
            <v>LU1327400468</v>
          </cell>
          <cell r="B504" t="str">
            <v>AMUNDI FUNDS CASH USD</v>
          </cell>
          <cell r="C504" t="str">
            <v>Class Q-X USD (C)</v>
          </cell>
          <cell r="D504" t="str">
            <v>USD</v>
          </cell>
          <cell r="E504" t="str">
            <v>01-Dec-2025</v>
          </cell>
          <cell r="F504">
            <v>253958440.08000001</v>
          </cell>
          <cell r="G504">
            <v>199253.27799999999</v>
          </cell>
          <cell r="H504">
            <v>1274.55</v>
          </cell>
          <cell r="I504">
            <v>0</v>
          </cell>
          <cell r="J504">
            <v>1274.55</v>
          </cell>
          <cell r="K504">
            <v>0.44</v>
          </cell>
          <cell r="P504">
            <v>0</v>
          </cell>
        </row>
        <row r="505">
          <cell r="A505" t="str">
            <v>LU2359308389</v>
          </cell>
          <cell r="B505" t="str">
            <v>AMUNDI FUNDS CASH USD</v>
          </cell>
          <cell r="C505" t="str">
            <v>Class Z USD (C)</v>
          </cell>
          <cell r="D505" t="str">
            <v>USD</v>
          </cell>
          <cell r="E505" t="str">
            <v>01-Dec-2025</v>
          </cell>
          <cell r="F505">
            <v>83382076.780000001</v>
          </cell>
          <cell r="G505">
            <v>70577.975000000006</v>
          </cell>
          <cell r="H505">
            <v>1181.42</v>
          </cell>
          <cell r="I505">
            <v>0</v>
          </cell>
          <cell r="J505">
            <v>1181.42</v>
          </cell>
          <cell r="K505">
            <v>0.42</v>
          </cell>
          <cell r="P505">
            <v>0</v>
          </cell>
        </row>
        <row r="506">
          <cell r="A506" t="str">
            <v>LU0755949848</v>
          </cell>
          <cell r="B506" t="str">
            <v>AMUNDI FUNDS EUROPEAN EQUITY CONSERVATIVE</v>
          </cell>
          <cell r="C506" t="str">
            <v>Class A EUR (C)</v>
          </cell>
          <cell r="D506" t="str">
            <v>EUR</v>
          </cell>
          <cell r="E506" t="str">
            <v>01-Dec-2025</v>
          </cell>
          <cell r="F506">
            <v>314277708.48000002</v>
          </cell>
          <cell r="G506">
            <v>1391420.169</v>
          </cell>
          <cell r="H506">
            <v>225.87</v>
          </cell>
          <cell r="I506">
            <v>0</v>
          </cell>
          <cell r="J506">
            <v>236.03</v>
          </cell>
          <cell r="K506">
            <v>-0.4</v>
          </cell>
          <cell r="P506">
            <v>0</v>
          </cell>
        </row>
        <row r="507">
          <cell r="A507" t="str">
            <v>LU2032055977</v>
          </cell>
          <cell r="B507" t="str">
            <v>AMUNDI FUNDS EUROPEAN EQUITY CONSERVATIVE</v>
          </cell>
          <cell r="C507" t="str">
            <v>Class A5 EUR (C)</v>
          </cell>
          <cell r="D507" t="str">
            <v>EUR</v>
          </cell>
          <cell r="E507" t="str">
            <v>01-Dec-2025</v>
          </cell>
          <cell r="F507">
            <v>129671.62</v>
          </cell>
          <cell r="G507">
            <v>1877.4929999999999</v>
          </cell>
          <cell r="H507">
            <v>69.069999999999993</v>
          </cell>
          <cell r="I507">
            <v>0</v>
          </cell>
          <cell r="J507">
            <v>69.069999999999993</v>
          </cell>
          <cell r="K507">
            <v>-0.12</v>
          </cell>
          <cell r="P507">
            <v>0</v>
          </cell>
        </row>
        <row r="508">
          <cell r="A508" t="str">
            <v>LU1808314287</v>
          </cell>
          <cell r="B508" t="str">
            <v>AMUNDI FUNDS EUROPEAN EQUITY CONSERVATIVE</v>
          </cell>
          <cell r="C508" t="str">
            <v>Class A CHF Hgd (C)</v>
          </cell>
          <cell r="D508" t="str">
            <v>CHF</v>
          </cell>
          <cell r="E508" t="str">
            <v>01-Dec-2025</v>
          </cell>
          <cell r="F508">
            <v>7326660.6600000001</v>
          </cell>
          <cell r="G508">
            <v>55382.557999999997</v>
          </cell>
          <cell r="H508">
            <v>132.29</v>
          </cell>
          <cell r="I508">
            <v>0</v>
          </cell>
          <cell r="J508">
            <v>132.29</v>
          </cell>
          <cell r="K508">
            <v>-0.25</v>
          </cell>
          <cell r="P508">
            <v>0</v>
          </cell>
        </row>
        <row r="509">
          <cell r="A509" t="str">
            <v>LU0755949921</v>
          </cell>
          <cell r="B509" t="str">
            <v>AMUNDI FUNDS EUROPEAN EQUITY CONSERVATIVE</v>
          </cell>
          <cell r="C509" t="str">
            <v>Class A EUR AD (D)</v>
          </cell>
          <cell r="D509" t="str">
            <v>EUR</v>
          </cell>
          <cell r="E509" t="str">
            <v>01-Dec-2025</v>
          </cell>
          <cell r="F509">
            <v>74387730.450000003</v>
          </cell>
          <cell r="G509">
            <v>396237.06900000002</v>
          </cell>
          <cell r="H509">
            <v>187.74</v>
          </cell>
          <cell r="I509">
            <v>0</v>
          </cell>
          <cell r="J509">
            <v>196.19</v>
          </cell>
          <cell r="K509">
            <v>-0.33</v>
          </cell>
          <cell r="P509">
            <v>0</v>
          </cell>
        </row>
        <row r="510">
          <cell r="A510" t="str">
            <v>LU1103154495</v>
          </cell>
          <cell r="B510" t="str">
            <v>AMUNDI FUNDS EUROPEAN EQUITY CONSERVATIVE</v>
          </cell>
          <cell r="C510" t="str">
            <v>Class A2 EUR (C)</v>
          </cell>
          <cell r="D510" t="str">
            <v>EUR</v>
          </cell>
          <cell r="E510" t="str">
            <v>01-Dec-2025</v>
          </cell>
          <cell r="F510">
            <v>12169409.41</v>
          </cell>
          <cell r="G510">
            <v>86215.392000000007</v>
          </cell>
          <cell r="H510">
            <v>141.15</v>
          </cell>
          <cell r="I510">
            <v>0</v>
          </cell>
          <cell r="J510">
            <v>141.15</v>
          </cell>
          <cell r="K510">
            <v>-0.25</v>
          </cell>
          <cell r="P510">
            <v>0</v>
          </cell>
        </row>
        <row r="511">
          <cell r="A511" t="str">
            <v>LU2018720651</v>
          </cell>
          <cell r="B511" t="str">
            <v>AMUNDI FUNDS EUROPEAN EQUITY CONSERVATIVE</v>
          </cell>
          <cell r="C511" t="str">
            <v>Class F EUR (C)</v>
          </cell>
          <cell r="D511" t="str">
            <v>EUR</v>
          </cell>
          <cell r="E511" t="str">
            <v>01-Dec-2025</v>
          </cell>
          <cell r="F511">
            <v>38407.699999999997</v>
          </cell>
          <cell r="G511">
            <v>5885.7020000000002</v>
          </cell>
          <cell r="H511">
            <v>6.5259999999999998</v>
          </cell>
          <cell r="I511">
            <v>0</v>
          </cell>
          <cell r="J511">
            <v>6.5259999999999998</v>
          </cell>
          <cell r="K511">
            <v>-1.2E-2</v>
          </cell>
          <cell r="P511">
            <v>0</v>
          </cell>
        </row>
        <row r="512">
          <cell r="A512" t="str">
            <v>LU0755950184</v>
          </cell>
          <cell r="B512" t="str">
            <v>AMUNDI FUNDS EUROPEAN EQUITY CONSERVATIVE</v>
          </cell>
          <cell r="C512" t="str">
            <v>Class F2 EUR (C)</v>
          </cell>
          <cell r="D512" t="str">
            <v>EUR</v>
          </cell>
          <cell r="E512" t="str">
            <v>01-Dec-2025</v>
          </cell>
          <cell r="F512">
            <v>1829678.64</v>
          </cell>
          <cell r="G512">
            <v>9261.1119999999992</v>
          </cell>
          <cell r="H512">
            <v>197.57</v>
          </cell>
          <cell r="I512">
            <v>0</v>
          </cell>
          <cell r="J512">
            <v>197.57</v>
          </cell>
          <cell r="K512">
            <v>-0.36</v>
          </cell>
          <cell r="P512">
            <v>0</v>
          </cell>
        </row>
        <row r="513">
          <cell r="A513" t="str">
            <v>LU2031984698</v>
          </cell>
          <cell r="B513" t="str">
            <v>AMUNDI FUNDS EUROPEAN EQUITY CONSERVATIVE</v>
          </cell>
          <cell r="C513" t="str">
            <v>Class I2 EUR (C)</v>
          </cell>
          <cell r="D513" t="str">
            <v>EUR</v>
          </cell>
          <cell r="E513" t="str">
            <v>01-Dec-2025</v>
          </cell>
          <cell r="F513">
            <v>1455259.84</v>
          </cell>
          <cell r="G513">
            <v>1004.058</v>
          </cell>
          <cell r="H513">
            <v>1449.38</v>
          </cell>
          <cell r="I513">
            <v>0</v>
          </cell>
          <cell r="J513">
            <v>1449.38</v>
          </cell>
          <cell r="K513">
            <v>-2.4500000000000002</v>
          </cell>
          <cell r="P513">
            <v>0</v>
          </cell>
        </row>
        <row r="514">
          <cell r="A514" t="str">
            <v>LU0755949418</v>
          </cell>
          <cell r="B514" t="str">
            <v>AMUNDI FUNDS EUROPEAN EQUITY CONSERVATIVE</v>
          </cell>
          <cell r="C514" t="str">
            <v>Class I EUR (C)</v>
          </cell>
          <cell r="D514" t="str">
            <v>EUR</v>
          </cell>
          <cell r="E514" t="str">
            <v>01-Dec-2025</v>
          </cell>
          <cell r="F514">
            <v>24496651.719999999</v>
          </cell>
          <cell r="G514">
            <v>6044.8710000000001</v>
          </cell>
          <cell r="H514">
            <v>4052.47</v>
          </cell>
          <cell r="I514">
            <v>0</v>
          </cell>
          <cell r="J514">
            <v>4052.47</v>
          </cell>
          <cell r="K514">
            <v>-6.81</v>
          </cell>
          <cell r="P514">
            <v>0</v>
          </cell>
        </row>
        <row r="515">
          <cell r="A515" t="str">
            <v>LU1737510526</v>
          </cell>
          <cell r="B515" t="str">
            <v>AMUNDI FUNDS EUROPEAN EQUITY CONSERVATIVE</v>
          </cell>
          <cell r="C515" t="str">
            <v>Class Q-I17 EUR (C)</v>
          </cell>
          <cell r="D515" t="str">
            <v>EUR</v>
          </cell>
          <cell r="E515" t="str">
            <v>01-Dec-2025</v>
          </cell>
          <cell r="F515">
            <v>167557187.06</v>
          </cell>
          <cell r="G515">
            <v>1073658.96</v>
          </cell>
          <cell r="H515">
            <v>156.06</v>
          </cell>
          <cell r="I515">
            <v>0</v>
          </cell>
          <cell r="J515">
            <v>156.06</v>
          </cell>
          <cell r="K515">
            <v>-0.26</v>
          </cell>
          <cell r="P515">
            <v>0</v>
          </cell>
        </row>
        <row r="516">
          <cell r="A516" t="str">
            <v>LU0755949681</v>
          </cell>
          <cell r="B516" t="str">
            <v>AMUNDI FUNDS EUROPEAN EQUITY CONSERVATIVE</v>
          </cell>
          <cell r="C516" t="str">
            <v>Class M EUR (C)</v>
          </cell>
          <cell r="D516" t="str">
            <v>EUR</v>
          </cell>
          <cell r="E516" t="str">
            <v>01-Dec-2025</v>
          </cell>
          <cell r="F516">
            <v>1234632.33</v>
          </cell>
          <cell r="G516">
            <v>3964.6550000000002</v>
          </cell>
          <cell r="H516">
            <v>311.41000000000003</v>
          </cell>
          <cell r="I516">
            <v>0</v>
          </cell>
          <cell r="J516">
            <v>311.41000000000003</v>
          </cell>
          <cell r="K516">
            <v>-0.53</v>
          </cell>
          <cell r="P516">
            <v>0</v>
          </cell>
        </row>
        <row r="517">
          <cell r="A517" t="str">
            <v>LU1567497968</v>
          </cell>
          <cell r="B517" t="str">
            <v>AMUNDI FUNDS EUROPEAN EQUITY CONSERVATIVE</v>
          </cell>
          <cell r="C517" t="str">
            <v>Class Q-OF EUR (C)</v>
          </cell>
          <cell r="D517" t="str">
            <v>EUR</v>
          </cell>
          <cell r="E517" t="str">
            <v>01-Dec-2025</v>
          </cell>
          <cell r="F517">
            <v>2235741.85</v>
          </cell>
          <cell r="G517">
            <v>1290.51</v>
          </cell>
          <cell r="H517">
            <v>1732.45</v>
          </cell>
          <cell r="I517">
            <v>0</v>
          </cell>
          <cell r="J517">
            <v>1732.45</v>
          </cell>
          <cell r="K517">
            <v>-2.85</v>
          </cell>
          <cell r="P517">
            <v>0</v>
          </cell>
        </row>
        <row r="518">
          <cell r="A518" t="str">
            <v>LU0945156700</v>
          </cell>
          <cell r="B518" t="str">
            <v>AMUNDI FUNDS EUROPEAN EQUITY CONSERVATIVE</v>
          </cell>
          <cell r="C518" t="str">
            <v>Class R EUR (C)</v>
          </cell>
          <cell r="D518" t="str">
            <v>EUR</v>
          </cell>
          <cell r="E518" t="str">
            <v>01-Dec-2025</v>
          </cell>
          <cell r="F518">
            <v>477962.05</v>
          </cell>
          <cell r="G518">
            <v>3014.2020000000002</v>
          </cell>
          <cell r="H518">
            <v>158.57</v>
          </cell>
          <cell r="I518">
            <v>0</v>
          </cell>
          <cell r="J518">
            <v>158.57</v>
          </cell>
          <cell r="K518">
            <v>-0.27</v>
          </cell>
          <cell r="P518">
            <v>0</v>
          </cell>
        </row>
        <row r="519">
          <cell r="A519" t="str">
            <v>LU0755950002</v>
          </cell>
          <cell r="B519" t="str">
            <v>AMUNDI FUNDS EUROPEAN EQUITY CONSERVATIVE</v>
          </cell>
          <cell r="C519" t="str">
            <v>Class G EUR (C)</v>
          </cell>
          <cell r="D519" t="str">
            <v>EUR</v>
          </cell>
          <cell r="E519" t="str">
            <v>01-Dec-2025</v>
          </cell>
          <cell r="F519">
            <v>12907878.390000001</v>
          </cell>
          <cell r="G519">
            <v>57630.671999999999</v>
          </cell>
          <cell r="H519">
            <v>223.98</v>
          </cell>
          <cell r="I519">
            <v>0</v>
          </cell>
          <cell r="J519">
            <v>230.7</v>
          </cell>
          <cell r="K519">
            <v>-0.4</v>
          </cell>
          <cell r="P519">
            <v>0</v>
          </cell>
        </row>
        <row r="520">
          <cell r="A520" t="str">
            <v>LU1638831559</v>
          </cell>
          <cell r="B520" t="str">
            <v>AMUNDI FUNDS EUROPEAN EQUITY CONSERVATIVE</v>
          </cell>
          <cell r="C520" t="str">
            <v>Class Z EUR AD (D)</v>
          </cell>
          <cell r="D520" t="str">
            <v>EUR</v>
          </cell>
          <cell r="E520" t="str">
            <v>01-Dec-2025</v>
          </cell>
          <cell r="F520">
            <v>11686875.82</v>
          </cell>
          <cell r="G520">
            <v>8934.7839999999997</v>
          </cell>
          <cell r="H520">
            <v>1308.02</v>
          </cell>
          <cell r="I520">
            <v>0</v>
          </cell>
          <cell r="J520">
            <v>1308.02</v>
          </cell>
          <cell r="K520">
            <v>-2.19</v>
          </cell>
          <cell r="P520">
            <v>0</v>
          </cell>
        </row>
        <row r="521">
          <cell r="A521" t="str">
            <v>LU0755948790</v>
          </cell>
          <cell r="B521" t="str">
            <v>AMUNDI FUNDS EMERGING MARKETS CORPORATE BOND</v>
          </cell>
          <cell r="C521" t="str">
            <v>Class A EUR (C)</v>
          </cell>
          <cell r="D521" t="str">
            <v>EUR</v>
          </cell>
          <cell r="E521" t="str">
            <v>01-Dec-2025</v>
          </cell>
          <cell r="F521">
            <v>1193400.46</v>
          </cell>
          <cell r="G521">
            <v>7665.7290000000003</v>
          </cell>
          <cell r="H521">
            <v>155.68</v>
          </cell>
          <cell r="I521">
            <v>0</v>
          </cell>
          <cell r="J521">
            <v>161.91</v>
          </cell>
          <cell r="K521">
            <v>-0.43</v>
          </cell>
          <cell r="P521">
            <v>0</v>
          </cell>
        </row>
        <row r="522">
          <cell r="A522" t="str">
            <v>LU0755948444</v>
          </cell>
          <cell r="B522" t="str">
            <v>AMUNDI FUNDS EMERGING MARKETS CORPORATE BOND</v>
          </cell>
          <cell r="C522" t="str">
            <v>Class A USD (C)</v>
          </cell>
          <cell r="D522" t="str">
            <v>USD</v>
          </cell>
          <cell r="E522" t="str">
            <v>01-Dec-2025</v>
          </cell>
          <cell r="F522">
            <v>840006.69</v>
          </cell>
          <cell r="G522">
            <v>6166.0079999999998</v>
          </cell>
          <cell r="H522">
            <v>136.22999999999999</v>
          </cell>
          <cell r="I522">
            <v>0</v>
          </cell>
          <cell r="J522">
            <v>141.68</v>
          </cell>
          <cell r="K522">
            <v>-0.09</v>
          </cell>
          <cell r="P522">
            <v>0</v>
          </cell>
        </row>
        <row r="523">
          <cell r="A523" t="str">
            <v>LU0755948956</v>
          </cell>
          <cell r="B523" t="str">
            <v>AMUNDI FUNDS EMERGING MARKETS CORPORATE BOND</v>
          </cell>
          <cell r="C523" t="str">
            <v>Class A EUR Hgd (C)</v>
          </cell>
          <cell r="D523" t="str">
            <v>EUR</v>
          </cell>
          <cell r="E523" t="str">
            <v>01-Dec-2025</v>
          </cell>
          <cell r="F523">
            <v>588472.24</v>
          </cell>
          <cell r="G523">
            <v>5282.076</v>
          </cell>
          <cell r="H523">
            <v>111.41</v>
          </cell>
          <cell r="I523">
            <v>0</v>
          </cell>
          <cell r="J523">
            <v>115.87</v>
          </cell>
          <cell r="K523">
            <v>-0.08</v>
          </cell>
          <cell r="P523">
            <v>0</v>
          </cell>
        </row>
        <row r="524">
          <cell r="A524" t="str">
            <v>LU0755948873</v>
          </cell>
          <cell r="B524" t="str">
            <v>AMUNDI FUNDS EMERGING MARKETS CORPORATE BOND</v>
          </cell>
          <cell r="C524" t="str">
            <v>Class A EUR AD (D)</v>
          </cell>
          <cell r="D524" t="str">
            <v>EUR</v>
          </cell>
          <cell r="E524" t="str">
            <v>01-Dec-2025</v>
          </cell>
          <cell r="F524">
            <v>402577.33</v>
          </cell>
          <cell r="G524">
            <v>4257.4849999999997</v>
          </cell>
          <cell r="H524">
            <v>94.56</v>
          </cell>
          <cell r="I524">
            <v>0</v>
          </cell>
          <cell r="J524">
            <v>98.34</v>
          </cell>
          <cell r="K524">
            <v>-0.26</v>
          </cell>
          <cell r="P524">
            <v>0</v>
          </cell>
        </row>
        <row r="525">
          <cell r="A525" t="str">
            <v>LU0755948527</v>
          </cell>
          <cell r="B525" t="str">
            <v>AMUNDI FUNDS EMERGING MARKETS CORPORATE BOND</v>
          </cell>
          <cell r="C525" t="str">
            <v>Class A USD AD (D)</v>
          </cell>
          <cell r="D525" t="str">
            <v>USD</v>
          </cell>
          <cell r="E525" t="str">
            <v>01-Dec-2025</v>
          </cell>
          <cell r="F525">
            <v>3440621.01</v>
          </cell>
          <cell r="G525">
            <v>40225.027999999998</v>
          </cell>
          <cell r="H525">
            <v>85.53</v>
          </cell>
          <cell r="I525">
            <v>0</v>
          </cell>
          <cell r="J525">
            <v>88.95</v>
          </cell>
          <cell r="K525">
            <v>-0.06</v>
          </cell>
          <cell r="P525">
            <v>0</v>
          </cell>
        </row>
        <row r="526">
          <cell r="A526" t="str">
            <v>LU0755949251</v>
          </cell>
          <cell r="B526" t="str">
            <v>AMUNDI FUNDS EMERGING MARKETS CORPORATE BOND</v>
          </cell>
          <cell r="C526" t="str">
            <v>Class F2 USD (C)</v>
          </cell>
          <cell r="D526" t="str">
            <v>USD</v>
          </cell>
          <cell r="E526" t="str">
            <v>01-Dec-2025</v>
          </cell>
          <cell r="F526">
            <v>254841.48</v>
          </cell>
          <cell r="G526">
            <v>2060.3960000000002</v>
          </cell>
          <cell r="H526">
            <v>123.69</v>
          </cell>
          <cell r="I526">
            <v>0</v>
          </cell>
          <cell r="J526">
            <v>123.69</v>
          </cell>
          <cell r="K526">
            <v>-0.08</v>
          </cell>
          <cell r="P526">
            <v>0</v>
          </cell>
        </row>
        <row r="527">
          <cell r="A527" t="str">
            <v>LU2018722608</v>
          </cell>
          <cell r="B527" t="str">
            <v>AMUNDI FUNDS EMERGING MARKETS CORPORATE BOND</v>
          </cell>
          <cell r="C527" t="str">
            <v>Class F EUR Hgd MTD (D)</v>
          </cell>
          <cell r="D527" t="str">
            <v>EUR</v>
          </cell>
          <cell r="E527" t="str">
            <v>01-Dec-2025</v>
          </cell>
          <cell r="F527">
            <v>425375.56</v>
          </cell>
          <cell r="G527">
            <v>124051.319</v>
          </cell>
          <cell r="H527">
            <v>3.4289999999999998</v>
          </cell>
          <cell r="I527">
            <v>1.44E-2</v>
          </cell>
          <cell r="J527">
            <v>3.4289999999999998</v>
          </cell>
          <cell r="K527">
            <v>-1.7000000000000001E-2</v>
          </cell>
          <cell r="P527">
            <v>0</v>
          </cell>
        </row>
        <row r="528">
          <cell r="A528" t="str">
            <v>LU0755949335</v>
          </cell>
          <cell r="B528" t="str">
            <v>AMUNDI FUNDS EMERGING MARKETS CORPORATE BOND</v>
          </cell>
          <cell r="C528" t="str">
            <v>Class F2 EUR Hgd (C)</v>
          </cell>
          <cell r="D528" t="str">
            <v>EUR</v>
          </cell>
          <cell r="E528" t="str">
            <v>01-Dec-2025</v>
          </cell>
          <cell r="F528">
            <v>131885</v>
          </cell>
          <cell r="G528">
            <v>1290.5309999999999</v>
          </cell>
          <cell r="H528">
            <v>102.19</v>
          </cell>
          <cell r="I528">
            <v>0</v>
          </cell>
          <cell r="J528">
            <v>102.19</v>
          </cell>
          <cell r="K528">
            <v>-0.08</v>
          </cell>
          <cell r="P528">
            <v>0</v>
          </cell>
        </row>
        <row r="529">
          <cell r="A529" t="str">
            <v>LU0945158151</v>
          </cell>
          <cell r="B529" t="str">
            <v>AMUNDI FUNDS EMERGING MARKETS CORPORATE BOND</v>
          </cell>
          <cell r="C529" t="str">
            <v>Class F2 EUR Hgd MD (D)</v>
          </cell>
          <cell r="D529" t="str">
            <v>EUR</v>
          </cell>
          <cell r="E529" t="str">
            <v>01-Dec-2025</v>
          </cell>
          <cell r="F529">
            <v>631506.5</v>
          </cell>
          <cell r="G529">
            <v>10634.18</v>
          </cell>
          <cell r="H529">
            <v>59.38</v>
          </cell>
          <cell r="I529">
            <v>0.24979999999999999</v>
          </cell>
          <cell r="J529">
            <v>59.38</v>
          </cell>
          <cell r="K529">
            <v>-0.3</v>
          </cell>
          <cell r="P529">
            <v>0</v>
          </cell>
        </row>
        <row r="530">
          <cell r="A530" t="str">
            <v>LU0945158078</v>
          </cell>
          <cell r="B530" t="str">
            <v>AMUNDI FUNDS EMERGING MARKETS CORPORATE BOND</v>
          </cell>
          <cell r="C530" t="str">
            <v>Class G EUR Hgd MD (D)</v>
          </cell>
          <cell r="D530" t="str">
            <v>EUR</v>
          </cell>
          <cell r="E530" t="str">
            <v>01-Dec-2025</v>
          </cell>
          <cell r="F530">
            <v>3293879.81</v>
          </cell>
          <cell r="G530">
            <v>52122.696000000004</v>
          </cell>
          <cell r="H530">
            <v>63.19</v>
          </cell>
          <cell r="I530">
            <v>0.26519999999999999</v>
          </cell>
          <cell r="J530">
            <v>63.19</v>
          </cell>
          <cell r="K530">
            <v>-0.32</v>
          </cell>
          <cell r="P530">
            <v>0</v>
          </cell>
        </row>
        <row r="531">
          <cell r="A531" t="str">
            <v>LU0755947982</v>
          </cell>
          <cell r="B531" t="str">
            <v>AMUNDI FUNDS EMERGING MARKETS CORPORATE BOND</v>
          </cell>
          <cell r="C531" t="str">
            <v>Class I EUR (C)</v>
          </cell>
          <cell r="D531" t="str">
            <v>USD</v>
          </cell>
          <cell r="E531" t="str">
            <v>01-Dec-2025</v>
          </cell>
          <cell r="F531">
            <v>2065337.37</v>
          </cell>
          <cell r="G531">
            <v>1322.1949999999999</v>
          </cell>
          <cell r="H531">
            <v>1562.05</v>
          </cell>
          <cell r="I531">
            <v>0</v>
          </cell>
          <cell r="J531">
            <v>1562.05</v>
          </cell>
          <cell r="K531">
            <v>-0.92</v>
          </cell>
          <cell r="P531">
            <v>0</v>
          </cell>
        </row>
        <row r="532">
          <cell r="A532" t="str">
            <v>LU0755947636</v>
          </cell>
          <cell r="B532" t="str">
            <v>AMUNDI FUNDS EMERGING MARKETS CORPORATE BOND</v>
          </cell>
          <cell r="C532" t="str">
            <v>Class I USD (C)</v>
          </cell>
          <cell r="D532" t="str">
            <v>USD</v>
          </cell>
          <cell r="E532" t="str">
            <v>01-Dec-2025</v>
          </cell>
          <cell r="F532">
            <v>23353213.02</v>
          </cell>
          <cell r="G532">
            <v>12314.618</v>
          </cell>
          <cell r="H532">
            <v>1896.38</v>
          </cell>
          <cell r="I532">
            <v>0</v>
          </cell>
          <cell r="J532">
            <v>1896.38</v>
          </cell>
          <cell r="K532">
            <v>-1.1100000000000001</v>
          </cell>
          <cell r="P532">
            <v>0</v>
          </cell>
        </row>
        <row r="533">
          <cell r="A533" t="str">
            <v>LU0755947800</v>
          </cell>
          <cell r="B533" t="str">
            <v>AMUNDI FUNDS EMERGING MARKETS CORPORATE BOND</v>
          </cell>
          <cell r="C533" t="str">
            <v>Class I EUR Hgd (C)</v>
          </cell>
          <cell r="D533" t="str">
            <v>EUR</v>
          </cell>
          <cell r="E533" t="str">
            <v>01-Dec-2025</v>
          </cell>
          <cell r="F533">
            <v>65630929.369999997</v>
          </cell>
          <cell r="G533">
            <v>67669.485000000001</v>
          </cell>
          <cell r="H533">
            <v>969.87</v>
          </cell>
          <cell r="I533">
            <v>0</v>
          </cell>
          <cell r="J533">
            <v>969.87</v>
          </cell>
          <cell r="K533">
            <v>-0.62</v>
          </cell>
          <cell r="P533">
            <v>0</v>
          </cell>
        </row>
        <row r="534">
          <cell r="A534" t="str">
            <v>LU2339089083</v>
          </cell>
          <cell r="B534" t="str">
            <v>AMUNDI FUNDS EMERGING MARKETS CORPORATE BOND</v>
          </cell>
          <cell r="C534" t="str">
            <v>Class I EUR Hgd AD (D)</v>
          </cell>
          <cell r="D534" t="str">
            <v>EUR</v>
          </cell>
          <cell r="E534" t="str">
            <v>01-Dec-2025</v>
          </cell>
          <cell r="F534">
            <v>27543791.82</v>
          </cell>
          <cell r="G534">
            <v>35785.315999999999</v>
          </cell>
          <cell r="H534">
            <v>769.7</v>
          </cell>
          <cell r="I534">
            <v>0</v>
          </cell>
          <cell r="J534">
            <v>769.7</v>
          </cell>
          <cell r="K534">
            <v>-0.48</v>
          </cell>
          <cell r="P534">
            <v>0</v>
          </cell>
        </row>
        <row r="535">
          <cell r="A535" t="str">
            <v>LU0755948014</v>
          </cell>
          <cell r="B535" t="str">
            <v>AMUNDI FUNDS EMERGING MARKETS CORPORATE BOND</v>
          </cell>
          <cell r="C535" t="str">
            <v>Class I EUR AD (D)</v>
          </cell>
          <cell r="D535" t="str">
            <v>EUR</v>
          </cell>
          <cell r="E535" t="str">
            <v>01-Dec-2025</v>
          </cell>
          <cell r="F535">
            <v>23921961.34</v>
          </cell>
          <cell r="G535">
            <v>28973.931</v>
          </cell>
          <cell r="H535">
            <v>825.64</v>
          </cell>
          <cell r="I535">
            <v>0</v>
          </cell>
          <cell r="J535">
            <v>825.64</v>
          </cell>
          <cell r="K535">
            <v>-2.2200000000000002</v>
          </cell>
          <cell r="P535">
            <v>0</v>
          </cell>
        </row>
        <row r="536">
          <cell r="A536" t="str">
            <v>LU2176992076</v>
          </cell>
          <cell r="B536" t="str">
            <v>AMUNDI FUNDS EMERGING MARKETS CORPORATE BOND</v>
          </cell>
          <cell r="C536" t="str">
            <v>Class J2 EUR AD (D)</v>
          </cell>
          <cell r="D536" t="str">
            <v>EUR</v>
          </cell>
          <cell r="E536" t="str">
            <v>01-Dec-2025</v>
          </cell>
          <cell r="F536">
            <v>66402186.710000001</v>
          </cell>
          <cell r="G536">
            <v>77782</v>
          </cell>
          <cell r="H536">
            <v>853.7</v>
          </cell>
          <cell r="I536">
            <v>0</v>
          </cell>
          <cell r="J536">
            <v>853.7</v>
          </cell>
          <cell r="K536">
            <v>-2.29</v>
          </cell>
          <cell r="P536">
            <v>0</v>
          </cell>
        </row>
        <row r="537">
          <cell r="A537" t="str">
            <v>LU0755948105</v>
          </cell>
          <cell r="B537" t="str">
            <v>AMUNDI FUNDS EMERGING MARKETS CORPORATE BOND</v>
          </cell>
          <cell r="C537" t="str">
            <v>Class M USD (C)</v>
          </cell>
          <cell r="D537" t="str">
            <v>USD</v>
          </cell>
          <cell r="E537" t="str">
            <v>01-Dec-2025</v>
          </cell>
          <cell r="F537">
            <v>659028.15</v>
          </cell>
          <cell r="G537">
            <v>4446.3530000000001</v>
          </cell>
          <cell r="H537">
            <v>148.22</v>
          </cell>
          <cell r="I537">
            <v>0</v>
          </cell>
          <cell r="J537">
            <v>148.22</v>
          </cell>
          <cell r="K537">
            <v>-0.09</v>
          </cell>
          <cell r="P537">
            <v>0</v>
          </cell>
        </row>
        <row r="538">
          <cell r="A538" t="str">
            <v>LU0755948287</v>
          </cell>
          <cell r="B538" t="str">
            <v>AMUNDI FUNDS EMERGING MARKETS CORPORATE BOND</v>
          </cell>
          <cell r="C538" t="str">
            <v>Class M EUR Hgd (C)</v>
          </cell>
          <cell r="D538" t="str">
            <v>EUR</v>
          </cell>
          <cell r="E538" t="str">
            <v>01-Dec-2025</v>
          </cell>
          <cell r="F538">
            <v>93496.28</v>
          </cell>
          <cell r="G538">
            <v>928.65599999999995</v>
          </cell>
          <cell r="H538">
            <v>100.68</v>
          </cell>
          <cell r="I538">
            <v>0</v>
          </cell>
          <cell r="J538">
            <v>100.68</v>
          </cell>
          <cell r="K538">
            <v>-0.06</v>
          </cell>
          <cell r="P538">
            <v>0</v>
          </cell>
        </row>
        <row r="539">
          <cell r="A539" t="str">
            <v>LU0755948360</v>
          </cell>
          <cell r="B539" t="str">
            <v>AMUNDI FUNDS EMERGING MARKETS CORPORATE BOND</v>
          </cell>
          <cell r="C539" t="str">
            <v>Class O USD (C)</v>
          </cell>
          <cell r="D539" t="str">
            <v>USD</v>
          </cell>
          <cell r="E539" t="str">
            <v>01-Dec-2025</v>
          </cell>
          <cell r="F539">
            <v>62907239.890000001</v>
          </cell>
          <cell r="G539">
            <v>38251.224999999999</v>
          </cell>
          <cell r="H539">
            <v>1644.58</v>
          </cell>
          <cell r="I539">
            <v>0</v>
          </cell>
          <cell r="J539">
            <v>1644.58</v>
          </cell>
          <cell r="K539">
            <v>-0.89</v>
          </cell>
          <cell r="P539">
            <v>0</v>
          </cell>
        </row>
        <row r="540">
          <cell r="A540" t="str">
            <v>LU1103155898</v>
          </cell>
          <cell r="B540" t="str">
            <v>AMUNDI FUNDS EMERGING MARKETS CORPORATE BOND</v>
          </cell>
          <cell r="C540" t="str">
            <v>Class O EUR Hgd (C)</v>
          </cell>
          <cell r="D540" t="str">
            <v>EUR</v>
          </cell>
          <cell r="E540" t="str">
            <v>01-Dec-2025</v>
          </cell>
          <cell r="F540">
            <v>7052051.9299999997</v>
          </cell>
          <cell r="G540">
            <v>6014.4459999999999</v>
          </cell>
          <cell r="H540">
            <v>1172.52</v>
          </cell>
          <cell r="I540">
            <v>0</v>
          </cell>
          <cell r="J540">
            <v>1172.52</v>
          </cell>
          <cell r="K540">
            <v>-0.69</v>
          </cell>
          <cell r="P540">
            <v>0</v>
          </cell>
        </row>
        <row r="541">
          <cell r="A541" t="str">
            <v>LU0755949095</v>
          </cell>
          <cell r="B541" t="str">
            <v>AMUNDI FUNDS EMERGING MARKETS CORPORATE BOND</v>
          </cell>
          <cell r="C541" t="str">
            <v>Class G USD (C)</v>
          </cell>
          <cell r="D541" t="str">
            <v>USD</v>
          </cell>
          <cell r="E541" t="str">
            <v>01-Dec-2025</v>
          </cell>
          <cell r="F541">
            <v>935253.56</v>
          </cell>
          <cell r="G541">
            <v>7167.7139999999999</v>
          </cell>
          <cell r="H541">
            <v>130.47999999999999</v>
          </cell>
          <cell r="I541">
            <v>0</v>
          </cell>
          <cell r="J541">
            <v>134.38999999999999</v>
          </cell>
          <cell r="K541">
            <v>-0.09</v>
          </cell>
          <cell r="P541">
            <v>0</v>
          </cell>
        </row>
        <row r="542">
          <cell r="A542" t="str">
            <v>LU0755949178</v>
          </cell>
          <cell r="B542" t="str">
            <v>AMUNDI FUNDS EMERGING MARKETS CORPORATE BOND</v>
          </cell>
          <cell r="C542" t="str">
            <v>Class G EUR Hgd (C)</v>
          </cell>
          <cell r="D542" t="str">
            <v>EUR</v>
          </cell>
          <cell r="E542" t="str">
            <v>01-Dec-2025</v>
          </cell>
          <cell r="F542">
            <v>2689422.38</v>
          </cell>
          <cell r="G542">
            <v>24770.935000000001</v>
          </cell>
          <cell r="H542">
            <v>108.57</v>
          </cell>
          <cell r="I542">
            <v>0</v>
          </cell>
          <cell r="J542">
            <v>111.83</v>
          </cell>
          <cell r="K542">
            <v>-0.08</v>
          </cell>
          <cell r="P542">
            <v>0</v>
          </cell>
        </row>
        <row r="543">
          <cell r="A543" t="str">
            <v>LU1998917824</v>
          </cell>
          <cell r="B543" t="str">
            <v>AMUNDI FUNDS EMERGING MARKETS CORPORATE BOND</v>
          </cell>
          <cell r="C543" t="str">
            <v>Class H USD (C)</v>
          </cell>
          <cell r="D543" t="str">
            <v>USD</v>
          </cell>
          <cell r="E543" t="str">
            <v>01-Dec-2025</v>
          </cell>
          <cell r="F543">
            <v>7242163.8799999999</v>
          </cell>
          <cell r="G543">
            <v>6104.0320000000002</v>
          </cell>
          <cell r="H543">
            <v>1186.46</v>
          </cell>
          <cell r="I543">
            <v>0</v>
          </cell>
          <cell r="J543">
            <v>1186.46</v>
          </cell>
          <cell r="K543">
            <v>-0.67</v>
          </cell>
          <cell r="P543">
            <v>0</v>
          </cell>
        </row>
        <row r="544">
          <cell r="A544" t="str">
            <v>LU2052289936</v>
          </cell>
          <cell r="B544" t="str">
            <v>AMUNDI FUNDS EMERGING MARKETS CORPORATE BOND</v>
          </cell>
          <cell r="C544" t="str">
            <v>Class Z USD QD (D)</v>
          </cell>
          <cell r="D544" t="str">
            <v>USD</v>
          </cell>
          <cell r="E544" t="str">
            <v>01-Dec-2025</v>
          </cell>
          <cell r="F544">
            <v>1048165.28</v>
          </cell>
          <cell r="G544">
            <v>1256.7670000000001</v>
          </cell>
          <cell r="H544">
            <v>834.02</v>
          </cell>
          <cell r="I544">
            <v>0</v>
          </cell>
          <cell r="J544">
            <v>834.02</v>
          </cell>
          <cell r="K544">
            <v>-0.48</v>
          </cell>
          <cell r="P544">
            <v>0</v>
          </cell>
        </row>
        <row r="545">
          <cell r="A545" t="str">
            <v>LU2036672488</v>
          </cell>
          <cell r="B545" t="str">
            <v>AMUNDI FUNDS EMERGING MARKETS CORPORATE BOND</v>
          </cell>
          <cell r="C545" t="str">
            <v>Class Z USD (C)</v>
          </cell>
          <cell r="D545" t="str">
            <v>USD</v>
          </cell>
          <cell r="E545" t="str">
            <v>01-Dec-2025</v>
          </cell>
          <cell r="F545">
            <v>147283891.13</v>
          </cell>
          <cell r="G545">
            <v>125310.323</v>
          </cell>
          <cell r="H545">
            <v>1175.3499999999999</v>
          </cell>
          <cell r="I545">
            <v>0</v>
          </cell>
          <cell r="J545">
            <v>1175.3499999999999</v>
          </cell>
          <cell r="K545">
            <v>-0.68</v>
          </cell>
          <cell r="P545">
            <v>0</v>
          </cell>
        </row>
        <row r="546">
          <cell r="A546" t="str">
            <v>LU2052290199</v>
          </cell>
          <cell r="B546" t="str">
            <v>AMUNDI FUNDS EMERGING MARKETS CORPORATE BOND</v>
          </cell>
          <cell r="C546" t="str">
            <v>Class Z EUR QD (D)</v>
          </cell>
          <cell r="D546" t="str">
            <v>EUR</v>
          </cell>
          <cell r="E546" t="str">
            <v>01-Dec-2025</v>
          </cell>
          <cell r="F546">
            <v>5305917.82</v>
          </cell>
          <cell r="G546">
            <v>6665.6540000000005</v>
          </cell>
          <cell r="H546">
            <v>796.01</v>
          </cell>
          <cell r="I546">
            <v>0</v>
          </cell>
          <cell r="J546">
            <v>796.01</v>
          </cell>
          <cell r="K546">
            <v>-2.14</v>
          </cell>
          <cell r="P546">
            <v>0</v>
          </cell>
        </row>
        <row r="547">
          <cell r="A547" t="str">
            <v>LU0985951127</v>
          </cell>
          <cell r="B547" t="str">
            <v>AMUNDI FUNDS GLOBAL EQUITY CONSERVATIVE</v>
          </cell>
          <cell r="C547" t="str">
            <v>Class A EUR (C)</v>
          </cell>
          <cell r="D547" t="str">
            <v>EUR</v>
          </cell>
          <cell r="E547" t="str">
            <v>01-Dec-2025</v>
          </cell>
          <cell r="F547">
            <v>142587768.31</v>
          </cell>
          <cell r="G547">
            <v>608225.33400000003</v>
          </cell>
          <cell r="H547">
            <v>234.43</v>
          </cell>
          <cell r="I547">
            <v>0</v>
          </cell>
          <cell r="J547">
            <v>244.98</v>
          </cell>
          <cell r="K547">
            <v>-1.95</v>
          </cell>
          <cell r="P547">
            <v>0</v>
          </cell>
        </row>
        <row r="548">
          <cell r="A548" t="str">
            <v>LU0801842559</v>
          </cell>
          <cell r="B548" t="str">
            <v>AMUNDI FUNDS GLOBAL EQUITY CONSERVATIVE</v>
          </cell>
          <cell r="C548" t="str">
            <v>Class A USD (C)</v>
          </cell>
          <cell r="D548" t="str">
            <v>USD</v>
          </cell>
          <cell r="E548" t="str">
            <v>01-Dec-2025</v>
          </cell>
          <cell r="F548">
            <v>26085206.48</v>
          </cell>
          <cell r="G548">
            <v>104063.538</v>
          </cell>
          <cell r="H548">
            <v>250.67</v>
          </cell>
          <cell r="I548">
            <v>0</v>
          </cell>
          <cell r="J548">
            <v>261.95</v>
          </cell>
          <cell r="K548">
            <v>-1.55</v>
          </cell>
          <cell r="P548">
            <v>0</v>
          </cell>
        </row>
        <row r="549">
          <cell r="A549" t="str">
            <v>LU0987200739</v>
          </cell>
          <cell r="B549" t="str">
            <v>AMUNDI FUNDS GLOBAL EQUITY CONSERVATIVE</v>
          </cell>
          <cell r="C549" t="str">
            <v>Class A EUR Hgd (C)</v>
          </cell>
          <cell r="D549" t="str">
            <v>EUR</v>
          </cell>
          <cell r="E549" t="str">
            <v>01-Dec-2025</v>
          </cell>
          <cell r="F549">
            <v>3804400.13</v>
          </cell>
          <cell r="G549">
            <v>26878.207999999999</v>
          </cell>
          <cell r="H549">
            <v>141.54</v>
          </cell>
          <cell r="I549">
            <v>0</v>
          </cell>
          <cell r="J549">
            <v>147.91</v>
          </cell>
          <cell r="K549">
            <v>-0.88</v>
          </cell>
          <cell r="P549">
            <v>0</v>
          </cell>
        </row>
        <row r="550">
          <cell r="A550" t="str">
            <v>LU0985951473</v>
          </cell>
          <cell r="B550" t="str">
            <v>AMUNDI FUNDS GLOBAL EQUITY CONSERVATIVE</v>
          </cell>
          <cell r="C550" t="str">
            <v>Class A EUR AD (D)</v>
          </cell>
          <cell r="D550" t="str">
            <v>EUR</v>
          </cell>
          <cell r="E550" t="str">
            <v>01-Dec-2025</v>
          </cell>
          <cell r="F550">
            <v>35749103.880000003</v>
          </cell>
          <cell r="G550">
            <v>204529.27100000001</v>
          </cell>
          <cell r="H550">
            <v>174.79</v>
          </cell>
          <cell r="I550">
            <v>0</v>
          </cell>
          <cell r="J550">
            <v>182.66</v>
          </cell>
          <cell r="K550">
            <v>-1.45</v>
          </cell>
          <cell r="P550">
            <v>0</v>
          </cell>
        </row>
        <row r="551">
          <cell r="A551" t="str">
            <v>LU0801842716</v>
          </cell>
          <cell r="B551" t="str">
            <v>AMUNDI FUNDS GLOBAL EQUITY CONSERVATIVE</v>
          </cell>
          <cell r="C551" t="str">
            <v>Class A USD AD (D)</v>
          </cell>
          <cell r="D551" t="str">
            <v>USD</v>
          </cell>
          <cell r="E551" t="str">
            <v>01-Dec-2025</v>
          </cell>
          <cell r="F551">
            <v>1810979.8400000001</v>
          </cell>
          <cell r="G551">
            <v>8530.2440000000006</v>
          </cell>
          <cell r="H551">
            <v>212.3</v>
          </cell>
          <cell r="I551">
            <v>0</v>
          </cell>
          <cell r="J551">
            <v>221.85</v>
          </cell>
          <cell r="K551">
            <v>-1.31</v>
          </cell>
          <cell r="P551">
            <v>0</v>
          </cell>
        </row>
        <row r="552">
          <cell r="A552" t="str">
            <v>LU1534099194</v>
          </cell>
          <cell r="B552" t="str">
            <v>AMUNDI FUNDS GLOBAL EQUITY CONSERVATIVE</v>
          </cell>
          <cell r="C552" t="str">
            <v>Class A2 USD (C)</v>
          </cell>
          <cell r="D552" t="str">
            <v>USD</v>
          </cell>
          <cell r="E552" t="str">
            <v>01-Dec-2025</v>
          </cell>
          <cell r="F552">
            <v>38841650.060000002</v>
          </cell>
          <cell r="G552">
            <v>259777.14499999999</v>
          </cell>
          <cell r="H552">
            <v>149.52000000000001</v>
          </cell>
          <cell r="I552">
            <v>0</v>
          </cell>
          <cell r="J552">
            <v>149.52000000000001</v>
          </cell>
          <cell r="K552">
            <v>-0.93</v>
          </cell>
          <cell r="P552">
            <v>0</v>
          </cell>
        </row>
        <row r="553">
          <cell r="A553" t="str">
            <v>LU0801842989</v>
          </cell>
          <cell r="B553" t="str">
            <v>AMUNDI FUNDS GLOBAL EQUITY CONSERVATIVE</v>
          </cell>
          <cell r="C553" t="str">
            <v>Class F2 USD (C)</v>
          </cell>
          <cell r="D553" t="str">
            <v>USD</v>
          </cell>
          <cell r="E553" t="str">
            <v>01-Dec-2025</v>
          </cell>
          <cell r="F553">
            <v>292662.59000000003</v>
          </cell>
          <cell r="G553">
            <v>1574.8019999999999</v>
          </cell>
          <cell r="H553">
            <v>185.84</v>
          </cell>
          <cell r="I553">
            <v>0</v>
          </cell>
          <cell r="J553">
            <v>185.84</v>
          </cell>
          <cell r="K553">
            <v>-1.17</v>
          </cell>
          <cell r="P553">
            <v>0</v>
          </cell>
        </row>
        <row r="554">
          <cell r="A554" t="str">
            <v>LU0801841585</v>
          </cell>
          <cell r="B554" t="str">
            <v>AMUNDI FUNDS GLOBAL EQUITY CONSERVATIVE</v>
          </cell>
          <cell r="C554" t="str">
            <v>Class I EUR (C)</v>
          </cell>
          <cell r="D554" t="str">
            <v>EUR</v>
          </cell>
          <cell r="E554" t="str">
            <v>01-Dec-2025</v>
          </cell>
          <cell r="F554">
            <v>690372.91</v>
          </cell>
          <cell r="G554">
            <v>231.292</v>
          </cell>
          <cell r="H554">
            <v>2984.85</v>
          </cell>
          <cell r="I554">
            <v>0</v>
          </cell>
          <cell r="J554">
            <v>2984.85</v>
          </cell>
          <cell r="K554">
            <v>-24.57</v>
          </cell>
          <cell r="P554">
            <v>0</v>
          </cell>
        </row>
        <row r="555">
          <cell r="A555" t="str">
            <v>LU0801841312</v>
          </cell>
          <cell r="B555" t="str">
            <v>AMUNDI FUNDS GLOBAL EQUITY CONSERVATIVE</v>
          </cell>
          <cell r="C555" t="str">
            <v>Class I USD (C)</v>
          </cell>
          <cell r="D555" t="str">
            <v>USD</v>
          </cell>
          <cell r="E555" t="str">
            <v>01-Dec-2025</v>
          </cell>
          <cell r="F555">
            <v>2254.8200000000002</v>
          </cell>
          <cell r="G555">
            <v>1</v>
          </cell>
          <cell r="H555">
            <v>2254.8200000000002</v>
          </cell>
          <cell r="I555">
            <v>0</v>
          </cell>
          <cell r="J555">
            <v>2254.8200000000002</v>
          </cell>
          <cell r="K555">
            <v>-13.76</v>
          </cell>
          <cell r="P555">
            <v>0</v>
          </cell>
        </row>
        <row r="556">
          <cell r="A556" t="str">
            <v>LU1650130260</v>
          </cell>
          <cell r="B556" t="str">
            <v>AMUNDI FUNDS GLOBAL EQUITY CONSERVATIVE</v>
          </cell>
          <cell r="C556" t="str">
            <v>Class Q-I13 USD (C)</v>
          </cell>
          <cell r="D556" t="str">
            <v>USD</v>
          </cell>
          <cell r="E556" t="str">
            <v>01-Dec-2025</v>
          </cell>
          <cell r="F556">
            <v>3496456.47</v>
          </cell>
          <cell r="G556">
            <v>1960.3789999999999</v>
          </cell>
          <cell r="H556">
            <v>1783.56</v>
          </cell>
          <cell r="I556">
            <v>0</v>
          </cell>
          <cell r="J556">
            <v>1783.56</v>
          </cell>
          <cell r="K556">
            <v>-10.85</v>
          </cell>
          <cell r="P556">
            <v>0</v>
          </cell>
        </row>
        <row r="557">
          <cell r="A557" t="str">
            <v>LU2931223775</v>
          </cell>
          <cell r="B557" t="str">
            <v>AMUNDI FUNDS GLOBAL EQUITY CONSERVATIVE</v>
          </cell>
          <cell r="C557" t="str">
            <v>Class R EUR (C)</v>
          </cell>
          <cell r="D557" t="str">
            <v>EUR</v>
          </cell>
          <cell r="E557" t="str">
            <v>01-Dec-2025</v>
          </cell>
          <cell r="F557">
            <v>4847.2700000000004</v>
          </cell>
          <cell r="G557">
            <v>100</v>
          </cell>
          <cell r="H557">
            <v>48.47</v>
          </cell>
          <cell r="I557">
            <v>0</v>
          </cell>
          <cell r="J557">
            <v>48.47</v>
          </cell>
          <cell r="K557">
            <v>-0.4</v>
          </cell>
          <cell r="P557">
            <v>0</v>
          </cell>
        </row>
        <row r="558">
          <cell r="A558" t="str">
            <v>LU1534099434</v>
          </cell>
          <cell r="B558" t="str">
            <v>AMUNDI FUNDS GLOBAL EQUITY CONSERVATIVE</v>
          </cell>
          <cell r="C558" t="str">
            <v>Class G EUR (C)</v>
          </cell>
          <cell r="D558" t="str">
            <v>EUR</v>
          </cell>
          <cell r="E558" t="str">
            <v>01-Dec-2025</v>
          </cell>
          <cell r="F558">
            <v>3108073.65</v>
          </cell>
          <cell r="G558">
            <v>19805.536</v>
          </cell>
          <cell r="H558">
            <v>156.93</v>
          </cell>
          <cell r="I558">
            <v>0</v>
          </cell>
          <cell r="J558">
            <v>156.93</v>
          </cell>
          <cell r="K558">
            <v>-1.31</v>
          </cell>
          <cell r="P558">
            <v>0</v>
          </cell>
        </row>
        <row r="559">
          <cell r="A559" t="str">
            <v>LU0801842807</v>
          </cell>
          <cell r="B559" t="str">
            <v>AMUNDI FUNDS GLOBAL EQUITY CONSERVATIVE</v>
          </cell>
          <cell r="C559" t="str">
            <v>Class G USD (C)</v>
          </cell>
          <cell r="D559" t="str">
            <v>USD</v>
          </cell>
          <cell r="E559" t="str">
            <v>01-Dec-2025</v>
          </cell>
          <cell r="F559">
            <v>3611053.81</v>
          </cell>
          <cell r="G559">
            <v>15219.043</v>
          </cell>
          <cell r="H559">
            <v>237.27</v>
          </cell>
          <cell r="I559">
            <v>0</v>
          </cell>
          <cell r="J559">
            <v>244.39</v>
          </cell>
          <cell r="K559">
            <v>-1.48</v>
          </cell>
          <cell r="P559">
            <v>0</v>
          </cell>
        </row>
        <row r="560">
          <cell r="A560" t="str">
            <v>LU1534098543</v>
          </cell>
          <cell r="B560" t="str">
            <v>AMUNDI FUNDS GLOBAL EQUITY CONSERVATIVE</v>
          </cell>
          <cell r="C560" t="str">
            <v>Class G EUR Hgd (C)</v>
          </cell>
          <cell r="D560" t="str">
            <v>EUR</v>
          </cell>
          <cell r="E560" t="str">
            <v>01-Dec-2025</v>
          </cell>
          <cell r="F560">
            <v>1922765.92</v>
          </cell>
          <cell r="G560">
            <v>14756.241</v>
          </cell>
          <cell r="H560">
            <v>130.30000000000001</v>
          </cell>
          <cell r="I560">
            <v>0</v>
          </cell>
          <cell r="J560">
            <v>130.30000000000001</v>
          </cell>
          <cell r="K560">
            <v>-0.82</v>
          </cell>
          <cell r="P560">
            <v>0</v>
          </cell>
        </row>
        <row r="561">
          <cell r="A561" t="str">
            <v>LU1743287739</v>
          </cell>
          <cell r="B561" t="str">
            <v>AMUNDI FUNDS GLOBAL EQUITY CONSERVATIVE</v>
          </cell>
          <cell r="C561" t="str">
            <v>Class Z EUR (C)</v>
          </cell>
          <cell r="D561" t="str">
            <v>EUR</v>
          </cell>
          <cell r="E561" t="str">
            <v>01-Dec-2025</v>
          </cell>
          <cell r="F561">
            <v>66885648.710000001</v>
          </cell>
          <cell r="G561">
            <v>38344.124000000003</v>
          </cell>
          <cell r="H561">
            <v>1744.35</v>
          </cell>
          <cell r="I561">
            <v>0</v>
          </cell>
          <cell r="J561">
            <v>1744.35</v>
          </cell>
          <cell r="K561">
            <v>-14.34</v>
          </cell>
          <cell r="P561">
            <v>0</v>
          </cell>
        </row>
        <row r="562">
          <cell r="A562" t="str">
            <v>LU1998919952</v>
          </cell>
          <cell r="B562" t="str">
            <v>AMUNDI FUNDS GLOBAL EQUITY CONSERVATIVE</v>
          </cell>
          <cell r="C562" t="str">
            <v>Class H USD  ( C )</v>
          </cell>
          <cell r="D562" t="str">
            <v>USD</v>
          </cell>
          <cell r="E562" t="str">
            <v>01-Dec-2025</v>
          </cell>
          <cell r="F562">
            <v>7906.07</v>
          </cell>
          <cell r="G562">
            <v>5</v>
          </cell>
          <cell r="H562">
            <v>1581.21</v>
          </cell>
          <cell r="I562">
            <v>0</v>
          </cell>
          <cell r="J562">
            <v>1581.21</v>
          </cell>
          <cell r="K562">
            <v>-9.6300000000000008</v>
          </cell>
          <cell r="P562">
            <v>0</v>
          </cell>
        </row>
        <row r="563">
          <cell r="A563" t="str">
            <v>LU0907331507</v>
          </cell>
          <cell r="B563" t="str">
            <v>AMUNDI FUNDS EURO HIGH YIELD SHORT TERM BOND</v>
          </cell>
          <cell r="C563" t="str">
            <v>Class A EUR (C)</v>
          </cell>
          <cell r="D563" t="str">
            <v>EUR</v>
          </cell>
          <cell r="E563" t="str">
            <v>01-Dec-2025</v>
          </cell>
          <cell r="F563">
            <v>4292682.34</v>
          </cell>
          <cell r="G563">
            <v>35360.319000000003</v>
          </cell>
          <cell r="H563">
            <v>121.4</v>
          </cell>
          <cell r="I563">
            <v>0</v>
          </cell>
          <cell r="J563">
            <v>125.04</v>
          </cell>
          <cell r="K563">
            <v>0.02</v>
          </cell>
          <cell r="P563">
            <v>0</v>
          </cell>
        </row>
        <row r="564">
          <cell r="A564" t="str">
            <v>LU1049751941</v>
          </cell>
          <cell r="B564" t="str">
            <v>AMUNDI FUNDS EURO HIGH YIELD SHORT TERM BOND</v>
          </cell>
          <cell r="C564" t="str">
            <v>Class A CZK Hgd (C)</v>
          </cell>
          <cell r="D564" t="str">
            <v>CZK</v>
          </cell>
          <cell r="E564" t="str">
            <v>01-Dec-2025</v>
          </cell>
          <cell r="F564">
            <v>88350356.920000002</v>
          </cell>
          <cell r="G564">
            <v>27276.276999999998</v>
          </cell>
          <cell r="H564">
            <v>3239.09</v>
          </cell>
          <cell r="I564">
            <v>0</v>
          </cell>
          <cell r="J564">
            <v>3239.09</v>
          </cell>
          <cell r="K564">
            <v>0.52</v>
          </cell>
          <cell r="P564">
            <v>0</v>
          </cell>
        </row>
        <row r="565">
          <cell r="A565" t="str">
            <v>LU2002721293</v>
          </cell>
          <cell r="B565" t="str">
            <v>AMUNDI FUNDS EURO HIGH YIELD SHORT TERM BOND</v>
          </cell>
          <cell r="C565" t="str">
            <v>Class M2 EUR ( C )</v>
          </cell>
          <cell r="D565" t="str">
            <v>EUR</v>
          </cell>
          <cell r="E565" t="str">
            <v>01-Dec-2025</v>
          </cell>
          <cell r="F565">
            <v>2169873.87</v>
          </cell>
          <cell r="G565">
            <v>1834.992</v>
          </cell>
          <cell r="H565">
            <v>1182.5</v>
          </cell>
          <cell r="I565">
            <v>0</v>
          </cell>
          <cell r="J565">
            <v>1182.5</v>
          </cell>
          <cell r="K565">
            <v>0.24</v>
          </cell>
          <cell r="P565">
            <v>0</v>
          </cell>
        </row>
        <row r="566">
          <cell r="A566" t="str">
            <v>LU0907331689</v>
          </cell>
          <cell r="B566" t="str">
            <v>AMUNDI FUNDS EURO HIGH YIELD SHORT TERM BOND</v>
          </cell>
          <cell r="C566" t="str">
            <v>Class A EUR AD (D)</v>
          </cell>
          <cell r="D566" t="str">
            <v>EUR</v>
          </cell>
          <cell r="E566" t="str">
            <v>01-Dec-2025</v>
          </cell>
          <cell r="F566">
            <v>217790.51</v>
          </cell>
          <cell r="G566">
            <v>2543.1990000000001</v>
          </cell>
          <cell r="H566">
            <v>85.64</v>
          </cell>
          <cell r="I566">
            <v>0</v>
          </cell>
          <cell r="J566">
            <v>88.21</v>
          </cell>
          <cell r="K566">
            <v>0.02</v>
          </cell>
          <cell r="P566">
            <v>0</v>
          </cell>
        </row>
        <row r="567">
          <cell r="A567" t="str">
            <v>LU0945157427</v>
          </cell>
          <cell r="B567" t="str">
            <v>AMUNDI FUNDS EURO HIGH YIELD SHORT TERM BOND</v>
          </cell>
          <cell r="C567" t="str">
            <v>Class F2 EUR MD (D)</v>
          </cell>
          <cell r="D567" t="str">
            <v>EUR</v>
          </cell>
          <cell r="E567" t="str">
            <v>01-Dec-2025</v>
          </cell>
          <cell r="F567">
            <v>694470.86</v>
          </cell>
          <cell r="G567">
            <v>8424.16</v>
          </cell>
          <cell r="H567">
            <v>82.44</v>
          </cell>
          <cell r="I567">
            <v>0.27929999999999999</v>
          </cell>
          <cell r="J567">
            <v>82.44</v>
          </cell>
          <cell r="K567">
            <v>-0.27</v>
          </cell>
          <cell r="P567">
            <v>0</v>
          </cell>
        </row>
        <row r="568">
          <cell r="A568" t="str">
            <v>LU0907331929</v>
          </cell>
          <cell r="B568" t="str">
            <v>AMUNDI FUNDS EURO HIGH YIELD SHORT TERM BOND</v>
          </cell>
          <cell r="C568" t="str">
            <v>Class F2 EUR (C)</v>
          </cell>
          <cell r="D568" t="str">
            <v>EUR</v>
          </cell>
          <cell r="E568" t="str">
            <v>01-Dec-2025</v>
          </cell>
          <cell r="F568">
            <v>2758186.25</v>
          </cell>
          <cell r="G568">
            <v>24447.105</v>
          </cell>
          <cell r="H568">
            <v>112.82</v>
          </cell>
          <cell r="I568">
            <v>0</v>
          </cell>
          <cell r="J568">
            <v>112.82</v>
          </cell>
          <cell r="K568">
            <v>0.01</v>
          </cell>
          <cell r="P568">
            <v>0</v>
          </cell>
        </row>
        <row r="569">
          <cell r="A569" t="str">
            <v>LU2018720065</v>
          </cell>
          <cell r="B569" t="str">
            <v>AMUNDI FUNDS EURO HIGH YIELD SHORT TERM BOND</v>
          </cell>
          <cell r="C569" t="str">
            <v>Class F EUR (C)</v>
          </cell>
          <cell r="D569" t="str">
            <v>EUR</v>
          </cell>
          <cell r="E569" t="str">
            <v>01-Dec-2025</v>
          </cell>
          <cell r="F569">
            <v>392891.11</v>
          </cell>
          <cell r="G569">
            <v>72151.578999999998</v>
          </cell>
          <cell r="H569">
            <v>5.4450000000000003</v>
          </cell>
          <cell r="I569">
            <v>0</v>
          </cell>
          <cell r="J569">
            <v>5.4450000000000003</v>
          </cell>
          <cell r="K569">
            <v>0</v>
          </cell>
          <cell r="P569">
            <v>0</v>
          </cell>
        </row>
        <row r="570">
          <cell r="A570" t="str">
            <v>LU2018720222</v>
          </cell>
          <cell r="B570" t="str">
            <v>AMUNDI FUNDS EURO HIGH YIELD SHORT TERM BOND</v>
          </cell>
          <cell r="C570" t="str">
            <v>Class F EUR MTD (D)</v>
          </cell>
          <cell r="D570" t="str">
            <v>EUR</v>
          </cell>
          <cell r="E570" t="str">
            <v>01-Dec-2025</v>
          </cell>
          <cell r="F570">
            <v>10618.9</v>
          </cell>
          <cell r="G570">
            <v>2343.2919999999999</v>
          </cell>
          <cell r="H570">
            <v>4.532</v>
          </cell>
          <cell r="I570">
            <v>1.5299999999999999E-2</v>
          </cell>
          <cell r="J570">
            <v>4.532</v>
          </cell>
          <cell r="K570">
            <v>-1.4E-2</v>
          </cell>
          <cell r="P570">
            <v>0</v>
          </cell>
        </row>
        <row r="571">
          <cell r="A571" t="str">
            <v>LU0907330798</v>
          </cell>
          <cell r="B571" t="str">
            <v>AMUNDI FUNDS EURO HIGH YIELD SHORT TERM BOND</v>
          </cell>
          <cell r="C571" t="str">
            <v>Class I EUR (C)</v>
          </cell>
          <cell r="D571" t="str">
            <v>EUR</v>
          </cell>
          <cell r="E571" t="str">
            <v>01-Dec-2025</v>
          </cell>
          <cell r="F571">
            <v>18324425.140000001</v>
          </cell>
          <cell r="G571">
            <v>13419.057000000001</v>
          </cell>
          <cell r="H571">
            <v>1365.55</v>
          </cell>
          <cell r="I571">
            <v>0</v>
          </cell>
          <cell r="J571">
            <v>1365.55</v>
          </cell>
          <cell r="K571">
            <v>0.28000000000000003</v>
          </cell>
          <cell r="P571">
            <v>0</v>
          </cell>
        </row>
        <row r="572">
          <cell r="A572" t="str">
            <v>LU0907330871</v>
          </cell>
          <cell r="B572" t="str">
            <v>AMUNDI FUNDS EURO HIGH YIELD SHORT TERM BOND</v>
          </cell>
          <cell r="C572" t="str">
            <v>Class I EUR AD (D)</v>
          </cell>
          <cell r="D572" t="str">
            <v>EUR</v>
          </cell>
          <cell r="E572" t="str">
            <v>01-Dec-2025</v>
          </cell>
          <cell r="F572">
            <v>14534461.42</v>
          </cell>
          <cell r="G572">
            <v>17044</v>
          </cell>
          <cell r="H572">
            <v>852.76</v>
          </cell>
          <cell r="I572">
            <v>0</v>
          </cell>
          <cell r="J572">
            <v>852.76</v>
          </cell>
          <cell r="K572">
            <v>0.18</v>
          </cell>
          <cell r="P572">
            <v>0</v>
          </cell>
        </row>
        <row r="573">
          <cell r="A573" t="str">
            <v>LU2414849989</v>
          </cell>
          <cell r="B573" t="str">
            <v>AMUNDI FUNDS EURO HIGH YIELD SHORT TERM BOND</v>
          </cell>
          <cell r="C573" t="str">
            <v>Class J2 EUR (C)</v>
          </cell>
          <cell r="D573" t="str">
            <v>EUR</v>
          </cell>
          <cell r="E573" t="str">
            <v>01-Dec-2025</v>
          </cell>
          <cell r="F573">
            <v>26506032.039999999</v>
          </cell>
          <cell r="G573">
            <v>21173</v>
          </cell>
          <cell r="H573">
            <v>1251.8800000000001</v>
          </cell>
          <cell r="I573">
            <v>0</v>
          </cell>
          <cell r="J573">
            <v>1251.8800000000001</v>
          </cell>
          <cell r="K573">
            <v>0.27</v>
          </cell>
          <cell r="P573">
            <v>0</v>
          </cell>
        </row>
        <row r="574">
          <cell r="A574" t="str">
            <v>LU0907331176</v>
          </cell>
          <cell r="B574" t="str">
            <v>AMUNDI FUNDS EURO HIGH YIELD SHORT TERM BOND</v>
          </cell>
          <cell r="C574" t="str">
            <v>Class M EUR (C)</v>
          </cell>
          <cell r="D574" t="str">
            <v>EUR</v>
          </cell>
          <cell r="E574" t="str">
            <v>01-Dec-2025</v>
          </cell>
          <cell r="F574">
            <v>10827200.289999999</v>
          </cell>
          <cell r="G574">
            <v>80650.786999999997</v>
          </cell>
          <cell r="H574">
            <v>134.25</v>
          </cell>
          <cell r="I574">
            <v>0</v>
          </cell>
          <cell r="J574">
            <v>134.25</v>
          </cell>
          <cell r="K574">
            <v>0.03</v>
          </cell>
          <cell r="P574">
            <v>0</v>
          </cell>
        </row>
        <row r="575">
          <cell r="A575" t="str">
            <v>LU0907331259</v>
          </cell>
          <cell r="B575" t="str">
            <v>AMUNDI FUNDS EURO HIGH YIELD SHORT TERM BOND</v>
          </cell>
          <cell r="C575" t="str">
            <v>Class O EUR (C)</v>
          </cell>
          <cell r="D575" t="str">
            <v>EUR</v>
          </cell>
          <cell r="E575" t="str">
            <v>01-Dec-2025</v>
          </cell>
          <cell r="F575">
            <v>62091723.270000003</v>
          </cell>
          <cell r="G575">
            <v>43905.275999999998</v>
          </cell>
          <cell r="H575">
            <v>1414.22</v>
          </cell>
          <cell r="I575">
            <v>0</v>
          </cell>
          <cell r="J575">
            <v>1414.22</v>
          </cell>
          <cell r="K575">
            <v>0.35</v>
          </cell>
          <cell r="P575">
            <v>0</v>
          </cell>
        </row>
        <row r="576">
          <cell r="A576" t="str">
            <v>LU0987189072</v>
          </cell>
          <cell r="B576" t="str">
            <v>AMUNDI FUNDS EURO HIGH YIELD SHORT TERM BOND</v>
          </cell>
          <cell r="C576" t="str">
            <v>Class R EUR (C)</v>
          </cell>
          <cell r="D576" t="str">
            <v>EUR</v>
          </cell>
          <cell r="E576" t="str">
            <v>01-Dec-2025</v>
          </cell>
          <cell r="F576">
            <v>10932.97</v>
          </cell>
          <cell r="G576">
            <v>190</v>
          </cell>
          <cell r="H576">
            <v>57.54</v>
          </cell>
          <cell r="I576">
            <v>0</v>
          </cell>
          <cell r="J576">
            <v>57.54</v>
          </cell>
          <cell r="K576">
            <v>0.01</v>
          </cell>
          <cell r="P576">
            <v>0</v>
          </cell>
        </row>
        <row r="577">
          <cell r="A577" t="str">
            <v>LU0907331846</v>
          </cell>
          <cell r="B577" t="str">
            <v>AMUNDI FUNDS EURO HIGH YIELD SHORT TERM BOND</v>
          </cell>
          <cell r="C577" t="str">
            <v>Class G EUR (C)</v>
          </cell>
          <cell r="D577" t="str">
            <v>EUR</v>
          </cell>
          <cell r="E577" t="str">
            <v>01-Dec-2025</v>
          </cell>
          <cell r="F577">
            <v>30516512.870000001</v>
          </cell>
          <cell r="G577">
            <v>254248.27299999999</v>
          </cell>
          <cell r="H577">
            <v>120.03</v>
          </cell>
          <cell r="I577">
            <v>0</v>
          </cell>
          <cell r="J577">
            <v>123.63</v>
          </cell>
          <cell r="K577">
            <v>0.02</v>
          </cell>
          <cell r="P577">
            <v>0</v>
          </cell>
        </row>
        <row r="578">
          <cell r="A578" t="str">
            <v>LU0945157344</v>
          </cell>
          <cell r="B578" t="str">
            <v>AMUNDI FUNDS EURO HIGH YIELD SHORT TERM BOND</v>
          </cell>
          <cell r="C578" t="str">
            <v>Class G EUR MD (D)</v>
          </cell>
          <cell r="D578" t="str">
            <v>EUR</v>
          </cell>
          <cell r="E578" t="str">
            <v>01-Dec-2025</v>
          </cell>
          <cell r="F578">
            <v>7018671.9400000004</v>
          </cell>
          <cell r="G578">
            <v>81726.94</v>
          </cell>
          <cell r="H578">
            <v>85.88</v>
          </cell>
          <cell r="I578">
            <v>0.28970000000000001</v>
          </cell>
          <cell r="J578">
            <v>85.88</v>
          </cell>
          <cell r="K578">
            <v>-0.28000000000000003</v>
          </cell>
          <cell r="P578">
            <v>0</v>
          </cell>
        </row>
        <row r="579">
          <cell r="A579" t="str">
            <v>LU2036674187</v>
          </cell>
          <cell r="B579" t="str">
            <v>AMUNDI FUNDS EURO HIGH YIELD SHORT TERM BOND</v>
          </cell>
          <cell r="C579" t="str">
            <v>Class X EUR (C)</v>
          </cell>
          <cell r="D579" t="str">
            <v>EUR</v>
          </cell>
          <cell r="E579" t="str">
            <v>01-Dec-2025</v>
          </cell>
          <cell r="F579">
            <v>51724364.710000001</v>
          </cell>
          <cell r="G579">
            <v>42450.008999999998</v>
          </cell>
          <cell r="H579">
            <v>1218.48</v>
          </cell>
          <cell r="I579">
            <v>0</v>
          </cell>
          <cell r="J579">
            <v>1218.48</v>
          </cell>
          <cell r="K579">
            <v>0.3</v>
          </cell>
          <cell r="P579">
            <v>0</v>
          </cell>
        </row>
        <row r="580">
          <cell r="A580" t="str">
            <v>LU0907913460</v>
          </cell>
          <cell r="B580" t="str">
            <v>AMUNDI FUNDS EMERGING MARKETS HARD CURRENCY BOND</v>
          </cell>
          <cell r="C580" t="str">
            <v>Class A EUR (C)</v>
          </cell>
          <cell r="D580" t="str">
            <v>EUR</v>
          </cell>
          <cell r="E580" t="str">
            <v>01-Dec-2025</v>
          </cell>
          <cell r="F580">
            <v>12801281.99</v>
          </cell>
          <cell r="G580">
            <v>17157.550999999999</v>
          </cell>
          <cell r="H580">
            <v>746.1</v>
          </cell>
          <cell r="I580">
            <v>0</v>
          </cell>
          <cell r="J580">
            <v>775.94</v>
          </cell>
          <cell r="K580">
            <v>-0.77</v>
          </cell>
          <cell r="P580">
            <v>0</v>
          </cell>
        </row>
        <row r="581">
          <cell r="A581" t="str">
            <v>LU1534104291</v>
          </cell>
          <cell r="B581" t="str">
            <v>AMUNDI FUNDS EMERGING MARKETS HARD CURRENCY BOND</v>
          </cell>
          <cell r="C581" t="str">
            <v>Class A2 SGD Hgd MD (D)</v>
          </cell>
          <cell r="D581" t="str">
            <v>SGD</v>
          </cell>
          <cell r="E581" t="str">
            <v>01-Dec-2025</v>
          </cell>
          <cell r="F581">
            <v>2904.44</v>
          </cell>
          <cell r="G581">
            <v>38.238</v>
          </cell>
          <cell r="H581">
            <v>75.959999999999994</v>
          </cell>
          <cell r="I581">
            <v>0.3019</v>
          </cell>
          <cell r="J581">
            <v>75.959999999999994</v>
          </cell>
          <cell r="K581">
            <v>-0.38</v>
          </cell>
          <cell r="P581">
            <v>0</v>
          </cell>
        </row>
        <row r="582">
          <cell r="A582" t="str">
            <v>LU1534103723</v>
          </cell>
          <cell r="B582" t="str">
            <v>AMUNDI FUNDS EMERGING MARKETS HARD CURRENCY BOND</v>
          </cell>
          <cell r="C582" t="str">
            <v>Class A2 SGD Hgd (C)</v>
          </cell>
          <cell r="D582" t="str">
            <v>SGD</v>
          </cell>
          <cell r="E582" t="str">
            <v>01-Dec-2025</v>
          </cell>
          <cell r="F582">
            <v>4606093.0199999996</v>
          </cell>
          <cell r="G582">
            <v>39153.008000000002</v>
          </cell>
          <cell r="H582">
            <v>117.64</v>
          </cell>
          <cell r="I582">
            <v>0</v>
          </cell>
          <cell r="J582">
            <v>117.64</v>
          </cell>
          <cell r="K582">
            <v>-0.13</v>
          </cell>
          <cell r="P582">
            <v>0</v>
          </cell>
        </row>
        <row r="583">
          <cell r="A583" t="str">
            <v>LU1534102592</v>
          </cell>
          <cell r="B583" t="str">
            <v>AMUNDI FUNDS EMERGING MARKETS HARD CURRENCY BOND</v>
          </cell>
          <cell r="C583" t="str">
            <v>Class A2 USD Hgd MD (D)</v>
          </cell>
          <cell r="D583" t="str">
            <v>USD</v>
          </cell>
          <cell r="E583" t="str">
            <v>01-Dec-2025</v>
          </cell>
          <cell r="F583">
            <v>11262.07</v>
          </cell>
          <cell r="G583">
            <v>136.96799999999999</v>
          </cell>
          <cell r="H583">
            <v>82.22</v>
          </cell>
          <cell r="I583">
            <v>0.32</v>
          </cell>
          <cell r="J583">
            <v>82.22</v>
          </cell>
          <cell r="K583">
            <v>-0.41</v>
          </cell>
          <cell r="P583">
            <v>0</v>
          </cell>
        </row>
        <row r="584">
          <cell r="A584" t="str">
            <v>LU0907913544</v>
          </cell>
          <cell r="B584" t="str">
            <v>AMUNDI FUNDS EMERGING MARKETS HARD CURRENCY BOND</v>
          </cell>
          <cell r="C584" t="str">
            <v>Class A EUR AD (D)</v>
          </cell>
          <cell r="D584" t="str">
            <v>EUR</v>
          </cell>
          <cell r="E584" t="str">
            <v>01-Dec-2025</v>
          </cell>
          <cell r="F584">
            <v>275140.73</v>
          </cell>
          <cell r="G584">
            <v>1330.2660000000001</v>
          </cell>
          <cell r="H584">
            <v>206.83</v>
          </cell>
          <cell r="I584">
            <v>0</v>
          </cell>
          <cell r="J584">
            <v>215.1</v>
          </cell>
          <cell r="K584">
            <v>-0.21</v>
          </cell>
          <cell r="P584">
            <v>0</v>
          </cell>
        </row>
        <row r="585">
          <cell r="A585" t="str">
            <v>LU2002720642</v>
          </cell>
          <cell r="B585" t="str">
            <v>AMUNDI FUNDS EMERGING MARKETS HARD CURRENCY BOND</v>
          </cell>
          <cell r="C585" t="str">
            <v>Class M2 EUR ( C )</v>
          </cell>
          <cell r="D585" t="str">
            <v>EUR</v>
          </cell>
          <cell r="E585" t="str">
            <v>01-Dec-2025</v>
          </cell>
          <cell r="F585">
            <v>2354571.7200000002</v>
          </cell>
          <cell r="G585">
            <v>2169.453</v>
          </cell>
          <cell r="H585">
            <v>1085.33</v>
          </cell>
          <cell r="I585">
            <v>0</v>
          </cell>
          <cell r="J585">
            <v>1085.33</v>
          </cell>
          <cell r="K585">
            <v>-1.06</v>
          </cell>
          <cell r="P585">
            <v>0</v>
          </cell>
        </row>
        <row r="586">
          <cell r="A586" t="str">
            <v>LU1534103137</v>
          </cell>
          <cell r="B586" t="str">
            <v>AMUNDI FUNDS EMERGING MARKETS HARD CURRENCY BOND</v>
          </cell>
          <cell r="C586" t="str">
            <v>Class A2 EUR MD (D)</v>
          </cell>
          <cell r="D586" t="str">
            <v>EUR</v>
          </cell>
          <cell r="E586" t="str">
            <v>01-Dec-2025</v>
          </cell>
          <cell r="F586">
            <v>78351.12</v>
          </cell>
          <cell r="G586">
            <v>995</v>
          </cell>
          <cell r="H586">
            <v>78.739999999999995</v>
          </cell>
          <cell r="I586">
            <v>0.31230000000000002</v>
          </cell>
          <cell r="J586">
            <v>78.739999999999995</v>
          </cell>
          <cell r="K586">
            <v>-0.4</v>
          </cell>
          <cell r="P586">
            <v>0</v>
          </cell>
        </row>
        <row r="587">
          <cell r="A587" t="str">
            <v>LU1534102832</v>
          </cell>
          <cell r="B587" t="str">
            <v>AMUNDI FUNDS EMERGING MARKETS HARD CURRENCY BOND</v>
          </cell>
          <cell r="C587" t="str">
            <v>Class A2 EUR (C)</v>
          </cell>
          <cell r="D587" t="str">
            <v>EUR</v>
          </cell>
          <cell r="E587" t="str">
            <v>01-Dec-2025</v>
          </cell>
          <cell r="F587">
            <v>164611.63</v>
          </cell>
          <cell r="G587">
            <v>1615.463</v>
          </cell>
          <cell r="H587">
            <v>101.9</v>
          </cell>
          <cell r="I587">
            <v>0</v>
          </cell>
          <cell r="J587">
            <v>101.9</v>
          </cell>
          <cell r="K587">
            <v>-0.1</v>
          </cell>
          <cell r="P587">
            <v>0</v>
          </cell>
        </row>
        <row r="588">
          <cell r="A588" t="str">
            <v>LU0907913890</v>
          </cell>
          <cell r="B588" t="str">
            <v>AMUNDI FUNDS EMERGING MARKETS HARD CURRENCY BOND</v>
          </cell>
          <cell r="C588" t="str">
            <v>Class F2 EUR (C)</v>
          </cell>
          <cell r="D588" t="str">
            <v>EUR</v>
          </cell>
          <cell r="E588" t="str">
            <v>01-Dec-2025</v>
          </cell>
          <cell r="F588">
            <v>55264.51</v>
          </cell>
          <cell r="G588">
            <v>513.76599999999996</v>
          </cell>
          <cell r="H588">
            <v>107.57</v>
          </cell>
          <cell r="I588">
            <v>0</v>
          </cell>
          <cell r="J588">
            <v>107.57</v>
          </cell>
          <cell r="K588">
            <v>-0.12</v>
          </cell>
          <cell r="P588">
            <v>0</v>
          </cell>
        </row>
        <row r="589">
          <cell r="A589" t="str">
            <v>LU1191004966</v>
          </cell>
          <cell r="B589" t="str">
            <v>AMUNDI FUNDS EMERGING MARKETS HARD CURRENCY BOND</v>
          </cell>
          <cell r="C589" t="str">
            <v>Class Q-I0 USD Hgd (C)</v>
          </cell>
          <cell r="D589" t="str">
            <v>USD</v>
          </cell>
          <cell r="E589" t="str">
            <v>01-Dec-2025</v>
          </cell>
          <cell r="F589">
            <v>173488030.78</v>
          </cell>
          <cell r="G589">
            <v>106940</v>
          </cell>
          <cell r="H589">
            <v>1622.29</v>
          </cell>
          <cell r="I589">
            <v>0</v>
          </cell>
          <cell r="J589">
            <v>1622.29</v>
          </cell>
          <cell r="K589">
            <v>-1.46</v>
          </cell>
          <cell r="P589">
            <v>0</v>
          </cell>
        </row>
        <row r="590">
          <cell r="A590" t="str">
            <v>LU0907912579</v>
          </cell>
          <cell r="B590" t="str">
            <v>AMUNDI FUNDS EMERGING MARKETS HARD CURRENCY BOND</v>
          </cell>
          <cell r="C590" t="str">
            <v>Class I EUR (C)</v>
          </cell>
          <cell r="D590" t="str">
            <v>EUR</v>
          </cell>
          <cell r="E590" t="str">
            <v>01-Dec-2025</v>
          </cell>
          <cell r="F590">
            <v>20685395.09</v>
          </cell>
          <cell r="G590">
            <v>422.50799999999998</v>
          </cell>
          <cell r="H590">
            <v>48958.59</v>
          </cell>
          <cell r="I590">
            <v>0</v>
          </cell>
          <cell r="J590">
            <v>48958.59</v>
          </cell>
          <cell r="K590">
            <v>-45.52</v>
          </cell>
          <cell r="P590">
            <v>0</v>
          </cell>
        </row>
        <row r="591">
          <cell r="A591" t="str">
            <v>LU2052288706</v>
          </cell>
          <cell r="B591" t="str">
            <v>AMUNDI FUNDS EMERGING MARKETS HARD CURRENCY BOND</v>
          </cell>
          <cell r="C591" t="str">
            <v>Class I2 GBP (C)</v>
          </cell>
          <cell r="D591" t="str">
            <v>GBP</v>
          </cell>
          <cell r="E591" t="str">
            <v>01-Dec-2025</v>
          </cell>
          <cell r="F591">
            <v>5563.47</v>
          </cell>
          <cell r="G591">
            <v>5</v>
          </cell>
          <cell r="H591">
            <v>1112.69</v>
          </cell>
          <cell r="I591">
            <v>0</v>
          </cell>
          <cell r="J591">
            <v>1112.69</v>
          </cell>
          <cell r="K591">
            <v>1.08</v>
          </cell>
          <cell r="P591">
            <v>0</v>
          </cell>
        </row>
        <row r="592">
          <cell r="A592" t="str">
            <v>LU2801257416</v>
          </cell>
          <cell r="B592" t="str">
            <v>AMUNDI FUNDS EMERGING MARKETS HARD CURRENCY BOND</v>
          </cell>
          <cell r="C592" t="str">
            <v>Class I EUR MD (D)</v>
          </cell>
          <cell r="D592" t="str">
            <v>EUR</v>
          </cell>
          <cell r="E592" t="str">
            <v>01-Dec-2025</v>
          </cell>
          <cell r="F592">
            <v>46445238.460000001</v>
          </cell>
          <cell r="G592">
            <v>42931.96</v>
          </cell>
          <cell r="H592">
            <v>1081.83</v>
          </cell>
          <cell r="I592">
            <v>0</v>
          </cell>
          <cell r="J592">
            <v>1081.83</v>
          </cell>
          <cell r="K592">
            <v>-1.01</v>
          </cell>
          <cell r="P592">
            <v>0</v>
          </cell>
        </row>
        <row r="593">
          <cell r="A593" t="str">
            <v>LU2070304659</v>
          </cell>
          <cell r="B593" t="str">
            <v>AMUNDI FUNDS EMERGING MARKETS HARD CURRENCY BOND</v>
          </cell>
          <cell r="C593" t="str">
            <v>Class I2 CHF Hgd (C)</v>
          </cell>
          <cell r="D593" t="str">
            <v>CHF</v>
          </cell>
          <cell r="E593" t="str">
            <v>01-Dec-2025</v>
          </cell>
          <cell r="F593">
            <v>2072625.02</v>
          </cell>
          <cell r="G593">
            <v>2037.825</v>
          </cell>
          <cell r="H593">
            <v>1017.08</v>
          </cell>
          <cell r="I593">
            <v>0</v>
          </cell>
          <cell r="J593">
            <v>1017.08</v>
          </cell>
          <cell r="K593">
            <v>-1.05</v>
          </cell>
          <cell r="P593">
            <v>0</v>
          </cell>
        </row>
        <row r="594">
          <cell r="A594" t="str">
            <v>LU0907912736</v>
          </cell>
          <cell r="B594" t="str">
            <v>AMUNDI FUNDS EMERGING MARKETS HARD CURRENCY BOND</v>
          </cell>
          <cell r="C594" t="str">
            <v>Class I USD Hgd (C)</v>
          </cell>
          <cell r="D594" t="str">
            <v>USD</v>
          </cell>
          <cell r="E594" t="str">
            <v>01-Dec-2025</v>
          </cell>
          <cell r="F594">
            <v>2525399.14</v>
          </cell>
          <cell r="G594">
            <v>1871.798</v>
          </cell>
          <cell r="H594">
            <v>1349.18</v>
          </cell>
          <cell r="I594">
            <v>0</v>
          </cell>
          <cell r="J594">
            <v>1349.18</v>
          </cell>
          <cell r="K594">
            <v>-1.19</v>
          </cell>
          <cell r="P594">
            <v>0</v>
          </cell>
        </row>
        <row r="595">
          <cell r="A595" t="str">
            <v>LU0907912652</v>
          </cell>
          <cell r="B595" t="str">
            <v>AMUNDI FUNDS EMERGING MARKETS HARD CURRENCY BOND</v>
          </cell>
          <cell r="C595" t="str">
            <v>Class I EUR AD (D)</v>
          </cell>
          <cell r="D595" t="str">
            <v>EUR</v>
          </cell>
          <cell r="E595" t="str">
            <v>01-Dec-2025</v>
          </cell>
          <cell r="F595">
            <v>72899182.060000002</v>
          </cell>
          <cell r="G595">
            <v>92794.881999999998</v>
          </cell>
          <cell r="H595">
            <v>785.59</v>
          </cell>
          <cell r="I595">
            <v>0</v>
          </cell>
          <cell r="J595">
            <v>785.59</v>
          </cell>
          <cell r="K595">
            <v>-0.74</v>
          </cell>
          <cell r="P595">
            <v>0</v>
          </cell>
        </row>
        <row r="596">
          <cell r="A596" t="str">
            <v>LU2176989445</v>
          </cell>
          <cell r="B596" t="str">
            <v>AMUNDI FUNDS EMERGING MARKETS HARD CURRENCY BOND</v>
          </cell>
          <cell r="C596" t="str">
            <v>Class J2 EUR (C)</v>
          </cell>
          <cell r="D596" t="str">
            <v>EUR</v>
          </cell>
          <cell r="E596" t="str">
            <v>01-Dec-2025</v>
          </cell>
          <cell r="F596">
            <v>30279029.34</v>
          </cell>
          <cell r="G596">
            <v>23399.383999999998</v>
          </cell>
          <cell r="H596">
            <v>1294.01</v>
          </cell>
          <cell r="I596">
            <v>0</v>
          </cell>
          <cell r="J596">
            <v>1294.01</v>
          </cell>
          <cell r="K596">
            <v>-1.24</v>
          </cell>
          <cell r="P596">
            <v>0</v>
          </cell>
        </row>
        <row r="597">
          <cell r="A597" t="str">
            <v>LU3078299834</v>
          </cell>
          <cell r="B597" t="str">
            <v>AMUNDI FUNDS EMERGING MARKETS HARD CURRENCY BOND</v>
          </cell>
          <cell r="C597" t="str">
            <v>Class J25 CHF Hgd (C)</v>
          </cell>
          <cell r="D597" t="str">
            <v>CHF</v>
          </cell>
          <cell r="E597" t="str">
            <v>01-Dec-2025</v>
          </cell>
          <cell r="F597">
            <v>216642537.52000001</v>
          </cell>
          <cell r="G597">
            <v>206679.117</v>
          </cell>
          <cell r="H597">
            <v>1048.21</v>
          </cell>
          <cell r="I597">
            <v>0</v>
          </cell>
          <cell r="J597">
            <v>1048.21</v>
          </cell>
          <cell r="K597">
            <v>-1.06</v>
          </cell>
          <cell r="P597">
            <v>0</v>
          </cell>
        </row>
        <row r="598">
          <cell r="A598" t="str">
            <v>LU0907913031</v>
          </cell>
          <cell r="B598" t="str">
            <v>AMUNDI FUNDS EMERGING MARKETS HARD CURRENCY BOND</v>
          </cell>
          <cell r="C598" t="str">
            <v>Class M EUR (C)</v>
          </cell>
          <cell r="D598" t="str">
            <v>EUR</v>
          </cell>
          <cell r="E598" t="str">
            <v>01-Dec-2025</v>
          </cell>
          <cell r="F598">
            <v>11721899.300000001</v>
          </cell>
          <cell r="G598">
            <v>93379.577999999994</v>
          </cell>
          <cell r="H598">
            <v>125.53</v>
          </cell>
          <cell r="I598">
            <v>0</v>
          </cell>
          <cell r="J598">
            <v>125.53</v>
          </cell>
          <cell r="K598">
            <v>-0.12</v>
          </cell>
          <cell r="P598">
            <v>0</v>
          </cell>
        </row>
        <row r="599">
          <cell r="A599" t="str">
            <v>LU0907913114</v>
          </cell>
          <cell r="B599" t="str">
            <v>AMUNDI FUNDS EMERGING MARKETS HARD CURRENCY BOND</v>
          </cell>
          <cell r="C599" t="str">
            <v>Class O EUR (C)</v>
          </cell>
          <cell r="D599" t="str">
            <v>EUR</v>
          </cell>
          <cell r="E599" t="str">
            <v>01-Dec-2025</v>
          </cell>
          <cell r="F599">
            <v>31561186.25</v>
          </cell>
          <cell r="G599">
            <v>22428.057000000001</v>
          </cell>
          <cell r="H599">
            <v>1407.22</v>
          </cell>
          <cell r="I599">
            <v>0</v>
          </cell>
          <cell r="J599">
            <v>1407.22</v>
          </cell>
          <cell r="K599">
            <v>-1.3</v>
          </cell>
          <cell r="P599">
            <v>0</v>
          </cell>
        </row>
        <row r="600">
          <cell r="A600" t="str">
            <v>LU1756691595</v>
          </cell>
          <cell r="B600" t="str">
            <v>AMUNDI FUNDS EMERGING MARKETS HARD CURRENCY BOND</v>
          </cell>
          <cell r="C600" t="str">
            <v>Class R EUR (C)</v>
          </cell>
          <cell r="D600" t="str">
            <v>EUR</v>
          </cell>
          <cell r="E600" t="str">
            <v>01-Dec-2025</v>
          </cell>
          <cell r="F600">
            <v>6064.37</v>
          </cell>
          <cell r="G600">
            <v>56.648000000000003</v>
          </cell>
          <cell r="H600">
            <v>107.05</v>
          </cell>
          <cell r="I600">
            <v>0</v>
          </cell>
          <cell r="J600">
            <v>107.05</v>
          </cell>
          <cell r="K600">
            <v>-0.11</v>
          </cell>
          <cell r="P600">
            <v>0</v>
          </cell>
        </row>
        <row r="601">
          <cell r="A601" t="str">
            <v>LU0907913627</v>
          </cell>
          <cell r="B601" t="str">
            <v>AMUNDI FUNDS EMERGING MARKETS HARD CURRENCY BOND</v>
          </cell>
          <cell r="C601" t="str">
            <v>Class G EUR (C)</v>
          </cell>
          <cell r="D601" t="str">
            <v>EUR</v>
          </cell>
          <cell r="E601" t="str">
            <v>01-Dec-2025</v>
          </cell>
          <cell r="F601">
            <v>3162825.28</v>
          </cell>
          <cell r="G601">
            <v>27181.825000000001</v>
          </cell>
          <cell r="H601">
            <v>116.36</v>
          </cell>
          <cell r="I601">
            <v>0</v>
          </cell>
          <cell r="J601">
            <v>119.85</v>
          </cell>
          <cell r="K601">
            <v>-0.12</v>
          </cell>
          <cell r="P601">
            <v>0</v>
          </cell>
        </row>
        <row r="602">
          <cell r="A602" t="str">
            <v>LU1602583905</v>
          </cell>
          <cell r="B602" t="str">
            <v>AMUNDI FUNDS EMERGING MARKETS HARD CURRENCY BOND</v>
          </cell>
          <cell r="C602" t="str">
            <v>Class Q-I14 USD Hgd (C)</v>
          </cell>
          <cell r="D602" t="str">
            <v>USD</v>
          </cell>
          <cell r="E602" t="str">
            <v>01-Dec-2025</v>
          </cell>
          <cell r="F602">
            <v>932456.95999999996</v>
          </cell>
          <cell r="G602">
            <v>701.87900000000002</v>
          </cell>
          <cell r="H602">
            <v>1328.52</v>
          </cell>
          <cell r="I602">
            <v>0</v>
          </cell>
          <cell r="J602">
            <v>1328.52</v>
          </cell>
          <cell r="K602">
            <v>-1.23</v>
          </cell>
          <cell r="P602">
            <v>0</v>
          </cell>
        </row>
        <row r="603">
          <cell r="A603" t="str">
            <v>LU1998920968</v>
          </cell>
          <cell r="B603" t="str">
            <v>AMUNDI FUNDS EMERGING MARKETS HARD CURRENCY BOND</v>
          </cell>
          <cell r="C603" t="str">
            <v>Class X EUR  ( C )</v>
          </cell>
          <cell r="D603" t="str">
            <v>EUR</v>
          </cell>
          <cell r="E603" t="str">
            <v>01-Dec-2025</v>
          </cell>
          <cell r="F603">
            <v>107925829.94</v>
          </cell>
          <cell r="G603">
            <v>95746.570999999996</v>
          </cell>
          <cell r="H603">
            <v>1127.2</v>
          </cell>
          <cell r="I603">
            <v>0</v>
          </cell>
          <cell r="J603">
            <v>1127.2</v>
          </cell>
          <cell r="K603">
            <v>-1.04</v>
          </cell>
          <cell r="P603">
            <v>0</v>
          </cell>
        </row>
        <row r="604">
          <cell r="A604" t="str">
            <v>LU2279408244</v>
          </cell>
          <cell r="B604" t="str">
            <v>AMUNDI FUNDS EMERGING MARKETS HARD CURRENCY BOND</v>
          </cell>
          <cell r="C604" t="str">
            <v>Class Z EUR (C)</v>
          </cell>
          <cell r="D604" t="str">
            <v>EUR</v>
          </cell>
          <cell r="E604" t="str">
            <v>01-Dec-2025</v>
          </cell>
          <cell r="F604">
            <v>91923034.439999998</v>
          </cell>
          <cell r="G604">
            <v>69957.062000000005</v>
          </cell>
          <cell r="H604">
            <v>1313.99</v>
          </cell>
          <cell r="I604">
            <v>0</v>
          </cell>
          <cell r="J604">
            <v>1313.99</v>
          </cell>
          <cell r="K604">
            <v>-1.26</v>
          </cell>
          <cell r="P604">
            <v>0</v>
          </cell>
        </row>
        <row r="605">
          <cell r="A605" t="str">
            <v>LU0907915168</v>
          </cell>
          <cell r="B605" t="str">
            <v>AMUNDI FUNDS MULTI-ASSET CLIMATE</v>
          </cell>
          <cell r="C605" t="str">
            <v>Class A EUR (C)</v>
          </cell>
          <cell r="D605" t="str">
            <v>EUR</v>
          </cell>
          <cell r="E605" t="str">
            <v>01-Dec-2025</v>
          </cell>
          <cell r="F605">
            <v>61046472.049999997</v>
          </cell>
          <cell r="G605">
            <v>470906.68199999997</v>
          </cell>
          <cell r="H605">
            <v>129.63999999999999</v>
          </cell>
          <cell r="I605">
            <v>0</v>
          </cell>
          <cell r="J605">
            <v>135.47</v>
          </cell>
          <cell r="K605">
            <v>-0.52</v>
          </cell>
          <cell r="P605">
            <v>0</v>
          </cell>
        </row>
        <row r="606">
          <cell r="A606" t="str">
            <v>LU1327398548</v>
          </cell>
          <cell r="B606" t="str">
            <v>AMUNDI FUNDS MULTI-ASSET CLIMATE</v>
          </cell>
          <cell r="C606" t="str">
            <v>Class A CZK Hgd (C)</v>
          </cell>
          <cell r="D606" t="str">
            <v>CZK</v>
          </cell>
          <cell r="E606" t="str">
            <v>01-Dec-2025</v>
          </cell>
          <cell r="F606">
            <v>465180228.75</v>
          </cell>
          <cell r="G606">
            <v>135576.22</v>
          </cell>
          <cell r="H606">
            <v>3431.13</v>
          </cell>
          <cell r="I606">
            <v>0</v>
          </cell>
          <cell r="J606">
            <v>3431.13</v>
          </cell>
          <cell r="K606">
            <v>-13.78</v>
          </cell>
          <cell r="P606">
            <v>0</v>
          </cell>
        </row>
        <row r="607">
          <cell r="A607" t="str">
            <v>LU2762361561</v>
          </cell>
          <cell r="B607" t="str">
            <v>AMUNDI FUNDS MULTI-ASSET CLIMATE</v>
          </cell>
          <cell r="C607" t="str">
            <v>Class A2 CHF Hgd (C)</v>
          </cell>
          <cell r="D607" t="str">
            <v>CHF</v>
          </cell>
          <cell r="E607" t="str">
            <v>01-Dec-2025</v>
          </cell>
          <cell r="F607">
            <v>270515.12</v>
          </cell>
          <cell r="G607">
            <v>5041.9070000000002</v>
          </cell>
          <cell r="H607">
            <v>53.65</v>
          </cell>
          <cell r="I607">
            <v>0</v>
          </cell>
          <cell r="J607">
            <v>53.65</v>
          </cell>
          <cell r="K607">
            <v>-0.23</v>
          </cell>
          <cell r="P607">
            <v>0</v>
          </cell>
        </row>
        <row r="608">
          <cell r="A608" t="str">
            <v>LU0907915242</v>
          </cell>
          <cell r="B608" t="str">
            <v>AMUNDI FUNDS MULTI-ASSET CLIMATE</v>
          </cell>
          <cell r="C608" t="str">
            <v>Class A EUR AD (D)</v>
          </cell>
          <cell r="D608" t="str">
            <v>EUR</v>
          </cell>
          <cell r="E608" t="str">
            <v>01-Dec-2025</v>
          </cell>
          <cell r="F608">
            <v>14893620.800000001</v>
          </cell>
          <cell r="G608">
            <v>125427.74400000001</v>
          </cell>
          <cell r="H608">
            <v>118.74</v>
          </cell>
          <cell r="I608">
            <v>0</v>
          </cell>
          <cell r="J608">
            <v>124.08</v>
          </cell>
          <cell r="K608">
            <v>-0.48</v>
          </cell>
          <cell r="P608">
            <v>0</v>
          </cell>
        </row>
        <row r="609">
          <cell r="A609" t="str">
            <v>LU2002722770</v>
          </cell>
          <cell r="B609" t="str">
            <v>AMUNDI FUNDS MULTI-ASSET CLIMATE</v>
          </cell>
          <cell r="C609" t="str">
            <v>Class M2 EUR ( C )</v>
          </cell>
          <cell r="D609" t="str">
            <v>EUR</v>
          </cell>
          <cell r="E609" t="str">
            <v>01-Dec-2025</v>
          </cell>
          <cell r="F609">
            <v>1855888.81</v>
          </cell>
          <cell r="G609">
            <v>1432.0630000000001</v>
          </cell>
          <cell r="H609">
            <v>1295.95</v>
          </cell>
          <cell r="I609">
            <v>0</v>
          </cell>
          <cell r="J609">
            <v>1295.95</v>
          </cell>
          <cell r="K609">
            <v>-5.17</v>
          </cell>
          <cell r="P609">
            <v>0</v>
          </cell>
        </row>
        <row r="610">
          <cell r="A610" t="str">
            <v>LU2199618716</v>
          </cell>
          <cell r="B610" t="str">
            <v>AMUNDI FUNDS MULTI-ASSET CLIMATE</v>
          </cell>
          <cell r="C610" t="str">
            <v>Class I2 CZK Hgd (C)</v>
          </cell>
          <cell r="D610" t="str">
            <v>CZK</v>
          </cell>
          <cell r="E610" t="str">
            <v>01-Dec-2025</v>
          </cell>
          <cell r="F610">
            <v>26765866.510000002</v>
          </cell>
          <cell r="G610">
            <v>2075.3739999999998</v>
          </cell>
          <cell r="H610">
            <v>12896.89</v>
          </cell>
          <cell r="I610">
            <v>0</v>
          </cell>
          <cell r="J610">
            <v>12896.89</v>
          </cell>
          <cell r="K610">
            <v>-51.03</v>
          </cell>
          <cell r="P610">
            <v>0</v>
          </cell>
        </row>
        <row r="611">
          <cell r="A611" t="str">
            <v>LU2018720735</v>
          </cell>
          <cell r="B611" t="str">
            <v>AMUNDI FUNDS MULTI-ASSET CLIMATE</v>
          </cell>
          <cell r="C611" t="str">
            <v>Class F EUR (C)</v>
          </cell>
          <cell r="D611" t="str">
            <v>EUR</v>
          </cell>
          <cell r="E611" t="str">
            <v>01-Dec-2025</v>
          </cell>
          <cell r="F611">
            <v>295582.96999999997</v>
          </cell>
          <cell r="G611">
            <v>50711.45</v>
          </cell>
          <cell r="H611">
            <v>5.8289999999999997</v>
          </cell>
          <cell r="I611">
            <v>0</v>
          </cell>
          <cell r="J611">
            <v>5.8289999999999997</v>
          </cell>
          <cell r="K611">
            <v>-2.4E-2</v>
          </cell>
          <cell r="P611">
            <v>0</v>
          </cell>
        </row>
        <row r="612">
          <cell r="A612" t="str">
            <v>LU0907915598</v>
          </cell>
          <cell r="B612" t="str">
            <v>AMUNDI FUNDS MULTI-ASSET CLIMATE</v>
          </cell>
          <cell r="C612" t="str">
            <v>Class F2 EUR (C)</v>
          </cell>
          <cell r="D612" t="str">
            <v>EUR</v>
          </cell>
          <cell r="E612" t="str">
            <v>01-Dec-2025</v>
          </cell>
          <cell r="F612">
            <v>7520786.9000000004</v>
          </cell>
          <cell r="G612">
            <v>62063.182999999997</v>
          </cell>
          <cell r="H612">
            <v>121.18</v>
          </cell>
          <cell r="I612">
            <v>0</v>
          </cell>
          <cell r="J612">
            <v>121.18</v>
          </cell>
          <cell r="K612">
            <v>-0.5</v>
          </cell>
          <cell r="P612">
            <v>0</v>
          </cell>
        </row>
        <row r="613">
          <cell r="A613" t="str">
            <v>LU0907914518</v>
          </cell>
          <cell r="B613" t="str">
            <v>AMUNDI FUNDS MULTI-ASSET CLIMATE</v>
          </cell>
          <cell r="C613" t="str">
            <v>Class I EUR (C)</v>
          </cell>
          <cell r="D613" t="str">
            <v>EUR</v>
          </cell>
          <cell r="E613" t="str">
            <v>01-Dec-2025</v>
          </cell>
          <cell r="F613">
            <v>13488080.970000001</v>
          </cell>
          <cell r="G613">
            <v>9527.1849999999995</v>
          </cell>
          <cell r="H613">
            <v>1415.75</v>
          </cell>
          <cell r="I613">
            <v>0</v>
          </cell>
          <cell r="J613">
            <v>1415.75</v>
          </cell>
          <cell r="K613">
            <v>-5.62</v>
          </cell>
          <cell r="P613">
            <v>0</v>
          </cell>
        </row>
        <row r="614">
          <cell r="A614" t="str">
            <v>LU0907914609</v>
          </cell>
          <cell r="B614" t="str">
            <v>AMUNDI FUNDS MULTI-ASSET CLIMATE</v>
          </cell>
          <cell r="C614" t="str">
            <v>Class I EUR AD (D)</v>
          </cell>
          <cell r="D614" t="str">
            <v>EUR</v>
          </cell>
          <cell r="E614" t="str">
            <v>01-Dec-2025</v>
          </cell>
          <cell r="F614">
            <v>251344.23</v>
          </cell>
          <cell r="G614">
            <v>200</v>
          </cell>
          <cell r="H614">
            <v>1256.72</v>
          </cell>
          <cell r="I614">
            <v>0</v>
          </cell>
          <cell r="J614">
            <v>1256.72</v>
          </cell>
          <cell r="K614">
            <v>-4.99</v>
          </cell>
          <cell r="P614">
            <v>0</v>
          </cell>
        </row>
        <row r="615">
          <cell r="A615" t="str">
            <v>LU0907914781</v>
          </cell>
          <cell r="B615" t="str">
            <v>AMUNDI FUNDS MULTI-ASSET CLIMATE</v>
          </cell>
          <cell r="C615" t="str">
            <v>Class M EUR (C)</v>
          </cell>
          <cell r="D615" t="str">
            <v>EUR</v>
          </cell>
          <cell r="E615" t="str">
            <v>01-Dec-2025</v>
          </cell>
          <cell r="F615">
            <v>2561241.33</v>
          </cell>
          <cell r="G615">
            <v>18255.421999999999</v>
          </cell>
          <cell r="H615">
            <v>140.30000000000001</v>
          </cell>
          <cell r="I615">
            <v>0</v>
          </cell>
          <cell r="J615">
            <v>140.30000000000001</v>
          </cell>
          <cell r="K615">
            <v>-0.56000000000000005</v>
          </cell>
          <cell r="P615">
            <v>0</v>
          </cell>
        </row>
        <row r="616">
          <cell r="A616" t="str">
            <v>LU1049757476</v>
          </cell>
          <cell r="B616" t="str">
            <v>AMUNDI FUNDS MULTI-ASSET CLIMATE</v>
          </cell>
          <cell r="C616" t="str">
            <v>Class R EUR (C)</v>
          </cell>
          <cell r="D616" t="str">
            <v>EUR</v>
          </cell>
          <cell r="E616" t="str">
            <v>01-Dec-2025</v>
          </cell>
          <cell r="F616">
            <v>592948.04</v>
          </cell>
          <cell r="G616">
            <v>4266.3159999999998</v>
          </cell>
          <cell r="H616">
            <v>138.97999999999999</v>
          </cell>
          <cell r="I616">
            <v>0</v>
          </cell>
          <cell r="J616">
            <v>138.97999999999999</v>
          </cell>
          <cell r="K616">
            <v>-0.56000000000000005</v>
          </cell>
          <cell r="P616">
            <v>0</v>
          </cell>
        </row>
        <row r="617">
          <cell r="A617" t="str">
            <v>LU0907915325</v>
          </cell>
          <cell r="B617" t="str">
            <v>AMUNDI FUNDS MULTI-ASSET CLIMATE</v>
          </cell>
          <cell r="C617" t="str">
            <v>Class G EUR (C)</v>
          </cell>
          <cell r="D617" t="str">
            <v>EUR</v>
          </cell>
          <cell r="E617" t="str">
            <v>01-Dec-2025</v>
          </cell>
          <cell r="F617">
            <v>45420976.439999998</v>
          </cell>
          <cell r="G617">
            <v>362616.761</v>
          </cell>
          <cell r="H617">
            <v>125.26</v>
          </cell>
          <cell r="I617">
            <v>0</v>
          </cell>
          <cell r="J617">
            <v>129.02000000000001</v>
          </cell>
          <cell r="K617">
            <v>-0.51</v>
          </cell>
          <cell r="P617">
            <v>0</v>
          </cell>
        </row>
        <row r="618">
          <cell r="A618" t="str">
            <v>LU0945151578</v>
          </cell>
          <cell r="B618" t="str">
            <v>AMUNDI FUNDS IMP EURO CORP SH TERM GREEN BD</v>
          </cell>
          <cell r="C618" t="str">
            <v>Class A EUR (C)</v>
          </cell>
          <cell r="D618" t="str">
            <v>EUR</v>
          </cell>
          <cell r="E618" t="str">
            <v>01-Dec-2025</v>
          </cell>
          <cell r="F618">
            <v>100671351.65000001</v>
          </cell>
          <cell r="G618">
            <v>956973.92200000002</v>
          </cell>
          <cell r="H618">
            <v>105.2</v>
          </cell>
          <cell r="I618">
            <v>0</v>
          </cell>
          <cell r="J618">
            <v>108.36</v>
          </cell>
          <cell r="K618">
            <v>-0.01</v>
          </cell>
          <cell r="P618">
            <v>0</v>
          </cell>
        </row>
        <row r="619">
          <cell r="A619" t="str">
            <v>LU2002721020</v>
          </cell>
          <cell r="B619" t="str">
            <v>AMUNDI FUNDS IMP EURO CORP SH TERM GREEN BD</v>
          </cell>
          <cell r="C619" t="str">
            <v>Class M2 EUR ( C )</v>
          </cell>
          <cell r="D619" t="str">
            <v>EUR</v>
          </cell>
          <cell r="E619" t="str">
            <v>01-Dec-2025</v>
          </cell>
          <cell r="F619">
            <v>12141252.470000001</v>
          </cell>
          <cell r="G619">
            <v>11334.379000000001</v>
          </cell>
          <cell r="H619">
            <v>1071.19</v>
          </cell>
          <cell r="I619">
            <v>0</v>
          </cell>
          <cell r="J619">
            <v>1071.19</v>
          </cell>
          <cell r="K619">
            <v>-0.08</v>
          </cell>
          <cell r="P619">
            <v>0</v>
          </cell>
        </row>
        <row r="620">
          <cell r="A620" t="str">
            <v>LU0945151818</v>
          </cell>
          <cell r="B620" t="str">
            <v>AMUNDI FUNDS IMP EURO CORP SH TERM GREEN BD</v>
          </cell>
          <cell r="C620" t="str">
            <v>Class F2 EUR (C)</v>
          </cell>
          <cell r="D620" t="str">
            <v>EUR</v>
          </cell>
          <cell r="E620" t="str">
            <v>01-Dec-2025</v>
          </cell>
          <cell r="F620">
            <v>128748.55</v>
          </cell>
          <cell r="G620">
            <v>1297.5129999999999</v>
          </cell>
          <cell r="H620">
            <v>99.23</v>
          </cell>
          <cell r="I620">
            <v>0</v>
          </cell>
          <cell r="J620">
            <v>99.23</v>
          </cell>
          <cell r="K620">
            <v>-0.01</v>
          </cell>
          <cell r="P620">
            <v>0</v>
          </cell>
        </row>
        <row r="621">
          <cell r="A621" t="str">
            <v>LU2036674260</v>
          </cell>
          <cell r="B621" t="str">
            <v>AMUNDI FUNDS IMP EURO CORP SH TERM GREEN BD</v>
          </cell>
          <cell r="C621" t="str">
            <v>Class H EUR (C)</v>
          </cell>
          <cell r="D621" t="str">
            <v>EUR</v>
          </cell>
          <cell r="E621" t="str">
            <v>01-Dec-2025</v>
          </cell>
          <cell r="F621">
            <v>5445.98</v>
          </cell>
          <cell r="G621">
            <v>5</v>
          </cell>
          <cell r="H621">
            <v>1089.2</v>
          </cell>
          <cell r="I621">
            <v>0</v>
          </cell>
          <cell r="J621">
            <v>1089.2</v>
          </cell>
          <cell r="K621">
            <v>-0.06</v>
          </cell>
          <cell r="P621">
            <v>0</v>
          </cell>
        </row>
        <row r="622">
          <cell r="A622" t="str">
            <v>LU0945150927</v>
          </cell>
          <cell r="B622" t="str">
            <v>AMUNDI FUNDS IMP EURO CORP SH TERM GREEN BD</v>
          </cell>
          <cell r="C622" t="str">
            <v>Class I EUR (C)</v>
          </cell>
          <cell r="D622" t="str">
            <v>EUR</v>
          </cell>
          <cell r="E622" t="str">
            <v>01-Dec-2025</v>
          </cell>
          <cell r="F622">
            <v>85596580.079999998</v>
          </cell>
          <cell r="G622">
            <v>77746.697</v>
          </cell>
          <cell r="H622">
            <v>1100.97</v>
          </cell>
          <cell r="I622">
            <v>0</v>
          </cell>
          <cell r="J622">
            <v>1100.97</v>
          </cell>
          <cell r="K622">
            <v>-7.0000000000000007E-2</v>
          </cell>
          <cell r="P622">
            <v>0</v>
          </cell>
        </row>
        <row r="623">
          <cell r="A623" t="str">
            <v>LU2498476154</v>
          </cell>
          <cell r="B623" t="str">
            <v>AMUNDI FUNDS IMP EURO CORP SH TERM GREEN BD</v>
          </cell>
          <cell r="C623" t="str">
            <v>Class I2 CHF Hgd (C)</v>
          </cell>
          <cell r="D623" t="str">
            <v>CHF</v>
          </cell>
          <cell r="E623" t="str">
            <v>01-Dec-2025</v>
          </cell>
          <cell r="F623">
            <v>32236259.629999999</v>
          </cell>
          <cell r="G623">
            <v>30873.842000000001</v>
          </cell>
          <cell r="H623">
            <v>1044.1300000000001</v>
          </cell>
          <cell r="I623">
            <v>0</v>
          </cell>
          <cell r="J623">
            <v>1044.1300000000001</v>
          </cell>
          <cell r="K623">
            <v>-0.15</v>
          </cell>
          <cell r="P623">
            <v>0</v>
          </cell>
        </row>
        <row r="624">
          <cell r="A624" t="str">
            <v>LU0945151065</v>
          </cell>
          <cell r="B624" t="str">
            <v>AMUNDI FUNDS IMP EURO CORP SH TERM GREEN BD</v>
          </cell>
          <cell r="C624" t="str">
            <v>Class I EUR AD (D)</v>
          </cell>
          <cell r="D624" t="str">
            <v>EUR</v>
          </cell>
          <cell r="E624" t="str">
            <v>01-Dec-2025</v>
          </cell>
          <cell r="F624">
            <v>1878982.71</v>
          </cell>
          <cell r="G624">
            <v>1980</v>
          </cell>
          <cell r="H624">
            <v>948.98</v>
          </cell>
          <cell r="I624">
            <v>0</v>
          </cell>
          <cell r="J624">
            <v>948.98</v>
          </cell>
          <cell r="K624">
            <v>-0.06</v>
          </cell>
          <cell r="P624">
            <v>0</v>
          </cell>
        </row>
        <row r="625">
          <cell r="A625" t="str">
            <v>LU0945151149</v>
          </cell>
          <cell r="B625" t="str">
            <v>AMUNDI FUNDS IMP EURO CORP SH TERM GREEN BD</v>
          </cell>
          <cell r="C625" t="str">
            <v>Class M EUR (C)</v>
          </cell>
          <cell r="D625" t="str">
            <v>EUR</v>
          </cell>
          <cell r="E625" t="str">
            <v>01-Dec-2025</v>
          </cell>
          <cell r="F625">
            <v>227903.19</v>
          </cell>
          <cell r="G625">
            <v>2102.5149999999999</v>
          </cell>
          <cell r="H625">
            <v>108.4</v>
          </cell>
          <cell r="I625">
            <v>0</v>
          </cell>
          <cell r="J625">
            <v>108.4</v>
          </cell>
          <cell r="K625">
            <v>0</v>
          </cell>
          <cell r="P625">
            <v>0</v>
          </cell>
        </row>
        <row r="626">
          <cell r="A626" t="str">
            <v>LU0945151495</v>
          </cell>
          <cell r="B626" t="str">
            <v>AMUNDI FUNDS IMP EURO CORP SH TERM GREEN BD</v>
          </cell>
          <cell r="C626" t="str">
            <v>Class OR EUR (C)</v>
          </cell>
          <cell r="D626" t="str">
            <v>EUR</v>
          </cell>
          <cell r="E626" t="str">
            <v>01-Dec-2025</v>
          </cell>
          <cell r="F626">
            <v>103896068.33</v>
          </cell>
          <cell r="G626">
            <v>3009.4409999999998</v>
          </cell>
          <cell r="H626">
            <v>34523.379999999997</v>
          </cell>
          <cell r="I626">
            <v>0</v>
          </cell>
          <cell r="J626">
            <v>34523.379999999997</v>
          </cell>
          <cell r="K626">
            <v>-1.58</v>
          </cell>
          <cell r="P626">
            <v>0</v>
          </cell>
        </row>
        <row r="627">
          <cell r="A627" t="str">
            <v>LU0987188264</v>
          </cell>
          <cell r="B627" t="str">
            <v>AMUNDI FUNDS IMP EURO CORP SH TERM GREEN BD</v>
          </cell>
          <cell r="C627" t="str">
            <v>Class R EUR (C)</v>
          </cell>
          <cell r="D627" t="str">
            <v>EUR</v>
          </cell>
          <cell r="E627" t="str">
            <v>01-Dec-2025</v>
          </cell>
          <cell r="F627">
            <v>2246824.73</v>
          </cell>
          <cell r="G627">
            <v>21329.121999999999</v>
          </cell>
          <cell r="H627">
            <v>105.34</v>
          </cell>
          <cell r="I627">
            <v>0</v>
          </cell>
          <cell r="J627">
            <v>105.34</v>
          </cell>
          <cell r="K627">
            <v>-0.01</v>
          </cell>
          <cell r="P627">
            <v>0</v>
          </cell>
        </row>
        <row r="628">
          <cell r="A628" t="str">
            <v>LU0945151735</v>
          </cell>
          <cell r="B628" t="str">
            <v>AMUNDI FUNDS IMP EURO CORP SH TERM GREEN BD</v>
          </cell>
          <cell r="C628" t="str">
            <v>Class G EUR (C)</v>
          </cell>
          <cell r="D628" t="str">
            <v>EUR</v>
          </cell>
          <cell r="E628" t="str">
            <v>01-Dec-2025</v>
          </cell>
          <cell r="F628">
            <v>11020636.630000001</v>
          </cell>
          <cell r="G628">
            <v>106675.18700000001</v>
          </cell>
          <cell r="H628">
            <v>103.31</v>
          </cell>
          <cell r="I628">
            <v>0</v>
          </cell>
          <cell r="J628">
            <v>106.41</v>
          </cell>
          <cell r="K628">
            <v>-0.01</v>
          </cell>
          <cell r="P628">
            <v>0</v>
          </cell>
        </row>
        <row r="629">
          <cell r="A629" t="str">
            <v>LU1998921180</v>
          </cell>
          <cell r="B629" t="str">
            <v>AMUNDI FUNDS IMP EURO CORP SH TERM GREEN BD</v>
          </cell>
          <cell r="C629" t="str">
            <v>Class X EUR  ( C )</v>
          </cell>
          <cell r="D629" t="str">
            <v>EUR</v>
          </cell>
          <cell r="E629" t="str">
            <v>01-Dec-2025</v>
          </cell>
          <cell r="F629">
            <v>8011140</v>
          </cell>
          <cell r="G629">
            <v>7900</v>
          </cell>
          <cell r="H629">
            <v>1014.07</v>
          </cell>
          <cell r="I629">
            <v>0</v>
          </cell>
          <cell r="J629">
            <v>1014.07</v>
          </cell>
          <cell r="K629">
            <v>-0.04</v>
          </cell>
          <cell r="P629">
            <v>0</v>
          </cell>
        </row>
        <row r="630">
          <cell r="A630" t="str">
            <v>LU1162497827</v>
          </cell>
          <cell r="B630" t="str">
            <v>AMUNDI FUNDS US CORPORATE BOND SELECT</v>
          </cell>
          <cell r="C630" t="str">
            <v>Class A USD (C)</v>
          </cell>
          <cell r="D630" t="str">
            <v>USD</v>
          </cell>
          <cell r="E630" t="str">
            <v>01-Dec-2025</v>
          </cell>
          <cell r="F630">
            <v>15122088.109999999</v>
          </cell>
          <cell r="G630">
            <v>109911.463</v>
          </cell>
          <cell r="H630">
            <v>137.58000000000001</v>
          </cell>
          <cell r="I630">
            <v>0</v>
          </cell>
          <cell r="J630">
            <v>143.08000000000001</v>
          </cell>
          <cell r="K630">
            <v>-0.57999999999999996</v>
          </cell>
          <cell r="P630">
            <v>0</v>
          </cell>
        </row>
        <row r="631">
          <cell r="A631" t="str">
            <v>LU2659282425</v>
          </cell>
          <cell r="B631" t="str">
            <v>AMUNDI FUNDS US CORPORATE BOND SELECT</v>
          </cell>
          <cell r="C631" t="str">
            <v>Class A2 USD MD (D)</v>
          </cell>
          <cell r="D631" t="str">
            <v>USD</v>
          </cell>
          <cell r="E631" t="str">
            <v>01-Dec-2025</v>
          </cell>
          <cell r="F631">
            <v>265363.20000000001</v>
          </cell>
          <cell r="G631">
            <v>4910.2259999999997</v>
          </cell>
          <cell r="H631">
            <v>54.04</v>
          </cell>
          <cell r="I631">
            <v>0</v>
          </cell>
          <cell r="J631">
            <v>54.04</v>
          </cell>
          <cell r="K631">
            <v>-0.23</v>
          </cell>
          <cell r="P631">
            <v>0</v>
          </cell>
        </row>
        <row r="632">
          <cell r="A632" t="str">
            <v>LU1162498122</v>
          </cell>
          <cell r="B632" t="str">
            <v>AMUNDI FUNDS US CORPORATE BOND SELECT</v>
          </cell>
          <cell r="C632" t="str">
            <v>Class A EUR Hgd (C)</v>
          </cell>
          <cell r="D632" t="str">
            <v>EUR</v>
          </cell>
          <cell r="E632" t="str">
            <v>01-Dec-2025</v>
          </cell>
          <cell r="F632">
            <v>16918942.73</v>
          </cell>
          <cell r="G632">
            <v>161661.992</v>
          </cell>
          <cell r="H632">
            <v>104.66</v>
          </cell>
          <cell r="I632">
            <v>0</v>
          </cell>
          <cell r="J632">
            <v>108.85</v>
          </cell>
          <cell r="K632">
            <v>-0.43</v>
          </cell>
          <cell r="P632">
            <v>0</v>
          </cell>
        </row>
        <row r="633">
          <cell r="A633" t="str">
            <v>LU1408339320</v>
          </cell>
          <cell r="B633" t="str">
            <v>AMUNDI FUNDS US CORPORATE BOND SELECT</v>
          </cell>
          <cell r="C633" t="str">
            <v>Class Q-A3 SEK Hgd (C)</v>
          </cell>
          <cell r="D633" t="str">
            <v>SEK</v>
          </cell>
          <cell r="E633" t="str">
            <v>01-Dec-2025</v>
          </cell>
          <cell r="F633">
            <v>1136015.75</v>
          </cell>
          <cell r="G633">
            <v>10355.183000000001</v>
          </cell>
          <cell r="H633">
            <v>109.71</v>
          </cell>
          <cell r="I633">
            <v>0</v>
          </cell>
          <cell r="J633">
            <v>109.71</v>
          </cell>
          <cell r="K633">
            <v>-0.45</v>
          </cell>
          <cell r="P633">
            <v>0</v>
          </cell>
        </row>
        <row r="634">
          <cell r="A634" t="str">
            <v>LU2907103837</v>
          </cell>
          <cell r="B634" t="str">
            <v>AMUNDI FUNDS US CORPORATE BOND SELECT</v>
          </cell>
          <cell r="C634" t="str">
            <v>Class A2 USD (C)</v>
          </cell>
          <cell r="D634" t="str">
            <v>USD</v>
          </cell>
          <cell r="E634" t="str">
            <v>01-Dec-2025</v>
          </cell>
          <cell r="F634">
            <v>502205.21</v>
          </cell>
          <cell r="G634">
            <v>9456.4480000000003</v>
          </cell>
          <cell r="H634">
            <v>53.11</v>
          </cell>
          <cell r="I634">
            <v>0</v>
          </cell>
          <cell r="J634">
            <v>53.11</v>
          </cell>
          <cell r="K634">
            <v>-0.22</v>
          </cell>
          <cell r="P634">
            <v>0</v>
          </cell>
        </row>
        <row r="635">
          <cell r="A635" t="str">
            <v>LU1162498049</v>
          </cell>
          <cell r="B635" t="str">
            <v>AMUNDI FUNDS US CORPORATE BOND SELECT</v>
          </cell>
          <cell r="C635" t="str">
            <v>Class A USD AD (D)</v>
          </cell>
          <cell r="D635" t="str">
            <v>USD</v>
          </cell>
          <cell r="E635" t="str">
            <v>01-Dec-2025</v>
          </cell>
          <cell r="F635">
            <v>7657680.5599999996</v>
          </cell>
          <cell r="G635">
            <v>84215.039000000004</v>
          </cell>
          <cell r="H635">
            <v>90.93</v>
          </cell>
          <cell r="I635">
            <v>0</v>
          </cell>
          <cell r="J635">
            <v>94.57</v>
          </cell>
          <cell r="K635">
            <v>-0.38</v>
          </cell>
          <cell r="P635">
            <v>0</v>
          </cell>
        </row>
        <row r="636">
          <cell r="A636" t="str">
            <v>LU2002723588</v>
          </cell>
          <cell r="B636" t="str">
            <v>AMUNDI FUNDS US CORPORATE BOND SELECT</v>
          </cell>
          <cell r="C636" t="str">
            <v>Class M2 EUR Hgd (C)</v>
          </cell>
          <cell r="D636" t="str">
            <v>EUR</v>
          </cell>
          <cell r="E636" t="str">
            <v>01-Dec-2025</v>
          </cell>
          <cell r="F636">
            <v>137397.04999999999</v>
          </cell>
          <cell r="G636">
            <v>133.804</v>
          </cell>
          <cell r="H636">
            <v>1026.8499999999999</v>
          </cell>
          <cell r="I636">
            <v>0</v>
          </cell>
          <cell r="J636">
            <v>1026.8499999999999</v>
          </cell>
          <cell r="K636">
            <v>-4.24</v>
          </cell>
          <cell r="P636">
            <v>0</v>
          </cell>
        </row>
        <row r="637">
          <cell r="A637" t="str">
            <v>LU1162498551</v>
          </cell>
          <cell r="B637" t="str">
            <v>AMUNDI FUNDS US CORPORATE BOND SELECT</v>
          </cell>
          <cell r="C637" t="str">
            <v>Class F2 USD (C)</v>
          </cell>
          <cell r="D637" t="str">
            <v>USD</v>
          </cell>
          <cell r="E637" t="str">
            <v>01-Dec-2025</v>
          </cell>
          <cell r="F637">
            <v>336614.78</v>
          </cell>
          <cell r="G637">
            <v>2682.0070000000001</v>
          </cell>
          <cell r="H637">
            <v>125.51</v>
          </cell>
          <cell r="I637">
            <v>0</v>
          </cell>
          <cell r="J637">
            <v>125.51</v>
          </cell>
          <cell r="K637">
            <v>-0.52</v>
          </cell>
          <cell r="P637">
            <v>0</v>
          </cell>
        </row>
        <row r="638">
          <cell r="A638" t="str">
            <v>LU1162498635</v>
          </cell>
          <cell r="B638" t="str">
            <v>AMUNDI FUNDS US CORPORATE BOND SELECT</v>
          </cell>
          <cell r="C638" t="str">
            <v>Class F2 EUR Hgd (C)</v>
          </cell>
          <cell r="D638" t="str">
            <v>EUR</v>
          </cell>
          <cell r="E638" t="str">
            <v>01-Dec-2025</v>
          </cell>
          <cell r="F638">
            <v>71674.320000000007</v>
          </cell>
          <cell r="G638">
            <v>701.45299999999997</v>
          </cell>
          <cell r="H638">
            <v>102.18</v>
          </cell>
          <cell r="I638">
            <v>0</v>
          </cell>
          <cell r="J638">
            <v>102.18</v>
          </cell>
          <cell r="K638">
            <v>-0.43</v>
          </cell>
          <cell r="P638">
            <v>0</v>
          </cell>
        </row>
        <row r="639">
          <cell r="A639" t="str">
            <v>LU2224462361</v>
          </cell>
          <cell r="B639" t="str">
            <v>AMUNDI FUNDS US CORPORATE BOND SELECT</v>
          </cell>
          <cell r="C639" t="str">
            <v>Class I2 USD (C)</v>
          </cell>
          <cell r="D639" t="str">
            <v>USD</v>
          </cell>
          <cell r="E639" t="str">
            <v>01-Dec-2025</v>
          </cell>
          <cell r="F639">
            <v>19172840.530000001</v>
          </cell>
          <cell r="G639">
            <v>16454.935000000001</v>
          </cell>
          <cell r="H639">
            <v>1165.17</v>
          </cell>
          <cell r="I639">
            <v>0</v>
          </cell>
          <cell r="J639">
            <v>1165.17</v>
          </cell>
          <cell r="K639">
            <v>-4.75</v>
          </cell>
          <cell r="P639">
            <v>0</v>
          </cell>
        </row>
        <row r="640">
          <cell r="A640" t="str">
            <v>LU1162497157</v>
          </cell>
          <cell r="B640" t="str">
            <v>AMUNDI FUNDS US CORPORATE BOND SELECT</v>
          </cell>
          <cell r="C640" t="str">
            <v>Class I USD (C)</v>
          </cell>
          <cell r="D640" t="str">
            <v>USD</v>
          </cell>
          <cell r="E640" t="str">
            <v>01-Dec-2025</v>
          </cell>
          <cell r="F640">
            <v>133071228.09999999</v>
          </cell>
          <cell r="G640">
            <v>92884.649000000005</v>
          </cell>
          <cell r="H640">
            <v>1432.65</v>
          </cell>
          <cell r="I640">
            <v>0</v>
          </cell>
          <cell r="J640">
            <v>1432.65</v>
          </cell>
          <cell r="K640">
            <v>-5.9</v>
          </cell>
          <cell r="P640">
            <v>0</v>
          </cell>
        </row>
        <row r="641">
          <cell r="A641" t="str">
            <v>LU2401725853</v>
          </cell>
          <cell r="B641" t="str">
            <v>AMUNDI FUNDS US CORPORATE BOND SELECT</v>
          </cell>
          <cell r="C641" t="str">
            <v>Class I2 JPY (C)</v>
          </cell>
          <cell r="D641" t="str">
            <v>JPY</v>
          </cell>
          <cell r="E641" t="str">
            <v>01-Dec-2025</v>
          </cell>
          <cell r="F641">
            <v>3062750893</v>
          </cell>
          <cell r="G641">
            <v>21670.055</v>
          </cell>
          <cell r="H641">
            <v>141336</v>
          </cell>
          <cell r="I641">
            <v>0</v>
          </cell>
          <cell r="J641">
            <v>141336</v>
          </cell>
          <cell r="K641">
            <v>-1449</v>
          </cell>
          <cell r="P641">
            <v>0</v>
          </cell>
        </row>
        <row r="642">
          <cell r="A642" t="str">
            <v>LU1162497314</v>
          </cell>
          <cell r="B642" t="str">
            <v>AMUNDI FUNDS US CORPORATE BOND SELECT</v>
          </cell>
          <cell r="C642" t="str">
            <v>Class I EUR Hgd (C)</v>
          </cell>
          <cell r="D642" t="str">
            <v>EUR</v>
          </cell>
          <cell r="E642" t="str">
            <v>01-Dec-2025</v>
          </cell>
          <cell r="F642">
            <v>5129198.76</v>
          </cell>
          <cell r="G642">
            <v>4445.4309999999996</v>
          </cell>
          <cell r="H642">
            <v>1153.81</v>
          </cell>
          <cell r="I642">
            <v>0</v>
          </cell>
          <cell r="J642">
            <v>1153.81</v>
          </cell>
          <cell r="K642">
            <v>-4.84</v>
          </cell>
          <cell r="P642">
            <v>0</v>
          </cell>
        </row>
        <row r="643">
          <cell r="A643" t="str">
            <v>LU2162036078</v>
          </cell>
          <cell r="B643" t="str">
            <v>AMUNDI FUNDS US CORPORATE BOND SELECT</v>
          </cell>
          <cell r="C643" t="str">
            <v>Class I2 EUR Hgd (C)</v>
          </cell>
          <cell r="D643" t="str">
            <v>EUR</v>
          </cell>
          <cell r="E643" t="str">
            <v>01-Dec-2025</v>
          </cell>
          <cell r="F643">
            <v>36571688.270000003</v>
          </cell>
          <cell r="G643">
            <v>39184.321000000004</v>
          </cell>
          <cell r="H643">
            <v>933.32</v>
          </cell>
          <cell r="I643">
            <v>0</v>
          </cell>
          <cell r="J643">
            <v>933.32</v>
          </cell>
          <cell r="K643">
            <v>-3.84</v>
          </cell>
          <cell r="P643">
            <v>0</v>
          </cell>
        </row>
        <row r="644">
          <cell r="A644" t="str">
            <v>LU2477811967</v>
          </cell>
          <cell r="B644" t="str">
            <v>AMUNDI FUNDS US CORPORATE BOND SELECT</v>
          </cell>
          <cell r="C644" t="str">
            <v>Class I2 SEK Hgd (C)</v>
          </cell>
          <cell r="D644" t="str">
            <v>SEK</v>
          </cell>
          <cell r="E644" t="str">
            <v>01-Dec-2025</v>
          </cell>
          <cell r="F644">
            <v>524835914.75999999</v>
          </cell>
          <cell r="G644">
            <v>47571.101999999999</v>
          </cell>
          <cell r="H644">
            <v>11032.66</v>
          </cell>
          <cell r="I644">
            <v>0</v>
          </cell>
          <cell r="J644">
            <v>11032.66</v>
          </cell>
          <cell r="K644">
            <v>-45.54</v>
          </cell>
          <cell r="P644">
            <v>0</v>
          </cell>
        </row>
        <row r="645">
          <cell r="A645" t="str">
            <v>LU2098277606</v>
          </cell>
          <cell r="B645" t="str">
            <v>AMUNDI FUNDS US CORPORATE BOND SELECT</v>
          </cell>
          <cell r="C645" t="str">
            <v>Class J2 USD (C)</v>
          </cell>
          <cell r="D645" t="str">
            <v>USD</v>
          </cell>
          <cell r="E645" t="str">
            <v>01-Dec-2025</v>
          </cell>
          <cell r="F645">
            <v>14476559.85</v>
          </cell>
          <cell r="G645">
            <v>12605</v>
          </cell>
          <cell r="H645">
            <v>1148.48</v>
          </cell>
          <cell r="I645">
            <v>0</v>
          </cell>
          <cell r="J645">
            <v>1148.48</v>
          </cell>
          <cell r="K645">
            <v>-4.67</v>
          </cell>
          <cell r="P645">
            <v>0</v>
          </cell>
        </row>
        <row r="646">
          <cell r="A646" t="str">
            <v>LU2085676166</v>
          </cell>
          <cell r="B646" t="str">
            <v>AMUNDI FUNDS US CORPORATE BOND SELECT</v>
          </cell>
          <cell r="C646" t="str">
            <v>Class M2 EUR (C)</v>
          </cell>
          <cell r="D646" t="str">
            <v>EUR</v>
          </cell>
          <cell r="E646" t="str">
            <v>01-Dec-2025</v>
          </cell>
          <cell r="F646">
            <v>65157.7</v>
          </cell>
          <cell r="G646">
            <v>59.884999999999998</v>
          </cell>
          <cell r="H646">
            <v>1088.05</v>
          </cell>
          <cell r="I646">
            <v>0</v>
          </cell>
          <cell r="J646">
            <v>1088.05</v>
          </cell>
          <cell r="K646">
            <v>-6.74</v>
          </cell>
          <cell r="P646">
            <v>0</v>
          </cell>
        </row>
        <row r="647">
          <cell r="A647" t="str">
            <v>LU1162497587</v>
          </cell>
          <cell r="B647" t="str">
            <v>AMUNDI FUNDS US CORPORATE BOND SELECT</v>
          </cell>
          <cell r="C647" t="str">
            <v>Class M USD (C)</v>
          </cell>
          <cell r="D647" t="str">
            <v>USD</v>
          </cell>
          <cell r="E647" t="str">
            <v>01-Dec-2025</v>
          </cell>
          <cell r="F647">
            <v>1751464.04</v>
          </cell>
          <cell r="G647">
            <v>14410.259</v>
          </cell>
          <cell r="H647">
            <v>121.54</v>
          </cell>
          <cell r="I647">
            <v>0</v>
          </cell>
          <cell r="J647">
            <v>121.54</v>
          </cell>
          <cell r="K647">
            <v>-0.5</v>
          </cell>
          <cell r="P647">
            <v>0</v>
          </cell>
        </row>
        <row r="648">
          <cell r="A648" t="str">
            <v>LU2305762622</v>
          </cell>
          <cell r="B648" t="str">
            <v>AMUNDI FUNDS US CORPORATE BOND SELECT</v>
          </cell>
          <cell r="C648" t="str">
            <v>Class M2 EUR Hgd QTD (D)</v>
          </cell>
          <cell r="D648" t="str">
            <v>EUR</v>
          </cell>
          <cell r="E648" t="str">
            <v>01-Dec-2025</v>
          </cell>
          <cell r="F648">
            <v>5781460.2800000003</v>
          </cell>
          <cell r="G648">
            <v>7161.8819999999996</v>
          </cell>
          <cell r="H648">
            <v>807.25</v>
          </cell>
          <cell r="I648">
            <v>0</v>
          </cell>
          <cell r="J648">
            <v>807.25</v>
          </cell>
          <cell r="K648">
            <v>-3.33</v>
          </cell>
          <cell r="P648">
            <v>0</v>
          </cell>
        </row>
        <row r="649">
          <cell r="A649" t="str">
            <v>LU1162497660</v>
          </cell>
          <cell r="B649" t="str">
            <v>AMUNDI FUNDS US CORPORATE BOND SELECT</v>
          </cell>
          <cell r="C649" t="str">
            <v>Class M EUR Hgd (C)</v>
          </cell>
          <cell r="D649" t="str">
            <v>EUR</v>
          </cell>
          <cell r="E649" t="str">
            <v>01-Dec-2025</v>
          </cell>
          <cell r="F649">
            <v>81350.710000000006</v>
          </cell>
          <cell r="G649">
            <v>691.76300000000003</v>
          </cell>
          <cell r="H649">
            <v>117.6</v>
          </cell>
          <cell r="I649">
            <v>0</v>
          </cell>
          <cell r="J649">
            <v>117.6</v>
          </cell>
          <cell r="K649">
            <v>-0.49</v>
          </cell>
          <cell r="P649">
            <v>0</v>
          </cell>
        </row>
        <row r="650">
          <cell r="A650" t="str">
            <v>LU1162497744</v>
          </cell>
          <cell r="B650" t="str">
            <v>AMUNDI FUNDS US CORPORATE BOND SELECT</v>
          </cell>
          <cell r="C650" t="str">
            <v>Class O USD (C)</v>
          </cell>
          <cell r="D650" t="str">
            <v>USD</v>
          </cell>
          <cell r="E650" t="str">
            <v>01-Dec-2025</v>
          </cell>
          <cell r="F650">
            <v>4458848.76</v>
          </cell>
          <cell r="G650">
            <v>2860.567</v>
          </cell>
          <cell r="H650">
            <v>1558.73</v>
          </cell>
          <cell r="I650">
            <v>0</v>
          </cell>
          <cell r="J650">
            <v>1558.73</v>
          </cell>
          <cell r="K650">
            <v>-6.29</v>
          </cell>
          <cell r="P650">
            <v>0</v>
          </cell>
        </row>
        <row r="651">
          <cell r="A651" t="str">
            <v>LU2659282698</v>
          </cell>
          <cell r="B651" t="str">
            <v>AMUNDI FUNDS US CORPORATE BOND SELECT</v>
          </cell>
          <cell r="C651" t="str">
            <v>Class P2 USD (C)</v>
          </cell>
          <cell r="D651" t="str">
            <v>USD</v>
          </cell>
          <cell r="E651" t="str">
            <v>01-Dec-2025</v>
          </cell>
          <cell r="F651">
            <v>159166.94</v>
          </cell>
          <cell r="G651">
            <v>2675.2040000000002</v>
          </cell>
          <cell r="H651">
            <v>59.5</v>
          </cell>
          <cell r="I651">
            <v>0</v>
          </cell>
          <cell r="J651">
            <v>59.5</v>
          </cell>
          <cell r="K651">
            <v>-0.24</v>
          </cell>
          <cell r="P651">
            <v>0</v>
          </cell>
        </row>
        <row r="652">
          <cell r="A652" t="str">
            <v>LU2790898634</v>
          </cell>
          <cell r="B652" t="str">
            <v>AMUNDI FUNDS US CORPORATE BOND SELECT</v>
          </cell>
          <cell r="C652" t="str">
            <v>Class R2 USD (C)</v>
          </cell>
          <cell r="D652" t="str">
            <v>USD</v>
          </cell>
          <cell r="E652" t="str">
            <v>01-Dec-2025</v>
          </cell>
          <cell r="F652">
            <v>1053305.45</v>
          </cell>
          <cell r="G652">
            <v>18800</v>
          </cell>
          <cell r="H652">
            <v>56.03</v>
          </cell>
          <cell r="I652">
            <v>0</v>
          </cell>
          <cell r="J652">
            <v>56.03</v>
          </cell>
          <cell r="K652">
            <v>-0.23</v>
          </cell>
          <cell r="P652">
            <v>0</v>
          </cell>
        </row>
        <row r="653">
          <cell r="A653" t="str">
            <v>LU1162498395</v>
          </cell>
          <cell r="B653" t="str">
            <v>AMUNDI FUNDS US CORPORATE BOND SELECT</v>
          </cell>
          <cell r="C653" t="str">
            <v>Class G USD (C)</v>
          </cell>
          <cell r="D653" t="str">
            <v>USD</v>
          </cell>
          <cell r="E653" t="str">
            <v>01-Dec-2025</v>
          </cell>
          <cell r="F653">
            <v>6093162.1699999999</v>
          </cell>
          <cell r="G653">
            <v>44764.567000000003</v>
          </cell>
          <cell r="H653">
            <v>136.12</v>
          </cell>
          <cell r="I653">
            <v>0</v>
          </cell>
          <cell r="J653">
            <v>140.19999999999999</v>
          </cell>
          <cell r="K653">
            <v>-0.56000000000000005</v>
          </cell>
          <cell r="P653">
            <v>0</v>
          </cell>
        </row>
        <row r="654">
          <cell r="A654" t="str">
            <v>LU1162498478</v>
          </cell>
          <cell r="B654" t="str">
            <v>AMUNDI FUNDS US CORPORATE BOND SELECT</v>
          </cell>
          <cell r="C654" t="str">
            <v>Class G EUR Hgd (C)</v>
          </cell>
          <cell r="D654" t="str">
            <v>EUR</v>
          </cell>
          <cell r="E654" t="str">
            <v>01-Dec-2025</v>
          </cell>
          <cell r="F654">
            <v>4557695.12</v>
          </cell>
          <cell r="G654">
            <v>41381.828999999998</v>
          </cell>
          <cell r="H654">
            <v>110.14</v>
          </cell>
          <cell r="I654">
            <v>0</v>
          </cell>
          <cell r="J654">
            <v>113.44</v>
          </cell>
          <cell r="K654">
            <v>-0.46</v>
          </cell>
          <cell r="P654">
            <v>0</v>
          </cell>
        </row>
        <row r="655">
          <cell r="A655" t="str">
            <v>LU2347636016</v>
          </cell>
          <cell r="B655" t="str">
            <v>AMUNDI FUNDS US CORPORATE BOND SELECT</v>
          </cell>
          <cell r="C655" t="str">
            <v>Class Z EUR Hgd (C)</v>
          </cell>
          <cell r="D655" t="str">
            <v>EUR</v>
          </cell>
          <cell r="E655" t="str">
            <v>01-Dec-2025</v>
          </cell>
          <cell r="F655">
            <v>36641428.950000003</v>
          </cell>
          <cell r="G655">
            <v>39415.828999999998</v>
          </cell>
          <cell r="H655">
            <v>929.61</v>
          </cell>
          <cell r="I655">
            <v>0</v>
          </cell>
          <cell r="J655">
            <v>929.61</v>
          </cell>
          <cell r="K655">
            <v>-3.88</v>
          </cell>
          <cell r="P655">
            <v>0</v>
          </cell>
        </row>
        <row r="656">
          <cell r="A656" t="str">
            <v>LU1162499369</v>
          </cell>
          <cell r="B656" t="str">
            <v>AMUNDI FUNDS GLOBAL HIGH YIELD BOND</v>
          </cell>
          <cell r="C656" t="str">
            <v>Class A USD (C)</v>
          </cell>
          <cell r="D656" t="str">
            <v>USD</v>
          </cell>
          <cell r="E656" t="str">
            <v>01-Dec-2025</v>
          </cell>
          <cell r="F656">
            <v>240205.05</v>
          </cell>
          <cell r="G656">
            <v>1564.4480000000001</v>
          </cell>
          <cell r="H656">
            <v>153.54</v>
          </cell>
          <cell r="I656">
            <v>0</v>
          </cell>
          <cell r="J656">
            <v>159.68</v>
          </cell>
          <cell r="K656">
            <v>-0.09</v>
          </cell>
          <cell r="P656">
            <v>0</v>
          </cell>
        </row>
        <row r="657">
          <cell r="A657" t="str">
            <v>LU1162499526</v>
          </cell>
          <cell r="B657" t="str">
            <v>AMUNDI FUNDS GLOBAL HIGH YIELD BOND</v>
          </cell>
          <cell r="C657" t="str">
            <v>Class A EUR Hgd (C)</v>
          </cell>
          <cell r="D657" t="str">
            <v>EUR</v>
          </cell>
          <cell r="E657" t="str">
            <v>01-Dec-2025</v>
          </cell>
          <cell r="F657">
            <v>3523495.15</v>
          </cell>
          <cell r="G657">
            <v>31439.346000000001</v>
          </cell>
          <cell r="H657">
            <v>112.07</v>
          </cell>
          <cell r="I657">
            <v>0</v>
          </cell>
          <cell r="J657">
            <v>116.55</v>
          </cell>
          <cell r="K657">
            <v>-0.08</v>
          </cell>
          <cell r="P657">
            <v>0</v>
          </cell>
        </row>
        <row r="658">
          <cell r="A658" t="str">
            <v>LU2018722863</v>
          </cell>
          <cell r="B658" t="str">
            <v>AMUNDI FUNDS GLOBAL HIGH YIELD BOND</v>
          </cell>
          <cell r="C658" t="str">
            <v>Class F EUR Hgd MTD (D)</v>
          </cell>
          <cell r="D658" t="str">
            <v>EUR</v>
          </cell>
          <cell r="E658" t="str">
            <v>01-Dec-2025</v>
          </cell>
          <cell r="F658">
            <v>83258.710000000006</v>
          </cell>
          <cell r="G658">
            <v>22714.13</v>
          </cell>
          <cell r="H658">
            <v>3.6659999999999999</v>
          </cell>
          <cell r="I658">
            <v>1.6299999999999999E-2</v>
          </cell>
          <cell r="J658">
            <v>3.6659999999999999</v>
          </cell>
          <cell r="K658">
            <v>-1.7999999999999999E-2</v>
          </cell>
          <cell r="P658">
            <v>0</v>
          </cell>
        </row>
        <row r="659">
          <cell r="A659" t="str">
            <v>LU1162499955</v>
          </cell>
          <cell r="B659" t="str">
            <v>AMUNDI FUNDS GLOBAL HIGH YIELD BOND</v>
          </cell>
          <cell r="C659" t="str">
            <v>Class F2 USD (C)</v>
          </cell>
          <cell r="D659" t="str">
            <v>USD</v>
          </cell>
          <cell r="E659" t="str">
            <v>01-Dec-2025</v>
          </cell>
          <cell r="F659">
            <v>920000.11</v>
          </cell>
          <cell r="G659">
            <v>6565.4059999999999</v>
          </cell>
          <cell r="H659">
            <v>140.13</v>
          </cell>
          <cell r="I659">
            <v>0</v>
          </cell>
          <cell r="J659">
            <v>140.13</v>
          </cell>
          <cell r="K659">
            <v>-0.09</v>
          </cell>
          <cell r="P659">
            <v>0</v>
          </cell>
        </row>
        <row r="660">
          <cell r="A660" t="str">
            <v>LU1162500042</v>
          </cell>
          <cell r="B660" t="str">
            <v>AMUNDI FUNDS GLOBAL HIGH YIELD BOND</v>
          </cell>
          <cell r="C660" t="str">
            <v>Class F2 EUR Hgd (C)</v>
          </cell>
          <cell r="D660" t="str">
            <v>EUR</v>
          </cell>
          <cell r="E660" t="str">
            <v>01-Dec-2025</v>
          </cell>
          <cell r="F660">
            <v>235339.11</v>
          </cell>
          <cell r="G660">
            <v>2032.904</v>
          </cell>
          <cell r="H660">
            <v>115.76</v>
          </cell>
          <cell r="I660">
            <v>0</v>
          </cell>
          <cell r="J660">
            <v>115.76</v>
          </cell>
          <cell r="K660">
            <v>-0.09</v>
          </cell>
          <cell r="P660">
            <v>0</v>
          </cell>
        </row>
        <row r="661">
          <cell r="A661" t="str">
            <v>LU1250883417</v>
          </cell>
          <cell r="B661" t="str">
            <v>AMUNDI FUNDS GLOBAL HIGH YIELD BOND</v>
          </cell>
          <cell r="C661" t="str">
            <v>Class F2 EUR Hgd MD (D)</v>
          </cell>
          <cell r="D661" t="str">
            <v>EUR</v>
          </cell>
          <cell r="E661" t="str">
            <v>01-Dec-2025</v>
          </cell>
          <cell r="F661">
            <v>315862.34999999998</v>
          </cell>
          <cell r="G661">
            <v>4576.6859999999997</v>
          </cell>
          <cell r="H661">
            <v>69.02</v>
          </cell>
          <cell r="I661">
            <v>0.30649999999999999</v>
          </cell>
          <cell r="J661">
            <v>69.02</v>
          </cell>
          <cell r="K661">
            <v>-0.35</v>
          </cell>
          <cell r="P661">
            <v>0</v>
          </cell>
        </row>
        <row r="662">
          <cell r="A662" t="str">
            <v>LU1250883334</v>
          </cell>
          <cell r="B662" t="str">
            <v>AMUNDI FUNDS GLOBAL HIGH YIELD BOND</v>
          </cell>
          <cell r="C662" t="str">
            <v>Class G EUR Hgd MD (D)</v>
          </cell>
          <cell r="D662" t="str">
            <v>EUR</v>
          </cell>
          <cell r="E662" t="str">
            <v>01-Dec-2025</v>
          </cell>
          <cell r="F662">
            <v>31031034.27</v>
          </cell>
          <cell r="G662">
            <v>438461.81599999999</v>
          </cell>
          <cell r="H662">
            <v>70.77</v>
          </cell>
          <cell r="I662">
            <v>0.31280000000000002</v>
          </cell>
          <cell r="J662">
            <v>70.77</v>
          </cell>
          <cell r="K662">
            <v>-0.36</v>
          </cell>
          <cell r="P662">
            <v>0</v>
          </cell>
        </row>
        <row r="663">
          <cell r="A663" t="str">
            <v>LU2031984003</v>
          </cell>
          <cell r="B663" t="str">
            <v>AMUNDI FUNDS GLOBAL HIGH YIELD BOND</v>
          </cell>
          <cell r="C663" t="str">
            <v>Class I2 GBP QD (D)</v>
          </cell>
          <cell r="D663" t="str">
            <v>GBP</v>
          </cell>
          <cell r="E663" t="str">
            <v>01-Dec-2025</v>
          </cell>
          <cell r="F663">
            <v>4185.6000000000004</v>
          </cell>
          <cell r="G663">
            <v>5</v>
          </cell>
          <cell r="H663">
            <v>837.12</v>
          </cell>
          <cell r="I663">
            <v>0</v>
          </cell>
          <cell r="J663">
            <v>837.12</v>
          </cell>
          <cell r="K663">
            <v>-0.57999999999999996</v>
          </cell>
          <cell r="P663">
            <v>0</v>
          </cell>
        </row>
        <row r="664">
          <cell r="A664" t="str">
            <v>LU2330497947</v>
          </cell>
          <cell r="B664" t="str">
            <v>AMUNDI FUNDS GLOBAL HIGH YIELD BOND</v>
          </cell>
          <cell r="C664" t="str">
            <v>Class I14 GBP Hgd QD (D)</v>
          </cell>
          <cell r="D664" t="str">
            <v>GBP</v>
          </cell>
          <cell r="E664" t="str">
            <v>01-Dec-2025</v>
          </cell>
          <cell r="F664">
            <v>26287.29</v>
          </cell>
          <cell r="G664">
            <v>293.262</v>
          </cell>
          <cell r="H664">
            <v>89.64</v>
          </cell>
          <cell r="I664">
            <v>0</v>
          </cell>
          <cell r="J664">
            <v>89.64</v>
          </cell>
          <cell r="K664">
            <v>-0.04</v>
          </cell>
          <cell r="P664">
            <v>0</v>
          </cell>
        </row>
        <row r="665">
          <cell r="A665" t="str">
            <v>LU1162498718</v>
          </cell>
          <cell r="B665" t="str">
            <v>AMUNDI FUNDS GLOBAL HIGH YIELD BOND</v>
          </cell>
          <cell r="C665" t="str">
            <v>Class I USD (C)</v>
          </cell>
          <cell r="D665" t="str">
            <v>USD</v>
          </cell>
          <cell r="E665" t="str">
            <v>01-Dec-2025</v>
          </cell>
          <cell r="F665">
            <v>415062.47</v>
          </cell>
          <cell r="G665">
            <v>251.16300000000001</v>
          </cell>
          <cell r="H665">
            <v>1652.56</v>
          </cell>
          <cell r="I665">
            <v>0</v>
          </cell>
          <cell r="J665">
            <v>1652.56</v>
          </cell>
          <cell r="K665">
            <v>-0.86</v>
          </cell>
          <cell r="P665">
            <v>0</v>
          </cell>
        </row>
        <row r="666">
          <cell r="A666" t="str">
            <v>LU2330497863</v>
          </cell>
          <cell r="B666" t="str">
            <v>AMUNDI FUNDS GLOBAL HIGH YIELD BOND</v>
          </cell>
          <cell r="C666" t="str">
            <v>Class I2 USD (C)</v>
          </cell>
          <cell r="D666" t="str">
            <v>USD</v>
          </cell>
          <cell r="E666" t="str">
            <v>01-Dec-2025</v>
          </cell>
          <cell r="F666">
            <v>7288759.7599999998</v>
          </cell>
          <cell r="G666">
            <v>6174.6540000000005</v>
          </cell>
          <cell r="H666">
            <v>1180.43</v>
          </cell>
          <cell r="I666">
            <v>0</v>
          </cell>
          <cell r="J666">
            <v>1180.43</v>
          </cell>
          <cell r="K666">
            <v>-0.62</v>
          </cell>
          <cell r="P666">
            <v>0</v>
          </cell>
        </row>
        <row r="667">
          <cell r="A667" t="str">
            <v>LU1897300478</v>
          </cell>
          <cell r="B667" t="str">
            <v>AMUNDI FUNDS GLOBAL HIGH YIELD BOND</v>
          </cell>
          <cell r="C667" t="str">
            <v>Class I2 GBP (C)</v>
          </cell>
          <cell r="D667" t="str">
            <v>GBP</v>
          </cell>
          <cell r="E667" t="str">
            <v>01-Dec-2025</v>
          </cell>
          <cell r="F667">
            <v>5874.82</v>
          </cell>
          <cell r="G667">
            <v>5</v>
          </cell>
          <cell r="H667">
            <v>1174.96</v>
          </cell>
          <cell r="I667">
            <v>0</v>
          </cell>
          <cell r="J667">
            <v>1174.96</v>
          </cell>
          <cell r="K667">
            <v>-0.82</v>
          </cell>
          <cell r="P667">
            <v>0</v>
          </cell>
        </row>
        <row r="668">
          <cell r="A668" t="str">
            <v>LU1162498981</v>
          </cell>
          <cell r="B668" t="str">
            <v>AMUNDI FUNDS GLOBAL HIGH YIELD BOND</v>
          </cell>
          <cell r="C668" t="str">
            <v>Class I EUR Hgd (C)</v>
          </cell>
          <cell r="D668" t="str">
            <v>EUR</v>
          </cell>
          <cell r="E668" t="str">
            <v>01-Dec-2025</v>
          </cell>
          <cell r="F668">
            <v>294377.90999999997</v>
          </cell>
          <cell r="G668">
            <v>219.43299999999999</v>
          </cell>
          <cell r="H668">
            <v>1341.54</v>
          </cell>
          <cell r="I668">
            <v>0</v>
          </cell>
          <cell r="J668">
            <v>1341.54</v>
          </cell>
          <cell r="K668">
            <v>-0.78</v>
          </cell>
          <cell r="P668">
            <v>0</v>
          </cell>
        </row>
        <row r="669">
          <cell r="A669" t="str">
            <v>LU1891089077</v>
          </cell>
          <cell r="B669" t="str">
            <v>AMUNDI FUNDS GLOBAL HIGH YIELD BOND</v>
          </cell>
          <cell r="C669" t="str">
            <v>Class Q-I21 GBP Hgd (C)</v>
          </cell>
          <cell r="D669" t="str">
            <v>GBP</v>
          </cell>
          <cell r="E669" t="str">
            <v>01-Dec-2025</v>
          </cell>
          <cell r="F669">
            <v>20922697</v>
          </cell>
          <cell r="G669">
            <v>16457.728999999999</v>
          </cell>
          <cell r="H669">
            <v>1271.3</v>
          </cell>
          <cell r="I669">
            <v>0</v>
          </cell>
          <cell r="J669">
            <v>1271.3</v>
          </cell>
          <cell r="K669">
            <v>-0.63</v>
          </cell>
          <cell r="P669">
            <v>0</v>
          </cell>
        </row>
        <row r="670">
          <cell r="A670" t="str">
            <v>LU2052287138</v>
          </cell>
          <cell r="B670" t="str">
            <v>AMUNDI FUNDS GLOBAL HIGH YIELD BOND</v>
          </cell>
          <cell r="C670" t="str">
            <v>Class J3 GBP (C)</v>
          </cell>
          <cell r="D670" t="str">
            <v>GBP</v>
          </cell>
          <cell r="E670" t="str">
            <v>01-Dec-2025</v>
          </cell>
          <cell r="F670">
            <v>5839.19</v>
          </cell>
          <cell r="G670">
            <v>5</v>
          </cell>
          <cell r="H670">
            <v>1167.8399999999999</v>
          </cell>
          <cell r="I670">
            <v>0</v>
          </cell>
          <cell r="J670">
            <v>1167.8399999999999</v>
          </cell>
          <cell r="K670">
            <v>-0.81</v>
          </cell>
          <cell r="P670">
            <v>0</v>
          </cell>
        </row>
        <row r="671">
          <cell r="A671" t="str">
            <v>LU2110861650</v>
          </cell>
          <cell r="B671" t="str">
            <v>AMUNDI FUNDS GLOBAL HIGH YIELD BOND</v>
          </cell>
          <cell r="C671" t="str">
            <v>Class J3 GBP Hgd (C)</v>
          </cell>
          <cell r="D671" t="str">
            <v>GBP</v>
          </cell>
          <cell r="E671" t="str">
            <v>01-Dec-2025</v>
          </cell>
          <cell r="F671">
            <v>123749.61</v>
          </cell>
          <cell r="G671">
            <v>106.501</v>
          </cell>
          <cell r="H671">
            <v>1161.96</v>
          </cell>
          <cell r="I671">
            <v>0</v>
          </cell>
          <cell r="J671">
            <v>1161.96</v>
          </cell>
          <cell r="K671">
            <v>-0.6</v>
          </cell>
          <cell r="P671">
            <v>0</v>
          </cell>
        </row>
        <row r="672">
          <cell r="A672" t="str">
            <v>LU2052287211</v>
          </cell>
          <cell r="B672" t="str">
            <v>AMUNDI FUNDS GLOBAL HIGH YIELD BOND</v>
          </cell>
          <cell r="C672" t="str">
            <v>Class J3 GBP QD (D)</v>
          </cell>
          <cell r="D672" t="str">
            <v>GBP</v>
          </cell>
          <cell r="E672" t="str">
            <v>01-Dec-2025</v>
          </cell>
          <cell r="F672">
            <v>4161.33</v>
          </cell>
          <cell r="G672">
            <v>5</v>
          </cell>
          <cell r="H672">
            <v>832.27</v>
          </cell>
          <cell r="I672">
            <v>0</v>
          </cell>
          <cell r="J672">
            <v>832.27</v>
          </cell>
          <cell r="K672">
            <v>-0.56999999999999995</v>
          </cell>
          <cell r="P672">
            <v>0</v>
          </cell>
        </row>
        <row r="673">
          <cell r="A673" t="str">
            <v>LU1162499286</v>
          </cell>
          <cell r="B673" t="str">
            <v>AMUNDI FUNDS GLOBAL HIGH YIELD BOND</v>
          </cell>
          <cell r="C673" t="str">
            <v>Class O USD (C)</v>
          </cell>
          <cell r="D673" t="str">
            <v>USD</v>
          </cell>
          <cell r="E673" t="str">
            <v>01-Dec-2025</v>
          </cell>
          <cell r="F673">
            <v>3471116.24</v>
          </cell>
          <cell r="G673">
            <v>2000</v>
          </cell>
          <cell r="H673">
            <v>1735.56</v>
          </cell>
          <cell r="I673">
            <v>0</v>
          </cell>
          <cell r="J673">
            <v>1735.56</v>
          </cell>
          <cell r="K673">
            <v>-0.83</v>
          </cell>
          <cell r="P673">
            <v>0</v>
          </cell>
        </row>
        <row r="674">
          <cell r="A674" t="str">
            <v>LU2259108988</v>
          </cell>
          <cell r="B674" t="str">
            <v>AMUNDI FUNDS GLOBAL HIGH YIELD BOND</v>
          </cell>
          <cell r="C674" t="str">
            <v>Class R3 GBP Hgd (C)</v>
          </cell>
          <cell r="D674" t="str">
            <v>GBP</v>
          </cell>
          <cell r="E674" t="str">
            <v>01-Dec-2025</v>
          </cell>
          <cell r="F674">
            <v>119322.76</v>
          </cell>
          <cell r="G674">
            <v>10004.700000000001</v>
          </cell>
          <cell r="H674">
            <v>11.93</v>
          </cell>
          <cell r="I674">
            <v>0</v>
          </cell>
          <cell r="J674">
            <v>11.93</v>
          </cell>
          <cell r="K674">
            <v>0</v>
          </cell>
          <cell r="P674">
            <v>0</v>
          </cell>
        </row>
        <row r="675">
          <cell r="A675" t="str">
            <v>LU1162499799</v>
          </cell>
          <cell r="B675" t="str">
            <v>AMUNDI FUNDS GLOBAL HIGH YIELD BOND</v>
          </cell>
          <cell r="C675" t="str">
            <v>Class G USD (C)</v>
          </cell>
          <cell r="D675" t="str">
            <v>USD</v>
          </cell>
          <cell r="E675" t="str">
            <v>01-Dec-2025</v>
          </cell>
          <cell r="F675">
            <v>3451297.73</v>
          </cell>
          <cell r="G675">
            <v>23555.665000000001</v>
          </cell>
          <cell r="H675">
            <v>146.52000000000001</v>
          </cell>
          <cell r="I675">
            <v>0</v>
          </cell>
          <cell r="J675">
            <v>150.91999999999999</v>
          </cell>
          <cell r="K675">
            <v>-0.09</v>
          </cell>
          <cell r="P675">
            <v>0</v>
          </cell>
        </row>
        <row r="676">
          <cell r="A676" t="str">
            <v>LU1162499872</v>
          </cell>
          <cell r="B676" t="str">
            <v>AMUNDI FUNDS GLOBAL HIGH YIELD BOND</v>
          </cell>
          <cell r="C676" t="str">
            <v>Class G EUR Hgd (C)</v>
          </cell>
          <cell r="D676" t="str">
            <v>EUR</v>
          </cell>
          <cell r="E676" t="str">
            <v>01-Dec-2025</v>
          </cell>
          <cell r="F676">
            <v>4036655.65</v>
          </cell>
          <cell r="G676">
            <v>33412.245000000003</v>
          </cell>
          <cell r="H676">
            <v>120.81</v>
          </cell>
          <cell r="I676">
            <v>0</v>
          </cell>
          <cell r="J676">
            <v>124.43</v>
          </cell>
          <cell r="K676">
            <v>-0.08</v>
          </cell>
          <cell r="P676">
            <v>0</v>
          </cell>
        </row>
        <row r="677">
          <cell r="A677" t="str">
            <v>LU1998921776</v>
          </cell>
          <cell r="B677" t="str">
            <v>AMUNDI FUNDS GLOBAL HIGH YIELD BOND</v>
          </cell>
          <cell r="C677" t="str">
            <v>Class X USD (C)</v>
          </cell>
          <cell r="D677" t="str">
            <v>USD</v>
          </cell>
          <cell r="E677" t="str">
            <v>01-Dec-2025</v>
          </cell>
          <cell r="F677">
            <v>117486369.48999999</v>
          </cell>
          <cell r="G677">
            <v>88851.004000000001</v>
          </cell>
          <cell r="H677">
            <v>1322.29</v>
          </cell>
          <cell r="I677">
            <v>0</v>
          </cell>
          <cell r="J677">
            <v>1322.29</v>
          </cell>
          <cell r="K677">
            <v>-0.63</v>
          </cell>
          <cell r="P677">
            <v>0</v>
          </cell>
        </row>
        <row r="678">
          <cell r="A678" t="str">
            <v>LU2907103597</v>
          </cell>
          <cell r="B678" t="str">
            <v>AMUNDI FUNDS GLOBAL HIGH YIELD BOND</v>
          </cell>
          <cell r="C678" t="str">
            <v>Class X EUR Hgd AD (D)</v>
          </cell>
          <cell r="D678" t="str">
            <v>EUR</v>
          </cell>
          <cell r="E678" t="str">
            <v>01-Dec-2025</v>
          </cell>
          <cell r="F678">
            <v>36742485.310000002</v>
          </cell>
          <cell r="G678">
            <v>36016.809000000001</v>
          </cell>
          <cell r="H678">
            <v>1020.15</v>
          </cell>
          <cell r="I678">
            <v>0</v>
          </cell>
          <cell r="J678">
            <v>1020.15</v>
          </cell>
          <cell r="K678">
            <v>-0.55000000000000004</v>
          </cell>
          <cell r="P678">
            <v>0</v>
          </cell>
        </row>
        <row r="679">
          <cell r="A679" t="str">
            <v>LU1998920026</v>
          </cell>
          <cell r="B679" t="str">
            <v>AMUNDI FUNDS GLOBAL HIGH YIELD BOND</v>
          </cell>
          <cell r="C679" t="str">
            <v>Class H USD (C)</v>
          </cell>
          <cell r="D679" t="str">
            <v>USD</v>
          </cell>
          <cell r="E679" t="str">
            <v>01-Dec-2025</v>
          </cell>
          <cell r="F679">
            <v>6477.84</v>
          </cell>
          <cell r="G679">
            <v>5</v>
          </cell>
          <cell r="H679">
            <v>1295.57</v>
          </cell>
          <cell r="I679">
            <v>0</v>
          </cell>
          <cell r="J679">
            <v>1295.57</v>
          </cell>
          <cell r="K679">
            <v>-0.66</v>
          </cell>
          <cell r="P679">
            <v>0</v>
          </cell>
        </row>
        <row r="680">
          <cell r="A680" t="str">
            <v>LU1161086159</v>
          </cell>
          <cell r="B680" t="str">
            <v>AMUNDI FUNDS EMERGING MARKETS BLENDED BOND</v>
          </cell>
          <cell r="C680" t="str">
            <v>Class A EUR (C)</v>
          </cell>
          <cell r="D680" t="str">
            <v>EUR</v>
          </cell>
          <cell r="E680" t="str">
            <v>01-Dec-2025</v>
          </cell>
          <cell r="F680">
            <v>153990187.66</v>
          </cell>
          <cell r="G680">
            <v>768304.4</v>
          </cell>
          <cell r="H680">
            <v>200.43</v>
          </cell>
          <cell r="I680">
            <v>0</v>
          </cell>
          <cell r="J680">
            <v>208.45</v>
          </cell>
          <cell r="K680">
            <v>-0.17</v>
          </cell>
          <cell r="P680">
            <v>0</v>
          </cell>
        </row>
        <row r="681">
          <cell r="A681" t="str">
            <v>LU1534095879</v>
          </cell>
          <cell r="B681" t="str">
            <v>AMUNDI FUNDS EMERGING MARKETS BLENDED BOND</v>
          </cell>
          <cell r="C681" t="str">
            <v>Class A2 SGD Hgd MD (D)</v>
          </cell>
          <cell r="D681" t="str">
            <v>SGD</v>
          </cell>
          <cell r="E681" t="str">
            <v>01-Dec-2025</v>
          </cell>
          <cell r="F681">
            <v>55650.080000000002</v>
          </cell>
          <cell r="G681">
            <v>735.85</v>
          </cell>
          <cell r="H681">
            <v>75.63</v>
          </cell>
          <cell r="I681">
            <v>0.313</v>
          </cell>
          <cell r="J681">
            <v>75.63</v>
          </cell>
          <cell r="K681">
            <v>-0.37</v>
          </cell>
          <cell r="P681">
            <v>0</v>
          </cell>
        </row>
        <row r="682">
          <cell r="A682" t="str">
            <v>LU1534096687</v>
          </cell>
          <cell r="B682" t="str">
            <v>AMUNDI FUNDS EMERGING MARKETS BLENDED BOND</v>
          </cell>
          <cell r="C682" t="str">
            <v>Class A2 USD Hgd (C)</v>
          </cell>
          <cell r="D682" t="str">
            <v>USD</v>
          </cell>
          <cell r="E682" t="str">
            <v>01-Dec-2025</v>
          </cell>
          <cell r="F682">
            <v>15045.6</v>
          </cell>
          <cell r="G682">
            <v>300</v>
          </cell>
          <cell r="H682">
            <v>50.15</v>
          </cell>
          <cell r="I682">
            <v>0</v>
          </cell>
          <cell r="J682">
            <v>50.15</v>
          </cell>
          <cell r="K682">
            <v>-0.04</v>
          </cell>
          <cell r="P682">
            <v>0</v>
          </cell>
        </row>
        <row r="683">
          <cell r="A683" t="str">
            <v>LU1534096091</v>
          </cell>
          <cell r="B683" t="str">
            <v>AMUNDI FUNDS EMERGING MARKETS BLENDED BOND</v>
          </cell>
          <cell r="C683" t="str">
            <v>Class A2 SGD Hgd (C)</v>
          </cell>
          <cell r="D683" t="str">
            <v>SGD</v>
          </cell>
          <cell r="E683" t="str">
            <v>01-Dec-2025</v>
          </cell>
          <cell r="F683">
            <v>92687.08</v>
          </cell>
          <cell r="G683">
            <v>802.82100000000003</v>
          </cell>
          <cell r="H683">
            <v>115.45</v>
          </cell>
          <cell r="I683">
            <v>0</v>
          </cell>
          <cell r="J683">
            <v>115.45</v>
          </cell>
          <cell r="K683">
            <v>-0.09</v>
          </cell>
          <cell r="P683">
            <v>0</v>
          </cell>
        </row>
        <row r="684">
          <cell r="A684" t="str">
            <v>LU1543731449</v>
          </cell>
          <cell r="B684" t="str">
            <v>AMUNDI FUNDS EMERGING MARKETS BLENDED BOND</v>
          </cell>
          <cell r="C684" t="str">
            <v>Class A USD Hgd (C)</v>
          </cell>
          <cell r="D684" t="str">
            <v>USD</v>
          </cell>
          <cell r="E684" t="str">
            <v>01-Dec-2025</v>
          </cell>
          <cell r="F684">
            <v>17261.16</v>
          </cell>
          <cell r="G684">
            <v>150</v>
          </cell>
          <cell r="H684">
            <v>115.07</v>
          </cell>
          <cell r="I684">
            <v>0</v>
          </cell>
          <cell r="J684">
            <v>115.07</v>
          </cell>
          <cell r="K684">
            <v>-0.1</v>
          </cell>
          <cell r="P684">
            <v>0</v>
          </cell>
        </row>
        <row r="685">
          <cell r="A685" t="str">
            <v>LU1161086316</v>
          </cell>
          <cell r="B685" t="str">
            <v>AMUNDI FUNDS EMERGING MARKETS BLENDED BOND</v>
          </cell>
          <cell r="C685" t="str">
            <v>Class A EUR AD (D)</v>
          </cell>
          <cell r="D685" t="str">
            <v>EUR</v>
          </cell>
          <cell r="E685" t="str">
            <v>01-Dec-2025</v>
          </cell>
          <cell r="F685">
            <v>23813701.420000002</v>
          </cell>
          <cell r="G685">
            <v>279098.359</v>
          </cell>
          <cell r="H685">
            <v>85.32</v>
          </cell>
          <cell r="I685">
            <v>0</v>
          </cell>
          <cell r="J685">
            <v>88.73</v>
          </cell>
          <cell r="K685">
            <v>-0.08</v>
          </cell>
          <cell r="P685">
            <v>0</v>
          </cell>
        </row>
        <row r="686">
          <cell r="A686" t="str">
            <v>LU2002720485</v>
          </cell>
          <cell r="B686" t="str">
            <v>AMUNDI FUNDS EMERGING MARKETS BLENDED BOND</v>
          </cell>
          <cell r="C686" t="str">
            <v>Class M2 EUR ( C )</v>
          </cell>
          <cell r="D686" t="str">
            <v>EUR</v>
          </cell>
          <cell r="E686" t="str">
            <v>01-Dec-2025</v>
          </cell>
          <cell r="F686">
            <v>120044.61</v>
          </cell>
          <cell r="G686">
            <v>105.95099999999999</v>
          </cell>
          <cell r="H686">
            <v>1133.02</v>
          </cell>
          <cell r="I686">
            <v>0</v>
          </cell>
          <cell r="J686">
            <v>1133.02</v>
          </cell>
          <cell r="K686">
            <v>-0.78</v>
          </cell>
          <cell r="P686">
            <v>0</v>
          </cell>
        </row>
        <row r="687">
          <cell r="A687" t="str">
            <v>LU2070310110</v>
          </cell>
          <cell r="B687" t="str">
            <v>AMUNDI FUNDS EMERGING MARKETS BLENDED BOND</v>
          </cell>
          <cell r="C687" t="str">
            <v>Class A2 EUR AD (D)</v>
          </cell>
          <cell r="D687" t="str">
            <v>EUR</v>
          </cell>
          <cell r="E687" t="str">
            <v>01-Dec-2025</v>
          </cell>
          <cell r="F687">
            <v>19035432.940000001</v>
          </cell>
          <cell r="G687">
            <v>423351.00599999999</v>
          </cell>
          <cell r="H687">
            <v>44.96</v>
          </cell>
          <cell r="I687">
            <v>0</v>
          </cell>
          <cell r="J687">
            <v>46.76</v>
          </cell>
          <cell r="K687">
            <v>-0.04</v>
          </cell>
          <cell r="P687">
            <v>0</v>
          </cell>
        </row>
        <row r="688">
          <cell r="A688" t="str">
            <v>LU2036673965</v>
          </cell>
          <cell r="B688" t="str">
            <v>AMUNDI FUNDS EMERGING MARKETS BLENDED BOND</v>
          </cell>
          <cell r="C688" t="str">
            <v>Class E2 EUR (C)</v>
          </cell>
          <cell r="D688" t="str">
            <v>EUR</v>
          </cell>
          <cell r="E688" t="str">
            <v>01-Dec-2025</v>
          </cell>
          <cell r="F688">
            <v>4117609.38</v>
          </cell>
          <cell r="G688">
            <v>762108.66299999994</v>
          </cell>
          <cell r="H688">
            <v>5.4029999999999996</v>
          </cell>
          <cell r="I688">
            <v>0</v>
          </cell>
          <cell r="J688">
            <v>5.4029999999999996</v>
          </cell>
          <cell r="K688">
            <v>-4.0000000000000001E-3</v>
          </cell>
          <cell r="P688">
            <v>0</v>
          </cell>
        </row>
        <row r="689">
          <cell r="A689" t="str">
            <v>LU1534096844</v>
          </cell>
          <cell r="B689" t="str">
            <v>AMUNDI FUNDS EMERGING MARKETS BLENDED BOND</v>
          </cell>
          <cell r="C689" t="str">
            <v>Class A2 EUR (C)</v>
          </cell>
          <cell r="D689" t="str">
            <v>EUR</v>
          </cell>
          <cell r="E689" t="str">
            <v>01-Dec-2025</v>
          </cell>
          <cell r="F689">
            <v>16917083.149999999</v>
          </cell>
          <cell r="G689">
            <v>149906.24299999999</v>
          </cell>
          <cell r="H689">
            <v>112.85</v>
          </cell>
          <cell r="I689">
            <v>0</v>
          </cell>
          <cell r="J689">
            <v>112.85</v>
          </cell>
          <cell r="K689">
            <v>-0.09</v>
          </cell>
          <cell r="P689">
            <v>0</v>
          </cell>
        </row>
        <row r="690">
          <cell r="A690" t="str">
            <v>LU2018719489</v>
          </cell>
          <cell r="B690" t="str">
            <v>AMUNDI FUNDS EMERGING MARKETS BLENDED BOND</v>
          </cell>
          <cell r="C690" t="str">
            <v>Class F EUR (C)</v>
          </cell>
          <cell r="D690" t="str">
            <v>EUR</v>
          </cell>
          <cell r="E690" t="str">
            <v>01-Dec-2025</v>
          </cell>
          <cell r="F690">
            <v>95320.93</v>
          </cell>
          <cell r="G690">
            <v>18198.215</v>
          </cell>
          <cell r="H690">
            <v>5.2380000000000004</v>
          </cell>
          <cell r="I690">
            <v>0</v>
          </cell>
          <cell r="J690">
            <v>5.2380000000000004</v>
          </cell>
          <cell r="K690">
            <v>-4.0000000000000001E-3</v>
          </cell>
          <cell r="P690">
            <v>0</v>
          </cell>
        </row>
        <row r="691">
          <cell r="A691" t="str">
            <v>LU1161086589</v>
          </cell>
          <cell r="B691" t="str">
            <v>AMUNDI FUNDS EMERGING MARKETS BLENDED BOND</v>
          </cell>
          <cell r="C691" t="str">
            <v>Class F2 EUR (C)</v>
          </cell>
          <cell r="D691" t="str">
            <v>EUR</v>
          </cell>
          <cell r="E691" t="str">
            <v>01-Dec-2025</v>
          </cell>
          <cell r="F691">
            <v>3791198.97</v>
          </cell>
          <cell r="G691">
            <v>36046.858</v>
          </cell>
          <cell r="H691">
            <v>105.17</v>
          </cell>
          <cell r="I691">
            <v>0</v>
          </cell>
          <cell r="J691">
            <v>105.17</v>
          </cell>
          <cell r="K691">
            <v>-0.09</v>
          </cell>
          <cell r="P691">
            <v>0</v>
          </cell>
        </row>
        <row r="692">
          <cell r="A692" t="str">
            <v>LU2018719562</v>
          </cell>
          <cell r="B692" t="str">
            <v>AMUNDI FUNDS EMERGING MARKETS BLENDED BOND</v>
          </cell>
          <cell r="C692" t="str">
            <v>Class F EUR QTD (D)</v>
          </cell>
          <cell r="D692" t="str">
            <v>EUR</v>
          </cell>
          <cell r="E692" t="str">
            <v>01-Dec-2025</v>
          </cell>
          <cell r="F692">
            <v>109447.66</v>
          </cell>
          <cell r="G692">
            <v>28456.377</v>
          </cell>
          <cell r="H692">
            <v>3.8460000000000001</v>
          </cell>
          <cell r="I692">
            <v>0</v>
          </cell>
          <cell r="J692">
            <v>3.8460000000000001</v>
          </cell>
          <cell r="K692">
            <v>-4.0000000000000001E-3</v>
          </cell>
          <cell r="P692">
            <v>0</v>
          </cell>
        </row>
        <row r="693">
          <cell r="A693" t="str">
            <v>LU1600318759</v>
          </cell>
          <cell r="B693" t="str">
            <v>AMUNDI FUNDS EMERGING MARKETS BLENDED BOND</v>
          </cell>
          <cell r="C693" t="str">
            <v>Class F2 EUR QD (D)</v>
          </cell>
          <cell r="D693" t="str">
            <v>EUR</v>
          </cell>
          <cell r="E693" t="str">
            <v>01-Dec-2025</v>
          </cell>
          <cell r="F693">
            <v>2232244.94</v>
          </cell>
          <cell r="G693">
            <v>32640.86</v>
          </cell>
          <cell r="H693">
            <v>68.39</v>
          </cell>
          <cell r="I693">
            <v>0</v>
          </cell>
          <cell r="J693">
            <v>68.39</v>
          </cell>
          <cell r="K693">
            <v>-0.05</v>
          </cell>
          <cell r="P693">
            <v>0</v>
          </cell>
        </row>
        <row r="694">
          <cell r="A694" t="str">
            <v>LU1161085698</v>
          </cell>
          <cell r="B694" t="str">
            <v>AMUNDI FUNDS EMERGING MARKETS BLENDED BOND</v>
          </cell>
          <cell r="C694" t="str">
            <v>Class I EUR (C)</v>
          </cell>
          <cell r="D694" t="str">
            <v>EUR</v>
          </cell>
          <cell r="E694" t="str">
            <v>01-Dec-2025</v>
          </cell>
          <cell r="F694">
            <v>8255043.79</v>
          </cell>
          <cell r="G694">
            <v>152.96700000000001</v>
          </cell>
          <cell r="H694">
            <v>53966.17</v>
          </cell>
          <cell r="I694">
            <v>0</v>
          </cell>
          <cell r="J694">
            <v>53966.17</v>
          </cell>
          <cell r="K694">
            <v>-42.34</v>
          </cell>
          <cell r="P694">
            <v>0</v>
          </cell>
        </row>
        <row r="695">
          <cell r="A695" t="str">
            <v>LU1161085854</v>
          </cell>
          <cell r="B695" t="str">
            <v>AMUNDI FUNDS EMERGING MARKETS BLENDED BOND</v>
          </cell>
          <cell r="C695" t="str">
            <v>Class Q-I11 EUR (C)</v>
          </cell>
          <cell r="D695" t="str">
            <v>EUR</v>
          </cell>
          <cell r="E695" t="str">
            <v>01-Dec-2025</v>
          </cell>
          <cell r="F695">
            <v>214005386.94999999</v>
          </cell>
          <cell r="G695">
            <v>20</v>
          </cell>
          <cell r="H695">
            <v>10700269.35</v>
          </cell>
          <cell r="I695">
            <v>0</v>
          </cell>
          <cell r="J695">
            <v>10700269.35</v>
          </cell>
          <cell r="K695">
            <v>-8107.34</v>
          </cell>
          <cell r="P695">
            <v>0</v>
          </cell>
        </row>
        <row r="696">
          <cell r="A696" t="str">
            <v>LU2538405445</v>
          </cell>
          <cell r="B696" t="str">
            <v>AMUNDI FUNDS EMERGING MARKETS BLENDED BOND</v>
          </cell>
          <cell r="C696" t="str">
            <v>Class I2 EUR (C)</v>
          </cell>
          <cell r="D696" t="str">
            <v>EUR</v>
          </cell>
          <cell r="E696" t="str">
            <v>01-Dec-2025</v>
          </cell>
          <cell r="F696">
            <v>36823797.200000003</v>
          </cell>
          <cell r="G696">
            <v>28603.935000000001</v>
          </cell>
          <cell r="H696">
            <v>1287.3699999999999</v>
          </cell>
          <cell r="I696">
            <v>0</v>
          </cell>
          <cell r="J696">
            <v>1287.3699999999999</v>
          </cell>
          <cell r="K696">
            <v>-0.89</v>
          </cell>
          <cell r="P696">
            <v>0</v>
          </cell>
        </row>
        <row r="697">
          <cell r="A697" t="str">
            <v>LU2034727227</v>
          </cell>
          <cell r="B697" t="str">
            <v>AMUNDI FUNDS EMERGING MARKETS BLENDED BOND</v>
          </cell>
          <cell r="C697" t="str">
            <v>Class J2 EUR (C)</v>
          </cell>
          <cell r="D697" t="str">
            <v>EUR</v>
          </cell>
          <cell r="E697" t="str">
            <v>01-Dec-2025</v>
          </cell>
          <cell r="F697">
            <v>103033363.58</v>
          </cell>
          <cell r="G697">
            <v>90439.724000000002</v>
          </cell>
          <cell r="H697">
            <v>1139.25</v>
          </cell>
          <cell r="I697">
            <v>0</v>
          </cell>
          <cell r="J697">
            <v>1139.25</v>
          </cell>
          <cell r="K697">
            <v>-0.78</v>
          </cell>
          <cell r="P697">
            <v>0</v>
          </cell>
        </row>
        <row r="698">
          <cell r="A698" t="str">
            <v>LU1161085938</v>
          </cell>
          <cell r="B698" t="str">
            <v>AMUNDI FUNDS EMERGING MARKETS BLENDED BOND</v>
          </cell>
          <cell r="C698" t="str">
            <v>Class M EUR (C)</v>
          </cell>
          <cell r="D698" t="str">
            <v>EUR</v>
          </cell>
          <cell r="E698" t="str">
            <v>01-Dec-2025</v>
          </cell>
          <cell r="F698">
            <v>28556370.780000001</v>
          </cell>
          <cell r="G698">
            <v>246985.128</v>
          </cell>
          <cell r="H698">
            <v>115.62</v>
          </cell>
          <cell r="I698">
            <v>0</v>
          </cell>
          <cell r="J698">
            <v>115.62</v>
          </cell>
          <cell r="K698">
            <v>-0.09</v>
          </cell>
          <cell r="P698">
            <v>0</v>
          </cell>
        </row>
        <row r="699">
          <cell r="A699" t="str">
            <v>LU1600318676</v>
          </cell>
          <cell r="B699" t="str">
            <v>AMUNDI FUNDS EMERGING MARKETS BLENDED BOND</v>
          </cell>
          <cell r="C699" t="str">
            <v>Class Q-OF EUR AD (D)</v>
          </cell>
          <cell r="D699" t="str">
            <v>EUR</v>
          </cell>
          <cell r="E699" t="str">
            <v>01-Dec-2025</v>
          </cell>
          <cell r="F699">
            <v>1414262.86</v>
          </cell>
          <cell r="G699">
            <v>1239.806</v>
          </cell>
          <cell r="H699">
            <v>1140.71</v>
          </cell>
          <cell r="I699">
            <v>0</v>
          </cell>
          <cell r="J699">
            <v>1140.71</v>
          </cell>
          <cell r="K699">
            <v>-0.73</v>
          </cell>
          <cell r="P699">
            <v>0</v>
          </cell>
        </row>
        <row r="700">
          <cell r="A700" t="str">
            <v>LU1161086662</v>
          </cell>
          <cell r="B700" t="str">
            <v>AMUNDI FUNDS EMERGING MARKETS BLENDED BOND</v>
          </cell>
          <cell r="C700" t="str">
            <v>Class R EUR (C)</v>
          </cell>
          <cell r="D700" t="str">
            <v>EUR</v>
          </cell>
          <cell r="E700" t="str">
            <v>01-Dec-2025</v>
          </cell>
          <cell r="F700">
            <v>19157074.370000001</v>
          </cell>
          <cell r="G700">
            <v>353417.31</v>
          </cell>
          <cell r="H700">
            <v>54.21</v>
          </cell>
          <cell r="I700">
            <v>0</v>
          </cell>
          <cell r="J700">
            <v>54.21</v>
          </cell>
          <cell r="K700">
            <v>-0.04</v>
          </cell>
          <cell r="P700">
            <v>0</v>
          </cell>
        </row>
        <row r="701">
          <cell r="A701" t="str">
            <v>LU1161086407</v>
          </cell>
          <cell r="B701" t="str">
            <v>AMUNDI FUNDS EMERGING MARKETS BLENDED BOND</v>
          </cell>
          <cell r="C701" t="str">
            <v>Class G EUR (C)</v>
          </cell>
          <cell r="D701" t="str">
            <v>EUR</v>
          </cell>
          <cell r="E701" t="str">
            <v>01-Dec-2025</v>
          </cell>
          <cell r="F701">
            <v>102106295.44</v>
          </cell>
          <cell r="G701">
            <v>865381.696</v>
          </cell>
          <cell r="H701">
            <v>117.99</v>
          </cell>
          <cell r="I701">
            <v>0</v>
          </cell>
          <cell r="J701">
            <v>121.53</v>
          </cell>
          <cell r="K701">
            <v>-0.1</v>
          </cell>
          <cell r="P701">
            <v>0</v>
          </cell>
        </row>
        <row r="702">
          <cell r="A702" t="str">
            <v>LU2630492929</v>
          </cell>
          <cell r="B702" t="str">
            <v>AMUNDI FUNDS EMERGING MARKETS BLENDED BOND</v>
          </cell>
          <cell r="C702" t="str">
            <v>Class X3 EUR QD (D)</v>
          </cell>
          <cell r="D702" t="str">
            <v>EUR</v>
          </cell>
          <cell r="E702" t="str">
            <v>01-Dec-2025</v>
          </cell>
          <cell r="F702">
            <v>30575533.859999999</v>
          </cell>
          <cell r="G702">
            <v>30192.962</v>
          </cell>
          <cell r="H702">
            <v>1012.67</v>
          </cell>
          <cell r="I702">
            <v>0</v>
          </cell>
          <cell r="J702">
            <v>1012.67</v>
          </cell>
          <cell r="K702">
            <v>-0.65</v>
          </cell>
          <cell r="P702">
            <v>0</v>
          </cell>
        </row>
        <row r="703">
          <cell r="A703" t="str">
            <v>LU1361117796</v>
          </cell>
          <cell r="B703" t="str">
            <v>AMUNDI FUNDS EMERGING MARKETS BLENDED BOND</v>
          </cell>
          <cell r="C703" t="str">
            <v>Class Q-I14 GBP Hgd (C)</v>
          </cell>
          <cell r="D703" t="str">
            <v>GBP</v>
          </cell>
          <cell r="E703" t="str">
            <v>01-Dec-2025</v>
          </cell>
          <cell r="F703">
            <v>2422981015.0999999</v>
          </cell>
          <cell r="G703">
            <v>1573221.203</v>
          </cell>
          <cell r="H703">
            <v>1540.14</v>
          </cell>
          <cell r="I703">
            <v>0</v>
          </cell>
          <cell r="J703">
            <v>1540.14</v>
          </cell>
          <cell r="K703">
            <v>-0.9</v>
          </cell>
          <cell r="P703">
            <v>0</v>
          </cell>
        </row>
        <row r="704">
          <cell r="A704" t="str">
            <v>LU3208851082</v>
          </cell>
          <cell r="B704" t="str">
            <v>AMUNDI FUNDS EMERGING MARKETS BLENDED BOND</v>
          </cell>
          <cell r="C704" t="str">
            <v>Class X2 EUR (C)</v>
          </cell>
          <cell r="D704" t="str">
            <v>EUR</v>
          </cell>
          <cell r="E704" t="str">
            <v>01-Dec-2025</v>
          </cell>
          <cell r="F704">
            <v>5017.21</v>
          </cell>
          <cell r="G704">
            <v>5</v>
          </cell>
          <cell r="H704">
            <v>1003.44</v>
          </cell>
          <cell r="I704">
            <v>0</v>
          </cell>
          <cell r="J704">
            <v>1003.44</v>
          </cell>
          <cell r="K704">
            <v>-0.64</v>
          </cell>
          <cell r="P704">
            <v>0</v>
          </cell>
        </row>
        <row r="705">
          <cell r="A705" t="str">
            <v>LU1600318833</v>
          </cell>
          <cell r="B705" t="str">
            <v>AMUNDI FUNDS EMERGING MARKETS BLENDED BOND</v>
          </cell>
          <cell r="C705" t="str">
            <v>Class G EUR QD (D)</v>
          </cell>
          <cell r="D705" t="str">
            <v>EUR</v>
          </cell>
          <cell r="E705" t="str">
            <v>01-Dec-2025</v>
          </cell>
          <cell r="F705">
            <v>70161420.650000006</v>
          </cell>
          <cell r="G705">
            <v>992575.978</v>
          </cell>
          <cell r="H705">
            <v>70.69</v>
          </cell>
          <cell r="I705">
            <v>0</v>
          </cell>
          <cell r="J705">
            <v>70.69</v>
          </cell>
          <cell r="K705">
            <v>-0.06</v>
          </cell>
          <cell r="P705">
            <v>0</v>
          </cell>
        </row>
        <row r="706">
          <cell r="A706" t="str">
            <v>LU1253540170</v>
          </cell>
          <cell r="B706" t="str">
            <v>AMUNDI FUNDS MULTI-ASSET REAL RETURN</v>
          </cell>
          <cell r="C706" t="str">
            <v>Class A EUR (C)</v>
          </cell>
          <cell r="D706" t="str">
            <v>EUR</v>
          </cell>
          <cell r="E706" t="str">
            <v>01-Dec-2025</v>
          </cell>
          <cell r="F706">
            <v>804386.55</v>
          </cell>
          <cell r="G706">
            <v>7105.5050000000001</v>
          </cell>
          <cell r="H706">
            <v>113.21</v>
          </cell>
          <cell r="I706">
            <v>0</v>
          </cell>
          <cell r="J706">
            <v>118.3</v>
          </cell>
          <cell r="K706">
            <v>-0.37</v>
          </cell>
          <cell r="P706">
            <v>0</v>
          </cell>
        </row>
        <row r="707">
          <cell r="A707" t="str">
            <v>LU1650130344</v>
          </cell>
          <cell r="B707" t="str">
            <v>AMUNDI FUNDS MULTI-ASSET REAL RETURN</v>
          </cell>
          <cell r="C707" t="str">
            <v>Class A CZK Hgd (C)</v>
          </cell>
          <cell r="D707" t="str">
            <v>CZK</v>
          </cell>
          <cell r="E707" t="str">
            <v>01-Dec-2025</v>
          </cell>
          <cell r="F707">
            <v>380539292.81999999</v>
          </cell>
          <cell r="G707">
            <v>124013.026</v>
          </cell>
          <cell r="H707">
            <v>3068.54</v>
          </cell>
          <cell r="I707">
            <v>0</v>
          </cell>
          <cell r="J707">
            <v>3068.54</v>
          </cell>
          <cell r="K707">
            <v>-10.01</v>
          </cell>
          <cell r="P707">
            <v>0</v>
          </cell>
        </row>
        <row r="708">
          <cell r="A708" t="str">
            <v>LU1253540410</v>
          </cell>
          <cell r="B708" t="str">
            <v>AMUNDI FUNDS MULTI-ASSET REAL RETURN</v>
          </cell>
          <cell r="C708" t="str">
            <v>Class A EUR AD (D)</v>
          </cell>
          <cell r="D708" t="str">
            <v>EUR</v>
          </cell>
          <cell r="E708" t="str">
            <v>01-Dec-2025</v>
          </cell>
          <cell r="F708">
            <v>123.65</v>
          </cell>
          <cell r="G708">
            <v>1.1379999999999999</v>
          </cell>
          <cell r="H708">
            <v>108.66</v>
          </cell>
          <cell r="I708">
            <v>0</v>
          </cell>
          <cell r="J708">
            <v>113.55</v>
          </cell>
          <cell r="K708">
            <v>-0.35</v>
          </cell>
          <cell r="P708">
            <v>0</v>
          </cell>
        </row>
        <row r="709">
          <cell r="A709" t="str">
            <v>LU2018720818</v>
          </cell>
          <cell r="B709" t="str">
            <v>AMUNDI FUNDS MULTI-ASSET REAL RETURN</v>
          </cell>
          <cell r="C709" t="str">
            <v>Class F EUR (C)</v>
          </cell>
          <cell r="D709" t="str">
            <v>EUR</v>
          </cell>
          <cell r="E709" t="str">
            <v>01-Dec-2025</v>
          </cell>
          <cell r="F709">
            <v>166975.76999999999</v>
          </cell>
          <cell r="G709">
            <v>32014.59</v>
          </cell>
          <cell r="H709">
            <v>5.2160000000000002</v>
          </cell>
          <cell r="I709">
            <v>0</v>
          </cell>
          <cell r="J709">
            <v>5.2160000000000002</v>
          </cell>
          <cell r="K709">
            <v>-1.7000000000000001E-2</v>
          </cell>
          <cell r="P709">
            <v>0</v>
          </cell>
        </row>
        <row r="710">
          <cell r="A710" t="str">
            <v>LU1253541814</v>
          </cell>
          <cell r="B710" t="str">
            <v>AMUNDI FUNDS MULTI-ASSET REAL RETURN</v>
          </cell>
          <cell r="C710" t="str">
            <v>Class F2 EUR (C)</v>
          </cell>
          <cell r="D710" t="str">
            <v>EUR</v>
          </cell>
          <cell r="E710" t="str">
            <v>01-Dec-2025</v>
          </cell>
          <cell r="F710">
            <v>1851741.4</v>
          </cell>
          <cell r="G710">
            <v>17811.96</v>
          </cell>
          <cell r="H710">
            <v>103.96</v>
          </cell>
          <cell r="I710">
            <v>0</v>
          </cell>
          <cell r="J710">
            <v>103.96</v>
          </cell>
          <cell r="K710">
            <v>-0.35</v>
          </cell>
          <cell r="P710">
            <v>0</v>
          </cell>
        </row>
        <row r="711">
          <cell r="A711" t="str">
            <v>LU2018721030</v>
          </cell>
          <cell r="B711" t="str">
            <v>AMUNDI FUNDS MULTI-ASSET REAL RETURN</v>
          </cell>
          <cell r="C711" t="str">
            <v>Class F EUR QTD (D)</v>
          </cell>
          <cell r="D711" t="str">
            <v>EUR</v>
          </cell>
          <cell r="E711" t="str">
            <v>01-Dec-2025</v>
          </cell>
          <cell r="F711">
            <v>23014.560000000001</v>
          </cell>
          <cell r="G711">
            <v>5013.2529999999997</v>
          </cell>
          <cell r="H711">
            <v>4.5910000000000002</v>
          </cell>
          <cell r="I711">
            <v>0</v>
          </cell>
          <cell r="J711">
            <v>4.5910000000000002</v>
          </cell>
          <cell r="K711">
            <v>-1.4999999999999999E-2</v>
          </cell>
          <cell r="P711">
            <v>0</v>
          </cell>
        </row>
        <row r="712">
          <cell r="A712" t="str">
            <v>LU1327398381</v>
          </cell>
          <cell r="B712" t="str">
            <v>AMUNDI FUNDS MULTI-ASSET REAL RETURN</v>
          </cell>
          <cell r="C712" t="str">
            <v>Class F2 EUR QD (D)</v>
          </cell>
          <cell r="D712" t="str">
            <v>EUR</v>
          </cell>
          <cell r="E712" t="str">
            <v>01-Dec-2025</v>
          </cell>
          <cell r="F712">
            <v>345597.76</v>
          </cell>
          <cell r="G712">
            <v>3894.623</v>
          </cell>
          <cell r="H712">
            <v>88.74</v>
          </cell>
          <cell r="I712">
            <v>0</v>
          </cell>
          <cell r="J712">
            <v>88.74</v>
          </cell>
          <cell r="K712">
            <v>-0.3</v>
          </cell>
          <cell r="P712">
            <v>0</v>
          </cell>
        </row>
        <row r="713">
          <cell r="A713" t="str">
            <v>LU1253540840</v>
          </cell>
          <cell r="B713" t="str">
            <v>AMUNDI FUNDS MULTI-ASSET REAL RETURN</v>
          </cell>
          <cell r="C713" t="str">
            <v>Class I EUR (C)</v>
          </cell>
          <cell r="D713" t="str">
            <v>EUR</v>
          </cell>
          <cell r="E713" t="str">
            <v>01-Dec-2025</v>
          </cell>
          <cell r="F713">
            <v>2385066.1</v>
          </cell>
          <cell r="G713">
            <v>1986.951</v>
          </cell>
          <cell r="H713">
            <v>1200.3599999999999</v>
          </cell>
          <cell r="I713">
            <v>0</v>
          </cell>
          <cell r="J713">
            <v>1200.3599999999999</v>
          </cell>
          <cell r="K713">
            <v>-3.88</v>
          </cell>
          <cell r="P713">
            <v>0</v>
          </cell>
        </row>
        <row r="714">
          <cell r="A714" t="str">
            <v>LU1253542119</v>
          </cell>
          <cell r="B714" t="str">
            <v>AMUNDI FUNDS MULTI-ASSET REAL RETURN</v>
          </cell>
          <cell r="C714" t="str">
            <v>Class Q-I JPY Hgd AD (D)</v>
          </cell>
          <cell r="D714" t="str">
            <v>JPY</v>
          </cell>
          <cell r="E714" t="str">
            <v>01-Dec-2025</v>
          </cell>
          <cell r="F714">
            <v>1974379370</v>
          </cell>
          <cell r="G714">
            <v>19611.78</v>
          </cell>
          <cell r="H714">
            <v>100673</v>
          </cell>
          <cell r="I714">
            <v>0</v>
          </cell>
          <cell r="J714">
            <v>100673</v>
          </cell>
          <cell r="K714">
            <v>-332</v>
          </cell>
          <cell r="P714">
            <v>0</v>
          </cell>
        </row>
        <row r="715">
          <cell r="A715" t="str">
            <v>LU1253542036</v>
          </cell>
          <cell r="B715" t="str">
            <v>AMUNDI FUNDS MULTI-ASSET REAL RETURN</v>
          </cell>
          <cell r="C715" t="str">
            <v>Class Q-I JPY Hgd (C)</v>
          </cell>
          <cell r="D715" t="str">
            <v>JPY</v>
          </cell>
          <cell r="E715" t="str">
            <v>01-Dec-2025</v>
          </cell>
          <cell r="F715">
            <v>11466136620</v>
          </cell>
          <cell r="G715">
            <v>99527.476999999999</v>
          </cell>
          <cell r="H715">
            <v>115206</v>
          </cell>
          <cell r="I715">
            <v>0</v>
          </cell>
          <cell r="J715">
            <v>115206</v>
          </cell>
          <cell r="K715">
            <v>-377</v>
          </cell>
          <cell r="P715">
            <v>0</v>
          </cell>
        </row>
        <row r="716">
          <cell r="A716" t="str">
            <v>LU1327398035</v>
          </cell>
          <cell r="B716" t="str">
            <v>AMUNDI FUNDS MULTI-ASSET REAL RETURN</v>
          </cell>
          <cell r="C716" t="str">
            <v>Class M EUR (C)</v>
          </cell>
          <cell r="D716" t="str">
            <v>EUR</v>
          </cell>
          <cell r="E716" t="str">
            <v>01-Dec-2025</v>
          </cell>
          <cell r="F716">
            <v>9182221.9299999997</v>
          </cell>
          <cell r="G716">
            <v>75122.657999999996</v>
          </cell>
          <cell r="H716">
            <v>122.23</v>
          </cell>
          <cell r="I716">
            <v>0</v>
          </cell>
          <cell r="J716">
            <v>122.23</v>
          </cell>
          <cell r="K716">
            <v>-0.4</v>
          </cell>
          <cell r="P716">
            <v>0</v>
          </cell>
        </row>
        <row r="717">
          <cell r="A717" t="str">
            <v>LU1253541574</v>
          </cell>
          <cell r="B717" t="str">
            <v>AMUNDI FUNDS MULTI-ASSET REAL RETURN</v>
          </cell>
          <cell r="C717" t="str">
            <v>Class G EUR (C)</v>
          </cell>
          <cell r="D717" t="str">
            <v>EUR</v>
          </cell>
          <cell r="E717" t="str">
            <v>01-Dec-2025</v>
          </cell>
          <cell r="F717">
            <v>112504262.39</v>
          </cell>
          <cell r="G717">
            <v>1041168.578</v>
          </cell>
          <cell r="H717">
            <v>108.06</v>
          </cell>
          <cell r="I717">
            <v>0</v>
          </cell>
          <cell r="J717">
            <v>111.3</v>
          </cell>
          <cell r="K717">
            <v>-0.35</v>
          </cell>
          <cell r="P717">
            <v>0</v>
          </cell>
        </row>
        <row r="718">
          <cell r="A718" t="str">
            <v>LU1327398209</v>
          </cell>
          <cell r="B718" t="str">
            <v>AMUNDI FUNDS MULTI-ASSET REAL RETURN</v>
          </cell>
          <cell r="C718" t="str">
            <v>Class G EUR QD (D)</v>
          </cell>
          <cell r="D718" t="str">
            <v>EUR</v>
          </cell>
          <cell r="E718" t="str">
            <v>01-Dec-2025</v>
          </cell>
          <cell r="F718">
            <v>33378143.350000001</v>
          </cell>
          <cell r="G718">
            <v>362289.97499999998</v>
          </cell>
          <cell r="H718">
            <v>92.13</v>
          </cell>
          <cell r="I718">
            <v>0</v>
          </cell>
          <cell r="J718">
            <v>92.13</v>
          </cell>
          <cell r="K718">
            <v>-0.31</v>
          </cell>
          <cell r="P718">
            <v>0</v>
          </cell>
        </row>
        <row r="719">
          <cell r="A719" t="str">
            <v>LU1328850950</v>
          </cell>
          <cell r="B719" t="str">
            <v>AMUNDI FUNDS EUROLAND EQUITY RISK PARITY</v>
          </cell>
          <cell r="C719" t="str">
            <v>Class A EUR (C)</v>
          </cell>
          <cell r="D719" t="str">
            <v>EUR</v>
          </cell>
          <cell r="E719" t="str">
            <v>01-Dec-2025</v>
          </cell>
          <cell r="F719">
            <v>703487.81</v>
          </cell>
          <cell r="G719">
            <v>4249.8789999999999</v>
          </cell>
          <cell r="H719">
            <v>165.53</v>
          </cell>
          <cell r="I719">
            <v>0</v>
          </cell>
          <cell r="J719">
            <v>165.53</v>
          </cell>
          <cell r="K719">
            <v>-0.3</v>
          </cell>
          <cell r="P719">
            <v>0</v>
          </cell>
        </row>
        <row r="720">
          <cell r="A720" t="str">
            <v>LU1328850448</v>
          </cell>
          <cell r="B720" t="str">
            <v>AMUNDI FUNDS EUROLAND EQUITY RISK PARITY</v>
          </cell>
          <cell r="C720" t="str">
            <v>Class I EUR (C)</v>
          </cell>
          <cell r="D720" t="str">
            <v>EUR</v>
          </cell>
          <cell r="E720" t="str">
            <v>01-Dec-2025</v>
          </cell>
          <cell r="F720">
            <v>55352781.130000003</v>
          </cell>
          <cell r="G720">
            <v>392.69</v>
          </cell>
          <cell r="H720">
            <v>140957.96</v>
          </cell>
          <cell r="I720">
            <v>0</v>
          </cell>
          <cell r="J720">
            <v>140957.96</v>
          </cell>
          <cell r="K720">
            <v>-252.96</v>
          </cell>
          <cell r="P720">
            <v>0</v>
          </cell>
        </row>
        <row r="721">
          <cell r="A721" t="str">
            <v>LU1328850521</v>
          </cell>
          <cell r="B721" t="str">
            <v>AMUNDI FUNDS EUROLAND EQUITY RISK PARITY</v>
          </cell>
          <cell r="C721" t="str">
            <v>Class I EUR AD (D)</v>
          </cell>
          <cell r="D721" t="str">
            <v>EUR</v>
          </cell>
          <cell r="E721" t="str">
            <v>01-Dec-2025</v>
          </cell>
          <cell r="F721">
            <v>99656379.180000007</v>
          </cell>
          <cell r="G721">
            <v>71948.517999999996</v>
          </cell>
          <cell r="H721">
            <v>1385.11</v>
          </cell>
          <cell r="I721">
            <v>0</v>
          </cell>
          <cell r="J721">
            <v>1385.11</v>
          </cell>
          <cell r="K721">
            <v>-2.48</v>
          </cell>
          <cell r="P721">
            <v>0</v>
          </cell>
        </row>
        <row r="722">
          <cell r="A722" t="str">
            <v>LU1328849358</v>
          </cell>
          <cell r="B722" t="str">
            <v>AMUNDI FUNDS EURO SUBORDINATED BOND RESPONSIBLE</v>
          </cell>
          <cell r="C722" t="str">
            <v>Class A2 EUR (C)</v>
          </cell>
          <cell r="D722" t="str">
            <v>EUR</v>
          </cell>
          <cell r="E722" t="str">
            <v>01-Dec-2025</v>
          </cell>
          <cell r="F722">
            <v>49654070.020000003</v>
          </cell>
          <cell r="G722">
            <v>328013.511</v>
          </cell>
          <cell r="H722">
            <v>151.38</v>
          </cell>
          <cell r="I722">
            <v>0</v>
          </cell>
          <cell r="J722">
            <v>151.38</v>
          </cell>
          <cell r="K722">
            <v>0.06</v>
          </cell>
          <cell r="P722">
            <v>0</v>
          </cell>
        </row>
        <row r="723">
          <cell r="A723" t="str">
            <v>LU2401725424</v>
          </cell>
          <cell r="B723" t="str">
            <v>AMUNDI FUNDS EURO SUBORDINATED BOND RESPONSIBLE</v>
          </cell>
          <cell r="C723" t="str">
            <v>Class A6 EUR (C)</v>
          </cell>
          <cell r="D723" t="str">
            <v>EUR</v>
          </cell>
          <cell r="E723" t="str">
            <v>01-Dec-2025</v>
          </cell>
          <cell r="F723">
            <v>113652986.48999999</v>
          </cell>
          <cell r="G723">
            <v>1943704.0430000001</v>
          </cell>
          <cell r="H723">
            <v>58.47</v>
          </cell>
          <cell r="I723">
            <v>0</v>
          </cell>
          <cell r="J723">
            <v>58.47</v>
          </cell>
          <cell r="K723">
            <v>0.01</v>
          </cell>
          <cell r="P723">
            <v>0</v>
          </cell>
        </row>
        <row r="724">
          <cell r="A724" t="str">
            <v>LU1328849432</v>
          </cell>
          <cell r="B724" t="str">
            <v>AMUNDI FUNDS EURO SUBORDINATED BOND RESPONSIBLE</v>
          </cell>
          <cell r="C724" t="str">
            <v>Class A2 EUR AD (D)</v>
          </cell>
          <cell r="D724" t="str">
            <v>EUR</v>
          </cell>
          <cell r="E724" t="str">
            <v>01-Dec-2025</v>
          </cell>
          <cell r="F724">
            <v>421347.13</v>
          </cell>
          <cell r="G724">
            <v>3630.049</v>
          </cell>
          <cell r="H724">
            <v>116.07</v>
          </cell>
          <cell r="I724">
            <v>0</v>
          </cell>
          <cell r="J724">
            <v>116.07</v>
          </cell>
          <cell r="K724">
            <v>0.04</v>
          </cell>
          <cell r="P724">
            <v>0</v>
          </cell>
        </row>
        <row r="725">
          <cell r="A725" t="str">
            <v>LU2002724479</v>
          </cell>
          <cell r="B725" t="str">
            <v>AMUNDI FUNDS EURO SUBORDINATED BOND RESPONSIBLE</v>
          </cell>
          <cell r="C725" t="str">
            <v>Class M2 EUR ( C )</v>
          </cell>
          <cell r="D725" t="str">
            <v>EUR</v>
          </cell>
          <cell r="E725" t="str">
            <v>01-Dec-2025</v>
          </cell>
          <cell r="F725">
            <v>67415395.689999998</v>
          </cell>
          <cell r="G725">
            <v>50971.211000000003</v>
          </cell>
          <cell r="H725">
            <v>1322.62</v>
          </cell>
          <cell r="I725">
            <v>0</v>
          </cell>
          <cell r="J725">
            <v>1322.62</v>
          </cell>
          <cell r="K725">
            <v>0.57999999999999996</v>
          </cell>
          <cell r="P725">
            <v>0</v>
          </cell>
        </row>
        <row r="726">
          <cell r="A726" t="str">
            <v>LU1328849606</v>
          </cell>
          <cell r="B726" t="str">
            <v>AMUNDI FUNDS EURO SUBORDINATED BOND RESPONSIBLE</v>
          </cell>
          <cell r="C726" t="str">
            <v>Class F2 EUR (C)</v>
          </cell>
          <cell r="D726" t="str">
            <v>EUR</v>
          </cell>
          <cell r="E726" t="str">
            <v>01-Dec-2025</v>
          </cell>
          <cell r="F726">
            <v>2267597.9700000002</v>
          </cell>
          <cell r="G726">
            <v>16241.6</v>
          </cell>
          <cell r="H726">
            <v>139.62</v>
          </cell>
          <cell r="I726">
            <v>0</v>
          </cell>
          <cell r="J726">
            <v>139.62</v>
          </cell>
          <cell r="K726">
            <v>0.05</v>
          </cell>
          <cell r="P726">
            <v>0</v>
          </cell>
        </row>
        <row r="727">
          <cell r="A727" t="str">
            <v>LU1998920455</v>
          </cell>
          <cell r="B727" t="str">
            <v>AMUNDI FUNDS EURO SUBORDINATED BOND RESPONSIBLE</v>
          </cell>
          <cell r="C727" t="str">
            <v>Class H EUR  ( C )</v>
          </cell>
          <cell r="D727" t="str">
            <v>EUR</v>
          </cell>
          <cell r="E727" t="str">
            <v>01-Dec-2025</v>
          </cell>
          <cell r="F727">
            <v>11987469.99</v>
          </cell>
          <cell r="G727">
            <v>8785.9369999999999</v>
          </cell>
          <cell r="H727">
            <v>1364.39</v>
          </cell>
          <cell r="I727">
            <v>0</v>
          </cell>
          <cell r="J727">
            <v>1364.39</v>
          </cell>
          <cell r="K727">
            <v>0.65</v>
          </cell>
          <cell r="P727">
            <v>0</v>
          </cell>
        </row>
        <row r="728">
          <cell r="A728" t="str">
            <v>LU1328848970</v>
          </cell>
          <cell r="B728" t="str">
            <v>AMUNDI FUNDS EURO SUBORDINATED BOND RESPONSIBLE</v>
          </cell>
          <cell r="C728" t="str">
            <v>Class I EUR (C)</v>
          </cell>
          <cell r="D728" t="str">
            <v>EUR</v>
          </cell>
          <cell r="E728" t="str">
            <v>01-Dec-2025</v>
          </cell>
          <cell r="F728">
            <v>75211155.950000003</v>
          </cell>
          <cell r="G728">
            <v>460717.62900000002</v>
          </cell>
          <cell r="H728">
            <v>163.25</v>
          </cell>
          <cell r="I728">
            <v>0</v>
          </cell>
          <cell r="J728">
            <v>163.25</v>
          </cell>
          <cell r="K728">
            <v>7.0000000000000007E-2</v>
          </cell>
          <cell r="P728">
            <v>0</v>
          </cell>
        </row>
        <row r="729">
          <cell r="A729" t="str">
            <v>LU2477812007</v>
          </cell>
          <cell r="B729" t="str">
            <v>AMUNDI FUNDS EURO SUBORDINATED BOND RESPONSIBLE</v>
          </cell>
          <cell r="C729" t="str">
            <v>Class I2 EUR AD (D)</v>
          </cell>
          <cell r="D729" t="str">
            <v>EUR</v>
          </cell>
          <cell r="E729" t="str">
            <v>01-Dec-2025</v>
          </cell>
          <cell r="F729">
            <v>21244412.059999999</v>
          </cell>
          <cell r="G729">
            <v>18828</v>
          </cell>
          <cell r="H729">
            <v>1128.3399999999999</v>
          </cell>
          <cell r="I729">
            <v>0</v>
          </cell>
          <cell r="J729">
            <v>1128.3399999999999</v>
          </cell>
          <cell r="K729">
            <v>0.5</v>
          </cell>
          <cell r="P729">
            <v>0</v>
          </cell>
        </row>
        <row r="730">
          <cell r="A730" t="str">
            <v>LU2279408327</v>
          </cell>
          <cell r="B730" t="str">
            <v>AMUNDI FUNDS EURO SUBORDINATED BOND RESPONSIBLE</v>
          </cell>
          <cell r="C730" t="str">
            <v>Class M2 EUR QTD (D)</v>
          </cell>
          <cell r="D730" t="str">
            <v>EUR</v>
          </cell>
          <cell r="E730" t="str">
            <v>01-Dec-2025</v>
          </cell>
          <cell r="F730">
            <v>18133325.210000001</v>
          </cell>
          <cell r="G730">
            <v>18541.239000000001</v>
          </cell>
          <cell r="H730">
            <v>978</v>
          </cell>
          <cell r="I730">
            <v>0</v>
          </cell>
          <cell r="J730">
            <v>978</v>
          </cell>
          <cell r="K730">
            <v>0.43</v>
          </cell>
          <cell r="P730">
            <v>0</v>
          </cell>
        </row>
        <row r="731">
          <cell r="A731" t="str">
            <v>LU1328849788</v>
          </cell>
          <cell r="B731" t="str">
            <v>AMUNDI FUNDS EURO SUBORDINATED BOND RESPONSIBLE</v>
          </cell>
          <cell r="C731" t="str">
            <v>Class R2 EUR (C)</v>
          </cell>
          <cell r="D731" t="str">
            <v>EUR</v>
          </cell>
          <cell r="E731" t="str">
            <v>01-Dec-2025</v>
          </cell>
          <cell r="F731">
            <v>38739602.560000002</v>
          </cell>
          <cell r="G731">
            <v>237065.253</v>
          </cell>
          <cell r="H731">
            <v>163.41</v>
          </cell>
          <cell r="I731">
            <v>0</v>
          </cell>
          <cell r="J731">
            <v>163.41</v>
          </cell>
          <cell r="K731">
            <v>7.0000000000000007E-2</v>
          </cell>
          <cell r="P731">
            <v>0</v>
          </cell>
        </row>
        <row r="732">
          <cell r="A732" t="str">
            <v>LU1328849861</v>
          </cell>
          <cell r="B732" t="str">
            <v>AMUNDI FUNDS EURO SUBORDINATED BOND RESPONSIBLE</v>
          </cell>
          <cell r="C732" t="str">
            <v>Class R2 EUR AD (D)</v>
          </cell>
          <cell r="D732" t="str">
            <v>EUR</v>
          </cell>
          <cell r="E732" t="str">
            <v>01-Dec-2025</v>
          </cell>
          <cell r="F732">
            <v>152290.20000000001</v>
          </cell>
          <cell r="G732">
            <v>1306.5920000000001</v>
          </cell>
          <cell r="H732">
            <v>116.56</v>
          </cell>
          <cell r="I732">
            <v>0</v>
          </cell>
          <cell r="J732">
            <v>116.56</v>
          </cell>
          <cell r="K732">
            <v>0.06</v>
          </cell>
          <cell r="P732">
            <v>0</v>
          </cell>
        </row>
        <row r="733">
          <cell r="A733" t="str">
            <v>LU1328849515</v>
          </cell>
          <cell r="B733" t="str">
            <v>AMUNDI FUNDS EURO SUBORDINATED BOND RESPONSIBLE</v>
          </cell>
          <cell r="C733" t="str">
            <v>Class G EUR (C)</v>
          </cell>
          <cell r="D733" t="str">
            <v>EUR</v>
          </cell>
          <cell r="E733" t="str">
            <v>01-Dec-2025</v>
          </cell>
          <cell r="F733">
            <v>15610795.82</v>
          </cell>
          <cell r="G733">
            <v>111296.928</v>
          </cell>
          <cell r="H733">
            <v>140.26</v>
          </cell>
          <cell r="I733">
            <v>0</v>
          </cell>
          <cell r="J733">
            <v>140.26</v>
          </cell>
          <cell r="K733">
            <v>0.02</v>
          </cell>
          <cell r="P733">
            <v>0</v>
          </cell>
        </row>
        <row r="734">
          <cell r="A734" t="str">
            <v>LU2132230389</v>
          </cell>
          <cell r="B734" t="str">
            <v>AMUNDI FUNDS EURO SUBORDINATED BOND RESPONSIBLE</v>
          </cell>
          <cell r="C734" t="str">
            <v>Class Z EUR (C)</v>
          </cell>
          <cell r="D734" t="str">
            <v>EUR</v>
          </cell>
          <cell r="E734" t="str">
            <v>01-Dec-2025</v>
          </cell>
          <cell r="F734">
            <v>250694686.08000001</v>
          </cell>
          <cell r="G734">
            <v>200271.56700000001</v>
          </cell>
          <cell r="H734">
            <v>1251.77</v>
          </cell>
          <cell r="I734">
            <v>0</v>
          </cell>
          <cell r="J734">
            <v>1251.77</v>
          </cell>
          <cell r="K734">
            <v>0.32</v>
          </cell>
          <cell r="P734">
            <v>0</v>
          </cell>
        </row>
        <row r="735">
          <cell r="A735" t="str">
            <v>LU1638825742</v>
          </cell>
          <cell r="B735" t="str">
            <v>AMUNDI FUNDS EURO BOND INCOME</v>
          </cell>
          <cell r="C735" t="str">
            <v>Class Q-A4 EUR AD (D)</v>
          </cell>
          <cell r="D735" t="str">
            <v>EUR</v>
          </cell>
          <cell r="E735" t="str">
            <v>01-Dec-2025</v>
          </cell>
          <cell r="F735">
            <v>3890769.84</v>
          </cell>
          <cell r="G735">
            <v>465609.66200000001</v>
          </cell>
          <cell r="H735">
            <v>8.36</v>
          </cell>
          <cell r="I735">
            <v>0</v>
          </cell>
          <cell r="J735">
            <v>8.36</v>
          </cell>
          <cell r="K735">
            <v>0</v>
          </cell>
          <cell r="P735">
            <v>0</v>
          </cell>
        </row>
        <row r="736">
          <cell r="A736" t="str">
            <v>LU1386074709</v>
          </cell>
          <cell r="B736" t="str">
            <v>AMUNDI FUNDS EURO BOND INCOME</v>
          </cell>
          <cell r="C736" t="str">
            <v>Class A2 EUR AD (D)</v>
          </cell>
          <cell r="D736" t="str">
            <v>EUR</v>
          </cell>
          <cell r="E736" t="str">
            <v>01-Dec-2025</v>
          </cell>
          <cell r="F736">
            <v>231801.28</v>
          </cell>
          <cell r="G736">
            <v>2525.5100000000002</v>
          </cell>
          <cell r="H736">
            <v>91.78</v>
          </cell>
          <cell r="I736">
            <v>0</v>
          </cell>
          <cell r="J736">
            <v>95.91</v>
          </cell>
          <cell r="K736">
            <v>-0.02</v>
          </cell>
          <cell r="P736">
            <v>0</v>
          </cell>
        </row>
        <row r="737">
          <cell r="A737" t="str">
            <v>LU2002724396</v>
          </cell>
          <cell r="B737" t="str">
            <v>AMUNDI FUNDS EURO BOND INCOME</v>
          </cell>
          <cell r="C737" t="str">
            <v>Class M2 EUR AD ( D )</v>
          </cell>
          <cell r="D737" t="str">
            <v>EUR</v>
          </cell>
          <cell r="E737" t="str">
            <v>01-Dec-2025</v>
          </cell>
          <cell r="F737">
            <v>528096.24</v>
          </cell>
          <cell r="G737">
            <v>528.85400000000004</v>
          </cell>
          <cell r="H737">
            <v>998.57</v>
          </cell>
          <cell r="I737">
            <v>0</v>
          </cell>
          <cell r="J737">
            <v>998.57</v>
          </cell>
          <cell r="K737">
            <v>-0.11</v>
          </cell>
          <cell r="P737">
            <v>0</v>
          </cell>
        </row>
        <row r="738">
          <cell r="A738" t="str">
            <v>LU1386074964</v>
          </cell>
          <cell r="B738" t="str">
            <v>AMUNDI FUNDS EURO BOND INCOME</v>
          </cell>
          <cell r="C738" t="str">
            <v>Class F2 EUR AD (D)</v>
          </cell>
          <cell r="D738" t="str">
            <v>EUR</v>
          </cell>
          <cell r="E738" t="str">
            <v>01-Dec-2025</v>
          </cell>
          <cell r="F738">
            <v>1554801.21</v>
          </cell>
          <cell r="G738">
            <v>17785.631000000001</v>
          </cell>
          <cell r="H738">
            <v>87.42</v>
          </cell>
          <cell r="I738">
            <v>0</v>
          </cell>
          <cell r="J738">
            <v>87.42</v>
          </cell>
          <cell r="K738">
            <v>-0.02</v>
          </cell>
          <cell r="P738">
            <v>0</v>
          </cell>
        </row>
        <row r="739">
          <cell r="A739" t="str">
            <v>LU1386074618</v>
          </cell>
          <cell r="B739" t="str">
            <v>AMUNDI FUNDS EURO BOND INCOME</v>
          </cell>
          <cell r="C739" t="str">
            <v>Class I2 EUR AD (D)</v>
          </cell>
          <cell r="D739" t="str">
            <v>EUR</v>
          </cell>
          <cell r="E739" t="str">
            <v>01-Dec-2025</v>
          </cell>
          <cell r="F739">
            <v>14199874.92</v>
          </cell>
          <cell r="G739">
            <v>145978.212</v>
          </cell>
          <cell r="H739">
            <v>97.27</v>
          </cell>
          <cell r="I739">
            <v>0</v>
          </cell>
          <cell r="J739">
            <v>97.27</v>
          </cell>
          <cell r="K739">
            <v>-0.01</v>
          </cell>
          <cell r="P739">
            <v>0</v>
          </cell>
        </row>
        <row r="740">
          <cell r="A740" t="str">
            <v>LU3050821639</v>
          </cell>
          <cell r="B740" t="str">
            <v>AMUNDI FUNDS EURO BOND INCOME</v>
          </cell>
          <cell r="C740" t="str">
            <v>Class OR EUR MD (D)</v>
          </cell>
          <cell r="D740" t="str">
            <v>EUR</v>
          </cell>
          <cell r="E740" t="str">
            <v>01-Dec-2025</v>
          </cell>
          <cell r="F740">
            <v>39314760.600000001</v>
          </cell>
          <cell r="G740">
            <v>39373.741999999998</v>
          </cell>
          <cell r="H740">
            <v>998.5</v>
          </cell>
          <cell r="I740">
            <v>0</v>
          </cell>
          <cell r="J740">
            <v>998.5</v>
          </cell>
          <cell r="K740">
            <v>-7.0000000000000007E-2</v>
          </cell>
          <cell r="P740">
            <v>0</v>
          </cell>
        </row>
        <row r="741">
          <cell r="A741" t="str">
            <v>LU1386074881</v>
          </cell>
          <cell r="B741" t="str">
            <v>AMUNDI FUNDS EURO BOND INCOME</v>
          </cell>
          <cell r="C741" t="str">
            <v>Class G2 EUR AD (D)</v>
          </cell>
          <cell r="D741" t="str">
            <v>EUR</v>
          </cell>
          <cell r="E741" t="str">
            <v>01-Dec-2025</v>
          </cell>
          <cell r="F741">
            <v>29661177.690000001</v>
          </cell>
          <cell r="G741">
            <v>324508.07699999999</v>
          </cell>
          <cell r="H741">
            <v>91.4</v>
          </cell>
          <cell r="I741">
            <v>0</v>
          </cell>
          <cell r="J741">
            <v>91.4</v>
          </cell>
          <cell r="K741">
            <v>-0.02</v>
          </cell>
          <cell r="P741">
            <v>0</v>
          </cell>
        </row>
        <row r="742">
          <cell r="A742" t="str">
            <v>LU1622150198</v>
          </cell>
          <cell r="B742" t="str">
            <v>AMUNDI FUNDS MULTI SECTOR CREDIT</v>
          </cell>
          <cell r="C742" t="str">
            <v>Class A EUR (C)</v>
          </cell>
          <cell r="D742" t="str">
            <v>EUR</v>
          </cell>
          <cell r="E742" t="str">
            <v>01-Dec-2025</v>
          </cell>
          <cell r="F742">
            <v>1004064.78</v>
          </cell>
          <cell r="G742">
            <v>8014.1469999999999</v>
          </cell>
          <cell r="H742">
            <v>125.29</v>
          </cell>
          <cell r="I742">
            <v>0</v>
          </cell>
          <cell r="J742">
            <v>130.30000000000001</v>
          </cell>
          <cell r="K742">
            <v>-0.04</v>
          </cell>
          <cell r="P742">
            <v>0</v>
          </cell>
        </row>
        <row r="743">
          <cell r="A743" t="str">
            <v>LU1622150941</v>
          </cell>
          <cell r="B743" t="str">
            <v>AMUNDI FUNDS MULTI SECTOR CREDIT</v>
          </cell>
          <cell r="C743" t="str">
            <v>Class A USD Hgd (C)</v>
          </cell>
          <cell r="D743" t="str">
            <v>USD</v>
          </cell>
          <cell r="E743" t="str">
            <v>01-Dec-2025</v>
          </cell>
          <cell r="F743">
            <v>63936.26</v>
          </cell>
          <cell r="G743">
            <v>459.42700000000002</v>
          </cell>
          <cell r="H743">
            <v>139.16999999999999</v>
          </cell>
          <cell r="I743">
            <v>0</v>
          </cell>
          <cell r="J743">
            <v>144.74</v>
          </cell>
          <cell r="K743">
            <v>-0.03</v>
          </cell>
          <cell r="P743">
            <v>0</v>
          </cell>
        </row>
        <row r="744">
          <cell r="A744" t="str">
            <v>LU1622151246</v>
          </cell>
          <cell r="B744" t="str">
            <v>AMUNDI FUNDS MULTI SECTOR CREDIT</v>
          </cell>
          <cell r="C744" t="str">
            <v>Class F2 EUR (C)</v>
          </cell>
          <cell r="D744" t="str">
            <v>EUR</v>
          </cell>
          <cell r="E744" t="str">
            <v>01-Dec-2025</v>
          </cell>
          <cell r="F744">
            <v>710809.78</v>
          </cell>
          <cell r="G744">
            <v>6277.6729999999998</v>
          </cell>
          <cell r="H744">
            <v>113.23</v>
          </cell>
          <cell r="I744">
            <v>0</v>
          </cell>
          <cell r="J744">
            <v>113.23</v>
          </cell>
          <cell r="K744">
            <v>-0.04</v>
          </cell>
          <cell r="P744">
            <v>0</v>
          </cell>
        </row>
        <row r="745">
          <cell r="A745" t="str">
            <v>LU1622150271</v>
          </cell>
          <cell r="B745" t="str">
            <v>AMUNDI FUNDS MULTI SECTOR CREDIT</v>
          </cell>
          <cell r="C745" t="str">
            <v>Class I EUR (C)</v>
          </cell>
          <cell r="D745" t="str">
            <v>EUR</v>
          </cell>
          <cell r="E745" t="str">
            <v>01-Dec-2025</v>
          </cell>
          <cell r="F745">
            <v>44575651.740000002</v>
          </cell>
          <cell r="G745">
            <v>33441.671999999999</v>
          </cell>
          <cell r="H745">
            <v>1332.94</v>
          </cell>
          <cell r="I745">
            <v>0</v>
          </cell>
          <cell r="J745">
            <v>1332.94</v>
          </cell>
          <cell r="K745">
            <v>-0.38</v>
          </cell>
          <cell r="P745">
            <v>0</v>
          </cell>
        </row>
        <row r="746">
          <cell r="A746" t="str">
            <v>LU2052288615</v>
          </cell>
          <cell r="B746" t="str">
            <v>AMUNDI FUNDS MULTI SECTOR CREDIT</v>
          </cell>
          <cell r="C746" t="str">
            <v>Class I2 GBP (C)</v>
          </cell>
          <cell r="D746" t="str">
            <v>GBP</v>
          </cell>
          <cell r="E746" t="str">
            <v>01-Dec-2025</v>
          </cell>
          <cell r="F746">
            <v>14827.42</v>
          </cell>
          <cell r="G746">
            <v>11.882</v>
          </cell>
          <cell r="H746">
            <v>1247.8900000000001</v>
          </cell>
          <cell r="I746">
            <v>0</v>
          </cell>
          <cell r="J746">
            <v>1247.8900000000001</v>
          </cell>
          <cell r="K746">
            <v>2.11</v>
          </cell>
          <cell r="P746">
            <v>0</v>
          </cell>
        </row>
        <row r="747">
          <cell r="A747" t="str">
            <v>LU1622150511</v>
          </cell>
          <cell r="B747" t="str">
            <v>AMUNDI FUNDS MULTI SECTOR CREDIT</v>
          </cell>
          <cell r="C747" t="str">
            <v>Class O EUR (C)</v>
          </cell>
          <cell r="D747" t="str">
            <v>EUR</v>
          </cell>
          <cell r="E747" t="str">
            <v>01-Dec-2025</v>
          </cell>
          <cell r="F747">
            <v>22458295.199999999</v>
          </cell>
          <cell r="G747">
            <v>16584.955999999998</v>
          </cell>
          <cell r="H747">
            <v>1354.14</v>
          </cell>
          <cell r="I747">
            <v>0</v>
          </cell>
          <cell r="J747">
            <v>1354.14</v>
          </cell>
          <cell r="K747">
            <v>-0.28000000000000003</v>
          </cell>
          <cell r="P747">
            <v>0</v>
          </cell>
        </row>
        <row r="748">
          <cell r="A748" t="str">
            <v>LU1622151162</v>
          </cell>
          <cell r="B748" t="str">
            <v>AMUNDI FUNDS MULTI SECTOR CREDIT</v>
          </cell>
          <cell r="C748" t="str">
            <v>Class R EUR (C)</v>
          </cell>
          <cell r="D748" t="str">
            <v>EUR</v>
          </cell>
          <cell r="E748" t="str">
            <v>01-Dec-2025</v>
          </cell>
          <cell r="F748">
            <v>1221.6300000000001</v>
          </cell>
          <cell r="G748">
            <v>10</v>
          </cell>
          <cell r="H748">
            <v>122.16</v>
          </cell>
          <cell r="I748">
            <v>0</v>
          </cell>
          <cell r="J748">
            <v>122.16</v>
          </cell>
          <cell r="K748">
            <v>-0.04</v>
          </cell>
          <cell r="P748">
            <v>0</v>
          </cell>
        </row>
        <row r="749">
          <cell r="A749" t="str">
            <v>LU1622151329</v>
          </cell>
          <cell r="B749" t="str">
            <v>AMUNDI FUNDS MULTI SECTOR CREDIT</v>
          </cell>
          <cell r="C749" t="str">
            <v>Class G EUR (C)</v>
          </cell>
          <cell r="D749" t="str">
            <v>EUR</v>
          </cell>
          <cell r="E749" t="str">
            <v>01-Dec-2025</v>
          </cell>
          <cell r="F749">
            <v>5511268.3499999996</v>
          </cell>
          <cell r="G749">
            <v>47721.974000000002</v>
          </cell>
          <cell r="H749">
            <v>115.49</v>
          </cell>
          <cell r="I749">
            <v>0</v>
          </cell>
          <cell r="J749">
            <v>118.95</v>
          </cell>
          <cell r="K749">
            <v>-0.04</v>
          </cell>
          <cell r="P749">
            <v>0</v>
          </cell>
        </row>
        <row r="750">
          <cell r="A750" t="str">
            <v>LU1691800590</v>
          </cell>
          <cell r="B750" t="str">
            <v>AMUNDI FUNDS EUROLAND EQUITY DYNAMIC MULTI FACTORS</v>
          </cell>
          <cell r="C750" t="str">
            <v>Class A EUR (C)</v>
          </cell>
          <cell r="D750" t="str">
            <v>EUR</v>
          </cell>
          <cell r="E750" t="str">
            <v>01-Dec-2025</v>
          </cell>
          <cell r="F750">
            <v>72105449.670000002</v>
          </cell>
          <cell r="G750">
            <v>430243.00300000003</v>
          </cell>
          <cell r="H750">
            <v>167.59</v>
          </cell>
          <cell r="I750">
            <v>0</v>
          </cell>
          <cell r="J750">
            <v>175.13</v>
          </cell>
          <cell r="K750">
            <v>-0.24</v>
          </cell>
          <cell r="P750">
            <v>0</v>
          </cell>
        </row>
        <row r="751">
          <cell r="A751" t="str">
            <v>LU1691800673</v>
          </cell>
          <cell r="B751" t="str">
            <v>AMUNDI FUNDS EUROLAND EQUITY DYNAMIC MULTI FACTORS</v>
          </cell>
          <cell r="C751" t="str">
            <v>Class I EUR (C)</v>
          </cell>
          <cell r="D751" t="str">
            <v>EUR</v>
          </cell>
          <cell r="E751" t="str">
            <v>01-Dec-2025</v>
          </cell>
          <cell r="F751">
            <v>152727676.47</v>
          </cell>
          <cell r="G751">
            <v>86956.554000000004</v>
          </cell>
          <cell r="H751">
            <v>1756.37</v>
          </cell>
          <cell r="I751">
            <v>0</v>
          </cell>
          <cell r="J751">
            <v>1756.37</v>
          </cell>
          <cell r="K751">
            <v>-2.4300000000000002</v>
          </cell>
          <cell r="P751">
            <v>0</v>
          </cell>
        </row>
        <row r="752">
          <cell r="A752" t="str">
            <v>LU1691800756</v>
          </cell>
          <cell r="B752" t="str">
            <v>AMUNDI FUNDS EUROLAND EQUITY DYNAMIC MULTI FACTORS</v>
          </cell>
          <cell r="C752" t="str">
            <v>Class R EUR (C)</v>
          </cell>
          <cell r="D752" t="str">
            <v>EUR</v>
          </cell>
          <cell r="E752" t="str">
            <v>01-Dec-2025</v>
          </cell>
          <cell r="F752">
            <v>8253.91</v>
          </cell>
          <cell r="G752">
            <v>100</v>
          </cell>
          <cell r="H752">
            <v>82.54</v>
          </cell>
          <cell r="I752">
            <v>0</v>
          </cell>
          <cell r="J752">
            <v>82.54</v>
          </cell>
          <cell r="K752">
            <v>-0.12</v>
          </cell>
          <cell r="P752">
            <v>0</v>
          </cell>
        </row>
        <row r="753">
          <cell r="A753" t="str">
            <v>LU1691800830</v>
          </cell>
          <cell r="B753" t="str">
            <v>AMUNDI FUNDS EUROLAND EQUITY DYNAMIC MULTI FACTORS</v>
          </cell>
          <cell r="C753" t="str">
            <v>Class Q-X EUR (C)</v>
          </cell>
          <cell r="D753" t="str">
            <v>EUR</v>
          </cell>
          <cell r="E753" t="str">
            <v>01-Dec-2025</v>
          </cell>
          <cell r="F753">
            <v>528974796.98000002</v>
          </cell>
          <cell r="G753">
            <v>299326.26699999999</v>
          </cell>
          <cell r="H753">
            <v>1767.22</v>
          </cell>
          <cell r="I753">
            <v>0</v>
          </cell>
          <cell r="J753">
            <v>1767.22</v>
          </cell>
          <cell r="K753">
            <v>-2.44</v>
          </cell>
          <cell r="P753">
            <v>0</v>
          </cell>
        </row>
        <row r="754">
          <cell r="A754" t="str">
            <v>LU1691800913</v>
          </cell>
          <cell r="B754" t="str">
            <v>AMUNDI FUNDS EUROPEAN EQUITY DYNAMIC MULTI FACTORS</v>
          </cell>
          <cell r="C754" t="str">
            <v>Class A EUR (C)</v>
          </cell>
          <cell r="D754" t="str">
            <v>EUR</v>
          </cell>
          <cell r="E754" t="str">
            <v>01-Dec-2025</v>
          </cell>
          <cell r="F754">
            <v>3401136.61</v>
          </cell>
          <cell r="G754">
            <v>20054.913</v>
          </cell>
          <cell r="H754">
            <v>169.59</v>
          </cell>
          <cell r="I754">
            <v>0</v>
          </cell>
          <cell r="J754">
            <v>177.22</v>
          </cell>
          <cell r="K754">
            <v>-0.42</v>
          </cell>
          <cell r="P754">
            <v>0</v>
          </cell>
        </row>
        <row r="755">
          <cell r="A755" t="str">
            <v>LU1691801051</v>
          </cell>
          <cell r="B755" t="str">
            <v>AMUNDI FUNDS EUROPEAN EQUITY DYNAMIC MULTI FACTORS</v>
          </cell>
          <cell r="C755" t="str">
            <v>Class I EUR (C)</v>
          </cell>
          <cell r="D755" t="str">
            <v>EUR</v>
          </cell>
          <cell r="E755" t="str">
            <v>01-Dec-2025</v>
          </cell>
          <cell r="F755">
            <v>111387742.58</v>
          </cell>
          <cell r="G755">
            <v>62332.267999999996</v>
          </cell>
          <cell r="H755">
            <v>1787</v>
          </cell>
          <cell r="I755">
            <v>0</v>
          </cell>
          <cell r="J755">
            <v>1787</v>
          </cell>
          <cell r="K755">
            <v>-4.29</v>
          </cell>
          <cell r="P755">
            <v>0</v>
          </cell>
        </row>
        <row r="756">
          <cell r="A756" t="str">
            <v>LU1691801135</v>
          </cell>
          <cell r="B756" t="str">
            <v>AMUNDI FUNDS EUROPEAN EQUITY DYNAMIC MULTI FACTORS</v>
          </cell>
          <cell r="C756" t="str">
            <v>Class R EUR (C)</v>
          </cell>
          <cell r="D756" t="str">
            <v>EUR</v>
          </cell>
          <cell r="E756" t="str">
            <v>01-Dec-2025</v>
          </cell>
          <cell r="F756">
            <v>8188.35</v>
          </cell>
          <cell r="G756">
            <v>100</v>
          </cell>
          <cell r="H756">
            <v>81.88</v>
          </cell>
          <cell r="I756">
            <v>0</v>
          </cell>
          <cell r="J756">
            <v>81.88</v>
          </cell>
          <cell r="K756">
            <v>-0.2</v>
          </cell>
          <cell r="P756">
            <v>0</v>
          </cell>
        </row>
        <row r="757">
          <cell r="A757" t="str">
            <v>LU1691801218</v>
          </cell>
          <cell r="B757" t="str">
            <v>AMUNDI FUNDS EUROPEAN EQUITY DYNAMIC MULTI FACTORS</v>
          </cell>
          <cell r="C757" t="str">
            <v>Class Q-X EUR (C)</v>
          </cell>
          <cell r="D757" t="str">
            <v>EUR</v>
          </cell>
          <cell r="E757" t="str">
            <v>01-Dec-2025</v>
          </cell>
          <cell r="F757">
            <v>36017470.979999997</v>
          </cell>
          <cell r="G757">
            <v>20172.124</v>
          </cell>
          <cell r="H757">
            <v>1785.51</v>
          </cell>
          <cell r="I757">
            <v>0</v>
          </cell>
          <cell r="J757">
            <v>1785.51</v>
          </cell>
          <cell r="K757">
            <v>-4.28</v>
          </cell>
          <cell r="P757">
            <v>0</v>
          </cell>
        </row>
        <row r="758">
          <cell r="A758" t="str">
            <v>LU1956955550</v>
          </cell>
          <cell r="B758" t="str">
            <v>AMUNDI FUNDS POLEN CAPITAL GLOBAL GROWTH</v>
          </cell>
          <cell r="C758" t="str">
            <v>Class A2 EUR (C)</v>
          </cell>
          <cell r="D758" t="str">
            <v>EUR</v>
          </cell>
          <cell r="E758" t="str">
            <v>01-Dec-2025</v>
          </cell>
          <cell r="F758">
            <v>107468148.06999999</v>
          </cell>
          <cell r="G758">
            <v>686142.43900000001</v>
          </cell>
          <cell r="H758">
            <v>156.63</v>
          </cell>
          <cell r="I758">
            <v>0</v>
          </cell>
          <cell r="J758">
            <v>156.63</v>
          </cell>
          <cell r="K758">
            <v>-1.79</v>
          </cell>
          <cell r="P758">
            <v>0</v>
          </cell>
        </row>
        <row r="759">
          <cell r="A759" t="str">
            <v>LU1691799644</v>
          </cell>
          <cell r="B759" t="str">
            <v>AMUNDI FUNDS POLEN CAPITAL GLOBAL GROWTH</v>
          </cell>
          <cell r="C759" t="str">
            <v>Class A2 USD (C)</v>
          </cell>
          <cell r="D759" t="str">
            <v>USD</v>
          </cell>
          <cell r="E759" t="str">
            <v>01-Dec-2025</v>
          </cell>
          <cell r="F759">
            <v>34066479.799999997</v>
          </cell>
          <cell r="G759">
            <v>1698782.743</v>
          </cell>
          <cell r="H759">
            <v>20.05</v>
          </cell>
          <cell r="I759">
            <v>0</v>
          </cell>
          <cell r="J759">
            <v>20.05</v>
          </cell>
          <cell r="K759">
            <v>-0.19</v>
          </cell>
          <cell r="P759">
            <v>0</v>
          </cell>
        </row>
        <row r="760">
          <cell r="A760" t="str">
            <v>LU2237438200</v>
          </cell>
          <cell r="B760" t="str">
            <v>AMUNDI FUNDS POLEN CAPITAL GLOBAL GROWTH</v>
          </cell>
          <cell r="C760" t="str">
            <v>Class A2 EUR AD (D)</v>
          </cell>
          <cell r="D760" t="str">
            <v>EUR</v>
          </cell>
          <cell r="E760" t="str">
            <v>01-Dec-2025</v>
          </cell>
          <cell r="F760">
            <v>13169595.15</v>
          </cell>
          <cell r="G760">
            <v>217178.69200000001</v>
          </cell>
          <cell r="H760">
            <v>60.64</v>
          </cell>
          <cell r="I760">
            <v>0</v>
          </cell>
          <cell r="J760">
            <v>60.64</v>
          </cell>
          <cell r="K760">
            <v>-0.69</v>
          </cell>
          <cell r="P760">
            <v>0</v>
          </cell>
        </row>
        <row r="761">
          <cell r="A761" t="str">
            <v>LU1956955477</v>
          </cell>
          <cell r="B761" t="str">
            <v>AMUNDI FUNDS POLEN CAPITAL GLOBAL GROWTH</v>
          </cell>
          <cell r="C761" t="str">
            <v>Class A2 EUR Hgd (C)</v>
          </cell>
          <cell r="D761" t="str">
            <v>EUR</v>
          </cell>
          <cell r="E761" t="str">
            <v>01-Dec-2025</v>
          </cell>
          <cell r="F761">
            <v>12841765.699999999</v>
          </cell>
          <cell r="G761">
            <v>92045.495999999999</v>
          </cell>
          <cell r="H761">
            <v>139.52000000000001</v>
          </cell>
          <cell r="I761">
            <v>0</v>
          </cell>
          <cell r="J761">
            <v>139.52000000000001</v>
          </cell>
          <cell r="K761">
            <v>-1.3</v>
          </cell>
          <cell r="P761">
            <v>0</v>
          </cell>
        </row>
        <row r="762">
          <cell r="A762" t="str">
            <v>LU2199618476</v>
          </cell>
          <cell r="B762" t="str">
            <v>AMUNDI FUNDS POLEN CAPITAL GLOBAL GROWTH</v>
          </cell>
          <cell r="C762" t="str">
            <v>Class A2 CZK Hgd (C)</v>
          </cell>
          <cell r="D762" t="str">
            <v>CZK</v>
          </cell>
          <cell r="E762" t="str">
            <v>01-Dec-2025</v>
          </cell>
          <cell r="F762">
            <v>1296666775.77</v>
          </cell>
          <cell r="G762">
            <v>1115020.2320000001</v>
          </cell>
          <cell r="H762">
            <v>1162.9100000000001</v>
          </cell>
          <cell r="I762">
            <v>0</v>
          </cell>
          <cell r="J762">
            <v>1215.24</v>
          </cell>
          <cell r="K762">
            <v>-10.86</v>
          </cell>
          <cell r="P762">
            <v>0</v>
          </cell>
        </row>
        <row r="763">
          <cell r="A763" t="str">
            <v>LU2002723745</v>
          </cell>
          <cell r="B763" t="str">
            <v>AMUNDI FUNDS POLEN CAPITAL GLOBAL GROWTH</v>
          </cell>
          <cell r="C763" t="str">
            <v>Class M2 EUR ( C )</v>
          </cell>
          <cell r="D763" t="str">
            <v>EUR</v>
          </cell>
          <cell r="E763" t="str">
            <v>01-Dec-2025</v>
          </cell>
          <cell r="F763">
            <v>2752675.36</v>
          </cell>
          <cell r="G763">
            <v>1767.047</v>
          </cell>
          <cell r="H763">
            <v>1557.78</v>
          </cell>
          <cell r="I763">
            <v>0</v>
          </cell>
          <cell r="J763">
            <v>1557.78</v>
          </cell>
          <cell r="K763">
            <v>-17.690000000000001</v>
          </cell>
          <cell r="P763">
            <v>0</v>
          </cell>
        </row>
        <row r="764">
          <cell r="A764" t="str">
            <v>LU2199619011</v>
          </cell>
          <cell r="B764" t="str">
            <v>AMUNDI FUNDS POLEN CAPITAL GLOBAL GROWTH</v>
          </cell>
          <cell r="C764" t="str">
            <v>Class E2 EUR (C)</v>
          </cell>
          <cell r="D764" t="str">
            <v>EUR</v>
          </cell>
          <cell r="E764" t="str">
            <v>01-Dec-2025</v>
          </cell>
          <cell r="F764">
            <v>4338569.42</v>
          </cell>
          <cell r="G764">
            <v>675740.147</v>
          </cell>
          <cell r="H764">
            <v>6.42</v>
          </cell>
          <cell r="I764">
            <v>0</v>
          </cell>
          <cell r="J764">
            <v>6.6769999999999996</v>
          </cell>
          <cell r="K764">
            <v>-7.3999999999999996E-2</v>
          </cell>
          <cell r="P764">
            <v>0</v>
          </cell>
        </row>
        <row r="765">
          <cell r="A765" t="str">
            <v>LU2199619102</v>
          </cell>
          <cell r="B765" t="str">
            <v>AMUNDI FUNDS POLEN CAPITAL GLOBAL GROWTH</v>
          </cell>
          <cell r="C765" t="str">
            <v>Class E2 EUR Hgd (C)</v>
          </cell>
          <cell r="D765" t="str">
            <v>EUR</v>
          </cell>
          <cell r="E765" t="str">
            <v>01-Dec-2025</v>
          </cell>
          <cell r="F765">
            <v>642265.93000000005</v>
          </cell>
          <cell r="G765">
            <v>112225.515</v>
          </cell>
          <cell r="H765">
            <v>5.7229999999999999</v>
          </cell>
          <cell r="I765">
            <v>0</v>
          </cell>
          <cell r="J765">
            <v>5.952</v>
          </cell>
          <cell r="K765">
            <v>-5.2999999999999999E-2</v>
          </cell>
          <cell r="P765">
            <v>0</v>
          </cell>
        </row>
        <row r="766">
          <cell r="A766" t="str">
            <v>LU2199619284</v>
          </cell>
          <cell r="B766" t="str">
            <v>AMUNDI FUNDS POLEN CAPITAL GLOBAL GROWTH</v>
          </cell>
          <cell r="C766" t="str">
            <v>Class F USD (C)</v>
          </cell>
          <cell r="D766" t="str">
            <v>USD</v>
          </cell>
          <cell r="E766" t="str">
            <v>01-Dec-2025</v>
          </cell>
          <cell r="F766">
            <v>1283352.26</v>
          </cell>
          <cell r="G766">
            <v>208873.63</v>
          </cell>
          <cell r="H766">
            <v>6.1440000000000001</v>
          </cell>
          <cell r="I766">
            <v>0</v>
          </cell>
          <cell r="J766">
            <v>6.1440000000000001</v>
          </cell>
          <cell r="K766">
            <v>-5.8000000000000003E-2</v>
          </cell>
          <cell r="P766">
            <v>0</v>
          </cell>
        </row>
        <row r="767">
          <cell r="A767" t="str">
            <v>LU2199619367</v>
          </cell>
          <cell r="B767" t="str">
            <v>AMUNDI FUNDS POLEN CAPITAL GLOBAL GROWTH</v>
          </cell>
          <cell r="C767" t="str">
            <v>Class F EUR Hgd (C)</v>
          </cell>
          <cell r="D767" t="str">
            <v>EUR</v>
          </cell>
          <cell r="E767" t="str">
            <v>01-Dec-2025</v>
          </cell>
          <cell r="F767">
            <v>2671531.2000000002</v>
          </cell>
          <cell r="G767">
            <v>487797.82400000002</v>
          </cell>
          <cell r="H767">
            <v>5.4770000000000003</v>
          </cell>
          <cell r="I767">
            <v>0</v>
          </cell>
          <cell r="J767">
            <v>5.4770000000000003</v>
          </cell>
          <cell r="K767">
            <v>-5.0999999999999997E-2</v>
          </cell>
          <cell r="P767">
            <v>0</v>
          </cell>
        </row>
        <row r="768">
          <cell r="A768" t="str">
            <v>LU2052289001</v>
          </cell>
          <cell r="B768" t="str">
            <v>AMUNDI FUNDS POLEN CAPITAL GLOBAL GROWTH</v>
          </cell>
          <cell r="C768" t="str">
            <v>Class I2 GBP (C)</v>
          </cell>
          <cell r="D768" t="str">
            <v>GBP</v>
          </cell>
          <cell r="E768" t="str">
            <v>01-Dec-2025</v>
          </cell>
          <cell r="F768">
            <v>1597.79</v>
          </cell>
          <cell r="G768">
            <v>1</v>
          </cell>
          <cell r="H768">
            <v>1597.79</v>
          </cell>
          <cell r="I768">
            <v>0</v>
          </cell>
          <cell r="J768">
            <v>1597.79</v>
          </cell>
          <cell r="K768">
            <v>-15.04</v>
          </cell>
          <cell r="P768">
            <v>0</v>
          </cell>
        </row>
        <row r="769">
          <cell r="A769" t="str">
            <v>LU1956955634</v>
          </cell>
          <cell r="B769" t="str">
            <v>AMUNDI FUNDS POLEN CAPITAL GLOBAL GROWTH</v>
          </cell>
          <cell r="C769" t="str">
            <v>Class I2 EUR (C)</v>
          </cell>
          <cell r="D769" t="str">
            <v>EUR</v>
          </cell>
          <cell r="E769" t="str">
            <v>01-Dec-2025</v>
          </cell>
          <cell r="F769">
            <v>19421162.510000002</v>
          </cell>
          <cell r="G769">
            <v>11612.924999999999</v>
          </cell>
          <cell r="H769">
            <v>1672.37</v>
          </cell>
          <cell r="I769">
            <v>0</v>
          </cell>
          <cell r="J769">
            <v>1672.37</v>
          </cell>
          <cell r="K769">
            <v>-19.02</v>
          </cell>
          <cell r="P769">
            <v>0</v>
          </cell>
        </row>
        <row r="770">
          <cell r="A770" t="str">
            <v>LU1691799990</v>
          </cell>
          <cell r="B770" t="str">
            <v>AMUNDI FUNDS POLEN CAPITAL GLOBAL GROWTH</v>
          </cell>
          <cell r="C770" t="str">
            <v>Class I2 USD (C)</v>
          </cell>
          <cell r="D770" t="str">
            <v>USD</v>
          </cell>
          <cell r="E770" t="str">
            <v>01-Dec-2025</v>
          </cell>
          <cell r="F770">
            <v>115757867.23999999</v>
          </cell>
          <cell r="G770">
            <v>3875586.7650000001</v>
          </cell>
          <cell r="H770">
            <v>29.87</v>
          </cell>
          <cell r="I770">
            <v>0</v>
          </cell>
          <cell r="J770">
            <v>29.87</v>
          </cell>
          <cell r="K770">
            <v>-0.27</v>
          </cell>
          <cell r="P770">
            <v>0</v>
          </cell>
        </row>
        <row r="771">
          <cell r="A771" t="str">
            <v>LU1956955717</v>
          </cell>
          <cell r="B771" t="str">
            <v>AMUNDI FUNDS POLEN CAPITAL GLOBAL GROWTH</v>
          </cell>
          <cell r="C771" t="str">
            <v>Class I2 EUR Hgd (C)</v>
          </cell>
          <cell r="D771" t="str">
            <v>EUR</v>
          </cell>
          <cell r="E771" t="str">
            <v>01-Dec-2025</v>
          </cell>
          <cell r="F771">
            <v>494076.26</v>
          </cell>
          <cell r="G771">
            <v>330.22699999999998</v>
          </cell>
          <cell r="H771">
            <v>1496.17</v>
          </cell>
          <cell r="I771">
            <v>0</v>
          </cell>
          <cell r="J771">
            <v>1496.17</v>
          </cell>
          <cell r="K771">
            <v>-13.89</v>
          </cell>
          <cell r="P771">
            <v>0</v>
          </cell>
        </row>
        <row r="772">
          <cell r="A772" t="str">
            <v>LU2224462106</v>
          </cell>
          <cell r="B772" t="str">
            <v>AMUNDI FUNDS POLEN CAPITAL GLOBAL GROWTH</v>
          </cell>
          <cell r="C772" t="str">
            <v>Class J3 GBP Hgd (C)</v>
          </cell>
          <cell r="D772" t="str">
            <v>GBP</v>
          </cell>
          <cell r="E772" t="str">
            <v>01-Dec-2025</v>
          </cell>
          <cell r="F772">
            <v>135318.57999999999</v>
          </cell>
          <cell r="G772">
            <v>109.785</v>
          </cell>
          <cell r="H772">
            <v>1232.58</v>
          </cell>
          <cell r="I772">
            <v>0</v>
          </cell>
          <cell r="J772">
            <v>1232.58</v>
          </cell>
          <cell r="K772">
            <v>-11.36</v>
          </cell>
          <cell r="P772">
            <v>0</v>
          </cell>
        </row>
        <row r="773">
          <cell r="A773" t="str">
            <v>LU2110862385</v>
          </cell>
          <cell r="B773" t="str">
            <v>AMUNDI FUNDS POLEN CAPITAL GLOBAL GROWTH</v>
          </cell>
          <cell r="C773" t="str">
            <v>Class J3 GBP (C)</v>
          </cell>
          <cell r="D773" t="str">
            <v>GBP</v>
          </cell>
          <cell r="E773" t="str">
            <v>01-Dec-2025</v>
          </cell>
          <cell r="F773">
            <v>904892.05</v>
          </cell>
          <cell r="G773">
            <v>623.55399999999997</v>
          </cell>
          <cell r="H773">
            <v>1451.18</v>
          </cell>
          <cell r="I773">
            <v>0</v>
          </cell>
          <cell r="J773">
            <v>1451.18</v>
          </cell>
          <cell r="K773">
            <v>-13.64</v>
          </cell>
          <cell r="P773">
            <v>0</v>
          </cell>
        </row>
        <row r="774">
          <cell r="A774" t="str">
            <v>LU2110862468</v>
          </cell>
          <cell r="B774" t="str">
            <v>AMUNDI FUNDS POLEN CAPITAL GLOBAL GROWTH</v>
          </cell>
          <cell r="C774" t="str">
            <v>Class J3 GBP AD (D)</v>
          </cell>
          <cell r="D774" t="str">
            <v>GBP</v>
          </cell>
          <cell r="E774" t="str">
            <v>01-Dec-2025</v>
          </cell>
          <cell r="F774">
            <v>18023.07</v>
          </cell>
          <cell r="G774">
            <v>12.419</v>
          </cell>
          <cell r="H774">
            <v>1451.25</v>
          </cell>
          <cell r="I774">
            <v>0</v>
          </cell>
          <cell r="J774">
            <v>1451.25</v>
          </cell>
          <cell r="K774">
            <v>-13.64</v>
          </cell>
          <cell r="P774">
            <v>0</v>
          </cell>
        </row>
        <row r="775">
          <cell r="A775" t="str">
            <v>LU2052289779</v>
          </cell>
          <cell r="B775" t="str">
            <v>AMUNDI FUNDS POLEN CAPITAL GLOBAL GROWTH</v>
          </cell>
          <cell r="C775" t="str">
            <v>Class P2 USD (C)</v>
          </cell>
          <cell r="D775" t="str">
            <v>USD</v>
          </cell>
          <cell r="E775" t="str">
            <v>01-Dec-2025</v>
          </cell>
          <cell r="F775">
            <v>3186505.68</v>
          </cell>
          <cell r="G775">
            <v>40126.828000000001</v>
          </cell>
          <cell r="H775">
            <v>79.41</v>
          </cell>
          <cell r="I775">
            <v>0</v>
          </cell>
          <cell r="J775">
            <v>79.41</v>
          </cell>
          <cell r="K775">
            <v>-0.74</v>
          </cell>
          <cell r="P775">
            <v>0</v>
          </cell>
        </row>
        <row r="776">
          <cell r="A776" t="str">
            <v>LU2183143259</v>
          </cell>
          <cell r="B776" t="str">
            <v>AMUNDI FUNDS POLEN CAPITAL GLOBAL GROWTH</v>
          </cell>
          <cell r="C776" t="str">
            <v>Class R EUR (C)</v>
          </cell>
          <cell r="D776" t="str">
            <v>EUR</v>
          </cell>
          <cell r="E776" t="str">
            <v>01-Dec-2025</v>
          </cell>
          <cell r="F776">
            <v>463319.37</v>
          </cell>
          <cell r="G776">
            <v>6859.0780000000004</v>
          </cell>
          <cell r="H776">
            <v>67.55</v>
          </cell>
          <cell r="I776">
            <v>0</v>
          </cell>
          <cell r="J776">
            <v>67.55</v>
          </cell>
          <cell r="K776">
            <v>-0.77</v>
          </cell>
          <cell r="P776">
            <v>0</v>
          </cell>
        </row>
        <row r="777">
          <cell r="A777" t="str">
            <v>LU2183143176</v>
          </cell>
          <cell r="B777" t="str">
            <v>AMUNDI FUNDS POLEN CAPITAL GLOBAL GROWTH</v>
          </cell>
          <cell r="C777" t="str">
            <v>Class R USD (C)</v>
          </cell>
          <cell r="D777" t="str">
            <v>USD</v>
          </cell>
          <cell r="E777" t="str">
            <v>01-Dec-2025</v>
          </cell>
          <cell r="F777">
            <v>388726.75</v>
          </cell>
          <cell r="G777">
            <v>5572.1109999999999</v>
          </cell>
          <cell r="H777">
            <v>69.760000000000005</v>
          </cell>
          <cell r="I777">
            <v>0</v>
          </cell>
          <cell r="J777">
            <v>69.760000000000005</v>
          </cell>
          <cell r="K777">
            <v>-0.65</v>
          </cell>
          <cell r="P777">
            <v>0</v>
          </cell>
        </row>
        <row r="778">
          <cell r="A778" t="str">
            <v>LU2208987334</v>
          </cell>
          <cell r="B778" t="str">
            <v>AMUNDI FUNDS POLEN CAPITAL GLOBAL GROWTH</v>
          </cell>
          <cell r="C778" t="str">
            <v>Class R3 GBP ( C )</v>
          </cell>
          <cell r="D778" t="str">
            <v>GBP</v>
          </cell>
          <cell r="E778" t="str">
            <v>01-Dec-2025</v>
          </cell>
          <cell r="F778">
            <v>129874.8</v>
          </cell>
          <cell r="G778">
            <v>9926.19</v>
          </cell>
          <cell r="H778">
            <v>13.08</v>
          </cell>
          <cell r="I778">
            <v>0</v>
          </cell>
          <cell r="J778">
            <v>13.08</v>
          </cell>
          <cell r="K778">
            <v>-0.13</v>
          </cell>
          <cell r="P778">
            <v>0</v>
          </cell>
        </row>
        <row r="779">
          <cell r="A779" t="str">
            <v>LU2208988142</v>
          </cell>
          <cell r="B779" t="str">
            <v>AMUNDI FUNDS POLEN CAPITAL GLOBAL GROWTH</v>
          </cell>
          <cell r="C779" t="str">
            <v>Class R3 GBP AD (D)</v>
          </cell>
          <cell r="D779" t="str">
            <v>GBP</v>
          </cell>
          <cell r="E779" t="str">
            <v>01-Dec-2025</v>
          </cell>
          <cell r="F779">
            <v>142298.14000000001</v>
          </cell>
          <cell r="G779">
            <v>10875.468000000001</v>
          </cell>
          <cell r="H779">
            <v>13.08</v>
          </cell>
          <cell r="I779">
            <v>0</v>
          </cell>
          <cell r="J779">
            <v>13.08</v>
          </cell>
          <cell r="K779">
            <v>-0.13</v>
          </cell>
          <cell r="P779">
            <v>0</v>
          </cell>
        </row>
        <row r="780">
          <cell r="A780" t="str">
            <v>LU2183143333</v>
          </cell>
          <cell r="B780" t="str">
            <v>AMUNDI FUNDS POLEN CAPITAL GLOBAL GROWTH</v>
          </cell>
          <cell r="C780" t="str">
            <v>Class R EUR Hgd (C)</v>
          </cell>
          <cell r="D780" t="str">
            <v>EUR</v>
          </cell>
          <cell r="E780" t="str">
            <v>01-Dec-2025</v>
          </cell>
          <cell r="F780">
            <v>125161.29</v>
          </cell>
          <cell r="G780">
            <v>2000</v>
          </cell>
          <cell r="H780">
            <v>62.58</v>
          </cell>
          <cell r="I780">
            <v>0</v>
          </cell>
          <cell r="J780">
            <v>62.58</v>
          </cell>
          <cell r="K780">
            <v>-0.57999999999999996</v>
          </cell>
          <cell r="P780">
            <v>0</v>
          </cell>
        </row>
        <row r="781">
          <cell r="A781" t="str">
            <v>LU2199618989</v>
          </cell>
          <cell r="B781" t="str">
            <v>AMUNDI FUNDS POLEN CAPITAL GLOBAL GROWTH</v>
          </cell>
          <cell r="C781" t="str">
            <v>Class G EUR Hgd (C)</v>
          </cell>
          <cell r="D781" t="str">
            <v>EUR</v>
          </cell>
          <cell r="E781" t="str">
            <v>01-Dec-2025</v>
          </cell>
          <cell r="F781">
            <v>7626957.8399999999</v>
          </cell>
          <cell r="G781">
            <v>1360218.199</v>
          </cell>
          <cell r="H781">
            <v>5.6070000000000002</v>
          </cell>
          <cell r="I781">
            <v>0</v>
          </cell>
          <cell r="J781">
            <v>5.7750000000000004</v>
          </cell>
          <cell r="K781">
            <v>-5.2999999999999999E-2</v>
          </cell>
          <cell r="P781">
            <v>0</v>
          </cell>
        </row>
        <row r="782">
          <cell r="A782" t="str">
            <v>LU2199618807</v>
          </cell>
          <cell r="B782" t="str">
            <v>AMUNDI FUNDS POLEN CAPITAL GLOBAL GROWTH</v>
          </cell>
          <cell r="C782" t="str">
            <v>Class G EUR (C)</v>
          </cell>
          <cell r="D782" t="str">
            <v>EUR</v>
          </cell>
          <cell r="E782" t="str">
            <v>01-Dec-2025</v>
          </cell>
          <cell r="F782">
            <v>228985.95</v>
          </cell>
          <cell r="G782">
            <v>36432.432000000001</v>
          </cell>
          <cell r="H782">
            <v>6.2850000000000001</v>
          </cell>
          <cell r="I782">
            <v>0</v>
          </cell>
          <cell r="J782">
            <v>6.4740000000000002</v>
          </cell>
          <cell r="K782">
            <v>-7.1999999999999995E-2</v>
          </cell>
          <cell r="P782">
            <v>0</v>
          </cell>
        </row>
        <row r="783">
          <cell r="A783" t="str">
            <v>LU2176991938</v>
          </cell>
          <cell r="B783" t="str">
            <v>AMUNDI FUNDS POLEN CAPITAL GLOBAL GROWTH</v>
          </cell>
          <cell r="C783" t="str">
            <v>Class G USD (C)</v>
          </cell>
          <cell r="D783" t="str">
            <v>USD</v>
          </cell>
          <cell r="E783" t="str">
            <v>01-Dec-2025</v>
          </cell>
          <cell r="F783">
            <v>8377535.4000000004</v>
          </cell>
          <cell r="G783">
            <v>1205621.2050000001</v>
          </cell>
          <cell r="H783">
            <v>6.9489999999999998</v>
          </cell>
          <cell r="I783">
            <v>0</v>
          </cell>
          <cell r="J783">
            <v>6.9489999999999998</v>
          </cell>
          <cell r="K783">
            <v>-6.5000000000000002E-2</v>
          </cell>
          <cell r="P783">
            <v>0</v>
          </cell>
        </row>
        <row r="784">
          <cell r="A784" t="str">
            <v>LU1926208726</v>
          </cell>
          <cell r="B784" t="str">
            <v>AMUNDI FUNDS JAPAN EQUITY SELECT</v>
          </cell>
          <cell r="C784" t="str">
            <v>Class A EUR (C)</v>
          </cell>
          <cell r="D784" t="str">
            <v>EUR</v>
          </cell>
          <cell r="E784" t="str">
            <v>01-Dec-2025</v>
          </cell>
          <cell r="F784">
            <v>10781246.119999999</v>
          </cell>
          <cell r="G784">
            <v>82543.385999999999</v>
          </cell>
          <cell r="H784">
            <v>130.61000000000001</v>
          </cell>
          <cell r="I784">
            <v>0</v>
          </cell>
          <cell r="J784">
            <v>136.49</v>
          </cell>
          <cell r="K784">
            <v>-1.19</v>
          </cell>
          <cell r="P784">
            <v>0</v>
          </cell>
        </row>
        <row r="785">
          <cell r="A785" t="str">
            <v>LU3081003835</v>
          </cell>
          <cell r="B785" t="str">
            <v>AMUNDI FUNDS JAPAN EQUITY SELECT</v>
          </cell>
          <cell r="C785" t="str">
            <v>Class A2 EUR (C)</v>
          </cell>
          <cell r="D785" t="str">
            <v>EUR</v>
          </cell>
          <cell r="E785" t="str">
            <v>01-Dec-2025</v>
          </cell>
          <cell r="F785">
            <v>137859.95000000001</v>
          </cell>
          <cell r="G785">
            <v>2782.55</v>
          </cell>
          <cell r="H785">
            <v>49.54</v>
          </cell>
          <cell r="I785">
            <v>0</v>
          </cell>
          <cell r="J785">
            <v>51.77</v>
          </cell>
          <cell r="K785">
            <v>49.54</v>
          </cell>
          <cell r="P785">
            <v>0</v>
          </cell>
        </row>
        <row r="786">
          <cell r="A786" t="str">
            <v>LU3081004056</v>
          </cell>
          <cell r="B786" t="str">
            <v>AMUNDI FUNDS JAPAN EQUITY SELECT</v>
          </cell>
          <cell r="C786" t="str">
            <v>Class A2 USD (C)</v>
          </cell>
          <cell r="D786" t="str">
            <v>USD</v>
          </cell>
          <cell r="E786" t="str">
            <v>01-Dec-2025</v>
          </cell>
          <cell r="F786">
            <v>48808.83</v>
          </cell>
          <cell r="G786">
            <v>983.11900000000003</v>
          </cell>
          <cell r="H786">
            <v>49.65</v>
          </cell>
          <cell r="I786">
            <v>0</v>
          </cell>
          <cell r="J786">
            <v>51.88</v>
          </cell>
          <cell r="K786">
            <v>49.65</v>
          </cell>
          <cell r="P786">
            <v>0</v>
          </cell>
        </row>
        <row r="787">
          <cell r="A787" t="str">
            <v>LU1923161894</v>
          </cell>
          <cell r="B787" t="str">
            <v>AMUNDI FUNDS JAPAN EQUITY SELECT</v>
          </cell>
          <cell r="C787" t="str">
            <v>Class A USD (C)</v>
          </cell>
          <cell r="D787" t="str">
            <v>USD</v>
          </cell>
          <cell r="E787" t="str">
            <v>01-Dec-2025</v>
          </cell>
          <cell r="F787">
            <v>2751552.84</v>
          </cell>
          <cell r="G787">
            <v>39245.351000000002</v>
          </cell>
          <cell r="H787">
            <v>70.11</v>
          </cell>
          <cell r="I787">
            <v>0</v>
          </cell>
          <cell r="J787">
            <v>73.260000000000005</v>
          </cell>
          <cell r="K787">
            <v>-0.49</v>
          </cell>
          <cell r="P787">
            <v>0</v>
          </cell>
        </row>
        <row r="788">
          <cell r="A788" t="str">
            <v>LU1923162942</v>
          </cell>
          <cell r="B788" t="str">
            <v>AMUNDI FUNDS JAPAN EQUITY SELECT</v>
          </cell>
          <cell r="C788" t="str">
            <v>Class M2 EUR (C)</v>
          </cell>
          <cell r="D788" t="str">
            <v>EUR</v>
          </cell>
          <cell r="E788" t="str">
            <v>01-Dec-2025</v>
          </cell>
          <cell r="F788">
            <v>91724.21</v>
          </cell>
          <cell r="G788">
            <v>62.750999999999998</v>
          </cell>
          <cell r="H788">
            <v>1461.72</v>
          </cell>
          <cell r="I788">
            <v>0</v>
          </cell>
          <cell r="J788">
            <v>1461.72</v>
          </cell>
          <cell r="K788">
            <v>-13.16</v>
          </cell>
          <cell r="P788">
            <v>0</v>
          </cell>
        </row>
        <row r="789">
          <cell r="A789" t="str">
            <v>LU1923162512</v>
          </cell>
          <cell r="B789" t="str">
            <v>AMUNDI FUNDS JAPAN EQUITY SELECT</v>
          </cell>
          <cell r="C789" t="str">
            <v>Class E2 EUR (C)</v>
          </cell>
          <cell r="D789" t="str">
            <v>EUR</v>
          </cell>
          <cell r="E789" t="str">
            <v>01-Dec-2025</v>
          </cell>
          <cell r="F789">
            <v>7088395.96</v>
          </cell>
          <cell r="G789">
            <v>1020522.143</v>
          </cell>
          <cell r="H789">
            <v>6.9459999999999997</v>
          </cell>
          <cell r="I789">
            <v>0</v>
          </cell>
          <cell r="J789">
            <v>6.9459999999999997</v>
          </cell>
          <cell r="K789">
            <v>-6.3E-2</v>
          </cell>
          <cell r="P789">
            <v>0</v>
          </cell>
        </row>
        <row r="790">
          <cell r="A790" t="str">
            <v>LU1923162439</v>
          </cell>
          <cell r="B790" t="str">
            <v>AMUNDI FUNDS JAPAN EQUITY SELECT</v>
          </cell>
          <cell r="C790" t="str">
            <v>Class E2 EUR Hgd (C)</v>
          </cell>
          <cell r="D790" t="str">
            <v>EUR</v>
          </cell>
          <cell r="E790" t="str">
            <v>01-Dec-2025</v>
          </cell>
          <cell r="F790">
            <v>3776348.69</v>
          </cell>
          <cell r="G790">
            <v>345026.45299999998</v>
          </cell>
          <cell r="H790">
            <v>10.945</v>
          </cell>
          <cell r="I790">
            <v>0</v>
          </cell>
          <cell r="J790">
            <v>10.945</v>
          </cell>
          <cell r="K790">
            <v>-0.14399999999999999</v>
          </cell>
          <cell r="P790">
            <v>0</v>
          </cell>
        </row>
        <row r="791">
          <cell r="A791" t="str">
            <v>LU1923162603</v>
          </cell>
          <cell r="B791" t="str">
            <v>AMUNDI FUNDS JAPAN EQUITY SELECT</v>
          </cell>
          <cell r="C791" t="str">
            <v>Class F EUR (C)</v>
          </cell>
          <cell r="D791" t="str">
            <v>EUR</v>
          </cell>
          <cell r="E791" t="str">
            <v>01-Dec-2025</v>
          </cell>
          <cell r="F791">
            <v>3558085.72</v>
          </cell>
          <cell r="G791">
            <v>556716.16700000002</v>
          </cell>
          <cell r="H791">
            <v>6.391</v>
          </cell>
          <cell r="I791">
            <v>0</v>
          </cell>
          <cell r="J791">
            <v>6.391</v>
          </cell>
          <cell r="K791">
            <v>-5.8999999999999997E-2</v>
          </cell>
          <cell r="P791">
            <v>0</v>
          </cell>
        </row>
        <row r="792">
          <cell r="A792" t="str">
            <v>LU2176991425</v>
          </cell>
          <cell r="B792" t="str">
            <v>AMUNDI FUNDS JAPAN EQUITY SELECT</v>
          </cell>
          <cell r="C792" t="str">
            <v>Class I2 GBP (C)</v>
          </cell>
          <cell r="D792" t="str">
            <v>GBP</v>
          </cell>
          <cell r="E792" t="str">
            <v>01-Dec-2025</v>
          </cell>
          <cell r="F792">
            <v>5883.11</v>
          </cell>
          <cell r="G792">
            <v>5</v>
          </cell>
          <cell r="H792">
            <v>1176.6199999999999</v>
          </cell>
          <cell r="I792">
            <v>0</v>
          </cell>
          <cell r="J792">
            <v>1176.6199999999999</v>
          </cell>
          <cell r="K792">
            <v>-8.3000000000000007</v>
          </cell>
          <cell r="P792">
            <v>0</v>
          </cell>
        </row>
        <row r="793">
          <cell r="A793" t="str">
            <v>LU1923163080</v>
          </cell>
          <cell r="B793" t="str">
            <v>AMUNDI FUNDS JAPAN EQUITY SELECT</v>
          </cell>
          <cell r="C793" t="str">
            <v>Class I2 USD (C)</v>
          </cell>
          <cell r="D793" t="str">
            <v>USD</v>
          </cell>
          <cell r="E793" t="str">
            <v>01-Dec-2025</v>
          </cell>
          <cell r="F793">
            <v>585089.4</v>
          </cell>
          <cell r="G793">
            <v>386.029</v>
          </cell>
          <cell r="H793">
            <v>1515.66</v>
          </cell>
          <cell r="I793">
            <v>0</v>
          </cell>
          <cell r="J793">
            <v>1515.66</v>
          </cell>
          <cell r="K793">
            <v>-10.44</v>
          </cell>
          <cell r="P793">
            <v>0</v>
          </cell>
        </row>
        <row r="794">
          <cell r="A794" t="str">
            <v>LU2249602553</v>
          </cell>
          <cell r="B794" t="str">
            <v>AMUNDI FUNDS JAPAN EQUITY SELECT</v>
          </cell>
          <cell r="C794" t="str">
            <v>Class I JPY ( C )</v>
          </cell>
          <cell r="D794" t="str">
            <v>JPY</v>
          </cell>
          <cell r="E794" t="str">
            <v>01-Dec-2025</v>
          </cell>
          <cell r="F794">
            <v>767297</v>
          </cell>
          <cell r="G794">
            <v>5</v>
          </cell>
          <cell r="H794">
            <v>153459</v>
          </cell>
          <cell r="I794">
            <v>0</v>
          </cell>
          <cell r="J794">
            <v>153459</v>
          </cell>
          <cell r="K794">
            <v>-2007</v>
          </cell>
          <cell r="P794">
            <v>0</v>
          </cell>
        </row>
        <row r="795">
          <cell r="A795" t="str">
            <v>LU1923163163</v>
          </cell>
          <cell r="B795" t="str">
            <v>AMUNDI FUNDS JAPAN EQUITY SELECT</v>
          </cell>
          <cell r="C795" t="str">
            <v>Class I2 EUR (C)</v>
          </cell>
          <cell r="D795" t="str">
            <v>EUR</v>
          </cell>
          <cell r="E795" t="str">
            <v>01-Dec-2025</v>
          </cell>
          <cell r="F795">
            <v>1284979.99</v>
          </cell>
          <cell r="G795">
            <v>884.80200000000002</v>
          </cell>
          <cell r="H795">
            <v>1452.28</v>
          </cell>
          <cell r="I795">
            <v>0</v>
          </cell>
          <cell r="J795">
            <v>1452.28</v>
          </cell>
          <cell r="K795">
            <v>-13.09</v>
          </cell>
          <cell r="P795">
            <v>0</v>
          </cell>
        </row>
        <row r="796">
          <cell r="A796" t="str">
            <v>LU1923162785</v>
          </cell>
          <cell r="B796" t="str">
            <v>AMUNDI FUNDS JAPAN EQUITY SELECT</v>
          </cell>
          <cell r="C796" t="str">
            <v>Class G EUR (C)</v>
          </cell>
          <cell r="D796" t="str">
            <v>EUR</v>
          </cell>
          <cell r="E796" t="str">
            <v>01-Dec-2025</v>
          </cell>
          <cell r="F796">
            <v>610858.52</v>
          </cell>
          <cell r="G796">
            <v>91162.062999999995</v>
          </cell>
          <cell r="H796">
            <v>6.7009999999999996</v>
          </cell>
          <cell r="I796">
            <v>0</v>
          </cell>
          <cell r="J796">
            <v>6.7009999999999996</v>
          </cell>
          <cell r="K796">
            <v>-6.0999999999999999E-2</v>
          </cell>
          <cell r="P796">
            <v>0</v>
          </cell>
        </row>
        <row r="797">
          <cell r="A797" t="str">
            <v>LU1923163320</v>
          </cell>
          <cell r="B797" t="str">
            <v>AMUNDI FUNDS JAPAN EQUITY SELECT</v>
          </cell>
          <cell r="C797" t="str">
            <v>Class R2 EUR (C)</v>
          </cell>
          <cell r="D797" t="str">
            <v>EUR</v>
          </cell>
          <cell r="E797" t="str">
            <v>01-Dec-2025</v>
          </cell>
          <cell r="F797">
            <v>6359.24</v>
          </cell>
          <cell r="G797">
            <v>88.63</v>
          </cell>
          <cell r="H797">
            <v>71.75</v>
          </cell>
          <cell r="I797">
            <v>0</v>
          </cell>
          <cell r="J797">
            <v>71.75</v>
          </cell>
          <cell r="K797">
            <v>-0.65</v>
          </cell>
          <cell r="P797">
            <v>0</v>
          </cell>
        </row>
        <row r="798">
          <cell r="A798" t="str">
            <v>LU2259110539</v>
          </cell>
          <cell r="B798" t="str">
            <v>AMUNDI FUNDS JAPAN EQUITY SELECT</v>
          </cell>
          <cell r="C798" t="str">
            <v>Class R2 GBP (C)</v>
          </cell>
          <cell r="D798" t="str">
            <v>GBP</v>
          </cell>
          <cell r="E798" t="str">
            <v>01-Dec-2025</v>
          </cell>
          <cell r="F798">
            <v>15293.12</v>
          </cell>
          <cell r="G798">
            <v>309.00700000000001</v>
          </cell>
          <cell r="H798">
            <v>49.49</v>
          </cell>
          <cell r="I798">
            <v>0</v>
          </cell>
          <cell r="J798">
            <v>49.49</v>
          </cell>
          <cell r="K798">
            <v>-0.35</v>
          </cell>
          <cell r="P798">
            <v>0</v>
          </cell>
        </row>
        <row r="799">
          <cell r="A799" t="str">
            <v>LU1926209377</v>
          </cell>
          <cell r="B799" t="str">
            <v>AMUNDI FUNDS JAPAN EQUITY SELECT</v>
          </cell>
          <cell r="C799" t="str">
            <v>Class R EUR (C)</v>
          </cell>
          <cell r="D799" t="str">
            <v>EUR</v>
          </cell>
          <cell r="E799" t="str">
            <v>01-Dec-2025</v>
          </cell>
          <cell r="F799">
            <v>40879.120000000003</v>
          </cell>
          <cell r="G799">
            <v>298</v>
          </cell>
          <cell r="H799">
            <v>137.18</v>
          </cell>
          <cell r="I799">
            <v>0</v>
          </cell>
          <cell r="J799">
            <v>137.18</v>
          </cell>
          <cell r="K799">
            <v>-1.23</v>
          </cell>
          <cell r="P799">
            <v>0</v>
          </cell>
        </row>
        <row r="800">
          <cell r="A800" t="str">
            <v>LU1923163247</v>
          </cell>
          <cell r="B800" t="str">
            <v>AMUNDI FUNDS JAPAN EQUITY SELECT</v>
          </cell>
          <cell r="C800" t="str">
            <v>Class R2 USD (C)</v>
          </cell>
          <cell r="D800" t="str">
            <v>USD</v>
          </cell>
          <cell r="E800" t="str">
            <v>01-Dec-2025</v>
          </cell>
          <cell r="F800">
            <v>7278.73</v>
          </cell>
          <cell r="G800">
            <v>100</v>
          </cell>
          <cell r="H800">
            <v>72.790000000000006</v>
          </cell>
          <cell r="I800">
            <v>0</v>
          </cell>
          <cell r="J800">
            <v>72.790000000000006</v>
          </cell>
          <cell r="K800">
            <v>-0.5</v>
          </cell>
          <cell r="P800">
            <v>0</v>
          </cell>
        </row>
        <row r="801">
          <cell r="A801" t="str">
            <v>LU1926209294</v>
          </cell>
          <cell r="B801" t="str">
            <v>AMUNDI FUNDS JAPAN EQUITY SELECT</v>
          </cell>
          <cell r="C801" t="str">
            <v>Class I EUR (C)</v>
          </cell>
          <cell r="D801" t="str">
            <v>EUR</v>
          </cell>
          <cell r="E801" t="str">
            <v>01-Dec-2025</v>
          </cell>
          <cell r="F801">
            <v>592657.67000000004</v>
          </cell>
          <cell r="G801">
            <v>499.84100000000001</v>
          </cell>
          <cell r="H801">
            <v>1185.69</v>
          </cell>
          <cell r="I801">
            <v>0</v>
          </cell>
          <cell r="J801">
            <v>1185.69</v>
          </cell>
          <cell r="K801">
            <v>-10.68</v>
          </cell>
          <cell r="P801">
            <v>0</v>
          </cell>
        </row>
        <row r="802">
          <cell r="A802" t="str">
            <v>LU1941681956</v>
          </cell>
          <cell r="B802" t="str">
            <v>AMUNDI FUNDS MULTI-ASSET CONSERVATIVE RESPONSIBLE</v>
          </cell>
          <cell r="C802" t="str">
            <v>Class A EUR (C)</v>
          </cell>
          <cell r="D802" t="str">
            <v>EUR</v>
          </cell>
          <cell r="E802" t="str">
            <v>01-Dec-2025</v>
          </cell>
          <cell r="F802">
            <v>126284592.05</v>
          </cell>
          <cell r="G802">
            <v>1160286.791</v>
          </cell>
          <cell r="H802">
            <v>108.84</v>
          </cell>
          <cell r="I802">
            <v>0</v>
          </cell>
          <cell r="J802">
            <v>108.84</v>
          </cell>
          <cell r="K802">
            <v>-0.41</v>
          </cell>
          <cell r="P802">
            <v>0</v>
          </cell>
        </row>
        <row r="803">
          <cell r="A803" t="str">
            <v>LU1941682095</v>
          </cell>
          <cell r="B803" t="str">
            <v>AMUNDI FUNDS MULTI-ASSET CONSERVATIVE RESPONSIBLE</v>
          </cell>
          <cell r="C803" t="str">
            <v>Class A EUR AD (D)</v>
          </cell>
          <cell r="D803" t="str">
            <v>EUR</v>
          </cell>
          <cell r="E803" t="str">
            <v>01-Dec-2025</v>
          </cell>
          <cell r="F803">
            <v>6330903.9299999997</v>
          </cell>
          <cell r="G803">
            <v>58305.232000000004</v>
          </cell>
          <cell r="H803">
            <v>108.58</v>
          </cell>
          <cell r="I803">
            <v>0</v>
          </cell>
          <cell r="J803">
            <v>108.58</v>
          </cell>
          <cell r="K803">
            <v>-0.41</v>
          </cell>
          <cell r="P803">
            <v>0</v>
          </cell>
        </row>
        <row r="804">
          <cell r="A804" t="str">
            <v>LU2110861817</v>
          </cell>
          <cell r="B804" t="str">
            <v>AMUNDI FUNDS MULTI-ASSET CONSERVATIVE RESPONSIBLE</v>
          </cell>
          <cell r="C804" t="str">
            <v>Class A CHF Hgd (C)</v>
          </cell>
          <cell r="D804" t="str">
            <v>CHF</v>
          </cell>
          <cell r="E804" t="str">
            <v>01-Dec-2025</v>
          </cell>
          <cell r="F804">
            <v>8536707.4199999999</v>
          </cell>
          <cell r="G804">
            <v>177883.323</v>
          </cell>
          <cell r="H804">
            <v>47.99</v>
          </cell>
          <cell r="I804">
            <v>0</v>
          </cell>
          <cell r="J804">
            <v>47.99</v>
          </cell>
          <cell r="K804">
            <v>-0.18</v>
          </cell>
          <cell r="P804">
            <v>0</v>
          </cell>
        </row>
        <row r="805">
          <cell r="A805" t="str">
            <v>LU2176991698</v>
          </cell>
          <cell r="B805" t="str">
            <v>AMUNDI FUNDS MULTI-ASSET CONSERVATIVE RESPONSIBLE</v>
          </cell>
          <cell r="C805" t="str">
            <v>Class A CZK Hgd (C)</v>
          </cell>
          <cell r="D805" t="str">
            <v>CZK</v>
          </cell>
          <cell r="E805" t="str">
            <v>01-Dec-2025</v>
          </cell>
          <cell r="F805">
            <v>932813868.88999999</v>
          </cell>
          <cell r="G805">
            <v>753790.81299999997</v>
          </cell>
          <cell r="H805">
            <v>1237.5</v>
          </cell>
          <cell r="I805">
            <v>0</v>
          </cell>
          <cell r="J805">
            <v>1237.5</v>
          </cell>
          <cell r="K805">
            <v>-4.62</v>
          </cell>
          <cell r="P805">
            <v>0</v>
          </cell>
        </row>
        <row r="806">
          <cell r="A806" t="str">
            <v>LU1941682681</v>
          </cell>
          <cell r="B806" t="str">
            <v>AMUNDI FUNDS MULTI-ASSET CONSERVATIVE RESPONSIBLE</v>
          </cell>
          <cell r="C806" t="str">
            <v>Class A USD (C)</v>
          </cell>
          <cell r="D806" t="str">
            <v>USD</v>
          </cell>
          <cell r="E806" t="str">
            <v>01-Dec-2025</v>
          </cell>
          <cell r="F806">
            <v>1531729.3</v>
          </cell>
          <cell r="G806">
            <v>13596.096</v>
          </cell>
          <cell r="H806">
            <v>112.66</v>
          </cell>
          <cell r="I806">
            <v>0</v>
          </cell>
          <cell r="J806">
            <v>112.66</v>
          </cell>
          <cell r="K806">
            <v>-0.18</v>
          </cell>
          <cell r="P806">
            <v>0</v>
          </cell>
        </row>
        <row r="807">
          <cell r="A807" t="str">
            <v>LU2011223687</v>
          </cell>
          <cell r="B807" t="str">
            <v>AMUNDI FUNDS MULTI-ASSET CONSERVATIVE RESPONSIBLE</v>
          </cell>
          <cell r="C807" t="str">
            <v>Class M2 EUR (C)</v>
          </cell>
          <cell r="D807" t="str">
            <v>EUR</v>
          </cell>
          <cell r="E807" t="str">
            <v>01-Dec-2025</v>
          </cell>
          <cell r="F807">
            <v>36767848.700000003</v>
          </cell>
          <cell r="G807">
            <v>32696.172999999999</v>
          </cell>
          <cell r="H807">
            <v>1124.53</v>
          </cell>
          <cell r="I807">
            <v>0</v>
          </cell>
          <cell r="J807">
            <v>1124.53</v>
          </cell>
          <cell r="K807">
            <v>-4.16</v>
          </cell>
          <cell r="P807">
            <v>0</v>
          </cell>
        </row>
        <row r="808">
          <cell r="A808" t="str">
            <v>LU2036673882</v>
          </cell>
          <cell r="B808" t="str">
            <v>AMUNDI FUNDS MULTI-ASSET CONSERVATIVE RESPONSIBLE</v>
          </cell>
          <cell r="C808" t="str">
            <v>Class E2 EUR (C)</v>
          </cell>
          <cell r="D808" t="str">
            <v>EUR</v>
          </cell>
          <cell r="E808" t="str">
            <v>01-Dec-2025</v>
          </cell>
          <cell r="F808">
            <v>97879734.870000005</v>
          </cell>
          <cell r="G808">
            <v>18346469.785</v>
          </cell>
          <cell r="H808">
            <v>5.335</v>
          </cell>
          <cell r="I808">
            <v>0</v>
          </cell>
          <cell r="J808">
            <v>5.335</v>
          </cell>
          <cell r="K808">
            <v>-0.02</v>
          </cell>
          <cell r="P808">
            <v>0</v>
          </cell>
        </row>
        <row r="809">
          <cell r="A809" t="str">
            <v>LU2040441128</v>
          </cell>
          <cell r="B809" t="str">
            <v>AMUNDI FUNDS MULTI-ASSET CONSERVATIVE RESPONSIBLE</v>
          </cell>
          <cell r="C809" t="str">
            <v>Class A2 EUR (C)</v>
          </cell>
          <cell r="D809" t="str">
            <v>EUR</v>
          </cell>
          <cell r="E809" t="str">
            <v>01-Dec-2025</v>
          </cell>
          <cell r="F809">
            <v>109608.82</v>
          </cell>
          <cell r="G809">
            <v>2081.6060000000002</v>
          </cell>
          <cell r="H809">
            <v>52.66</v>
          </cell>
          <cell r="I809">
            <v>0</v>
          </cell>
          <cell r="J809">
            <v>52.66</v>
          </cell>
          <cell r="K809">
            <v>-0.19</v>
          </cell>
          <cell r="P809">
            <v>0</v>
          </cell>
        </row>
        <row r="810">
          <cell r="A810" t="str">
            <v>LU2018721113</v>
          </cell>
          <cell r="B810" t="str">
            <v>AMUNDI FUNDS MULTI-ASSET CONSERVATIVE RESPONSIBLE</v>
          </cell>
          <cell r="C810" t="str">
            <v>Class F EUR (C)</v>
          </cell>
          <cell r="D810" t="str">
            <v>EUR</v>
          </cell>
          <cell r="E810" t="str">
            <v>01-Dec-2025</v>
          </cell>
          <cell r="F810">
            <v>1879228.12</v>
          </cell>
          <cell r="G810">
            <v>371029.86</v>
          </cell>
          <cell r="H810">
            <v>5.0650000000000004</v>
          </cell>
          <cell r="I810">
            <v>0</v>
          </cell>
          <cell r="J810">
            <v>5.0650000000000004</v>
          </cell>
          <cell r="K810">
            <v>-1.9E-2</v>
          </cell>
          <cell r="P810">
            <v>0</v>
          </cell>
        </row>
        <row r="811">
          <cell r="A811" t="str">
            <v>LU1941682418</v>
          </cell>
          <cell r="B811" t="str">
            <v>AMUNDI FUNDS MULTI-ASSET CONSERVATIVE RESPONSIBLE</v>
          </cell>
          <cell r="C811" t="str">
            <v>Class F2 EUR (C)</v>
          </cell>
          <cell r="D811" t="str">
            <v>EUR</v>
          </cell>
          <cell r="E811" t="str">
            <v>01-Dec-2025</v>
          </cell>
          <cell r="F811">
            <v>263873.71999999997</v>
          </cell>
          <cell r="G811">
            <v>2547.0140000000001</v>
          </cell>
          <cell r="H811">
            <v>103.6</v>
          </cell>
          <cell r="I811">
            <v>0</v>
          </cell>
          <cell r="J811">
            <v>103.6</v>
          </cell>
          <cell r="K811">
            <v>-0.4</v>
          </cell>
          <cell r="P811">
            <v>0</v>
          </cell>
        </row>
        <row r="812">
          <cell r="A812" t="str">
            <v>LU2462611307</v>
          </cell>
          <cell r="B812" t="str">
            <v>AMUNDI FUNDS MULTI-ASSET CONSERVATIVE RESPONSIBLE</v>
          </cell>
          <cell r="C812" t="str">
            <v>Class I16 EUR (C)</v>
          </cell>
          <cell r="D812" t="str">
            <v>EUR</v>
          </cell>
          <cell r="E812" t="str">
            <v>01-Dec-2025</v>
          </cell>
          <cell r="F812">
            <v>29298.52</v>
          </cell>
          <cell r="G812">
            <v>27</v>
          </cell>
          <cell r="H812">
            <v>1085.1300000000001</v>
          </cell>
          <cell r="I812">
            <v>0</v>
          </cell>
          <cell r="J812">
            <v>1085.1300000000001</v>
          </cell>
          <cell r="K812">
            <v>-4.0199999999999996</v>
          </cell>
          <cell r="P812">
            <v>0</v>
          </cell>
        </row>
        <row r="813">
          <cell r="A813" t="str">
            <v>LU2031984342</v>
          </cell>
          <cell r="B813" t="str">
            <v>AMUNDI FUNDS MULTI-ASSET CONSERVATIVE RESPONSIBLE</v>
          </cell>
          <cell r="C813" t="str">
            <v>Class I2 EUR (C)</v>
          </cell>
          <cell r="D813" t="str">
            <v>EUR</v>
          </cell>
          <cell r="E813" t="str">
            <v>01-Dec-2025</v>
          </cell>
          <cell r="F813">
            <v>20429424.649999999</v>
          </cell>
          <cell r="G813">
            <v>18217.548999999999</v>
          </cell>
          <cell r="H813">
            <v>1121.4100000000001</v>
          </cell>
          <cell r="I813">
            <v>0</v>
          </cell>
          <cell r="J813">
            <v>1121.4100000000001</v>
          </cell>
          <cell r="K813">
            <v>-4.1500000000000004</v>
          </cell>
          <cell r="P813">
            <v>0</v>
          </cell>
        </row>
        <row r="814">
          <cell r="A814" t="str">
            <v>LU1941682178</v>
          </cell>
          <cell r="B814" t="str">
            <v>AMUNDI FUNDS MULTI-ASSET CONSERVATIVE RESPONSIBLE</v>
          </cell>
          <cell r="C814" t="str">
            <v>Class I EUR (C)</v>
          </cell>
          <cell r="D814" t="str">
            <v>EUR</v>
          </cell>
          <cell r="E814" t="str">
            <v>01-Dec-2025</v>
          </cell>
          <cell r="F814">
            <v>17281312.84</v>
          </cell>
          <cell r="G814">
            <v>15078.498</v>
          </cell>
          <cell r="H814">
            <v>1146.0899999999999</v>
          </cell>
          <cell r="I814">
            <v>0</v>
          </cell>
          <cell r="J814">
            <v>1146.0899999999999</v>
          </cell>
          <cell r="K814">
            <v>-4.2300000000000004</v>
          </cell>
          <cell r="P814">
            <v>0</v>
          </cell>
        </row>
        <row r="815">
          <cell r="A815" t="str">
            <v>LU2359308629</v>
          </cell>
          <cell r="B815" t="str">
            <v>AMUNDI FUNDS MULTI-ASSET CONSERVATIVE RESPONSIBLE</v>
          </cell>
          <cell r="C815" t="str">
            <v>Class I2 GBP (C)</v>
          </cell>
          <cell r="D815" t="str">
            <v>GBP</v>
          </cell>
          <cell r="E815" t="str">
            <v>01-Dec-2025</v>
          </cell>
          <cell r="F815">
            <v>5258.17</v>
          </cell>
          <cell r="G815">
            <v>5</v>
          </cell>
          <cell r="H815">
            <v>1051.6300000000001</v>
          </cell>
          <cell r="I815">
            <v>0</v>
          </cell>
          <cell r="J815">
            <v>1051.6300000000001</v>
          </cell>
          <cell r="K815">
            <v>-1.84</v>
          </cell>
          <cell r="P815">
            <v>0</v>
          </cell>
        </row>
        <row r="816">
          <cell r="A816" t="str">
            <v>LU2085675861</v>
          </cell>
          <cell r="B816" t="str">
            <v>AMUNDI FUNDS MULTI-ASSET CONSERVATIVE RESPONSIBLE</v>
          </cell>
          <cell r="C816" t="str">
            <v>Class J2 EUR (C)</v>
          </cell>
          <cell r="D816" t="str">
            <v>EUR</v>
          </cell>
          <cell r="E816" t="str">
            <v>01-Dec-2025</v>
          </cell>
          <cell r="F816">
            <v>50312910.880000003</v>
          </cell>
          <cell r="G816">
            <v>45084</v>
          </cell>
          <cell r="H816">
            <v>1115.98</v>
          </cell>
          <cell r="I816">
            <v>0</v>
          </cell>
          <cell r="J816">
            <v>1115.98</v>
          </cell>
          <cell r="K816">
            <v>-4.12</v>
          </cell>
          <cell r="P816">
            <v>0</v>
          </cell>
        </row>
        <row r="817">
          <cell r="A817" t="str">
            <v>LU1941682509</v>
          </cell>
          <cell r="B817" t="str">
            <v>AMUNDI FUNDS MULTI-ASSET CONSERVATIVE RESPONSIBLE</v>
          </cell>
          <cell r="C817" t="str">
            <v>Class M EUR (C)</v>
          </cell>
          <cell r="D817" t="str">
            <v>EUR</v>
          </cell>
          <cell r="E817" t="str">
            <v>01-Dec-2025</v>
          </cell>
          <cell r="F817">
            <v>56949645.659999996</v>
          </cell>
          <cell r="G817">
            <v>496592.83500000002</v>
          </cell>
          <cell r="H817">
            <v>114.68</v>
          </cell>
          <cell r="I817">
            <v>0</v>
          </cell>
          <cell r="J817">
            <v>114.68</v>
          </cell>
          <cell r="K817">
            <v>-0.42</v>
          </cell>
          <cell r="P817">
            <v>0</v>
          </cell>
        </row>
        <row r="818">
          <cell r="A818" t="str">
            <v>LU2359306094</v>
          </cell>
          <cell r="B818" t="str">
            <v>AMUNDI FUNDS MULTI-ASSET CONSERVATIVE RESPONSIBLE</v>
          </cell>
          <cell r="C818" t="str">
            <v>Class R EUR AD (D)</v>
          </cell>
          <cell r="D818" t="str">
            <v>EUR</v>
          </cell>
          <cell r="E818" t="str">
            <v>01-Dec-2025</v>
          </cell>
          <cell r="F818">
            <v>4982.6099999999997</v>
          </cell>
          <cell r="G818">
            <v>100</v>
          </cell>
          <cell r="H818">
            <v>49.83</v>
          </cell>
          <cell r="I818">
            <v>0</v>
          </cell>
          <cell r="J818">
            <v>49.83</v>
          </cell>
          <cell r="K818">
            <v>-0.18</v>
          </cell>
          <cell r="P818">
            <v>0</v>
          </cell>
        </row>
        <row r="819">
          <cell r="A819" t="str">
            <v>LU1941682251</v>
          </cell>
          <cell r="B819" t="str">
            <v>AMUNDI FUNDS MULTI-ASSET CONSERVATIVE RESPONSIBLE</v>
          </cell>
          <cell r="C819" t="str">
            <v>Class R EUR (C)</v>
          </cell>
          <cell r="D819" t="str">
            <v>EUR</v>
          </cell>
          <cell r="E819" t="str">
            <v>01-Dec-2025</v>
          </cell>
          <cell r="F819">
            <v>1093524.3600000001</v>
          </cell>
          <cell r="G819">
            <v>9701.5650000000005</v>
          </cell>
          <cell r="H819">
            <v>112.72</v>
          </cell>
          <cell r="I819">
            <v>0</v>
          </cell>
          <cell r="J819">
            <v>112.72</v>
          </cell>
          <cell r="K819">
            <v>-0.41</v>
          </cell>
          <cell r="P819">
            <v>0</v>
          </cell>
        </row>
        <row r="820">
          <cell r="A820" t="str">
            <v>LU2391859084</v>
          </cell>
          <cell r="B820" t="str">
            <v>AMUNDI FUNDS MULTI-ASSET CONSERVATIVE RESPONSIBLE</v>
          </cell>
          <cell r="C820" t="str">
            <v>Class R5 EUR (C)</v>
          </cell>
          <cell r="D820" t="str">
            <v>EUR</v>
          </cell>
          <cell r="E820" t="str">
            <v>01-Dec-2025</v>
          </cell>
          <cell r="F820">
            <v>3328278.56</v>
          </cell>
          <cell r="G820">
            <v>65345.764999999999</v>
          </cell>
          <cell r="H820">
            <v>50.93</v>
          </cell>
          <cell r="I820">
            <v>0</v>
          </cell>
          <cell r="J820">
            <v>50.93</v>
          </cell>
          <cell r="K820">
            <v>-0.19</v>
          </cell>
          <cell r="P820">
            <v>0</v>
          </cell>
        </row>
        <row r="821">
          <cell r="A821" t="str">
            <v>LU1941682335</v>
          </cell>
          <cell r="B821" t="str">
            <v>AMUNDI FUNDS MULTI-ASSET CONSERVATIVE RESPONSIBLE</v>
          </cell>
          <cell r="C821" t="str">
            <v>Class G EUR (C)</v>
          </cell>
          <cell r="D821" t="str">
            <v>EUR</v>
          </cell>
          <cell r="E821" t="str">
            <v>01-Dec-2025</v>
          </cell>
          <cell r="F821">
            <v>262459284.38</v>
          </cell>
          <cell r="G821">
            <v>2417894.8160000001</v>
          </cell>
          <cell r="H821">
            <v>108.55</v>
          </cell>
          <cell r="I821">
            <v>0</v>
          </cell>
          <cell r="J821">
            <v>108.55</v>
          </cell>
          <cell r="K821">
            <v>-0.41</v>
          </cell>
          <cell r="P821">
            <v>0</v>
          </cell>
        </row>
        <row r="822">
          <cell r="A822" t="str">
            <v>LU1941681014</v>
          </cell>
          <cell r="B822" t="str">
            <v>AMUNDI FUNDS EMERGING MARKETS EQUITY GROWTH OPPORT</v>
          </cell>
          <cell r="C822" t="str">
            <v>Class A EUR (C)</v>
          </cell>
          <cell r="D822" t="str">
            <v>EUR</v>
          </cell>
          <cell r="E822" t="str">
            <v>01-Dec-2025</v>
          </cell>
          <cell r="F822">
            <v>237888949.62</v>
          </cell>
          <cell r="G822">
            <v>1453408.6470000001</v>
          </cell>
          <cell r="H822">
            <v>163.68</v>
          </cell>
          <cell r="I822">
            <v>0</v>
          </cell>
          <cell r="J822">
            <v>163.68</v>
          </cell>
          <cell r="K822">
            <v>0.14000000000000001</v>
          </cell>
          <cell r="P822">
            <v>0</v>
          </cell>
        </row>
        <row r="823">
          <cell r="A823" t="str">
            <v>LU2018721386</v>
          </cell>
          <cell r="B823" t="str">
            <v>AMUNDI FUNDS EMERGING MARKETS EQUITY GROWTH OPPORT</v>
          </cell>
          <cell r="C823" t="str">
            <v>Class F EUR (C)</v>
          </cell>
          <cell r="D823" t="str">
            <v>EUR</v>
          </cell>
          <cell r="E823" t="str">
            <v>01-Dec-2025</v>
          </cell>
          <cell r="F823">
            <v>559058.92000000004</v>
          </cell>
          <cell r="G823">
            <v>72614.971000000005</v>
          </cell>
          <cell r="H823">
            <v>7.6989999999999998</v>
          </cell>
          <cell r="I823">
            <v>0</v>
          </cell>
          <cell r="J823">
            <v>7.6989999999999998</v>
          </cell>
          <cell r="K823">
            <v>6.0000000000000001E-3</v>
          </cell>
          <cell r="P823">
            <v>0</v>
          </cell>
        </row>
        <row r="824">
          <cell r="A824" t="str">
            <v>LU1941681105</v>
          </cell>
          <cell r="B824" t="str">
            <v>AMUNDI FUNDS EMERGING MARKETS EQUITY GROWTH OPPORT</v>
          </cell>
          <cell r="C824" t="str">
            <v>Class F2 EUR (C)</v>
          </cell>
          <cell r="D824" t="str">
            <v>EUR</v>
          </cell>
          <cell r="E824" t="str">
            <v>01-Dec-2025</v>
          </cell>
          <cell r="F824">
            <v>33989.43</v>
          </cell>
          <cell r="G824">
            <v>216.19200000000001</v>
          </cell>
          <cell r="H824">
            <v>157.22</v>
          </cell>
          <cell r="I824">
            <v>0</v>
          </cell>
          <cell r="J824">
            <v>157.22</v>
          </cell>
          <cell r="K824">
            <v>0.12</v>
          </cell>
          <cell r="P824">
            <v>0</v>
          </cell>
        </row>
        <row r="825">
          <cell r="A825" t="str">
            <v>LU2036674690</v>
          </cell>
          <cell r="B825" t="str">
            <v>AMUNDI FUNDS EMERGING MARKETS EQUITY GROWTH OPPORT</v>
          </cell>
          <cell r="C825" t="str">
            <v>Class H EUR (C)</v>
          </cell>
          <cell r="D825" t="str">
            <v>EUR</v>
          </cell>
          <cell r="E825" t="str">
            <v>01-Dec-2025</v>
          </cell>
          <cell r="F825">
            <v>15064243.32</v>
          </cell>
          <cell r="G825">
            <v>8149.5730000000003</v>
          </cell>
          <cell r="H825">
            <v>1848.47</v>
          </cell>
          <cell r="I825">
            <v>0</v>
          </cell>
          <cell r="J825">
            <v>1848.47</v>
          </cell>
          <cell r="K825">
            <v>1.76</v>
          </cell>
          <cell r="P825">
            <v>0</v>
          </cell>
        </row>
        <row r="826">
          <cell r="A826" t="str">
            <v>LU2031984268</v>
          </cell>
          <cell r="B826" t="str">
            <v>AMUNDI FUNDS EMERGING MARKETS EQUITY GROWTH OPPORT</v>
          </cell>
          <cell r="C826" t="str">
            <v>Class I2 GBP (C)</v>
          </cell>
          <cell r="D826" t="str">
            <v>GBP</v>
          </cell>
          <cell r="E826" t="str">
            <v>01-Dec-2025</v>
          </cell>
          <cell r="F826">
            <v>8903.17</v>
          </cell>
          <cell r="G826">
            <v>5</v>
          </cell>
          <cell r="H826">
            <v>1780.63</v>
          </cell>
          <cell r="I826">
            <v>0</v>
          </cell>
          <cell r="J826">
            <v>1780.63</v>
          </cell>
          <cell r="K826">
            <v>5.07</v>
          </cell>
          <cell r="P826">
            <v>0</v>
          </cell>
        </row>
        <row r="827">
          <cell r="A827" t="str">
            <v>LU1941681287</v>
          </cell>
          <cell r="B827" t="str">
            <v>AMUNDI FUNDS EMERGING MARKETS EQUITY GROWTH OPPORT</v>
          </cell>
          <cell r="C827" t="str">
            <v>Class I EUR (C)</v>
          </cell>
          <cell r="D827" t="str">
            <v>EUR</v>
          </cell>
          <cell r="E827" t="str">
            <v>01-Dec-2025</v>
          </cell>
          <cell r="F827">
            <v>40216151.469999999</v>
          </cell>
          <cell r="G827">
            <v>23237.241000000002</v>
          </cell>
          <cell r="H827">
            <v>1730.68</v>
          </cell>
          <cell r="I827">
            <v>0</v>
          </cell>
          <cell r="J827">
            <v>1730.68</v>
          </cell>
          <cell r="K827">
            <v>1.48</v>
          </cell>
          <cell r="P827">
            <v>0</v>
          </cell>
        </row>
        <row r="828">
          <cell r="A828" t="str">
            <v>LU3015123683</v>
          </cell>
          <cell r="B828" t="str">
            <v>AMUNDI FUNDS EMERGING MARKETS EQUITY GROWTH OPPORT</v>
          </cell>
          <cell r="C828" t="str">
            <v>Class I2 USD (C)</v>
          </cell>
          <cell r="D828" t="str">
            <v>USD</v>
          </cell>
          <cell r="E828" t="str">
            <v>01-Dec-2025</v>
          </cell>
          <cell r="F828">
            <v>6605.74</v>
          </cell>
          <cell r="G828">
            <v>5.3</v>
          </cell>
          <cell r="H828">
            <v>1246.3699999999999</v>
          </cell>
          <cell r="I828">
            <v>0</v>
          </cell>
          <cell r="J828">
            <v>1246.3699999999999</v>
          </cell>
          <cell r="K828">
            <v>3.77</v>
          </cell>
          <cell r="P828">
            <v>0</v>
          </cell>
        </row>
        <row r="829">
          <cell r="A829" t="str">
            <v>LU1941681444</v>
          </cell>
          <cell r="B829" t="str">
            <v>AMUNDI FUNDS EMERGING MARKETS EQUITY GROWTH OPPORT</v>
          </cell>
          <cell r="C829" t="str">
            <v>Class M EUR (C)</v>
          </cell>
          <cell r="D829" t="str">
            <v>EUR</v>
          </cell>
          <cell r="E829" t="str">
            <v>01-Dec-2025</v>
          </cell>
          <cell r="F829">
            <v>134092434.31</v>
          </cell>
          <cell r="G829">
            <v>782883.897</v>
          </cell>
          <cell r="H829">
            <v>171.28</v>
          </cell>
          <cell r="I829">
            <v>0</v>
          </cell>
          <cell r="J829">
            <v>171.28</v>
          </cell>
          <cell r="K829">
            <v>0.14000000000000001</v>
          </cell>
          <cell r="P829">
            <v>0</v>
          </cell>
        </row>
        <row r="830">
          <cell r="A830" t="str">
            <v>LU1941681790</v>
          </cell>
          <cell r="B830" t="str">
            <v>AMUNDI FUNDS EMERGING MARKETS EQUITY GROWTH OPPORT</v>
          </cell>
          <cell r="C830" t="str">
            <v>Class R EUR (C)</v>
          </cell>
          <cell r="D830" t="str">
            <v>EUR</v>
          </cell>
          <cell r="E830" t="str">
            <v>01-Dec-2025</v>
          </cell>
          <cell r="F830">
            <v>101660.38</v>
          </cell>
          <cell r="G830">
            <v>594.84299999999996</v>
          </cell>
          <cell r="H830">
            <v>170.9</v>
          </cell>
          <cell r="I830">
            <v>0</v>
          </cell>
          <cell r="J830">
            <v>170.9</v>
          </cell>
          <cell r="K830">
            <v>0.14000000000000001</v>
          </cell>
          <cell r="P830">
            <v>0</v>
          </cell>
        </row>
        <row r="831">
          <cell r="A831" t="str">
            <v>LU1941681527</v>
          </cell>
          <cell r="B831" t="str">
            <v>AMUNDI FUNDS EMERGING MARKETS EQUITY GROWTH OPPORT</v>
          </cell>
          <cell r="C831" t="str">
            <v>Class R USD (C)</v>
          </cell>
          <cell r="D831" t="str">
            <v>USD</v>
          </cell>
          <cell r="E831" t="str">
            <v>01-Dec-2025</v>
          </cell>
          <cell r="F831">
            <v>73751.87</v>
          </cell>
          <cell r="G831">
            <v>420</v>
          </cell>
          <cell r="H831">
            <v>175.6</v>
          </cell>
          <cell r="I831">
            <v>0</v>
          </cell>
          <cell r="J831">
            <v>175.6</v>
          </cell>
          <cell r="K831">
            <v>0.52</v>
          </cell>
          <cell r="P831">
            <v>0</v>
          </cell>
        </row>
        <row r="832">
          <cell r="A832" t="str">
            <v>LU1941681873</v>
          </cell>
          <cell r="B832" t="str">
            <v>AMUNDI FUNDS EMERGING MARKETS EQUITY GROWTH OPPORT</v>
          </cell>
          <cell r="C832" t="str">
            <v>Class G EUR (C)</v>
          </cell>
          <cell r="D832" t="str">
            <v>EUR</v>
          </cell>
          <cell r="E832" t="str">
            <v>01-Dec-2025</v>
          </cell>
          <cell r="F832">
            <v>83455438.950000003</v>
          </cell>
          <cell r="G832">
            <v>517373.68400000001</v>
          </cell>
          <cell r="H832">
            <v>161.31</v>
          </cell>
          <cell r="I832">
            <v>0</v>
          </cell>
          <cell r="J832">
            <v>161.31</v>
          </cell>
          <cell r="K832">
            <v>0.14000000000000001</v>
          </cell>
          <cell r="P832">
            <v>0</v>
          </cell>
        </row>
        <row r="833">
          <cell r="A833" t="str">
            <v>LU1880395964</v>
          </cell>
          <cell r="B833" t="str">
            <v>AMUNDI FUNDS EUROPEAN EQUITY SMALL CAP</v>
          </cell>
          <cell r="C833" t="str">
            <v>Class A EUR AD (D)</v>
          </cell>
          <cell r="D833" t="str">
            <v>EUR</v>
          </cell>
          <cell r="E833" t="str">
            <v>01-Dec-2025</v>
          </cell>
          <cell r="F833">
            <v>368349.26</v>
          </cell>
          <cell r="G833">
            <v>5879.6959999999999</v>
          </cell>
          <cell r="H833">
            <v>62.65</v>
          </cell>
          <cell r="I833">
            <v>0</v>
          </cell>
          <cell r="J833">
            <v>65.47</v>
          </cell>
          <cell r="K833">
            <v>-0.2</v>
          </cell>
          <cell r="P833">
            <v>0</v>
          </cell>
        </row>
        <row r="834">
          <cell r="A834" t="str">
            <v>LU1883306497</v>
          </cell>
          <cell r="B834" t="str">
            <v>AMUNDI FUNDS EUROPEAN EQUITY SMALL CAP</v>
          </cell>
          <cell r="C834" t="str">
            <v>Class A EUR (C)</v>
          </cell>
          <cell r="D834" t="str">
            <v>EUR</v>
          </cell>
          <cell r="E834" t="str">
            <v>01-Dec-2025</v>
          </cell>
          <cell r="F834">
            <v>96651714.269999996</v>
          </cell>
          <cell r="G834">
            <v>456017.359</v>
          </cell>
          <cell r="H834">
            <v>211.95</v>
          </cell>
          <cell r="I834">
            <v>0</v>
          </cell>
          <cell r="J834">
            <v>221.49</v>
          </cell>
          <cell r="K834">
            <v>-0.69</v>
          </cell>
          <cell r="P834">
            <v>0</v>
          </cell>
        </row>
        <row r="835">
          <cell r="A835" t="str">
            <v>LU3081003249</v>
          </cell>
          <cell r="B835" t="str">
            <v>AMUNDI FUNDS EUROPEAN EQUITY SMALL CAP</v>
          </cell>
          <cell r="C835" t="str">
            <v>Class A2 EUR (C)</v>
          </cell>
          <cell r="D835" t="str">
            <v>EUR</v>
          </cell>
          <cell r="E835" t="str">
            <v>01-Dec-2025</v>
          </cell>
          <cell r="F835">
            <v>2331556.71</v>
          </cell>
          <cell r="G835">
            <v>46788.612000000001</v>
          </cell>
          <cell r="H835">
            <v>49.83</v>
          </cell>
          <cell r="I835">
            <v>0</v>
          </cell>
          <cell r="J835">
            <v>52.07</v>
          </cell>
          <cell r="K835">
            <v>0</v>
          </cell>
          <cell r="P835">
            <v>0</v>
          </cell>
        </row>
        <row r="836">
          <cell r="A836" t="str">
            <v>LU3081003322</v>
          </cell>
          <cell r="B836" t="str">
            <v>AMUNDI FUNDS EUROPEAN EQUITY SMALL CAP</v>
          </cell>
          <cell r="C836" t="str">
            <v>Class A2 USD (C)</v>
          </cell>
          <cell r="D836" t="str">
            <v>USD</v>
          </cell>
          <cell r="E836" t="str">
            <v>01-Dec-2025</v>
          </cell>
          <cell r="F836">
            <v>702731</v>
          </cell>
          <cell r="G836">
            <v>14072.383</v>
          </cell>
          <cell r="H836">
            <v>49.94</v>
          </cell>
          <cell r="I836">
            <v>0</v>
          </cell>
          <cell r="J836">
            <v>52.19</v>
          </cell>
          <cell r="K836">
            <v>49.94</v>
          </cell>
          <cell r="P836">
            <v>0</v>
          </cell>
        </row>
        <row r="837">
          <cell r="A837" t="str">
            <v>LU1883306653</v>
          </cell>
          <cell r="B837" t="str">
            <v>AMUNDI FUNDS EUROPEAN EQUITY SMALL CAP</v>
          </cell>
          <cell r="C837" t="str">
            <v>Class A USD Hgd (C)</v>
          </cell>
          <cell r="D837" t="str">
            <v>USD</v>
          </cell>
          <cell r="E837" t="str">
            <v>01-Dec-2025</v>
          </cell>
          <cell r="F837">
            <v>4762336.22</v>
          </cell>
          <cell r="G837">
            <v>50900.415000000001</v>
          </cell>
          <cell r="H837">
            <v>93.56</v>
          </cell>
          <cell r="I837">
            <v>0</v>
          </cell>
          <cell r="J837">
            <v>97.77</v>
          </cell>
          <cell r="K837">
            <v>-0.21</v>
          </cell>
          <cell r="P837">
            <v>0</v>
          </cell>
        </row>
        <row r="838">
          <cell r="A838" t="str">
            <v>LU3081003595</v>
          </cell>
          <cell r="B838" t="str">
            <v>AMUNDI FUNDS EUROPEAN EQUITY SMALL CAP</v>
          </cell>
          <cell r="C838" t="str">
            <v>Class A2 USD Hgd (C)</v>
          </cell>
          <cell r="D838" t="str">
            <v>USD</v>
          </cell>
          <cell r="E838" t="str">
            <v>01-Dec-2025</v>
          </cell>
          <cell r="F838">
            <v>701603.27</v>
          </cell>
          <cell r="G838">
            <v>14062.773999999999</v>
          </cell>
          <cell r="H838">
            <v>49.89</v>
          </cell>
          <cell r="I838">
            <v>0</v>
          </cell>
          <cell r="J838">
            <v>52.14</v>
          </cell>
          <cell r="K838">
            <v>49.89</v>
          </cell>
          <cell r="P838">
            <v>0</v>
          </cell>
        </row>
        <row r="839">
          <cell r="A839" t="str">
            <v>LU1883306570</v>
          </cell>
          <cell r="B839" t="str">
            <v>AMUNDI FUNDS EUROPEAN EQUITY SMALL CAP</v>
          </cell>
          <cell r="C839" t="str">
            <v>Class A USD (C)</v>
          </cell>
          <cell r="D839" t="str">
            <v>USD</v>
          </cell>
          <cell r="E839" t="str">
            <v>01-Dec-2025</v>
          </cell>
          <cell r="F839">
            <v>11348329.77</v>
          </cell>
          <cell r="G839">
            <v>46054.305</v>
          </cell>
          <cell r="H839">
            <v>246.41</v>
          </cell>
          <cell r="I839">
            <v>0</v>
          </cell>
          <cell r="J839">
            <v>257.5</v>
          </cell>
          <cell r="K839">
            <v>-0.28999999999999998</v>
          </cell>
          <cell r="P839">
            <v>0</v>
          </cell>
        </row>
        <row r="840">
          <cell r="A840" t="str">
            <v>LU1883306737</v>
          </cell>
          <cell r="B840" t="str">
            <v>AMUNDI FUNDS EUROPEAN EQUITY SMALL CAP</v>
          </cell>
          <cell r="C840" t="str">
            <v>Class B EUR (C)</v>
          </cell>
          <cell r="D840" t="str">
            <v>EUR</v>
          </cell>
          <cell r="E840" t="str">
            <v>01-Dec-2025</v>
          </cell>
          <cell r="F840">
            <v>118459.34</v>
          </cell>
          <cell r="G840">
            <v>1071.5</v>
          </cell>
          <cell r="H840">
            <v>110.55</v>
          </cell>
          <cell r="I840">
            <v>0</v>
          </cell>
          <cell r="J840">
            <v>110.55</v>
          </cell>
          <cell r="K840">
            <v>-0.37</v>
          </cell>
          <cell r="P840">
            <v>0</v>
          </cell>
        </row>
        <row r="841">
          <cell r="A841" t="str">
            <v>LU1883307974</v>
          </cell>
          <cell r="B841" t="str">
            <v>AMUNDI FUNDS EUROPEAN EQUITY SMALL CAP</v>
          </cell>
          <cell r="C841" t="str">
            <v>Class M2 EUR (C)</v>
          </cell>
          <cell r="D841" t="str">
            <v>EUR</v>
          </cell>
          <cell r="E841" t="str">
            <v>01-Dec-2025</v>
          </cell>
          <cell r="F841">
            <v>31007157.100000001</v>
          </cell>
          <cell r="G841">
            <v>12792.627</v>
          </cell>
          <cell r="H841">
            <v>2423.83</v>
          </cell>
          <cell r="I841">
            <v>0</v>
          </cell>
          <cell r="J841">
            <v>2423.83</v>
          </cell>
          <cell r="K841">
            <v>-7.73</v>
          </cell>
          <cell r="P841">
            <v>0</v>
          </cell>
        </row>
        <row r="842">
          <cell r="A842" t="str">
            <v>LU1883306810</v>
          </cell>
          <cell r="B842" t="str">
            <v>AMUNDI FUNDS EUROPEAN EQUITY SMALL CAP</v>
          </cell>
          <cell r="C842" t="str">
            <v>Class B USD (C)</v>
          </cell>
          <cell r="D842" t="str">
            <v>USD</v>
          </cell>
          <cell r="E842" t="str">
            <v>01-Dec-2025</v>
          </cell>
          <cell r="F842">
            <v>447262.41</v>
          </cell>
          <cell r="G842">
            <v>3478.8989999999999</v>
          </cell>
          <cell r="H842">
            <v>128.56</v>
          </cell>
          <cell r="I842">
            <v>0</v>
          </cell>
          <cell r="J842">
            <v>128.56</v>
          </cell>
          <cell r="K842">
            <v>-0.16</v>
          </cell>
          <cell r="P842">
            <v>0</v>
          </cell>
        </row>
        <row r="843">
          <cell r="A843" t="str">
            <v>LU1883307206</v>
          </cell>
          <cell r="B843" t="str">
            <v>AMUNDI FUNDS EUROPEAN EQUITY SMALL CAP</v>
          </cell>
          <cell r="C843" t="str">
            <v>Class E2 EUR (C)</v>
          </cell>
          <cell r="D843" t="str">
            <v>EUR</v>
          </cell>
          <cell r="E843" t="str">
            <v>01-Dec-2025</v>
          </cell>
          <cell r="F843">
            <v>59740361.469999999</v>
          </cell>
          <cell r="G843">
            <v>5680828.4050000003</v>
          </cell>
          <cell r="H843">
            <v>10.516</v>
          </cell>
          <cell r="I843">
            <v>0</v>
          </cell>
          <cell r="J843">
            <v>10.516</v>
          </cell>
          <cell r="K843">
            <v>-3.4000000000000002E-2</v>
          </cell>
          <cell r="P843">
            <v>0</v>
          </cell>
        </row>
        <row r="844">
          <cell r="A844" t="str">
            <v>LU1883307388</v>
          </cell>
          <cell r="B844" t="str">
            <v>AMUNDI FUNDS EUROPEAN EQUITY SMALL CAP</v>
          </cell>
          <cell r="C844" t="str">
            <v>Class F EUR (C)</v>
          </cell>
          <cell r="D844" t="str">
            <v>EUR</v>
          </cell>
          <cell r="E844" t="str">
            <v>01-Dec-2025</v>
          </cell>
          <cell r="F844">
            <v>30300070.91</v>
          </cell>
          <cell r="G844">
            <v>3379576.1949999998</v>
          </cell>
          <cell r="H844">
            <v>8.9659999999999993</v>
          </cell>
          <cell r="I844">
            <v>0</v>
          </cell>
          <cell r="J844">
            <v>8.9659999999999993</v>
          </cell>
          <cell r="K844">
            <v>-2.9000000000000001E-2</v>
          </cell>
          <cell r="P844">
            <v>0</v>
          </cell>
        </row>
        <row r="845">
          <cell r="A845" t="str">
            <v>LU1880396004</v>
          </cell>
          <cell r="B845" t="str">
            <v>AMUNDI FUNDS EUROPEAN EQUITY SMALL CAP</v>
          </cell>
          <cell r="C845" t="str">
            <v>Class F2 EUR (C)</v>
          </cell>
          <cell r="D845" t="str">
            <v>EUR</v>
          </cell>
          <cell r="E845" t="str">
            <v>01-Dec-2025</v>
          </cell>
          <cell r="F845">
            <v>243229.02</v>
          </cell>
          <cell r="G845">
            <v>39913.618999999999</v>
          </cell>
          <cell r="H845">
            <v>6.0940000000000003</v>
          </cell>
          <cell r="I845">
            <v>0</v>
          </cell>
          <cell r="J845">
            <v>6.0940000000000003</v>
          </cell>
          <cell r="K845">
            <v>-0.02</v>
          </cell>
          <cell r="P845">
            <v>0</v>
          </cell>
        </row>
        <row r="846">
          <cell r="A846" t="str">
            <v>LU1998915299</v>
          </cell>
          <cell r="B846" t="str">
            <v>AMUNDI FUNDS EUROPEAN EQUITY SMALL CAP</v>
          </cell>
          <cell r="C846" t="str">
            <v>Class H EUR (C)</v>
          </cell>
          <cell r="D846" t="str">
            <v>EUR</v>
          </cell>
          <cell r="E846" t="str">
            <v>01-Dec-2025</v>
          </cell>
          <cell r="F846">
            <v>7641.12</v>
          </cell>
          <cell r="G846">
            <v>5</v>
          </cell>
          <cell r="H846">
            <v>1528.22</v>
          </cell>
          <cell r="I846">
            <v>0</v>
          </cell>
          <cell r="J846">
            <v>1528.22</v>
          </cell>
          <cell r="K846">
            <v>-4.82</v>
          </cell>
          <cell r="P846">
            <v>0</v>
          </cell>
        </row>
        <row r="847">
          <cell r="A847" t="str">
            <v>LU1883307628</v>
          </cell>
          <cell r="B847" t="str">
            <v>AMUNDI FUNDS EUROPEAN EQUITY SMALL CAP</v>
          </cell>
          <cell r="C847" t="str">
            <v>Class I2 USD (C)</v>
          </cell>
          <cell r="D847" t="str">
            <v>USD</v>
          </cell>
          <cell r="E847" t="str">
            <v>01-Dec-2025</v>
          </cell>
          <cell r="F847">
            <v>1891271.55</v>
          </cell>
          <cell r="G847">
            <v>725.65899999999999</v>
          </cell>
          <cell r="H847">
            <v>2606.2800000000002</v>
          </cell>
          <cell r="I847">
            <v>0</v>
          </cell>
          <cell r="J847">
            <v>2606.2800000000002</v>
          </cell>
          <cell r="K847">
            <v>-2.8</v>
          </cell>
          <cell r="P847">
            <v>0</v>
          </cell>
        </row>
        <row r="848">
          <cell r="A848" t="str">
            <v>LU1883307891</v>
          </cell>
          <cell r="B848" t="str">
            <v>AMUNDI FUNDS EUROPEAN EQUITY SMALL CAP</v>
          </cell>
          <cell r="C848" t="str">
            <v>Class I2 USD Hgd (C)</v>
          </cell>
          <cell r="D848" t="str">
            <v>USD</v>
          </cell>
          <cell r="E848" t="str">
            <v>01-Dec-2025</v>
          </cell>
          <cell r="F848">
            <v>90835.06</v>
          </cell>
          <cell r="G848">
            <v>50.618000000000002</v>
          </cell>
          <cell r="H848">
            <v>1794.52</v>
          </cell>
          <cell r="I848">
            <v>0</v>
          </cell>
          <cell r="J848">
            <v>1794.52</v>
          </cell>
          <cell r="K848">
            <v>-3.97</v>
          </cell>
          <cell r="P848">
            <v>0</v>
          </cell>
        </row>
        <row r="849">
          <cell r="A849" t="str">
            <v>LU1880396426</v>
          </cell>
          <cell r="B849" t="str">
            <v>AMUNDI FUNDS EUROPEAN EQUITY SMALL CAP</v>
          </cell>
          <cell r="C849" t="str">
            <v>Class M EUR (C)</v>
          </cell>
          <cell r="D849" t="str">
            <v>EUR</v>
          </cell>
          <cell r="E849" t="str">
            <v>01-Dec-2025</v>
          </cell>
          <cell r="F849">
            <v>5104.67</v>
          </cell>
          <cell r="G849">
            <v>3.673</v>
          </cell>
          <cell r="H849">
            <v>1389.78</v>
          </cell>
          <cell r="I849">
            <v>0</v>
          </cell>
          <cell r="J849">
            <v>1389.78</v>
          </cell>
          <cell r="K849">
            <v>-4.43</v>
          </cell>
          <cell r="P849">
            <v>0</v>
          </cell>
        </row>
        <row r="850">
          <cell r="A850" t="str">
            <v>LU1883307545</v>
          </cell>
          <cell r="B850" t="str">
            <v>AMUNDI FUNDS EUROPEAN EQUITY SMALL CAP</v>
          </cell>
          <cell r="C850" t="str">
            <v>Class I2 EUR (C)</v>
          </cell>
          <cell r="D850" t="str">
            <v>EUR</v>
          </cell>
          <cell r="E850" t="str">
            <v>01-Dec-2025</v>
          </cell>
          <cell r="F850">
            <v>44637300.57</v>
          </cell>
          <cell r="G850">
            <v>19918.537</v>
          </cell>
          <cell r="H850">
            <v>2240.9899999999998</v>
          </cell>
          <cell r="I850">
            <v>0</v>
          </cell>
          <cell r="J850">
            <v>2240.9899999999998</v>
          </cell>
          <cell r="K850">
            <v>-7.15</v>
          </cell>
          <cell r="P850">
            <v>0</v>
          </cell>
        </row>
        <row r="851">
          <cell r="A851" t="str">
            <v>LU1883307461</v>
          </cell>
          <cell r="B851" t="str">
            <v>AMUNDI FUNDS EUROPEAN EQUITY SMALL CAP</v>
          </cell>
          <cell r="C851" t="str">
            <v>Class G EUR (C)</v>
          </cell>
          <cell r="D851" t="str">
            <v>EUR</v>
          </cell>
          <cell r="E851" t="str">
            <v>01-Dec-2025</v>
          </cell>
          <cell r="F851">
            <v>5168015.16</v>
          </cell>
          <cell r="G851">
            <v>893865.65500000003</v>
          </cell>
          <cell r="H851">
            <v>5.782</v>
          </cell>
          <cell r="I851">
            <v>0</v>
          </cell>
          <cell r="J851">
            <v>5.782</v>
          </cell>
          <cell r="K851">
            <v>-1.9E-2</v>
          </cell>
          <cell r="P851">
            <v>0</v>
          </cell>
        </row>
        <row r="852">
          <cell r="A852" t="str">
            <v>LU1883310259</v>
          </cell>
          <cell r="B852" t="str">
            <v>AMUNDI FUNDS EUROPEAN EQUITY SMALL CAP</v>
          </cell>
          <cell r="C852" t="str">
            <v>Class T USD (C)</v>
          </cell>
          <cell r="D852" t="str">
            <v>USD</v>
          </cell>
          <cell r="E852" t="str">
            <v>01-Dec-2025</v>
          </cell>
          <cell r="F852">
            <v>27410.21</v>
          </cell>
          <cell r="G852">
            <v>442.70800000000003</v>
          </cell>
          <cell r="H852">
            <v>61.91</v>
          </cell>
          <cell r="I852">
            <v>0</v>
          </cell>
          <cell r="J852">
            <v>61.91</v>
          </cell>
          <cell r="K852">
            <v>-0.08</v>
          </cell>
          <cell r="P852">
            <v>0</v>
          </cell>
        </row>
        <row r="853">
          <cell r="A853" t="str">
            <v>LU1883310176</v>
          </cell>
          <cell r="B853" t="str">
            <v>AMUNDI FUNDS EUROPEAN EQUITY SMALL CAP</v>
          </cell>
          <cell r="C853" t="str">
            <v>Class T EUR (C)</v>
          </cell>
          <cell r="D853" t="str">
            <v>EUR</v>
          </cell>
          <cell r="E853" t="str">
            <v>01-Dec-2025</v>
          </cell>
          <cell r="F853">
            <v>163503.82999999999</v>
          </cell>
          <cell r="G853">
            <v>3028.471</v>
          </cell>
          <cell r="H853">
            <v>53.99</v>
          </cell>
          <cell r="I853">
            <v>0</v>
          </cell>
          <cell r="J853">
            <v>53.99</v>
          </cell>
          <cell r="K853">
            <v>-0.18</v>
          </cell>
          <cell r="P853">
            <v>0</v>
          </cell>
        </row>
        <row r="854">
          <cell r="A854" t="str">
            <v>LU1883310333</v>
          </cell>
          <cell r="B854" t="str">
            <v>AMUNDI FUNDS EUROPEAN EQUITY SMALL CAP</v>
          </cell>
          <cell r="C854" t="str">
            <v>Class T USD Hgd (C)</v>
          </cell>
          <cell r="D854" t="str">
            <v>USD</v>
          </cell>
          <cell r="E854" t="str">
            <v>01-Dec-2025</v>
          </cell>
          <cell r="F854">
            <v>3044.54</v>
          </cell>
          <cell r="G854">
            <v>60</v>
          </cell>
          <cell r="H854">
            <v>50.74</v>
          </cell>
          <cell r="I854">
            <v>0</v>
          </cell>
          <cell r="J854">
            <v>50.74</v>
          </cell>
          <cell r="K854">
            <v>-0.12</v>
          </cell>
          <cell r="P854">
            <v>0</v>
          </cell>
        </row>
        <row r="855">
          <cell r="A855" t="str">
            <v>LU1883308279</v>
          </cell>
          <cell r="B855" t="str">
            <v>AMUNDI FUNDS EUROPEAN EQUITY SMALL CAP</v>
          </cell>
          <cell r="C855" t="str">
            <v>Class R2 EUR (C)</v>
          </cell>
          <cell r="D855" t="str">
            <v>EUR</v>
          </cell>
          <cell r="E855" t="str">
            <v>01-Dec-2025</v>
          </cell>
          <cell r="F855">
            <v>704964.51</v>
          </cell>
          <cell r="G855">
            <v>7997.0450000000001</v>
          </cell>
          <cell r="H855">
            <v>88.15</v>
          </cell>
          <cell r="I855">
            <v>0</v>
          </cell>
          <cell r="J855">
            <v>88.15</v>
          </cell>
          <cell r="K855">
            <v>-0.28999999999999998</v>
          </cell>
          <cell r="P855">
            <v>0</v>
          </cell>
        </row>
        <row r="856">
          <cell r="A856" t="str">
            <v>LU1883308352</v>
          </cell>
          <cell r="B856" t="str">
            <v>AMUNDI FUNDS EUROPEAN EQUITY SMALL CAP</v>
          </cell>
          <cell r="C856" t="str">
            <v>Class R2 GBP (C)</v>
          </cell>
          <cell r="D856" t="str">
            <v>GBP</v>
          </cell>
          <cell r="E856" t="str">
            <v>01-Dec-2025</v>
          </cell>
          <cell r="F856">
            <v>17162.560000000001</v>
          </cell>
          <cell r="G856">
            <v>221.756</v>
          </cell>
          <cell r="H856">
            <v>77.39</v>
          </cell>
          <cell r="I856">
            <v>0</v>
          </cell>
          <cell r="J856">
            <v>77.39</v>
          </cell>
          <cell r="K856">
            <v>-0.1</v>
          </cell>
          <cell r="P856">
            <v>0</v>
          </cell>
        </row>
        <row r="857">
          <cell r="A857" t="str">
            <v>LU1883308196</v>
          </cell>
          <cell r="B857" t="str">
            <v>AMUNDI FUNDS EUROPEAN EQUITY SMALL CAP</v>
          </cell>
          <cell r="C857" t="str">
            <v>Class P2 USD (C)</v>
          </cell>
          <cell r="D857" t="str">
            <v>USD</v>
          </cell>
          <cell r="E857" t="str">
            <v>01-Dec-2025</v>
          </cell>
          <cell r="F857">
            <v>15580.26</v>
          </cell>
          <cell r="G857">
            <v>181.03700000000001</v>
          </cell>
          <cell r="H857">
            <v>86.06</v>
          </cell>
          <cell r="I857">
            <v>0</v>
          </cell>
          <cell r="J857">
            <v>86.06</v>
          </cell>
          <cell r="K857">
            <v>-0.1</v>
          </cell>
          <cell r="P857">
            <v>0</v>
          </cell>
        </row>
        <row r="858">
          <cell r="A858" t="str">
            <v>LU1883310507</v>
          </cell>
          <cell r="B858" t="str">
            <v>AMUNDI FUNDS EUROPEAN EQUITY SMALL CAP</v>
          </cell>
          <cell r="C858" t="str">
            <v>Class U USD (C)</v>
          </cell>
          <cell r="D858" t="str">
            <v>USD</v>
          </cell>
          <cell r="E858" t="str">
            <v>01-Dec-2025</v>
          </cell>
          <cell r="F858">
            <v>525017.27</v>
          </cell>
          <cell r="G858">
            <v>7813.04</v>
          </cell>
          <cell r="H858">
            <v>67.2</v>
          </cell>
          <cell r="I858">
            <v>0</v>
          </cell>
          <cell r="J858">
            <v>67.2</v>
          </cell>
          <cell r="K858">
            <v>-0.08</v>
          </cell>
          <cell r="P858">
            <v>0</v>
          </cell>
        </row>
        <row r="859">
          <cell r="A859" t="str">
            <v>LU1883310416</v>
          </cell>
          <cell r="B859" t="str">
            <v>AMUNDI FUNDS EUROPEAN EQUITY SMALL CAP</v>
          </cell>
          <cell r="C859" t="str">
            <v>Class U EUR (C)</v>
          </cell>
          <cell r="D859" t="str">
            <v>EUR</v>
          </cell>
          <cell r="E859" t="str">
            <v>01-Dec-2025</v>
          </cell>
          <cell r="F859">
            <v>218219.42</v>
          </cell>
          <cell r="G859">
            <v>3776.4250000000002</v>
          </cell>
          <cell r="H859">
            <v>57.78</v>
          </cell>
          <cell r="I859">
            <v>0</v>
          </cell>
          <cell r="J859">
            <v>57.78</v>
          </cell>
          <cell r="K859">
            <v>-0.2</v>
          </cell>
          <cell r="P859">
            <v>0</v>
          </cell>
        </row>
        <row r="860">
          <cell r="A860" t="str">
            <v>LU1880396939</v>
          </cell>
          <cell r="B860" t="str">
            <v>AMUNDI FUNDS EUROPEAN EQUITY SMALL CAP</v>
          </cell>
          <cell r="C860" t="str">
            <v>Class R EUR (C)</v>
          </cell>
          <cell r="D860" t="str">
            <v>EUR</v>
          </cell>
          <cell r="E860" t="str">
            <v>01-Dec-2025</v>
          </cell>
          <cell r="F860">
            <v>10382798.49</v>
          </cell>
          <cell r="G860">
            <v>151793.052</v>
          </cell>
          <cell r="H860">
            <v>68.400000000000006</v>
          </cell>
          <cell r="I860">
            <v>0</v>
          </cell>
          <cell r="J860">
            <v>68.400000000000006</v>
          </cell>
          <cell r="K860">
            <v>-0.22</v>
          </cell>
          <cell r="P860">
            <v>0</v>
          </cell>
        </row>
        <row r="861">
          <cell r="A861" t="str">
            <v>LU1883310689</v>
          </cell>
          <cell r="B861" t="str">
            <v>AMUNDI FUNDS EUROPEAN EQUITY SMALL CAP</v>
          </cell>
          <cell r="C861" t="str">
            <v>Class U USD Hgd (C)</v>
          </cell>
          <cell r="D861" t="str">
            <v>USD</v>
          </cell>
          <cell r="E861" t="str">
            <v>01-Dec-2025</v>
          </cell>
          <cell r="F861">
            <v>337191.35</v>
          </cell>
          <cell r="G861">
            <v>4872.2830000000004</v>
          </cell>
          <cell r="H861">
            <v>69.209999999999994</v>
          </cell>
          <cell r="I861">
            <v>0</v>
          </cell>
          <cell r="J861">
            <v>69.209999999999994</v>
          </cell>
          <cell r="K861">
            <v>-0.16</v>
          </cell>
          <cell r="P861">
            <v>0</v>
          </cell>
        </row>
        <row r="862">
          <cell r="A862" t="str">
            <v>LU1883310093</v>
          </cell>
          <cell r="B862" t="str">
            <v>AMUNDI FUNDS EUROPEAN EQUITY SMALL CAP</v>
          </cell>
          <cell r="C862" t="str">
            <v>Class R2 USD (C)</v>
          </cell>
          <cell r="D862" t="str">
            <v>USD</v>
          </cell>
          <cell r="E862" t="str">
            <v>01-Dec-2025</v>
          </cell>
          <cell r="F862">
            <v>155716.9</v>
          </cell>
          <cell r="G862">
            <v>1518.3979999999999</v>
          </cell>
          <cell r="H862">
            <v>102.55</v>
          </cell>
          <cell r="I862">
            <v>0</v>
          </cell>
          <cell r="J862">
            <v>102.55</v>
          </cell>
          <cell r="K862">
            <v>-0.12</v>
          </cell>
          <cell r="P862">
            <v>0</v>
          </cell>
        </row>
        <row r="863">
          <cell r="A863" t="str">
            <v>LU1880396186</v>
          </cell>
          <cell r="B863" t="str">
            <v>AMUNDI FUNDS EUROPEAN EQUITY SMALL CAP</v>
          </cell>
          <cell r="C863" t="str">
            <v>Class I EUR (C)</v>
          </cell>
          <cell r="D863" t="str">
            <v>EUR</v>
          </cell>
          <cell r="E863" t="str">
            <v>01-Dec-2025</v>
          </cell>
          <cell r="F863">
            <v>992466.65</v>
          </cell>
          <cell r="G863">
            <v>714.55399999999997</v>
          </cell>
          <cell r="H863">
            <v>1388.93</v>
          </cell>
          <cell r="I863">
            <v>0</v>
          </cell>
          <cell r="J863">
            <v>1388.93</v>
          </cell>
          <cell r="K863">
            <v>-4.42</v>
          </cell>
          <cell r="P863">
            <v>0</v>
          </cell>
        </row>
        <row r="864">
          <cell r="A864" t="str">
            <v>LU3050823098</v>
          </cell>
          <cell r="B864" t="str">
            <v>AMUNDI FUNDS EUROPEAN EQUITY SMALL CAP</v>
          </cell>
          <cell r="C864" t="str">
            <v>Class X EUR (C)</v>
          </cell>
          <cell r="D864" t="str">
            <v>EUR</v>
          </cell>
          <cell r="E864" t="str">
            <v>01-Dec-2025</v>
          </cell>
          <cell r="F864">
            <v>9203655.0399999991</v>
          </cell>
          <cell r="G864">
            <v>9100</v>
          </cell>
          <cell r="H864">
            <v>1011.39</v>
          </cell>
          <cell r="I864">
            <v>0</v>
          </cell>
          <cell r="J864">
            <v>1011.39</v>
          </cell>
          <cell r="K864">
            <v>-3.16</v>
          </cell>
          <cell r="P864">
            <v>0</v>
          </cell>
        </row>
        <row r="865">
          <cell r="A865" t="str">
            <v>LU1880397317</v>
          </cell>
          <cell r="B865" t="str">
            <v>AMUNDI FUNDS EUROPEAN EQUITY SMALL CAP</v>
          </cell>
          <cell r="C865" t="str">
            <v>Class Z EUR (C)</v>
          </cell>
          <cell r="D865" t="str">
            <v>EUR</v>
          </cell>
          <cell r="E865" t="str">
            <v>01-Dec-2025</v>
          </cell>
          <cell r="F865">
            <v>2039352.6</v>
          </cell>
          <cell r="G865">
            <v>2005</v>
          </cell>
          <cell r="H865">
            <v>1017.13</v>
          </cell>
          <cell r="I865">
            <v>0</v>
          </cell>
          <cell r="J865">
            <v>1017.13</v>
          </cell>
          <cell r="K865">
            <v>-3.23</v>
          </cell>
          <cell r="P865">
            <v>0</v>
          </cell>
        </row>
        <row r="866">
          <cell r="A866" t="str">
            <v>LU1880383101</v>
          </cell>
          <cell r="B866" t="str">
            <v>AMUNDI FUNDS CHINA EQUITY</v>
          </cell>
          <cell r="C866" t="str">
            <v>Class A EUR AD (D)</v>
          </cell>
          <cell r="D866" t="str">
            <v>EUR</v>
          </cell>
          <cell r="E866" t="str">
            <v>01-Dec-2025</v>
          </cell>
          <cell r="F866">
            <v>1920454.27</v>
          </cell>
          <cell r="G866">
            <v>38878.616999999998</v>
          </cell>
          <cell r="H866">
            <v>49.4</v>
          </cell>
          <cell r="I866">
            <v>0</v>
          </cell>
          <cell r="J866">
            <v>51.62</v>
          </cell>
          <cell r="K866">
            <v>0.52</v>
          </cell>
          <cell r="P866">
            <v>0</v>
          </cell>
        </row>
        <row r="867">
          <cell r="A867" t="str">
            <v>LU1882445569</v>
          </cell>
          <cell r="B867" t="str">
            <v>AMUNDI FUNDS CHINA EQUITY</v>
          </cell>
          <cell r="C867" t="str">
            <v>Class A EUR (C)</v>
          </cell>
          <cell r="D867" t="str">
            <v>EUR</v>
          </cell>
          <cell r="E867" t="str">
            <v>01-Dec-2025</v>
          </cell>
          <cell r="F867">
            <v>82765949.459999993</v>
          </cell>
          <cell r="G867">
            <v>5687386.9210000001</v>
          </cell>
          <cell r="H867">
            <v>14.55</v>
          </cell>
          <cell r="I867">
            <v>0</v>
          </cell>
          <cell r="J867">
            <v>15.2</v>
          </cell>
          <cell r="K867">
            <v>0.15</v>
          </cell>
          <cell r="P867">
            <v>0</v>
          </cell>
        </row>
        <row r="868">
          <cell r="A868" t="str">
            <v>LU2070305623</v>
          </cell>
          <cell r="B868" t="str">
            <v>AMUNDI FUNDS CHINA EQUITY</v>
          </cell>
          <cell r="C868" t="str">
            <v>Class A5 EUR (C)</v>
          </cell>
          <cell r="D868" t="str">
            <v>EUR</v>
          </cell>
          <cell r="E868" t="str">
            <v>01-Dec-2025</v>
          </cell>
          <cell r="F868">
            <v>651713.93999999994</v>
          </cell>
          <cell r="G868">
            <v>13190.049000000001</v>
          </cell>
          <cell r="H868">
            <v>49.41</v>
          </cell>
          <cell r="I868">
            <v>0</v>
          </cell>
          <cell r="J868">
            <v>49.41</v>
          </cell>
          <cell r="K868">
            <v>0.52</v>
          </cell>
          <cell r="P868">
            <v>0</v>
          </cell>
        </row>
        <row r="869">
          <cell r="A869" t="str">
            <v>LU1880383283</v>
          </cell>
          <cell r="B869" t="str">
            <v>AMUNDI FUNDS CHINA EQUITY</v>
          </cell>
          <cell r="C869" t="str">
            <v>Class A USD AD (D)</v>
          </cell>
          <cell r="D869" t="str">
            <v>USD</v>
          </cell>
          <cell r="E869" t="str">
            <v>01-Dec-2025</v>
          </cell>
          <cell r="F869">
            <v>6723164.9500000002</v>
          </cell>
          <cell r="G869">
            <v>132491.49799999999</v>
          </cell>
          <cell r="H869">
            <v>50.74</v>
          </cell>
          <cell r="I869">
            <v>0</v>
          </cell>
          <cell r="J869">
            <v>53.02</v>
          </cell>
          <cell r="K869">
            <v>0.63</v>
          </cell>
          <cell r="P869">
            <v>0</v>
          </cell>
        </row>
        <row r="870">
          <cell r="A870" t="str">
            <v>LU3081005459</v>
          </cell>
          <cell r="B870" t="str">
            <v>AMUNDI FUNDS CHINA EQUITY</v>
          </cell>
          <cell r="C870" t="str">
            <v>Class A2 EUR (C)</v>
          </cell>
          <cell r="D870" t="str">
            <v>EUR</v>
          </cell>
          <cell r="E870" t="str">
            <v>01-Dec-2025</v>
          </cell>
          <cell r="F870">
            <v>1428982.19</v>
          </cell>
          <cell r="G870">
            <v>28975.044999999998</v>
          </cell>
          <cell r="H870">
            <v>49.32</v>
          </cell>
          <cell r="I870">
            <v>0</v>
          </cell>
          <cell r="J870">
            <v>51.54</v>
          </cell>
          <cell r="K870">
            <v>0.51</v>
          </cell>
          <cell r="P870">
            <v>0</v>
          </cell>
        </row>
        <row r="871">
          <cell r="A871" t="str">
            <v>LU1882445643</v>
          </cell>
          <cell r="B871" t="str">
            <v>AMUNDI FUNDS CHINA EQUITY</v>
          </cell>
          <cell r="C871" t="str">
            <v>Class A USD (C)</v>
          </cell>
          <cell r="D871" t="str">
            <v>USD</v>
          </cell>
          <cell r="E871" t="str">
            <v>01-Dec-2025</v>
          </cell>
          <cell r="F871">
            <v>80796594.189999998</v>
          </cell>
          <cell r="G871">
            <v>4774937.3090000004</v>
          </cell>
          <cell r="H871">
            <v>16.920000000000002</v>
          </cell>
          <cell r="I871">
            <v>0</v>
          </cell>
          <cell r="J871">
            <v>17.68</v>
          </cell>
          <cell r="K871">
            <v>0.21</v>
          </cell>
          <cell r="P871">
            <v>0</v>
          </cell>
        </row>
        <row r="872">
          <cell r="A872" t="str">
            <v>LU1882446708</v>
          </cell>
          <cell r="B872" t="str">
            <v>AMUNDI FUNDS CHINA EQUITY</v>
          </cell>
          <cell r="C872" t="str">
            <v>Class M2 EUR (C)</v>
          </cell>
          <cell r="D872" t="str">
            <v>EUR</v>
          </cell>
          <cell r="E872" t="str">
            <v>01-Dec-2025</v>
          </cell>
          <cell r="F872">
            <v>4378287.8</v>
          </cell>
          <cell r="G872">
            <v>2187.5740000000001</v>
          </cell>
          <cell r="H872">
            <v>2001.44</v>
          </cell>
          <cell r="I872">
            <v>0</v>
          </cell>
          <cell r="J872">
            <v>2001.44</v>
          </cell>
          <cell r="K872">
            <v>20.97</v>
          </cell>
          <cell r="P872">
            <v>0</v>
          </cell>
        </row>
        <row r="873">
          <cell r="A873" t="str">
            <v>LU1882445726</v>
          </cell>
          <cell r="B873" t="str">
            <v>AMUNDI FUNDS CHINA EQUITY</v>
          </cell>
          <cell r="C873" t="str">
            <v>Class B USD (C)</v>
          </cell>
          <cell r="D873" t="str">
            <v>USD</v>
          </cell>
          <cell r="E873" t="str">
            <v>01-Dec-2025</v>
          </cell>
          <cell r="F873">
            <v>25837.48</v>
          </cell>
          <cell r="G873">
            <v>1880.0840000000001</v>
          </cell>
          <cell r="H873">
            <v>13.74</v>
          </cell>
          <cell r="I873">
            <v>0</v>
          </cell>
          <cell r="J873">
            <v>13.74</v>
          </cell>
          <cell r="K873">
            <v>0.17</v>
          </cell>
          <cell r="P873">
            <v>0</v>
          </cell>
        </row>
        <row r="874">
          <cell r="A874" t="str">
            <v>LU1882446021</v>
          </cell>
          <cell r="B874" t="str">
            <v>AMUNDI FUNDS CHINA EQUITY</v>
          </cell>
          <cell r="C874" t="str">
            <v>Class C USD (C)</v>
          </cell>
          <cell r="D874" t="str">
            <v>USD</v>
          </cell>
          <cell r="E874" t="str">
            <v>01-Dec-2025</v>
          </cell>
          <cell r="F874">
            <v>0.01</v>
          </cell>
          <cell r="G874">
            <v>1E-3</v>
          </cell>
          <cell r="H874">
            <v>10</v>
          </cell>
          <cell r="I874">
            <v>0</v>
          </cell>
          <cell r="J874">
            <v>10</v>
          </cell>
          <cell r="K874">
            <v>-4.72</v>
          </cell>
          <cell r="P874">
            <v>0</v>
          </cell>
        </row>
        <row r="875">
          <cell r="A875" t="str">
            <v>LU1882446294</v>
          </cell>
          <cell r="B875" t="str">
            <v>AMUNDI FUNDS CHINA EQUITY</v>
          </cell>
          <cell r="C875" t="str">
            <v>Class E2 EUR (C)</v>
          </cell>
          <cell r="D875" t="str">
            <v>EUR</v>
          </cell>
          <cell r="E875" t="str">
            <v>01-Dec-2025</v>
          </cell>
          <cell r="F875">
            <v>56615405.710000001</v>
          </cell>
          <cell r="G875">
            <v>3493809.5660000001</v>
          </cell>
          <cell r="H875">
            <v>16.204000000000001</v>
          </cell>
          <cell r="I875">
            <v>0</v>
          </cell>
          <cell r="J875">
            <v>16.204000000000001</v>
          </cell>
          <cell r="K875">
            <v>0.16800000000000001</v>
          </cell>
          <cell r="P875">
            <v>0</v>
          </cell>
        </row>
        <row r="876">
          <cell r="A876" t="str">
            <v>LU1882446377</v>
          </cell>
          <cell r="B876" t="str">
            <v>AMUNDI FUNDS CHINA EQUITY</v>
          </cell>
          <cell r="C876" t="str">
            <v>Class F EUR (C)</v>
          </cell>
          <cell r="D876" t="str">
            <v>EUR</v>
          </cell>
          <cell r="E876" t="str">
            <v>01-Dec-2025</v>
          </cell>
          <cell r="F876">
            <v>24992275.140000001</v>
          </cell>
          <cell r="G876">
            <v>1959266.4339999999</v>
          </cell>
          <cell r="H876">
            <v>12.756</v>
          </cell>
          <cell r="I876">
            <v>0</v>
          </cell>
          <cell r="J876">
            <v>12.756</v>
          </cell>
          <cell r="K876">
            <v>0.13200000000000001</v>
          </cell>
          <cell r="P876">
            <v>0</v>
          </cell>
        </row>
        <row r="877">
          <cell r="A877" t="str">
            <v>LU1880383523</v>
          </cell>
          <cell r="B877" t="str">
            <v>AMUNDI FUNDS CHINA EQUITY</v>
          </cell>
          <cell r="C877" t="str">
            <v>Class F2 USD (C)</v>
          </cell>
          <cell r="D877" t="str">
            <v>USD</v>
          </cell>
          <cell r="E877" t="str">
            <v>01-Dec-2025</v>
          </cell>
          <cell r="F877">
            <v>1478907.09</v>
          </cell>
          <cell r="G877">
            <v>300848.36700000003</v>
          </cell>
          <cell r="H877">
            <v>4.9160000000000004</v>
          </cell>
          <cell r="I877">
            <v>0</v>
          </cell>
          <cell r="J877">
            <v>4.9160000000000004</v>
          </cell>
          <cell r="K877">
            <v>6.0999999999999999E-2</v>
          </cell>
          <cell r="P877">
            <v>0</v>
          </cell>
        </row>
        <row r="878">
          <cell r="A878" t="str">
            <v>LU1882446617</v>
          </cell>
          <cell r="B878" t="str">
            <v>AMUNDI FUNDS CHINA EQUITY</v>
          </cell>
          <cell r="C878" t="str">
            <v>Class I2 USD (C)</v>
          </cell>
          <cell r="D878" t="str">
            <v>USD</v>
          </cell>
          <cell r="E878" t="str">
            <v>01-Dec-2025</v>
          </cell>
          <cell r="F878">
            <v>7893969.7800000003</v>
          </cell>
          <cell r="G878">
            <v>352595.88099999999</v>
          </cell>
          <cell r="H878">
            <v>22.39</v>
          </cell>
          <cell r="I878">
            <v>0</v>
          </cell>
          <cell r="J878">
            <v>22.39</v>
          </cell>
          <cell r="K878">
            <v>0.28000000000000003</v>
          </cell>
          <cell r="P878">
            <v>0</v>
          </cell>
        </row>
        <row r="879">
          <cell r="A879" t="str">
            <v>LU2259109523</v>
          </cell>
          <cell r="B879" t="str">
            <v>AMUNDI FUNDS CHINA EQUITY</v>
          </cell>
          <cell r="C879" t="str">
            <v>Class I2 GBP (C)</v>
          </cell>
          <cell r="D879" t="str">
            <v>GBP</v>
          </cell>
          <cell r="E879" t="str">
            <v>01-Dec-2025</v>
          </cell>
          <cell r="F879">
            <v>3765.83</v>
          </cell>
          <cell r="G879">
            <v>5</v>
          </cell>
          <cell r="H879">
            <v>753.17</v>
          </cell>
          <cell r="I879">
            <v>0</v>
          </cell>
          <cell r="J879">
            <v>753.17</v>
          </cell>
          <cell r="K879">
            <v>9.34</v>
          </cell>
          <cell r="P879">
            <v>0</v>
          </cell>
        </row>
        <row r="880">
          <cell r="A880" t="str">
            <v>LU1882446534</v>
          </cell>
          <cell r="B880" t="str">
            <v>AMUNDI FUNDS CHINA EQUITY</v>
          </cell>
          <cell r="C880" t="str">
            <v>Class I2 EUR (C)</v>
          </cell>
          <cell r="D880" t="str">
            <v>EUR</v>
          </cell>
          <cell r="E880" t="str">
            <v>01-Dec-2025</v>
          </cell>
          <cell r="F880">
            <v>8244496.0499999998</v>
          </cell>
          <cell r="G880">
            <v>428180</v>
          </cell>
          <cell r="H880">
            <v>19.25</v>
          </cell>
          <cell r="I880">
            <v>0</v>
          </cell>
          <cell r="J880">
            <v>19.25</v>
          </cell>
          <cell r="K880">
            <v>0.2</v>
          </cell>
          <cell r="P880">
            <v>0</v>
          </cell>
        </row>
        <row r="881">
          <cell r="A881" t="str">
            <v>LU1880383796</v>
          </cell>
          <cell r="B881" t="str">
            <v>AMUNDI FUNDS CHINA EQUITY</v>
          </cell>
          <cell r="C881" t="str">
            <v>Class G USD (C)</v>
          </cell>
          <cell r="D881" t="str">
            <v>USD</v>
          </cell>
          <cell r="E881" t="str">
            <v>01-Dec-2025</v>
          </cell>
          <cell r="F881">
            <v>30685291.600000001</v>
          </cell>
          <cell r="G881">
            <v>6109866.2599999998</v>
          </cell>
          <cell r="H881">
            <v>5.0220000000000002</v>
          </cell>
          <cell r="I881">
            <v>0</v>
          </cell>
          <cell r="J881">
            <v>5.173</v>
          </cell>
          <cell r="K881">
            <v>6.2E-2</v>
          </cell>
          <cell r="P881">
            <v>0</v>
          </cell>
        </row>
        <row r="882">
          <cell r="A882" t="str">
            <v>LU1882446450</v>
          </cell>
          <cell r="B882" t="str">
            <v>AMUNDI FUNDS CHINA EQUITY</v>
          </cell>
          <cell r="C882" t="str">
            <v>Class G EUR (C)</v>
          </cell>
          <cell r="D882" t="str">
            <v>EUR</v>
          </cell>
          <cell r="E882" t="str">
            <v>01-Dec-2025</v>
          </cell>
          <cell r="F882">
            <v>20236134.609999999</v>
          </cell>
          <cell r="G882">
            <v>4663164.6629999997</v>
          </cell>
          <cell r="H882">
            <v>4.34</v>
          </cell>
          <cell r="I882">
            <v>0</v>
          </cell>
          <cell r="J882">
            <v>4.34</v>
          </cell>
          <cell r="K882">
            <v>4.4999999999999998E-2</v>
          </cell>
          <cell r="P882">
            <v>0</v>
          </cell>
        </row>
        <row r="883">
          <cell r="A883" t="str">
            <v>LU2339089240</v>
          </cell>
          <cell r="B883" t="str">
            <v>AMUNDI FUNDS CHINA EQUITY</v>
          </cell>
          <cell r="C883" t="str">
            <v>Class H EUR (C)</v>
          </cell>
          <cell r="D883" t="str">
            <v>EUR</v>
          </cell>
          <cell r="E883" t="str">
            <v>01-Dec-2025</v>
          </cell>
          <cell r="F883">
            <v>1443539.76</v>
          </cell>
          <cell r="G883">
            <v>1866.8009999999999</v>
          </cell>
          <cell r="H883">
            <v>773.27</v>
          </cell>
          <cell r="I883">
            <v>0</v>
          </cell>
          <cell r="J883">
            <v>773.27</v>
          </cell>
          <cell r="K883">
            <v>8.1300000000000008</v>
          </cell>
          <cell r="P883">
            <v>0</v>
          </cell>
        </row>
        <row r="884">
          <cell r="A884" t="str">
            <v>LU1882447185</v>
          </cell>
          <cell r="B884" t="str">
            <v>AMUNDI FUNDS CHINA EQUITY</v>
          </cell>
          <cell r="C884" t="str">
            <v>Class T USD (C)</v>
          </cell>
          <cell r="D884" t="str">
            <v>USD</v>
          </cell>
          <cell r="E884" t="str">
            <v>01-Dec-2025</v>
          </cell>
          <cell r="F884">
            <v>8390.2900000000009</v>
          </cell>
          <cell r="G884">
            <v>176.452</v>
          </cell>
          <cell r="H884">
            <v>47.55</v>
          </cell>
          <cell r="I884">
            <v>0</v>
          </cell>
          <cell r="J884">
            <v>47.55</v>
          </cell>
          <cell r="K884">
            <v>0.59</v>
          </cell>
          <cell r="P884">
            <v>0</v>
          </cell>
        </row>
        <row r="885">
          <cell r="A885" t="str">
            <v>LU1880384174</v>
          </cell>
          <cell r="B885" t="str">
            <v>AMUNDI FUNDS CHINA EQUITY</v>
          </cell>
          <cell r="C885" t="str">
            <v>Class M USD (C)</v>
          </cell>
          <cell r="D885" t="str">
            <v>USD</v>
          </cell>
          <cell r="E885" t="str">
            <v>01-Dec-2025</v>
          </cell>
          <cell r="F885">
            <v>666371.27</v>
          </cell>
          <cell r="G885">
            <v>608.94600000000003</v>
          </cell>
          <cell r="H885">
            <v>1094.3</v>
          </cell>
          <cell r="I885">
            <v>0</v>
          </cell>
          <cell r="J885">
            <v>1094.3</v>
          </cell>
          <cell r="K885">
            <v>13.75</v>
          </cell>
          <cell r="P885">
            <v>0</v>
          </cell>
        </row>
        <row r="886">
          <cell r="A886" t="str">
            <v>LU1882446963</v>
          </cell>
          <cell r="B886" t="str">
            <v>AMUNDI FUNDS CHINA EQUITY</v>
          </cell>
          <cell r="C886" t="str">
            <v>Class R2 EUR (C)</v>
          </cell>
          <cell r="D886" t="str">
            <v>EUR</v>
          </cell>
          <cell r="E886" t="str">
            <v>01-Dec-2025</v>
          </cell>
          <cell r="F886">
            <v>571804.23</v>
          </cell>
          <cell r="G886">
            <v>10673.156000000001</v>
          </cell>
          <cell r="H886">
            <v>53.57</v>
          </cell>
          <cell r="I886">
            <v>0</v>
          </cell>
          <cell r="J886">
            <v>53.57</v>
          </cell>
          <cell r="K886">
            <v>0.56000000000000005</v>
          </cell>
          <cell r="P886">
            <v>0</v>
          </cell>
        </row>
        <row r="887">
          <cell r="A887" t="str">
            <v>LU1880383366</v>
          </cell>
          <cell r="B887" t="str">
            <v>AMUNDI FUNDS CHINA EQUITY</v>
          </cell>
          <cell r="C887" t="str">
            <v>Class A2 USD (C)</v>
          </cell>
          <cell r="D887" t="str">
            <v>USD</v>
          </cell>
          <cell r="E887" t="str">
            <v>01-Dec-2025</v>
          </cell>
          <cell r="F887">
            <v>20255280.170000002</v>
          </cell>
          <cell r="G887">
            <v>392538.16600000003</v>
          </cell>
          <cell r="H887">
            <v>51.6</v>
          </cell>
          <cell r="I887">
            <v>0</v>
          </cell>
          <cell r="J887">
            <v>51.6</v>
          </cell>
          <cell r="K887">
            <v>0.64</v>
          </cell>
          <cell r="P887">
            <v>0</v>
          </cell>
        </row>
        <row r="888">
          <cell r="A888" t="str">
            <v>LU1880383440</v>
          </cell>
          <cell r="B888" t="str">
            <v>AMUNDI FUNDS CHINA EQUITY</v>
          </cell>
          <cell r="C888" t="str">
            <v>Class A2 USD AD (D)</v>
          </cell>
          <cell r="D888" t="str">
            <v>USD</v>
          </cell>
          <cell r="E888" t="str">
            <v>01-Dec-2025</v>
          </cell>
          <cell r="F888">
            <v>130938.4</v>
          </cell>
          <cell r="G888">
            <v>2539.5059999999999</v>
          </cell>
          <cell r="H888">
            <v>51.56</v>
          </cell>
          <cell r="I888">
            <v>0</v>
          </cell>
          <cell r="J888">
            <v>51.56</v>
          </cell>
          <cell r="K888">
            <v>0.64</v>
          </cell>
          <cell r="P888">
            <v>0</v>
          </cell>
        </row>
        <row r="889">
          <cell r="A889" t="str">
            <v>LU1880385148</v>
          </cell>
          <cell r="B889" t="str">
            <v>AMUNDI FUNDS CHINA EQUITY</v>
          </cell>
          <cell r="C889" t="str">
            <v>Class R USD (C)</v>
          </cell>
          <cell r="D889" t="str">
            <v>USD</v>
          </cell>
          <cell r="E889" t="str">
            <v>01-Dec-2025</v>
          </cell>
          <cell r="F889">
            <v>245255.87</v>
          </cell>
          <cell r="G889">
            <v>4516.0680000000002</v>
          </cell>
          <cell r="H889">
            <v>54.31</v>
          </cell>
          <cell r="I889">
            <v>0</v>
          </cell>
          <cell r="J889">
            <v>54.31</v>
          </cell>
          <cell r="K889">
            <v>0.68</v>
          </cell>
          <cell r="P889">
            <v>0</v>
          </cell>
        </row>
        <row r="890">
          <cell r="A890" t="str">
            <v>LU1882447003</v>
          </cell>
          <cell r="B890" t="str">
            <v>AMUNDI FUNDS CHINA EQUITY</v>
          </cell>
          <cell r="C890" t="str">
            <v>Class R2 USD (C)</v>
          </cell>
          <cell r="D890" t="str">
            <v>USD</v>
          </cell>
          <cell r="E890" t="str">
            <v>01-Dec-2025</v>
          </cell>
          <cell r="F890">
            <v>5091.28</v>
          </cell>
          <cell r="G890">
            <v>100</v>
          </cell>
          <cell r="H890">
            <v>50.91</v>
          </cell>
          <cell r="I890">
            <v>0</v>
          </cell>
          <cell r="J890">
            <v>50.91</v>
          </cell>
          <cell r="K890">
            <v>0.64</v>
          </cell>
          <cell r="P890">
            <v>0</v>
          </cell>
        </row>
        <row r="891">
          <cell r="A891" t="str">
            <v>LU1880384331</v>
          </cell>
          <cell r="B891" t="str">
            <v>AMUNDI FUNDS CHINA EQUITY</v>
          </cell>
          <cell r="C891" t="str">
            <v>Class Q-I4 USD (C)</v>
          </cell>
          <cell r="D891" t="str">
            <v>USD</v>
          </cell>
          <cell r="E891" t="str">
            <v>01-Dec-2025</v>
          </cell>
          <cell r="F891">
            <v>22819651.48</v>
          </cell>
          <cell r="G891">
            <v>20137.945</v>
          </cell>
          <cell r="H891">
            <v>1133.17</v>
          </cell>
          <cell r="I891">
            <v>0</v>
          </cell>
          <cell r="J891">
            <v>1133.17</v>
          </cell>
          <cell r="K891">
            <v>14.25</v>
          </cell>
          <cell r="P891">
            <v>0</v>
          </cell>
        </row>
        <row r="892">
          <cell r="A892" t="str">
            <v>LU1880383879</v>
          </cell>
          <cell r="B892" t="str">
            <v>AMUNDI FUNDS CHINA EQUITY</v>
          </cell>
          <cell r="C892" t="str">
            <v>Class I USD (C)</v>
          </cell>
          <cell r="D892" t="str">
            <v>USD</v>
          </cell>
          <cell r="E892" t="str">
            <v>01-Dec-2025</v>
          </cell>
          <cell r="F892">
            <v>44378.39</v>
          </cell>
          <cell r="G892">
            <v>40.234000000000002</v>
          </cell>
          <cell r="H892">
            <v>1103.01</v>
          </cell>
          <cell r="I892">
            <v>0</v>
          </cell>
          <cell r="J892">
            <v>1103.01</v>
          </cell>
          <cell r="K892">
            <v>13.87</v>
          </cell>
          <cell r="P892">
            <v>0</v>
          </cell>
        </row>
        <row r="893">
          <cell r="A893" t="str">
            <v>LU2040440070</v>
          </cell>
          <cell r="B893" t="str">
            <v>AMUNDI FUNDS CHINA EQUITY</v>
          </cell>
          <cell r="C893" t="str">
            <v>Class Z EUR (C)</v>
          </cell>
          <cell r="D893" t="str">
            <v>EUR</v>
          </cell>
          <cell r="E893" t="str">
            <v>01-Dec-2025</v>
          </cell>
          <cell r="F893">
            <v>267259.28000000003</v>
          </cell>
          <cell r="G893">
            <v>244.327</v>
          </cell>
          <cell r="H893">
            <v>1093.8599999999999</v>
          </cell>
          <cell r="I893">
            <v>0</v>
          </cell>
          <cell r="J893">
            <v>1093.8599999999999</v>
          </cell>
          <cell r="K893">
            <v>11.49</v>
          </cell>
          <cell r="P893">
            <v>0</v>
          </cell>
        </row>
        <row r="894">
          <cell r="A894" t="str">
            <v>LU1883318666</v>
          </cell>
          <cell r="B894" t="str">
            <v>AMUNDI FUNDS GLOBAL EQUITY RESPONSIBLE</v>
          </cell>
          <cell r="C894" t="str">
            <v>Class A CHF (C)</v>
          </cell>
          <cell r="D894" t="str">
            <v>CHF</v>
          </cell>
          <cell r="E894" t="str">
            <v>01-Dec-2025</v>
          </cell>
          <cell r="F894">
            <v>2394419.34</v>
          </cell>
          <cell r="G894">
            <v>5044.799</v>
          </cell>
          <cell r="H894">
            <v>474.63</v>
          </cell>
          <cell r="I894">
            <v>0</v>
          </cell>
          <cell r="J894">
            <v>495.99</v>
          </cell>
          <cell r="K894">
            <v>-4.8</v>
          </cell>
          <cell r="P894">
            <v>0</v>
          </cell>
        </row>
        <row r="895">
          <cell r="A895" t="str">
            <v>LU1883318823</v>
          </cell>
          <cell r="B895" t="str">
            <v>AMUNDI FUNDS GLOBAL EQUITY RESPONSIBLE</v>
          </cell>
          <cell r="C895" t="str">
            <v>Class A EUR AD (D)</v>
          </cell>
          <cell r="D895" t="str">
            <v>EUR</v>
          </cell>
          <cell r="E895" t="str">
            <v>01-Dec-2025</v>
          </cell>
          <cell r="F895">
            <v>130208348.98999999</v>
          </cell>
          <cell r="G895">
            <v>1064623.398</v>
          </cell>
          <cell r="H895">
            <v>122.3</v>
          </cell>
          <cell r="I895">
            <v>0</v>
          </cell>
          <cell r="J895">
            <v>127.8</v>
          </cell>
          <cell r="K895">
            <v>-1.4</v>
          </cell>
          <cell r="P895">
            <v>0</v>
          </cell>
        </row>
        <row r="896">
          <cell r="A896" t="str">
            <v>LU1883318740</v>
          </cell>
          <cell r="B896" t="str">
            <v>AMUNDI FUNDS GLOBAL EQUITY RESPONSIBLE</v>
          </cell>
          <cell r="C896" t="str">
            <v>Class A EUR (C)</v>
          </cell>
          <cell r="D896" t="str">
            <v>EUR</v>
          </cell>
          <cell r="E896" t="str">
            <v>01-Dec-2025</v>
          </cell>
          <cell r="F896">
            <v>1314401214.6900001</v>
          </cell>
          <cell r="G896">
            <v>2582956.2949999999</v>
          </cell>
          <cell r="H896">
            <v>508.87</v>
          </cell>
          <cell r="I896">
            <v>0</v>
          </cell>
          <cell r="J896">
            <v>531.77</v>
          </cell>
          <cell r="K896">
            <v>-5.81</v>
          </cell>
          <cell r="P896">
            <v>0</v>
          </cell>
        </row>
        <row r="897">
          <cell r="A897" t="str">
            <v>LU2070309450</v>
          </cell>
          <cell r="B897" t="str">
            <v>AMUNDI FUNDS GLOBAL EQUITY RESPONSIBLE</v>
          </cell>
          <cell r="C897" t="str">
            <v>Class A2 EUR (C)</v>
          </cell>
          <cell r="D897" t="str">
            <v>EUR</v>
          </cell>
          <cell r="E897" t="str">
            <v>01-Dec-2025</v>
          </cell>
          <cell r="F897">
            <v>48713395.170000002</v>
          </cell>
          <cell r="G897">
            <v>572517.33700000006</v>
          </cell>
          <cell r="H897">
            <v>85.09</v>
          </cell>
          <cell r="I897">
            <v>0</v>
          </cell>
          <cell r="J897">
            <v>88.92</v>
          </cell>
          <cell r="K897">
            <v>-0.97</v>
          </cell>
          <cell r="P897">
            <v>0</v>
          </cell>
        </row>
        <row r="898">
          <cell r="A898" t="str">
            <v>LU3081003678</v>
          </cell>
          <cell r="B898" t="str">
            <v>AMUNDI FUNDS GLOBAL EQUITY RESPONSIBLE</v>
          </cell>
          <cell r="C898" t="str">
            <v>Class A2 USD (C)</v>
          </cell>
          <cell r="D898" t="str">
            <v>USD</v>
          </cell>
          <cell r="E898" t="str">
            <v>01-Dec-2025</v>
          </cell>
          <cell r="F898">
            <v>2710416.52</v>
          </cell>
          <cell r="G898">
            <v>54714.71</v>
          </cell>
          <cell r="H898">
            <v>49.54</v>
          </cell>
          <cell r="I898">
            <v>0</v>
          </cell>
          <cell r="J898">
            <v>51.77</v>
          </cell>
          <cell r="K898">
            <v>49.54</v>
          </cell>
          <cell r="P898">
            <v>0</v>
          </cell>
        </row>
        <row r="899">
          <cell r="A899" t="str">
            <v>LU2032056439</v>
          </cell>
          <cell r="B899" t="str">
            <v>AMUNDI FUNDS GLOBAL EQUITY RESPONSIBLE</v>
          </cell>
          <cell r="C899" t="str">
            <v>Class A5 EUR (C)</v>
          </cell>
          <cell r="D899" t="str">
            <v>EUR</v>
          </cell>
          <cell r="E899" t="str">
            <v>01-Dec-2025</v>
          </cell>
          <cell r="F899">
            <v>96015312.930000007</v>
          </cell>
          <cell r="G899">
            <v>1062429.9339999999</v>
          </cell>
          <cell r="H899">
            <v>90.37</v>
          </cell>
          <cell r="I899">
            <v>0</v>
          </cell>
          <cell r="J899">
            <v>90.37</v>
          </cell>
          <cell r="K899">
            <v>-1.03</v>
          </cell>
          <cell r="P899">
            <v>0</v>
          </cell>
        </row>
        <row r="900">
          <cell r="A900" t="str">
            <v>LU1883319128</v>
          </cell>
          <cell r="B900" t="str">
            <v>AMUNDI FUNDS GLOBAL EQUITY RESPONSIBLE</v>
          </cell>
          <cell r="C900" t="str">
            <v>Class A USD AD (D)</v>
          </cell>
          <cell r="D900" t="str">
            <v>USD</v>
          </cell>
          <cell r="E900" t="str">
            <v>01-Dec-2025</v>
          </cell>
          <cell r="F900">
            <v>617152.09</v>
          </cell>
          <cell r="G900">
            <v>4342.2089999999998</v>
          </cell>
          <cell r="H900">
            <v>142.13</v>
          </cell>
          <cell r="I900">
            <v>0</v>
          </cell>
          <cell r="J900">
            <v>148.53</v>
          </cell>
          <cell r="K900">
            <v>-1.32</v>
          </cell>
          <cell r="P900">
            <v>0</v>
          </cell>
        </row>
        <row r="901">
          <cell r="A901" t="str">
            <v>LU1883319045</v>
          </cell>
          <cell r="B901" t="str">
            <v>AMUNDI FUNDS GLOBAL EQUITY RESPONSIBLE</v>
          </cell>
          <cell r="C901" t="str">
            <v>Class A USD (C)</v>
          </cell>
          <cell r="D901" t="str">
            <v>USD</v>
          </cell>
          <cell r="E901" t="str">
            <v>01-Dec-2025</v>
          </cell>
          <cell r="F901">
            <v>25167056.890000001</v>
          </cell>
          <cell r="G901">
            <v>42552.767</v>
          </cell>
          <cell r="H901">
            <v>591.42999999999995</v>
          </cell>
          <cell r="I901">
            <v>0</v>
          </cell>
          <cell r="J901">
            <v>618.04</v>
          </cell>
          <cell r="K901">
            <v>-5.48</v>
          </cell>
          <cell r="P901">
            <v>0</v>
          </cell>
        </row>
        <row r="902">
          <cell r="A902" t="str">
            <v>LU2391858789</v>
          </cell>
          <cell r="B902" t="str">
            <v>AMUNDI FUNDS GLOBAL EQUITY RESPONSIBLE</v>
          </cell>
          <cell r="C902" t="str">
            <v>Class A2 USD MTD3 (D)</v>
          </cell>
          <cell r="D902" t="str">
            <v>USD</v>
          </cell>
          <cell r="E902" t="str">
            <v>01-Dec-2025</v>
          </cell>
          <cell r="F902">
            <v>1658073.24</v>
          </cell>
          <cell r="G902">
            <v>32035.656999999999</v>
          </cell>
          <cell r="H902">
            <v>51.76</v>
          </cell>
          <cell r="I902">
            <v>0.154</v>
          </cell>
          <cell r="J902">
            <v>51.76</v>
          </cell>
          <cell r="K902">
            <v>-0.63</v>
          </cell>
          <cell r="P902">
            <v>0</v>
          </cell>
        </row>
        <row r="903">
          <cell r="A903" t="str">
            <v>LU2391858862</v>
          </cell>
          <cell r="B903" t="str">
            <v>AMUNDI FUNDS GLOBAL EQUITY RESPONSIBLE</v>
          </cell>
          <cell r="C903" t="str">
            <v>Class A2 ZAR Hgd MTD3 (D)</v>
          </cell>
          <cell r="D903" t="str">
            <v>ZAR</v>
          </cell>
          <cell r="E903" t="str">
            <v>01-Dec-2025</v>
          </cell>
          <cell r="F903">
            <v>26721367.579999998</v>
          </cell>
          <cell r="G903">
            <v>24730.504000000001</v>
          </cell>
          <cell r="H903">
            <v>1080.5</v>
          </cell>
          <cell r="I903">
            <v>6.1497000000000002</v>
          </cell>
          <cell r="J903">
            <v>1080.5</v>
          </cell>
          <cell r="K903">
            <v>-18.39</v>
          </cell>
          <cell r="P903">
            <v>0</v>
          </cell>
        </row>
        <row r="904">
          <cell r="A904" t="str">
            <v>LU1883320308</v>
          </cell>
          <cell r="B904" t="str">
            <v>AMUNDI FUNDS GLOBAL EQUITY RESPONSIBLE</v>
          </cell>
          <cell r="C904" t="str">
            <v>Class M2 EUR (C)</v>
          </cell>
          <cell r="D904" t="str">
            <v>EUR</v>
          </cell>
          <cell r="E904" t="str">
            <v>01-Dec-2025</v>
          </cell>
          <cell r="F904">
            <v>129685448.58</v>
          </cell>
          <cell r="G904">
            <v>40466.690999999999</v>
          </cell>
          <cell r="H904">
            <v>3204.75</v>
          </cell>
          <cell r="I904">
            <v>0</v>
          </cell>
          <cell r="J904">
            <v>3204.75</v>
          </cell>
          <cell r="K904">
            <v>-36.25</v>
          </cell>
          <cell r="P904">
            <v>0</v>
          </cell>
        </row>
        <row r="905">
          <cell r="A905" t="str">
            <v>LU1883319391</v>
          </cell>
          <cell r="B905" t="str">
            <v>AMUNDI FUNDS GLOBAL EQUITY RESPONSIBLE</v>
          </cell>
          <cell r="C905" t="str">
            <v>Class B USD (C)</v>
          </cell>
          <cell r="D905" t="str">
            <v>USD</v>
          </cell>
          <cell r="E905" t="str">
            <v>01-Dec-2025</v>
          </cell>
          <cell r="F905">
            <v>1823804.07</v>
          </cell>
          <cell r="G905">
            <v>24918.236000000001</v>
          </cell>
          <cell r="H905">
            <v>73.19</v>
          </cell>
          <cell r="I905">
            <v>0</v>
          </cell>
          <cell r="J905">
            <v>73.19</v>
          </cell>
          <cell r="K905">
            <v>-0.68</v>
          </cell>
          <cell r="P905">
            <v>0</v>
          </cell>
        </row>
        <row r="906">
          <cell r="A906" t="str">
            <v>LU1883319714</v>
          </cell>
          <cell r="B906" t="str">
            <v>AMUNDI FUNDS GLOBAL EQUITY RESPONSIBLE</v>
          </cell>
          <cell r="C906" t="str">
            <v>Class E2 EUR (C)</v>
          </cell>
          <cell r="D906" t="str">
            <v>EUR</v>
          </cell>
          <cell r="E906" t="str">
            <v>01-Dec-2025</v>
          </cell>
          <cell r="F906">
            <v>172561634.63</v>
          </cell>
          <cell r="G906">
            <v>12277209.166999999</v>
          </cell>
          <cell r="H906">
            <v>14.055</v>
          </cell>
          <cell r="I906">
            <v>0</v>
          </cell>
          <cell r="J906">
            <v>14.055</v>
          </cell>
          <cell r="K906">
            <v>-0.16</v>
          </cell>
          <cell r="P906">
            <v>0</v>
          </cell>
        </row>
        <row r="907">
          <cell r="A907" t="str">
            <v>LU1883319805</v>
          </cell>
          <cell r="B907" t="str">
            <v>AMUNDI FUNDS GLOBAL EQUITY RESPONSIBLE</v>
          </cell>
          <cell r="C907" t="str">
            <v>Class F EUR (C)</v>
          </cell>
          <cell r="D907" t="str">
            <v>EUR</v>
          </cell>
          <cell r="E907" t="str">
            <v>01-Dec-2025</v>
          </cell>
          <cell r="F907">
            <v>23016039.219999999</v>
          </cell>
          <cell r="G907">
            <v>1949306.6610000001</v>
          </cell>
          <cell r="H907">
            <v>11.807</v>
          </cell>
          <cell r="I907">
            <v>0</v>
          </cell>
          <cell r="J907">
            <v>11.807</v>
          </cell>
          <cell r="K907">
            <v>-0.13600000000000001</v>
          </cell>
          <cell r="P907">
            <v>0</v>
          </cell>
        </row>
        <row r="908">
          <cell r="A908" t="str">
            <v>LU1998915539</v>
          </cell>
          <cell r="B908" t="str">
            <v>AMUNDI FUNDS GLOBAL EQUITY RESPONSIBLE</v>
          </cell>
          <cell r="C908" t="str">
            <v>Class H EUR (C)</v>
          </cell>
          <cell r="D908" t="str">
            <v>EUR</v>
          </cell>
          <cell r="E908" t="str">
            <v>01-Dec-2025</v>
          </cell>
          <cell r="F908">
            <v>47451110.240000002</v>
          </cell>
          <cell r="G908">
            <v>23400.814999999999</v>
          </cell>
          <cell r="H908">
            <v>2027.75</v>
          </cell>
          <cell r="I908">
            <v>0</v>
          </cell>
          <cell r="J908">
            <v>2027.75</v>
          </cell>
          <cell r="K908">
            <v>-22.85</v>
          </cell>
          <cell r="P908">
            <v>0</v>
          </cell>
        </row>
        <row r="909">
          <cell r="A909" t="str">
            <v>LU2176991342</v>
          </cell>
          <cell r="B909" t="str">
            <v>AMUNDI FUNDS GLOBAL EQUITY RESPONSIBLE</v>
          </cell>
          <cell r="C909" t="str">
            <v>Class I2 GBP (C)</v>
          </cell>
          <cell r="D909" t="str">
            <v>GBP</v>
          </cell>
          <cell r="E909" t="str">
            <v>01-Dec-2025</v>
          </cell>
          <cell r="F909">
            <v>40571.31</v>
          </cell>
          <cell r="G909">
            <v>21.048999999999999</v>
          </cell>
          <cell r="H909">
            <v>1927.47</v>
          </cell>
          <cell r="I909">
            <v>0</v>
          </cell>
          <cell r="J909">
            <v>1927.47</v>
          </cell>
          <cell r="K909">
            <v>-18.010000000000002</v>
          </cell>
          <cell r="P909">
            <v>0</v>
          </cell>
        </row>
        <row r="910">
          <cell r="A910" t="str">
            <v>LU1883320217</v>
          </cell>
          <cell r="B910" t="str">
            <v>AMUNDI FUNDS GLOBAL EQUITY RESPONSIBLE</v>
          </cell>
          <cell r="C910" t="str">
            <v>Class I2 USD (C)</v>
          </cell>
          <cell r="D910" t="str">
            <v>USD</v>
          </cell>
          <cell r="E910" t="str">
            <v>01-Dec-2025</v>
          </cell>
          <cell r="F910">
            <v>19607963.41</v>
          </cell>
          <cell r="G910">
            <v>5514.4430000000002</v>
          </cell>
          <cell r="H910">
            <v>3555.75</v>
          </cell>
          <cell r="I910">
            <v>0</v>
          </cell>
          <cell r="J910">
            <v>3555.75</v>
          </cell>
          <cell r="K910">
            <v>-32.619999999999997</v>
          </cell>
          <cell r="P910">
            <v>0</v>
          </cell>
        </row>
        <row r="911">
          <cell r="A911" t="str">
            <v>LU1883320134</v>
          </cell>
          <cell r="B911" t="str">
            <v>AMUNDI FUNDS GLOBAL EQUITY RESPONSIBLE</v>
          </cell>
          <cell r="C911" t="str">
            <v>Class I2 EUR AD (D)</v>
          </cell>
          <cell r="D911" t="str">
            <v>EUR</v>
          </cell>
          <cell r="E911" t="str">
            <v>01-Dec-2025</v>
          </cell>
          <cell r="F911">
            <v>13688.1</v>
          </cell>
          <cell r="G911">
            <v>7.0019999999999998</v>
          </cell>
          <cell r="H911">
            <v>1954.88</v>
          </cell>
          <cell r="I911">
            <v>0</v>
          </cell>
          <cell r="J911">
            <v>1954.88</v>
          </cell>
          <cell r="K911">
            <v>-22.1</v>
          </cell>
          <cell r="P911">
            <v>0</v>
          </cell>
        </row>
        <row r="912">
          <cell r="A912" t="str">
            <v>LU1883320050</v>
          </cell>
          <cell r="B912" t="str">
            <v>AMUNDI FUNDS GLOBAL EQUITY RESPONSIBLE</v>
          </cell>
          <cell r="C912" t="str">
            <v>Class I2 EUR (C)</v>
          </cell>
          <cell r="D912" t="str">
            <v>EUR</v>
          </cell>
          <cell r="E912" t="str">
            <v>01-Dec-2025</v>
          </cell>
          <cell r="F912">
            <v>246648467.68000001</v>
          </cell>
          <cell r="G912">
            <v>80601.748999999996</v>
          </cell>
          <cell r="H912">
            <v>3060.09</v>
          </cell>
          <cell r="I912">
            <v>0</v>
          </cell>
          <cell r="J912">
            <v>3060.09</v>
          </cell>
          <cell r="K912">
            <v>-34.590000000000003</v>
          </cell>
          <cell r="P912">
            <v>0</v>
          </cell>
        </row>
        <row r="913">
          <cell r="A913" t="str">
            <v>LU2305762465</v>
          </cell>
          <cell r="B913" t="str">
            <v>AMUNDI FUNDS GLOBAL EQUITY RESPONSIBLE</v>
          </cell>
          <cell r="C913" t="str">
            <v>Class J12 EUR (C)</v>
          </cell>
          <cell r="D913" t="str">
            <v>EUR</v>
          </cell>
          <cell r="E913" t="str">
            <v>01-Dec-2025</v>
          </cell>
          <cell r="F913">
            <v>9873740.8900000006</v>
          </cell>
          <cell r="G913">
            <v>6764</v>
          </cell>
          <cell r="H913">
            <v>1459.75</v>
          </cell>
          <cell r="I913">
            <v>0</v>
          </cell>
          <cell r="J913">
            <v>1459.75</v>
          </cell>
          <cell r="K913">
            <v>-16.47</v>
          </cell>
          <cell r="P913">
            <v>0</v>
          </cell>
        </row>
        <row r="914">
          <cell r="A914" t="str">
            <v>LU1883319987</v>
          </cell>
          <cell r="B914" t="str">
            <v>AMUNDI FUNDS GLOBAL EQUITY RESPONSIBLE</v>
          </cell>
          <cell r="C914" t="str">
            <v>Class G EUR (C)</v>
          </cell>
          <cell r="D914" t="str">
            <v>EUR</v>
          </cell>
          <cell r="E914" t="str">
            <v>01-Dec-2025</v>
          </cell>
          <cell r="F914">
            <v>83408416.900000006</v>
          </cell>
          <cell r="G914">
            <v>9186638.1349999998</v>
          </cell>
          <cell r="H914">
            <v>9.0790000000000006</v>
          </cell>
          <cell r="I914">
            <v>0</v>
          </cell>
          <cell r="J914">
            <v>9.0790000000000006</v>
          </cell>
          <cell r="K914">
            <v>-0.104</v>
          </cell>
          <cell r="P914">
            <v>0</v>
          </cell>
        </row>
        <row r="915">
          <cell r="A915" t="str">
            <v>LU2279408673</v>
          </cell>
          <cell r="B915" t="str">
            <v>AMUNDI FUNDS GLOBAL EQUITY RESPONSIBLE</v>
          </cell>
          <cell r="C915" t="str">
            <v>Class M2 EUR QD (D)</v>
          </cell>
          <cell r="D915" t="str">
            <v>EUR</v>
          </cell>
          <cell r="E915" t="str">
            <v>01-Dec-2025</v>
          </cell>
          <cell r="F915">
            <v>8948217.6899999995</v>
          </cell>
          <cell r="G915">
            <v>6148.4290000000001</v>
          </cell>
          <cell r="H915">
            <v>1455.37</v>
          </cell>
          <cell r="I915">
            <v>0</v>
          </cell>
          <cell r="J915">
            <v>1455.37</v>
          </cell>
          <cell r="K915">
            <v>-16.46</v>
          </cell>
          <cell r="P915">
            <v>0</v>
          </cell>
        </row>
        <row r="916">
          <cell r="A916" t="str">
            <v>LU1883320480</v>
          </cell>
          <cell r="B916" t="str">
            <v>AMUNDI FUNDS GLOBAL EQUITY RESPONSIBLE</v>
          </cell>
          <cell r="C916" t="str">
            <v>Class R2 EUR (C)</v>
          </cell>
          <cell r="D916" t="str">
            <v>EUR</v>
          </cell>
          <cell r="E916" t="str">
            <v>01-Dec-2025</v>
          </cell>
          <cell r="F916">
            <v>15442955.93</v>
          </cell>
          <cell r="G916">
            <v>102936.179</v>
          </cell>
          <cell r="H916">
            <v>150.02000000000001</v>
          </cell>
          <cell r="I916">
            <v>0</v>
          </cell>
          <cell r="J916">
            <v>150.02000000000001</v>
          </cell>
          <cell r="K916">
            <v>-1.71</v>
          </cell>
          <cell r="P916">
            <v>0</v>
          </cell>
        </row>
        <row r="917">
          <cell r="A917" t="str">
            <v>LU2347635984</v>
          </cell>
          <cell r="B917" t="str">
            <v>AMUNDI FUNDS GLOBAL EQUITY RESPONSIBLE</v>
          </cell>
          <cell r="C917" t="str">
            <v>Class OR EUR (C)</v>
          </cell>
          <cell r="D917" t="str">
            <v>EUR</v>
          </cell>
          <cell r="E917" t="str">
            <v>01-Dec-2025</v>
          </cell>
          <cell r="F917">
            <v>542877.93999999994</v>
          </cell>
          <cell r="G917">
            <v>457.512</v>
          </cell>
          <cell r="H917">
            <v>1186.5899999999999</v>
          </cell>
          <cell r="I917">
            <v>0</v>
          </cell>
          <cell r="J917">
            <v>1186.5899999999999</v>
          </cell>
          <cell r="K917">
            <v>-13.33</v>
          </cell>
          <cell r="P917">
            <v>0</v>
          </cell>
        </row>
        <row r="918">
          <cell r="A918" t="str">
            <v>LU1883320647</v>
          </cell>
          <cell r="B918" t="str">
            <v>AMUNDI FUNDS GLOBAL EQUITY RESPONSIBLE</v>
          </cell>
          <cell r="C918" t="str">
            <v>Class U USD (C)</v>
          </cell>
          <cell r="D918" t="str">
            <v>USD</v>
          </cell>
          <cell r="E918" t="str">
            <v>01-Dec-2025</v>
          </cell>
          <cell r="F918">
            <v>1052495.3799999999</v>
          </cell>
          <cell r="G918">
            <v>10887.451999999999</v>
          </cell>
          <cell r="H918">
            <v>96.67</v>
          </cell>
          <cell r="I918">
            <v>0</v>
          </cell>
          <cell r="J918">
            <v>96.67</v>
          </cell>
          <cell r="K918">
            <v>-0.9</v>
          </cell>
          <cell r="P918">
            <v>0</v>
          </cell>
        </row>
        <row r="919">
          <cell r="A919" t="str">
            <v>LU2183143929</v>
          </cell>
          <cell r="B919" t="str">
            <v>AMUNDI FUNDS GLOBAL EQUITY RESPONSIBLE</v>
          </cell>
          <cell r="C919" t="str">
            <v>Class R EUR (C)</v>
          </cell>
          <cell r="D919" t="str">
            <v>EUR</v>
          </cell>
          <cell r="E919" t="str">
            <v>01-Dec-2025</v>
          </cell>
          <cell r="F919">
            <v>6470610.9299999997</v>
          </cell>
          <cell r="G919">
            <v>70137.440000000002</v>
          </cell>
          <cell r="H919">
            <v>92.26</v>
          </cell>
          <cell r="I919">
            <v>0</v>
          </cell>
          <cell r="J919">
            <v>92.26</v>
          </cell>
          <cell r="K919">
            <v>-1.04</v>
          </cell>
          <cell r="P919">
            <v>0</v>
          </cell>
        </row>
        <row r="920">
          <cell r="A920" t="str">
            <v>LU1883320563</v>
          </cell>
          <cell r="B920" t="str">
            <v>AMUNDI FUNDS GLOBAL EQUITY RESPONSIBLE</v>
          </cell>
          <cell r="C920" t="str">
            <v>Class R2 USD (C)</v>
          </cell>
          <cell r="D920" t="str">
            <v>USD</v>
          </cell>
          <cell r="E920" t="str">
            <v>01-Dec-2025</v>
          </cell>
          <cell r="F920">
            <v>10400.39</v>
          </cell>
          <cell r="G920">
            <v>59.581000000000003</v>
          </cell>
          <cell r="H920">
            <v>174.56</v>
          </cell>
          <cell r="I920">
            <v>0</v>
          </cell>
          <cell r="J920">
            <v>174.56</v>
          </cell>
          <cell r="K920">
            <v>-1.61</v>
          </cell>
          <cell r="P920">
            <v>0</v>
          </cell>
        </row>
        <row r="921">
          <cell r="A921" t="str">
            <v>LU2391858516</v>
          </cell>
          <cell r="B921" t="str">
            <v>AMUNDI FUNDS GLOBAL EQUITY RESPONSIBLE</v>
          </cell>
          <cell r="C921" t="str">
            <v>Class U USD MTD3 (D)</v>
          </cell>
          <cell r="D921" t="str">
            <v>USD</v>
          </cell>
          <cell r="E921" t="str">
            <v>01-Dec-2025</v>
          </cell>
          <cell r="F921">
            <v>822911.77</v>
          </cell>
          <cell r="G921">
            <v>16284.826999999999</v>
          </cell>
          <cell r="H921">
            <v>50.53</v>
          </cell>
          <cell r="I921">
            <v>0.1512</v>
          </cell>
          <cell r="J921">
            <v>50.53</v>
          </cell>
          <cell r="K921">
            <v>-0.63</v>
          </cell>
          <cell r="P921">
            <v>0</v>
          </cell>
        </row>
        <row r="922">
          <cell r="A922" t="str">
            <v>LU2391858607</v>
          </cell>
          <cell r="B922" t="str">
            <v>AMUNDI FUNDS GLOBAL EQUITY RESPONSIBLE</v>
          </cell>
          <cell r="C922" t="str">
            <v>Class U ZAR Hgd MTD3 (D)</v>
          </cell>
          <cell r="D922" t="str">
            <v>ZAR</v>
          </cell>
          <cell r="E922" t="str">
            <v>01-Dec-2025</v>
          </cell>
          <cell r="F922">
            <v>41288442.909999996</v>
          </cell>
          <cell r="G922">
            <v>39273.131999999998</v>
          </cell>
          <cell r="H922">
            <v>1051.32</v>
          </cell>
          <cell r="I922">
            <v>6.0221999999999998</v>
          </cell>
          <cell r="J922">
            <v>1051.32</v>
          </cell>
          <cell r="K922">
            <v>-17.97</v>
          </cell>
          <cell r="P922">
            <v>0</v>
          </cell>
        </row>
        <row r="923">
          <cell r="A923" t="str">
            <v>LU1880398554</v>
          </cell>
          <cell r="B923" t="str">
            <v>AMUNDI FUNDS GLOBAL EQUITY</v>
          </cell>
          <cell r="C923" t="str">
            <v>Class A2 USD AD (D)</v>
          </cell>
          <cell r="D923" t="str">
            <v>USD</v>
          </cell>
          <cell r="E923" t="str">
            <v>01-Dec-2025</v>
          </cell>
          <cell r="F923">
            <v>74166.89</v>
          </cell>
          <cell r="G923">
            <v>621.12099999999998</v>
          </cell>
          <cell r="H923">
            <v>119.41</v>
          </cell>
          <cell r="I923">
            <v>0</v>
          </cell>
          <cell r="J923">
            <v>119.41</v>
          </cell>
          <cell r="K923">
            <v>-0.27</v>
          </cell>
          <cell r="P923">
            <v>0</v>
          </cell>
        </row>
        <row r="924">
          <cell r="A924" t="str">
            <v>LU1883342534</v>
          </cell>
          <cell r="B924" t="str">
            <v>AMUNDI FUNDS GLOBAL EQUITY</v>
          </cell>
          <cell r="C924" t="str">
            <v>Class A EUR AD (D)</v>
          </cell>
          <cell r="D924" t="str">
            <v>EUR</v>
          </cell>
          <cell r="E924" t="str">
            <v>01-Dec-2025</v>
          </cell>
          <cell r="F924">
            <v>83656101.959999993</v>
          </cell>
          <cell r="G924">
            <v>534895.56900000002</v>
          </cell>
          <cell r="H924">
            <v>156.4</v>
          </cell>
          <cell r="I924">
            <v>0</v>
          </cell>
          <cell r="J924">
            <v>163.44</v>
          </cell>
          <cell r="K924">
            <v>-0.62</v>
          </cell>
          <cell r="P924">
            <v>0</v>
          </cell>
        </row>
        <row r="925">
          <cell r="A925" t="str">
            <v>LU1883342377</v>
          </cell>
          <cell r="B925" t="str">
            <v>AMUNDI FUNDS GLOBAL EQUITY</v>
          </cell>
          <cell r="C925" t="str">
            <v>Class A EUR (C)</v>
          </cell>
          <cell r="D925" t="str">
            <v>EUR</v>
          </cell>
          <cell r="E925" t="str">
            <v>01-Dec-2025</v>
          </cell>
          <cell r="F925">
            <v>1460713194.5899999</v>
          </cell>
          <cell r="G925">
            <v>6310861.4450000003</v>
          </cell>
          <cell r="H925">
            <v>231.46</v>
          </cell>
          <cell r="I925">
            <v>0</v>
          </cell>
          <cell r="J925">
            <v>241.88</v>
          </cell>
          <cell r="K925">
            <v>-0.93</v>
          </cell>
          <cell r="P925">
            <v>0</v>
          </cell>
        </row>
        <row r="926">
          <cell r="A926" t="str">
            <v>LU2070309377</v>
          </cell>
          <cell r="B926" t="str">
            <v>AMUNDI FUNDS GLOBAL EQUITY</v>
          </cell>
          <cell r="C926" t="str">
            <v>Class A2 EUR (C)</v>
          </cell>
          <cell r="D926" t="str">
            <v>EUR</v>
          </cell>
          <cell r="E926" t="str">
            <v>01-Dec-2025</v>
          </cell>
          <cell r="F926">
            <v>158030426.19</v>
          </cell>
          <cell r="G926">
            <v>1470000.2760000001</v>
          </cell>
          <cell r="H926">
            <v>107.5</v>
          </cell>
          <cell r="I926">
            <v>0</v>
          </cell>
          <cell r="J926">
            <v>112.34</v>
          </cell>
          <cell r="K926">
            <v>-0.48</v>
          </cell>
          <cell r="P926">
            <v>0</v>
          </cell>
        </row>
        <row r="927">
          <cell r="A927" t="str">
            <v>LU1883342708</v>
          </cell>
          <cell r="B927" t="str">
            <v>AMUNDI FUNDS GLOBAL EQUITY</v>
          </cell>
          <cell r="C927" t="str">
            <v>Class A USD AD (D)</v>
          </cell>
          <cell r="D927" t="str">
            <v>USD</v>
          </cell>
          <cell r="E927" t="str">
            <v>01-Dec-2025</v>
          </cell>
          <cell r="F927">
            <v>5861450.96</v>
          </cell>
          <cell r="G927">
            <v>31714.565999999999</v>
          </cell>
          <cell r="H927">
            <v>184.82</v>
          </cell>
          <cell r="I927">
            <v>0</v>
          </cell>
          <cell r="J927">
            <v>193.14</v>
          </cell>
          <cell r="K927">
            <v>-0.35</v>
          </cell>
          <cell r="P927">
            <v>0</v>
          </cell>
        </row>
        <row r="928">
          <cell r="A928" t="str">
            <v>LU1880398398</v>
          </cell>
          <cell r="B928" t="str">
            <v>AMUNDI FUNDS GLOBAL EQUITY</v>
          </cell>
          <cell r="C928" t="str">
            <v>Class A EUR Hgd AD (D)</v>
          </cell>
          <cell r="D928" t="str">
            <v>EUR</v>
          </cell>
          <cell r="E928" t="str">
            <v>01-Dec-2025</v>
          </cell>
          <cell r="F928">
            <v>4209215.25</v>
          </cell>
          <cell r="G928">
            <v>38791.250999999997</v>
          </cell>
          <cell r="H928">
            <v>108.51</v>
          </cell>
          <cell r="I928">
            <v>0</v>
          </cell>
          <cell r="J928">
            <v>113.39</v>
          </cell>
          <cell r="K928">
            <v>-0.32</v>
          </cell>
          <cell r="P928">
            <v>0</v>
          </cell>
        </row>
        <row r="929">
          <cell r="A929" t="str">
            <v>LU1880398125</v>
          </cell>
          <cell r="B929" t="str">
            <v>AMUNDI FUNDS GLOBAL EQUITY</v>
          </cell>
          <cell r="C929" t="str">
            <v>Class A EUR Hgd (C)</v>
          </cell>
          <cell r="D929" t="str">
            <v>EUR</v>
          </cell>
          <cell r="E929" t="str">
            <v>01-Dec-2025</v>
          </cell>
          <cell r="F929">
            <v>37375236.57</v>
          </cell>
          <cell r="G929">
            <v>336383.19099999999</v>
          </cell>
          <cell r="H929">
            <v>111.11</v>
          </cell>
          <cell r="I929">
            <v>0</v>
          </cell>
          <cell r="J929">
            <v>116.11</v>
          </cell>
          <cell r="K929">
            <v>-0.33</v>
          </cell>
          <cell r="P929">
            <v>0</v>
          </cell>
        </row>
        <row r="930">
          <cell r="A930" t="str">
            <v>LU1894680591</v>
          </cell>
          <cell r="B930" t="str">
            <v>AMUNDI FUNDS GLOBAL EQUITY</v>
          </cell>
          <cell r="C930" t="str">
            <v>Class A CZK Hgd (C)</v>
          </cell>
          <cell r="D930" t="str">
            <v>CZK</v>
          </cell>
          <cell r="E930" t="str">
            <v>01-Dec-2025</v>
          </cell>
          <cell r="F930">
            <v>3460888130.71</v>
          </cell>
          <cell r="G930">
            <v>1429002.2720000001</v>
          </cell>
          <cell r="H930">
            <v>2421.89</v>
          </cell>
          <cell r="I930">
            <v>0</v>
          </cell>
          <cell r="J930">
            <v>2530.88</v>
          </cell>
          <cell r="K930">
            <v>-7.17</v>
          </cell>
          <cell r="P930">
            <v>0</v>
          </cell>
        </row>
        <row r="931">
          <cell r="A931" t="str">
            <v>LU1883342617</v>
          </cell>
          <cell r="B931" t="str">
            <v>AMUNDI FUNDS GLOBAL EQUITY</v>
          </cell>
          <cell r="C931" t="str">
            <v>Class A USD (C)</v>
          </cell>
          <cell r="D931" t="str">
            <v>USD</v>
          </cell>
          <cell r="E931" t="str">
            <v>01-Dec-2025</v>
          </cell>
          <cell r="F931">
            <v>102151633.79000001</v>
          </cell>
          <cell r="G931">
            <v>379313.12800000003</v>
          </cell>
          <cell r="H931">
            <v>269.31</v>
          </cell>
          <cell r="I931">
            <v>0</v>
          </cell>
          <cell r="J931">
            <v>281.43</v>
          </cell>
          <cell r="K931">
            <v>-0.5</v>
          </cell>
          <cell r="P931">
            <v>0</v>
          </cell>
        </row>
        <row r="932">
          <cell r="A932" t="str">
            <v>LU1883834167</v>
          </cell>
          <cell r="B932" t="str">
            <v>AMUNDI FUNDS GLOBAL EQUITY</v>
          </cell>
          <cell r="C932" t="str">
            <v>Class M2 EUR (C)</v>
          </cell>
          <cell r="D932" t="str">
            <v>EUR</v>
          </cell>
          <cell r="E932" t="str">
            <v>01-Dec-2025</v>
          </cell>
          <cell r="F932">
            <v>390532376.91000003</v>
          </cell>
          <cell r="G932">
            <v>92635.066999999995</v>
          </cell>
          <cell r="H932">
            <v>4215.82</v>
          </cell>
          <cell r="I932">
            <v>0</v>
          </cell>
          <cell r="J932">
            <v>4215.82</v>
          </cell>
          <cell r="K932">
            <v>-18.05</v>
          </cell>
          <cell r="P932">
            <v>0</v>
          </cell>
        </row>
        <row r="933">
          <cell r="A933" t="str">
            <v>LU1883833607</v>
          </cell>
          <cell r="B933" t="str">
            <v>AMUNDI FUNDS GLOBAL EQUITY</v>
          </cell>
          <cell r="C933" t="str">
            <v>Class E2 EUR (C)</v>
          </cell>
          <cell r="D933" t="str">
            <v>EUR</v>
          </cell>
          <cell r="E933" t="str">
            <v>01-Dec-2025</v>
          </cell>
          <cell r="F933">
            <v>362876907.04000002</v>
          </cell>
          <cell r="G933">
            <v>19957952.068999998</v>
          </cell>
          <cell r="H933">
            <v>18.181999999999999</v>
          </cell>
          <cell r="I933">
            <v>0</v>
          </cell>
          <cell r="J933">
            <v>18.181999999999999</v>
          </cell>
          <cell r="K933">
            <v>-7.9000000000000001E-2</v>
          </cell>
          <cell r="P933">
            <v>0</v>
          </cell>
        </row>
        <row r="934">
          <cell r="A934" t="str">
            <v>LU1883833789</v>
          </cell>
          <cell r="B934" t="str">
            <v>AMUNDI FUNDS GLOBAL EQUITY</v>
          </cell>
          <cell r="C934" t="str">
            <v>Class F EUR (C)</v>
          </cell>
          <cell r="D934" t="str">
            <v>EUR</v>
          </cell>
          <cell r="E934" t="str">
            <v>01-Dec-2025</v>
          </cell>
          <cell r="F934">
            <v>71110494.859999999</v>
          </cell>
          <cell r="G934">
            <v>4618832.4759999998</v>
          </cell>
          <cell r="H934">
            <v>15.396000000000001</v>
          </cell>
          <cell r="I934">
            <v>0</v>
          </cell>
          <cell r="J934">
            <v>15.396000000000001</v>
          </cell>
          <cell r="K934">
            <v>-6.2E-2</v>
          </cell>
          <cell r="P934">
            <v>0</v>
          </cell>
        </row>
        <row r="935">
          <cell r="A935" t="str">
            <v>LU1880398711</v>
          </cell>
          <cell r="B935" t="str">
            <v>AMUNDI FUNDS GLOBAL EQUITY</v>
          </cell>
          <cell r="C935" t="str">
            <v>Class F2 USD (C)</v>
          </cell>
          <cell r="D935" t="str">
            <v>USD</v>
          </cell>
          <cell r="E935" t="str">
            <v>01-Dec-2025</v>
          </cell>
          <cell r="F935">
            <v>79076.91</v>
          </cell>
          <cell r="G935">
            <v>6828.9920000000002</v>
          </cell>
          <cell r="H935">
            <v>11.58</v>
          </cell>
          <cell r="I935">
            <v>0</v>
          </cell>
          <cell r="J935">
            <v>11.58</v>
          </cell>
          <cell r="K935">
            <v>-2.5999999999999999E-2</v>
          </cell>
          <cell r="P935">
            <v>0</v>
          </cell>
        </row>
        <row r="936">
          <cell r="A936" t="str">
            <v>LU1880398638</v>
          </cell>
          <cell r="B936" t="str">
            <v>AMUNDI FUNDS GLOBAL EQUITY</v>
          </cell>
          <cell r="C936" t="str">
            <v>Class F2 EUR Hgd (C)</v>
          </cell>
          <cell r="D936" t="str">
            <v>EUR</v>
          </cell>
          <cell r="E936" t="str">
            <v>01-Dec-2025</v>
          </cell>
          <cell r="F936">
            <v>381771.97</v>
          </cell>
          <cell r="G936">
            <v>35156.641000000003</v>
          </cell>
          <cell r="H936">
            <v>10.859</v>
          </cell>
          <cell r="I936">
            <v>0</v>
          </cell>
          <cell r="J936">
            <v>10.859</v>
          </cell>
          <cell r="K936">
            <v>-3.5999999999999997E-2</v>
          </cell>
          <cell r="P936">
            <v>0</v>
          </cell>
        </row>
        <row r="937">
          <cell r="A937" t="str">
            <v>LU1883834084</v>
          </cell>
          <cell r="B937" t="str">
            <v>AMUNDI FUNDS GLOBAL EQUITY</v>
          </cell>
          <cell r="C937" t="str">
            <v>Class I2 USD (C)</v>
          </cell>
          <cell r="D937" t="str">
            <v>USD</v>
          </cell>
          <cell r="E937" t="str">
            <v>01-Dec-2025</v>
          </cell>
          <cell r="F937">
            <v>354367927.57999998</v>
          </cell>
          <cell r="G937">
            <v>214328.04699999999</v>
          </cell>
          <cell r="H937">
            <v>1653.39</v>
          </cell>
          <cell r="I937">
            <v>0</v>
          </cell>
          <cell r="J937">
            <v>1653.39</v>
          </cell>
          <cell r="K937">
            <v>-3.58</v>
          </cell>
          <cell r="P937">
            <v>0</v>
          </cell>
        </row>
        <row r="938">
          <cell r="A938" t="str">
            <v>LU1883833946</v>
          </cell>
          <cell r="B938" t="str">
            <v>AMUNDI FUNDS GLOBAL EQUITY</v>
          </cell>
          <cell r="C938" t="str">
            <v>Class I2 EUR (C)</v>
          </cell>
          <cell r="D938" t="str">
            <v>EUR</v>
          </cell>
          <cell r="E938" t="str">
            <v>01-Dec-2025</v>
          </cell>
          <cell r="F938">
            <v>207661180.81999999</v>
          </cell>
          <cell r="G938">
            <v>48039.016000000003</v>
          </cell>
          <cell r="H938">
            <v>4322.76</v>
          </cell>
          <cell r="I938">
            <v>0</v>
          </cell>
          <cell r="J938">
            <v>4322.76</v>
          </cell>
          <cell r="K938">
            <v>-18.510000000000002</v>
          </cell>
          <cell r="P938">
            <v>0</v>
          </cell>
        </row>
        <row r="939">
          <cell r="A939" t="str">
            <v>LU1880398984</v>
          </cell>
          <cell r="B939" t="str">
            <v>AMUNDI FUNDS GLOBAL EQUITY</v>
          </cell>
          <cell r="C939" t="str">
            <v>Class G USD (C)</v>
          </cell>
          <cell r="D939" t="str">
            <v>USD</v>
          </cell>
          <cell r="E939" t="str">
            <v>01-Dec-2025</v>
          </cell>
          <cell r="F939">
            <v>23279093.600000001</v>
          </cell>
          <cell r="G939">
            <v>197805.87400000001</v>
          </cell>
          <cell r="H939">
            <v>117.687</v>
          </cell>
          <cell r="I939">
            <v>0</v>
          </cell>
          <cell r="J939">
            <v>121.218</v>
          </cell>
          <cell r="K939">
            <v>-0.222</v>
          </cell>
          <cell r="P939">
            <v>0</v>
          </cell>
        </row>
        <row r="940">
          <cell r="A940" t="str">
            <v>LU1883833862</v>
          </cell>
          <cell r="B940" t="str">
            <v>AMUNDI FUNDS GLOBAL EQUITY</v>
          </cell>
          <cell r="C940" t="str">
            <v>Class G EUR (C)</v>
          </cell>
          <cell r="D940" t="str">
            <v>EUR</v>
          </cell>
          <cell r="E940" t="str">
            <v>01-Dec-2025</v>
          </cell>
          <cell r="F940">
            <v>232494001.81</v>
          </cell>
          <cell r="G940">
            <v>21838105.875999998</v>
          </cell>
          <cell r="H940">
            <v>10.646000000000001</v>
          </cell>
          <cell r="I940">
            <v>0</v>
          </cell>
          <cell r="J940">
            <v>10.646000000000001</v>
          </cell>
          <cell r="K940">
            <v>-4.2999999999999997E-2</v>
          </cell>
          <cell r="P940">
            <v>0</v>
          </cell>
        </row>
        <row r="941">
          <cell r="A941" t="str">
            <v>LU1880398802</v>
          </cell>
          <cell r="B941" t="str">
            <v>AMUNDI FUNDS GLOBAL EQUITY</v>
          </cell>
          <cell r="C941" t="str">
            <v>Class G EUR Hgd (C)</v>
          </cell>
          <cell r="D941" t="str">
            <v>EUR</v>
          </cell>
          <cell r="E941" t="str">
            <v>01-Dec-2025</v>
          </cell>
          <cell r="F941">
            <v>40984265.770000003</v>
          </cell>
          <cell r="G941">
            <v>371277.179</v>
          </cell>
          <cell r="H941">
            <v>110.387</v>
          </cell>
          <cell r="I941">
            <v>0</v>
          </cell>
          <cell r="J941">
            <v>113.699</v>
          </cell>
          <cell r="K941">
            <v>-0.32700000000000001</v>
          </cell>
          <cell r="P941">
            <v>0</v>
          </cell>
        </row>
        <row r="942">
          <cell r="A942" t="str">
            <v>LU1880400046</v>
          </cell>
          <cell r="B942" t="str">
            <v>AMUNDI FUNDS GLOBAL EQUITY</v>
          </cell>
          <cell r="C942" t="str">
            <v>Class M USD (C)</v>
          </cell>
          <cell r="D942" t="str">
            <v>USD</v>
          </cell>
          <cell r="E942" t="str">
            <v>01-Dec-2025</v>
          </cell>
          <cell r="F942">
            <v>21027328.82</v>
          </cell>
          <cell r="G942">
            <v>8325.5709999999999</v>
          </cell>
          <cell r="H942">
            <v>2525.63</v>
          </cell>
          <cell r="I942">
            <v>0</v>
          </cell>
          <cell r="J942">
            <v>2525.63</v>
          </cell>
          <cell r="K942">
            <v>-4.54</v>
          </cell>
          <cell r="P942">
            <v>0</v>
          </cell>
        </row>
        <row r="943">
          <cell r="A943" t="str">
            <v>LU1883834324</v>
          </cell>
          <cell r="B943" t="str">
            <v>AMUNDI FUNDS GLOBAL EQUITY</v>
          </cell>
          <cell r="C943" t="str">
            <v>Class R2 EUR (C)</v>
          </cell>
          <cell r="D943" t="str">
            <v>EUR</v>
          </cell>
          <cell r="E943" t="str">
            <v>01-Dec-2025</v>
          </cell>
          <cell r="F943">
            <v>130399695.83</v>
          </cell>
          <cell r="G943">
            <v>1037113.036</v>
          </cell>
          <cell r="H943">
            <v>125.73</v>
          </cell>
          <cell r="I943">
            <v>0</v>
          </cell>
          <cell r="J943">
            <v>125.73</v>
          </cell>
          <cell r="K943">
            <v>-0.55000000000000004</v>
          </cell>
          <cell r="P943">
            <v>0</v>
          </cell>
        </row>
        <row r="944">
          <cell r="A944" t="str">
            <v>LU1880400558</v>
          </cell>
          <cell r="B944" t="str">
            <v>AMUNDI FUNDS GLOBAL EQUITY</v>
          </cell>
          <cell r="C944" t="str">
            <v>Class OR EUR (C)</v>
          </cell>
          <cell r="D944" t="str">
            <v>EUR</v>
          </cell>
          <cell r="E944" t="str">
            <v>01-Dec-2025</v>
          </cell>
          <cell r="F944">
            <v>20761197.59</v>
          </cell>
          <cell r="G944">
            <v>16196.853999999999</v>
          </cell>
          <cell r="H944">
            <v>1281.8</v>
          </cell>
          <cell r="I944">
            <v>0</v>
          </cell>
          <cell r="J944">
            <v>1281.8</v>
          </cell>
          <cell r="K944">
            <v>-5.41</v>
          </cell>
          <cell r="P944">
            <v>0</v>
          </cell>
        </row>
        <row r="945">
          <cell r="A945" t="str">
            <v>LU1880398471</v>
          </cell>
          <cell r="B945" t="str">
            <v>AMUNDI FUNDS GLOBAL EQUITY</v>
          </cell>
          <cell r="C945" t="str">
            <v>Class A2 USD (C)</v>
          </cell>
          <cell r="D945" t="str">
            <v>USD</v>
          </cell>
          <cell r="E945" t="str">
            <v>01-Dec-2025</v>
          </cell>
          <cell r="F945">
            <v>17345232.25</v>
          </cell>
          <cell r="G945">
            <v>144123.973</v>
          </cell>
          <cell r="H945">
            <v>120.35</v>
          </cell>
          <cell r="I945">
            <v>0</v>
          </cell>
          <cell r="J945">
            <v>120.35</v>
          </cell>
          <cell r="K945">
            <v>-0.28000000000000003</v>
          </cell>
          <cell r="P945">
            <v>0</v>
          </cell>
        </row>
        <row r="946">
          <cell r="A946" t="str">
            <v>LU1883834241</v>
          </cell>
          <cell r="B946" t="str">
            <v>AMUNDI FUNDS GLOBAL EQUITY</v>
          </cell>
          <cell r="C946" t="str">
            <v>Class P2 USD (C)</v>
          </cell>
          <cell r="D946" t="str">
            <v>USD</v>
          </cell>
          <cell r="E946" t="str">
            <v>01-Dec-2025</v>
          </cell>
          <cell r="F946">
            <v>3758571.69</v>
          </cell>
          <cell r="G946">
            <v>23881.294999999998</v>
          </cell>
          <cell r="H946">
            <v>157.38999999999999</v>
          </cell>
          <cell r="I946">
            <v>0</v>
          </cell>
          <cell r="J946">
            <v>157.38999999999999</v>
          </cell>
          <cell r="K946">
            <v>-0.34</v>
          </cell>
          <cell r="P946">
            <v>0</v>
          </cell>
        </row>
        <row r="947">
          <cell r="A947" t="str">
            <v>LU2490080012</v>
          </cell>
          <cell r="B947" t="str">
            <v>AMUNDI FUNDS GLOBAL EQUITY</v>
          </cell>
          <cell r="C947" t="str">
            <v>Class R3 GBP (C)</v>
          </cell>
          <cell r="D947" t="str">
            <v>GBP</v>
          </cell>
          <cell r="E947" t="str">
            <v>01-Dec-2025</v>
          </cell>
          <cell r="F947">
            <v>137941.82999999999</v>
          </cell>
          <cell r="G947">
            <v>1580.1880000000001</v>
          </cell>
          <cell r="H947">
            <v>87.29</v>
          </cell>
          <cell r="I947">
            <v>0</v>
          </cell>
          <cell r="J947">
            <v>87.29</v>
          </cell>
          <cell r="K947">
            <v>-0.21</v>
          </cell>
          <cell r="P947">
            <v>0</v>
          </cell>
        </row>
        <row r="948">
          <cell r="A948" t="str">
            <v>LU3208788888</v>
          </cell>
          <cell r="B948" t="str">
            <v>AMUNDI FUNDS GLOBAL EQUITY</v>
          </cell>
          <cell r="C948" t="str">
            <v>Class R2 EUR Hgd (C)</v>
          </cell>
          <cell r="D948" t="str">
            <v>EUR</v>
          </cell>
          <cell r="E948" t="str">
            <v>01-Dec-2025</v>
          </cell>
          <cell r="F948">
            <v>102129.65</v>
          </cell>
          <cell r="G948">
            <v>2000</v>
          </cell>
          <cell r="H948">
            <v>51.06</v>
          </cell>
          <cell r="I948">
            <v>0</v>
          </cell>
          <cell r="J948">
            <v>51.06</v>
          </cell>
          <cell r="K948">
            <v>-0.17</v>
          </cell>
          <cell r="P948">
            <v>0</v>
          </cell>
        </row>
        <row r="949">
          <cell r="A949" t="str">
            <v>LU1883834597</v>
          </cell>
          <cell r="B949" t="str">
            <v>AMUNDI FUNDS GLOBAL EQUITY</v>
          </cell>
          <cell r="C949" t="str">
            <v>Class R2 USD (C)</v>
          </cell>
          <cell r="D949" t="str">
            <v>USD</v>
          </cell>
          <cell r="E949" t="str">
            <v>01-Dec-2025</v>
          </cell>
          <cell r="F949">
            <v>482311</v>
          </cell>
          <cell r="G949">
            <v>3791.3919999999998</v>
          </cell>
          <cell r="H949">
            <v>127.21</v>
          </cell>
          <cell r="I949">
            <v>0</v>
          </cell>
          <cell r="J949">
            <v>127.21</v>
          </cell>
          <cell r="K949">
            <v>-0.28000000000000003</v>
          </cell>
          <cell r="P949">
            <v>0</v>
          </cell>
        </row>
        <row r="950">
          <cell r="A950" t="str">
            <v>LU3208792484</v>
          </cell>
          <cell r="B950" t="str">
            <v>AMUNDI FUNDS GLOBAL EQUITY</v>
          </cell>
          <cell r="C950" t="str">
            <v>Class X2 EUR (C)</v>
          </cell>
          <cell r="D950" t="str">
            <v>EUR</v>
          </cell>
          <cell r="E950" t="str">
            <v>01-Dec-2025</v>
          </cell>
          <cell r="F950">
            <v>1350015.04</v>
          </cell>
          <cell r="G950">
            <v>1327.596</v>
          </cell>
          <cell r="H950">
            <v>1016.89</v>
          </cell>
          <cell r="I950">
            <v>0</v>
          </cell>
          <cell r="J950">
            <v>1016.89</v>
          </cell>
          <cell r="K950">
            <v>-4.29</v>
          </cell>
          <cell r="P950">
            <v>0</v>
          </cell>
        </row>
        <row r="951">
          <cell r="A951" t="str">
            <v>LU1880399016</v>
          </cell>
          <cell r="B951" t="str">
            <v>AMUNDI FUNDS GLOBAL EQUITY</v>
          </cell>
          <cell r="C951" t="str">
            <v>Class I EUR (C)</v>
          </cell>
          <cell r="D951" t="str">
            <v>EUR</v>
          </cell>
          <cell r="E951" t="str">
            <v>01-Dec-2025</v>
          </cell>
          <cell r="F951">
            <v>74144260.549999997</v>
          </cell>
          <cell r="G951">
            <v>30335.719000000001</v>
          </cell>
          <cell r="H951">
            <v>2444.12</v>
          </cell>
          <cell r="I951">
            <v>0</v>
          </cell>
          <cell r="J951">
            <v>2444.12</v>
          </cell>
          <cell r="K951">
            <v>-9.59</v>
          </cell>
          <cell r="P951">
            <v>0</v>
          </cell>
        </row>
        <row r="952">
          <cell r="A952" t="str">
            <v>LU1880399362</v>
          </cell>
          <cell r="B952" t="str">
            <v>AMUNDI FUNDS GLOBAL EQUITY</v>
          </cell>
          <cell r="C952" t="str">
            <v>Class I USD (C)</v>
          </cell>
          <cell r="D952" t="str">
            <v>USD</v>
          </cell>
          <cell r="E952" t="str">
            <v>01-Dec-2025</v>
          </cell>
          <cell r="F952">
            <v>26973.59</v>
          </cell>
          <cell r="G952">
            <v>10.675000000000001</v>
          </cell>
          <cell r="H952">
            <v>2526.8000000000002</v>
          </cell>
          <cell r="I952">
            <v>0</v>
          </cell>
          <cell r="J952">
            <v>2526.8000000000002</v>
          </cell>
          <cell r="K952">
            <v>-4.54</v>
          </cell>
          <cell r="P952">
            <v>0</v>
          </cell>
        </row>
        <row r="953">
          <cell r="A953" t="str">
            <v>LU1880401010</v>
          </cell>
          <cell r="B953" t="str">
            <v>AMUNDI FUNDS GLOBAL EQUITY</v>
          </cell>
          <cell r="C953" t="str">
            <v>Class Z EUR (C)</v>
          </cell>
          <cell r="D953" t="str">
            <v>EUR</v>
          </cell>
          <cell r="E953" t="str">
            <v>01-Dec-2025</v>
          </cell>
          <cell r="F953">
            <v>211087116.36000001</v>
          </cell>
          <cell r="G953">
            <v>84804.732000000004</v>
          </cell>
          <cell r="H953">
            <v>2489.1</v>
          </cell>
          <cell r="I953">
            <v>0</v>
          </cell>
          <cell r="J953">
            <v>2489.1</v>
          </cell>
          <cell r="K953">
            <v>-9.7200000000000006</v>
          </cell>
          <cell r="P953">
            <v>0</v>
          </cell>
        </row>
        <row r="954">
          <cell r="A954" t="str">
            <v>LU2976322649</v>
          </cell>
          <cell r="B954" t="str">
            <v>AMUNDI FUNDS EUROLAND EQUITY</v>
          </cell>
          <cell r="C954" t="str">
            <v>Class A2 USD (C)</v>
          </cell>
          <cell r="D954" t="str">
            <v>USD</v>
          </cell>
          <cell r="E954" t="str">
            <v>01-Dec-2025</v>
          </cell>
          <cell r="F954">
            <v>285981.93</v>
          </cell>
          <cell r="G954">
            <v>4748.866</v>
          </cell>
          <cell r="H954">
            <v>60.22</v>
          </cell>
          <cell r="I954">
            <v>0</v>
          </cell>
          <cell r="J954">
            <v>60.22</v>
          </cell>
          <cell r="K954">
            <v>0.18</v>
          </cell>
          <cell r="P954">
            <v>0</v>
          </cell>
        </row>
        <row r="955">
          <cell r="A955" t="str">
            <v>LU1883303718</v>
          </cell>
          <cell r="B955" t="str">
            <v>AMUNDI FUNDS EUROLAND EQUITY</v>
          </cell>
          <cell r="C955" t="str">
            <v>Class A EUR AD (D)</v>
          </cell>
          <cell r="D955" t="str">
            <v>EUR</v>
          </cell>
          <cell r="E955" t="str">
            <v>01-Dec-2025</v>
          </cell>
          <cell r="F955">
            <v>15540303.970000001</v>
          </cell>
          <cell r="G955">
            <v>171377.01300000001</v>
          </cell>
          <cell r="H955">
            <v>90.68</v>
          </cell>
          <cell r="I955">
            <v>0</v>
          </cell>
          <cell r="J955">
            <v>94.76</v>
          </cell>
          <cell r="K955">
            <v>0.09</v>
          </cell>
          <cell r="P955">
            <v>0</v>
          </cell>
        </row>
        <row r="956">
          <cell r="A956" t="str">
            <v>LU1883303635</v>
          </cell>
          <cell r="B956" t="str">
            <v>AMUNDI FUNDS EUROLAND EQUITY</v>
          </cell>
          <cell r="C956" t="str">
            <v>Class A EUR (C)</v>
          </cell>
          <cell r="D956" t="str">
            <v>EUR</v>
          </cell>
          <cell r="E956" t="str">
            <v>01-Dec-2025</v>
          </cell>
          <cell r="F956">
            <v>1137328706.6700001</v>
          </cell>
          <cell r="G956">
            <v>84188306.120000005</v>
          </cell>
          <cell r="H956">
            <v>13.51</v>
          </cell>
          <cell r="I956">
            <v>0</v>
          </cell>
          <cell r="J956">
            <v>14.12</v>
          </cell>
          <cell r="K956">
            <v>0.01</v>
          </cell>
          <cell r="P956">
            <v>0</v>
          </cell>
        </row>
        <row r="957">
          <cell r="A957" t="str">
            <v>LU3081003165</v>
          </cell>
          <cell r="B957" t="str">
            <v>AMUNDI FUNDS EUROLAND EQUITY</v>
          </cell>
          <cell r="C957" t="str">
            <v>Class A2 EUR (C)</v>
          </cell>
          <cell r="D957" t="str">
            <v>EUR</v>
          </cell>
          <cell r="E957" t="str">
            <v>01-Dec-2025</v>
          </cell>
          <cell r="F957">
            <v>2232926.2000000002</v>
          </cell>
          <cell r="G957">
            <v>43009.654000000002</v>
          </cell>
          <cell r="H957">
            <v>51.92</v>
          </cell>
          <cell r="I957">
            <v>0</v>
          </cell>
          <cell r="J957">
            <v>54.26</v>
          </cell>
          <cell r="K957">
            <v>0.05</v>
          </cell>
          <cell r="P957">
            <v>0</v>
          </cell>
        </row>
        <row r="958">
          <cell r="A958" t="str">
            <v>LU2032055621</v>
          </cell>
          <cell r="B958" t="str">
            <v>AMUNDI FUNDS EUROLAND EQUITY</v>
          </cell>
          <cell r="C958" t="str">
            <v>Class A5 EUR (C)</v>
          </cell>
          <cell r="D958" t="str">
            <v>EUR</v>
          </cell>
          <cell r="E958" t="str">
            <v>01-Dec-2025</v>
          </cell>
          <cell r="F958">
            <v>86780644.540000007</v>
          </cell>
          <cell r="G958">
            <v>979460.44799999997</v>
          </cell>
          <cell r="H958">
            <v>88.6</v>
          </cell>
          <cell r="I958">
            <v>0</v>
          </cell>
          <cell r="J958">
            <v>88.6</v>
          </cell>
          <cell r="K958">
            <v>0.09</v>
          </cell>
          <cell r="P958">
            <v>0</v>
          </cell>
        </row>
        <row r="959">
          <cell r="A959" t="str">
            <v>LU1883303981</v>
          </cell>
          <cell r="B959" t="str">
            <v>AMUNDI FUNDS EUROLAND EQUITY</v>
          </cell>
          <cell r="C959" t="str">
            <v>Class A USD AD (D)</v>
          </cell>
          <cell r="D959" t="str">
            <v>USD</v>
          </cell>
          <cell r="E959" t="str">
            <v>01-Dec-2025</v>
          </cell>
          <cell r="F959">
            <v>767447.32</v>
          </cell>
          <cell r="G959">
            <v>58139.061999999998</v>
          </cell>
          <cell r="H959">
            <v>13.2</v>
          </cell>
          <cell r="I959">
            <v>0</v>
          </cell>
          <cell r="J959">
            <v>13.79</v>
          </cell>
          <cell r="K959">
            <v>0.04</v>
          </cell>
          <cell r="P959">
            <v>0</v>
          </cell>
        </row>
        <row r="960">
          <cell r="A960" t="str">
            <v>LU2032055548</v>
          </cell>
          <cell r="B960" t="str">
            <v>AMUNDI FUNDS EUROLAND EQUITY</v>
          </cell>
          <cell r="C960" t="str">
            <v>Class A6 EUR (C)</v>
          </cell>
          <cell r="D960" t="str">
            <v>EUR</v>
          </cell>
          <cell r="E960" t="str">
            <v>01-Dec-2025</v>
          </cell>
          <cell r="F960">
            <v>1117268.1499999999</v>
          </cell>
          <cell r="G960">
            <v>12837.263000000001</v>
          </cell>
          <cell r="H960">
            <v>87.03</v>
          </cell>
          <cell r="I960">
            <v>0</v>
          </cell>
          <cell r="J960">
            <v>87.03</v>
          </cell>
          <cell r="K960">
            <v>0.08</v>
          </cell>
          <cell r="P960">
            <v>0</v>
          </cell>
        </row>
        <row r="961">
          <cell r="A961" t="str">
            <v>LU1883303551</v>
          </cell>
          <cell r="B961" t="str">
            <v>AMUNDI FUNDS EUROLAND EQUITY</v>
          </cell>
          <cell r="C961" t="str">
            <v>Class A CHF Hgd (C)</v>
          </cell>
          <cell r="D961" t="str">
            <v>CHF</v>
          </cell>
          <cell r="E961" t="str">
            <v>01-Dec-2025</v>
          </cell>
          <cell r="F961">
            <v>2373461.86</v>
          </cell>
          <cell r="G961">
            <v>22939.449000000001</v>
          </cell>
          <cell r="H961">
            <v>103.47</v>
          </cell>
          <cell r="I961">
            <v>0</v>
          </cell>
          <cell r="J961">
            <v>108.13</v>
          </cell>
          <cell r="K961">
            <v>0.1</v>
          </cell>
          <cell r="P961">
            <v>0</v>
          </cell>
        </row>
        <row r="962">
          <cell r="A962" t="str">
            <v>LU1883304013</v>
          </cell>
          <cell r="B962" t="str">
            <v>AMUNDI FUNDS EUROLAND EQUITY</v>
          </cell>
          <cell r="C962" t="str">
            <v>Class A USD Hgd (C)</v>
          </cell>
          <cell r="D962" t="str">
            <v>USD</v>
          </cell>
          <cell r="E962" t="str">
            <v>01-Dec-2025</v>
          </cell>
          <cell r="F962">
            <v>2390567.8199999998</v>
          </cell>
          <cell r="G962">
            <v>17460.965</v>
          </cell>
          <cell r="H962">
            <v>136.91</v>
          </cell>
          <cell r="I962">
            <v>0</v>
          </cell>
          <cell r="J962">
            <v>143.07</v>
          </cell>
          <cell r="K962">
            <v>0.15</v>
          </cell>
          <cell r="P962">
            <v>0</v>
          </cell>
        </row>
        <row r="963">
          <cell r="A963" t="str">
            <v>LU1883303809</v>
          </cell>
          <cell r="B963" t="str">
            <v>AMUNDI FUNDS EUROLAND EQUITY</v>
          </cell>
          <cell r="C963" t="str">
            <v>Class A USD (C)</v>
          </cell>
          <cell r="D963" t="str">
            <v>USD</v>
          </cell>
          <cell r="E963" t="str">
            <v>01-Dec-2025</v>
          </cell>
          <cell r="F963">
            <v>10252090.560000001</v>
          </cell>
          <cell r="G963">
            <v>652989.33600000001</v>
          </cell>
          <cell r="H963">
            <v>15.7</v>
          </cell>
          <cell r="I963">
            <v>0</v>
          </cell>
          <cell r="J963">
            <v>16.41</v>
          </cell>
          <cell r="K963">
            <v>0.05</v>
          </cell>
          <cell r="P963">
            <v>0</v>
          </cell>
        </row>
        <row r="964">
          <cell r="A964" t="str">
            <v>LU1883305333</v>
          </cell>
          <cell r="B964" t="str">
            <v>AMUNDI FUNDS EUROLAND EQUITY</v>
          </cell>
          <cell r="C964" t="str">
            <v>Class M2 EUR (C)</v>
          </cell>
          <cell r="D964" t="str">
            <v>EUR</v>
          </cell>
          <cell r="E964" t="str">
            <v>01-Dec-2025</v>
          </cell>
          <cell r="F964">
            <v>147506066.28999999</v>
          </cell>
          <cell r="G964">
            <v>49758.938999999998</v>
          </cell>
          <cell r="H964">
            <v>2964.41</v>
          </cell>
          <cell r="I964">
            <v>0</v>
          </cell>
          <cell r="J964">
            <v>2964.41</v>
          </cell>
          <cell r="K964">
            <v>3.17</v>
          </cell>
          <cell r="P964">
            <v>0</v>
          </cell>
        </row>
        <row r="965">
          <cell r="A965" t="str">
            <v>LU1883304104</v>
          </cell>
          <cell r="B965" t="str">
            <v>AMUNDI FUNDS EUROLAND EQUITY</v>
          </cell>
          <cell r="C965" t="str">
            <v>Class B USD (C)</v>
          </cell>
          <cell r="D965" t="str">
            <v>USD</v>
          </cell>
          <cell r="E965" t="str">
            <v>01-Dec-2025</v>
          </cell>
          <cell r="F965">
            <v>496930.8</v>
          </cell>
          <cell r="G965">
            <v>41036.106</v>
          </cell>
          <cell r="H965">
            <v>12.11</v>
          </cell>
          <cell r="I965">
            <v>0</v>
          </cell>
          <cell r="J965">
            <v>12.11</v>
          </cell>
          <cell r="K965">
            <v>0.04</v>
          </cell>
          <cell r="P965">
            <v>0</v>
          </cell>
        </row>
        <row r="966">
          <cell r="A966" t="str">
            <v>LU1883304443</v>
          </cell>
          <cell r="B966" t="str">
            <v>AMUNDI FUNDS EUROLAND EQUITY</v>
          </cell>
          <cell r="C966" t="str">
            <v>Class E2 EUR (C)</v>
          </cell>
          <cell r="D966" t="str">
            <v>EUR</v>
          </cell>
          <cell r="E966" t="str">
            <v>01-Dec-2025</v>
          </cell>
          <cell r="F966">
            <v>504006897.79000002</v>
          </cell>
          <cell r="G966">
            <v>35288324.842</v>
          </cell>
          <cell r="H966">
            <v>14.282999999999999</v>
          </cell>
          <cell r="I966">
            <v>0</v>
          </cell>
          <cell r="J966">
            <v>14.282999999999999</v>
          </cell>
          <cell r="K966">
            <v>1.4999999999999999E-2</v>
          </cell>
          <cell r="P966">
            <v>0</v>
          </cell>
        </row>
        <row r="967">
          <cell r="A967" t="str">
            <v>LU1883304526</v>
          </cell>
          <cell r="B967" t="str">
            <v>AMUNDI FUNDS EUROLAND EQUITY</v>
          </cell>
          <cell r="C967" t="str">
            <v>Class F EUR (C)</v>
          </cell>
          <cell r="D967" t="str">
            <v>EUR</v>
          </cell>
          <cell r="E967" t="str">
            <v>01-Dec-2025</v>
          </cell>
          <cell r="F967">
            <v>30284188.390000001</v>
          </cell>
          <cell r="G967">
            <v>2655366.7859999998</v>
          </cell>
          <cell r="H967">
            <v>11.404999999999999</v>
          </cell>
          <cell r="I967">
            <v>0</v>
          </cell>
          <cell r="J967">
            <v>11.404999999999999</v>
          </cell>
          <cell r="K967">
            <v>1.0999999999999999E-2</v>
          </cell>
          <cell r="P967">
            <v>0</v>
          </cell>
        </row>
        <row r="968">
          <cell r="A968" t="str">
            <v>LU1880391898</v>
          </cell>
          <cell r="B968" t="str">
            <v>AMUNDI FUNDS EUROLAND EQUITY</v>
          </cell>
          <cell r="C968" t="str">
            <v>Class F2 EUR (C)</v>
          </cell>
          <cell r="D968" t="str">
            <v>EUR</v>
          </cell>
          <cell r="E968" t="str">
            <v>01-Dec-2025</v>
          </cell>
          <cell r="F968">
            <v>615790.37</v>
          </cell>
          <cell r="G968">
            <v>73373.032999999996</v>
          </cell>
          <cell r="H968">
            <v>8.3930000000000007</v>
          </cell>
          <cell r="I968">
            <v>0</v>
          </cell>
          <cell r="J968">
            <v>8.3930000000000007</v>
          </cell>
          <cell r="K968">
            <v>8.0000000000000002E-3</v>
          </cell>
          <cell r="P968">
            <v>0</v>
          </cell>
        </row>
        <row r="969">
          <cell r="A969" t="str">
            <v>LU1897304546</v>
          </cell>
          <cell r="B969" t="str">
            <v>AMUNDI FUNDS EUROLAND EQUITY</v>
          </cell>
          <cell r="C969" t="str">
            <v>Class I2 GBP (C)</v>
          </cell>
          <cell r="D969" t="str">
            <v>GBP</v>
          </cell>
          <cell r="E969" t="str">
            <v>01-Dec-2025</v>
          </cell>
          <cell r="F969">
            <v>9407.27</v>
          </cell>
          <cell r="G969">
            <v>5</v>
          </cell>
          <cell r="H969">
            <v>1881.45</v>
          </cell>
          <cell r="I969">
            <v>0</v>
          </cell>
          <cell r="J969">
            <v>1881.45</v>
          </cell>
          <cell r="K969">
            <v>5.66</v>
          </cell>
          <cell r="P969">
            <v>0</v>
          </cell>
        </row>
        <row r="970">
          <cell r="A970" t="str">
            <v>LU1883305093</v>
          </cell>
          <cell r="B970" t="str">
            <v>AMUNDI FUNDS EUROLAND EQUITY</v>
          </cell>
          <cell r="C970" t="str">
            <v>Class I2 USD (C)</v>
          </cell>
          <cell r="D970" t="str">
            <v>USD</v>
          </cell>
          <cell r="E970" t="str">
            <v>01-Dec-2025</v>
          </cell>
          <cell r="F970">
            <v>11257229.539999999</v>
          </cell>
          <cell r="G970">
            <v>538848.93400000001</v>
          </cell>
          <cell r="H970">
            <v>20.89</v>
          </cell>
          <cell r="I970">
            <v>0</v>
          </cell>
          <cell r="J970">
            <v>20.89</v>
          </cell>
          <cell r="K970">
            <v>7.0000000000000007E-2</v>
          </cell>
          <cell r="P970">
            <v>0</v>
          </cell>
        </row>
        <row r="971">
          <cell r="A971" t="str">
            <v>LU1883304955</v>
          </cell>
          <cell r="B971" t="str">
            <v>AMUNDI FUNDS EUROLAND EQUITY</v>
          </cell>
          <cell r="C971" t="str">
            <v>Class I2 EUR AD (D)</v>
          </cell>
          <cell r="D971" t="str">
            <v>EUR</v>
          </cell>
          <cell r="E971" t="str">
            <v>01-Dec-2025</v>
          </cell>
          <cell r="F971">
            <v>8682161.0600000005</v>
          </cell>
          <cell r="G971">
            <v>3543.6030000000001</v>
          </cell>
          <cell r="H971">
            <v>2450.09</v>
          </cell>
          <cell r="I971">
            <v>0</v>
          </cell>
          <cell r="J971">
            <v>2450.09</v>
          </cell>
          <cell r="K971">
            <v>2.64</v>
          </cell>
          <cell r="P971">
            <v>0</v>
          </cell>
        </row>
        <row r="972">
          <cell r="A972" t="str">
            <v>LU1883305176</v>
          </cell>
          <cell r="B972" t="str">
            <v>AMUNDI FUNDS EUROLAND EQUITY</v>
          </cell>
          <cell r="C972" t="str">
            <v>Class I2 USD Hgd (C)</v>
          </cell>
          <cell r="D972" t="str">
            <v>USD</v>
          </cell>
          <cell r="E972" t="str">
            <v>01-Dec-2025</v>
          </cell>
          <cell r="F972">
            <v>1965155.91</v>
          </cell>
          <cell r="G972">
            <v>780.07</v>
          </cell>
          <cell r="H972">
            <v>2519.1999999999998</v>
          </cell>
          <cell r="I972">
            <v>0</v>
          </cell>
          <cell r="J972">
            <v>2519.1999999999998</v>
          </cell>
          <cell r="K972">
            <v>2.85</v>
          </cell>
          <cell r="P972">
            <v>0</v>
          </cell>
        </row>
        <row r="973">
          <cell r="A973" t="str">
            <v>LU1883304872</v>
          </cell>
          <cell r="B973" t="str">
            <v>AMUNDI FUNDS EUROLAND EQUITY</v>
          </cell>
          <cell r="C973" t="str">
            <v>Class I2 EUR (C)</v>
          </cell>
          <cell r="D973" t="str">
            <v>EUR</v>
          </cell>
          <cell r="E973" t="str">
            <v>01-Dec-2025</v>
          </cell>
          <cell r="F973">
            <v>632500558.94000006</v>
          </cell>
          <cell r="G973">
            <v>35151630.262000002</v>
          </cell>
          <cell r="H973">
            <v>17.989999999999998</v>
          </cell>
          <cell r="I973">
            <v>0</v>
          </cell>
          <cell r="J973">
            <v>17.989999999999998</v>
          </cell>
          <cell r="K973">
            <v>0.02</v>
          </cell>
          <cell r="P973">
            <v>0</v>
          </cell>
        </row>
        <row r="974">
          <cell r="A974" t="str">
            <v>LU1883305259</v>
          </cell>
          <cell r="B974" t="str">
            <v>AMUNDI FUNDS EUROLAND EQUITY</v>
          </cell>
          <cell r="C974" t="str">
            <v>Class J2 EUR (C)</v>
          </cell>
          <cell r="D974" t="str">
            <v>EUR</v>
          </cell>
          <cell r="E974" t="str">
            <v>01-Dec-2025</v>
          </cell>
          <cell r="F974">
            <v>450152477.50999999</v>
          </cell>
          <cell r="G974">
            <v>166659.33600000001</v>
          </cell>
          <cell r="H974">
            <v>2701.03</v>
          </cell>
          <cell r="I974">
            <v>0</v>
          </cell>
          <cell r="J974">
            <v>2701.03</v>
          </cell>
          <cell r="K974">
            <v>2.95</v>
          </cell>
          <cell r="P974">
            <v>0</v>
          </cell>
        </row>
        <row r="975">
          <cell r="A975" t="str">
            <v>LU1883305762</v>
          </cell>
          <cell r="B975" t="str">
            <v>AMUNDI FUNDS EUROLAND EQUITY</v>
          </cell>
          <cell r="C975" t="str">
            <v>Class R2 CHF Hgd (C)</v>
          </cell>
          <cell r="D975" t="str">
            <v>CHF</v>
          </cell>
          <cell r="E975" t="str">
            <v>01-Dec-2025</v>
          </cell>
          <cell r="F975">
            <v>4356862.97</v>
          </cell>
          <cell r="G975">
            <v>47252.78</v>
          </cell>
          <cell r="H975">
            <v>92.2</v>
          </cell>
          <cell r="I975">
            <v>0</v>
          </cell>
          <cell r="J975">
            <v>92.2</v>
          </cell>
          <cell r="K975">
            <v>0.09</v>
          </cell>
          <cell r="P975">
            <v>0</v>
          </cell>
        </row>
        <row r="976">
          <cell r="A976" t="str">
            <v>LU1883304799</v>
          </cell>
          <cell r="B976" t="str">
            <v>AMUNDI FUNDS EUROLAND EQUITY</v>
          </cell>
          <cell r="C976" t="str">
            <v>Class G EUR (C)</v>
          </cell>
          <cell r="D976" t="str">
            <v>EUR</v>
          </cell>
          <cell r="E976" t="str">
            <v>01-Dec-2025</v>
          </cell>
          <cell r="F976">
            <v>87944214.269999996</v>
          </cell>
          <cell r="G976">
            <v>10718091.297</v>
          </cell>
          <cell r="H976">
            <v>8.2050000000000001</v>
          </cell>
          <cell r="I976">
            <v>0</v>
          </cell>
          <cell r="J976">
            <v>8.2050000000000001</v>
          </cell>
          <cell r="K976">
            <v>8.0000000000000002E-3</v>
          </cell>
          <cell r="P976">
            <v>0</v>
          </cell>
        </row>
        <row r="977">
          <cell r="A977" t="str">
            <v>LU1883305846</v>
          </cell>
          <cell r="B977" t="str">
            <v>AMUNDI FUNDS EUROLAND EQUITY</v>
          </cell>
          <cell r="C977" t="str">
            <v>Class R2 EUR (C)</v>
          </cell>
          <cell r="D977" t="str">
            <v>EUR</v>
          </cell>
          <cell r="E977" t="str">
            <v>01-Dec-2025</v>
          </cell>
          <cell r="F977">
            <v>151504945.03</v>
          </cell>
          <cell r="G977">
            <v>1448548.5730000001</v>
          </cell>
          <cell r="H977">
            <v>104.59</v>
          </cell>
          <cell r="I977">
            <v>0</v>
          </cell>
          <cell r="J977">
            <v>104.59</v>
          </cell>
          <cell r="K977">
            <v>0.11</v>
          </cell>
          <cell r="P977">
            <v>0</v>
          </cell>
        </row>
        <row r="978">
          <cell r="A978" t="str">
            <v>LU1883306141</v>
          </cell>
          <cell r="B978" t="str">
            <v>AMUNDI FUNDS EUROLAND EQUITY</v>
          </cell>
          <cell r="C978" t="str">
            <v>Class R2 USD Hgd (C)</v>
          </cell>
          <cell r="D978" t="str">
            <v>USD</v>
          </cell>
          <cell r="E978" t="str">
            <v>01-Dec-2025</v>
          </cell>
          <cell r="F978">
            <v>1847636.12</v>
          </cell>
          <cell r="G978">
            <v>14668.232</v>
          </cell>
          <cell r="H978">
            <v>125.96</v>
          </cell>
          <cell r="I978">
            <v>0</v>
          </cell>
          <cell r="J978">
            <v>125.96</v>
          </cell>
          <cell r="K978">
            <v>0.14000000000000001</v>
          </cell>
          <cell r="P978">
            <v>0</v>
          </cell>
        </row>
        <row r="979">
          <cell r="A979" t="str">
            <v>LU1880392433</v>
          </cell>
          <cell r="B979" t="str">
            <v>AMUNDI FUNDS EUROLAND EQUITY</v>
          </cell>
          <cell r="C979" t="str">
            <v>Class OR EUR (C)</v>
          </cell>
          <cell r="D979" t="str">
            <v>EUR</v>
          </cell>
          <cell r="E979" t="str">
            <v>01-Dec-2025</v>
          </cell>
          <cell r="F979">
            <v>321082563.47000003</v>
          </cell>
          <cell r="G979">
            <v>162011.09899999999</v>
          </cell>
          <cell r="H979">
            <v>1981.86</v>
          </cell>
          <cell r="I979">
            <v>0</v>
          </cell>
          <cell r="J979">
            <v>1981.86</v>
          </cell>
          <cell r="K979">
            <v>2.25</v>
          </cell>
          <cell r="P979">
            <v>0</v>
          </cell>
        </row>
        <row r="980">
          <cell r="A980" t="str">
            <v>LU1883305416</v>
          </cell>
          <cell r="B980" t="str">
            <v>AMUNDI FUNDS EUROLAND EQUITY</v>
          </cell>
          <cell r="C980" t="str">
            <v>Class P2 USD (C)</v>
          </cell>
          <cell r="D980" t="str">
            <v>USD</v>
          </cell>
          <cell r="E980" t="str">
            <v>01-Dec-2025</v>
          </cell>
          <cell r="F980">
            <v>497033.62</v>
          </cell>
          <cell r="G980">
            <v>4337.0640000000003</v>
          </cell>
          <cell r="H980">
            <v>114.6</v>
          </cell>
          <cell r="I980">
            <v>0</v>
          </cell>
          <cell r="J980">
            <v>114.6</v>
          </cell>
          <cell r="K980">
            <v>0.36</v>
          </cell>
          <cell r="P980">
            <v>0</v>
          </cell>
        </row>
        <row r="981">
          <cell r="A981" t="str">
            <v>LU1883305507</v>
          </cell>
          <cell r="B981" t="str">
            <v>AMUNDI FUNDS EUROLAND EQUITY</v>
          </cell>
          <cell r="C981" t="str">
            <v>Class P2 USD Hgd (C)</v>
          </cell>
          <cell r="D981" t="str">
            <v>USD</v>
          </cell>
          <cell r="E981" t="str">
            <v>01-Dec-2025</v>
          </cell>
          <cell r="F981">
            <v>200715.29</v>
          </cell>
          <cell r="G981">
            <v>1540</v>
          </cell>
          <cell r="H981">
            <v>130.33000000000001</v>
          </cell>
          <cell r="I981">
            <v>0</v>
          </cell>
          <cell r="J981">
            <v>130.33000000000001</v>
          </cell>
          <cell r="K981">
            <v>0.14000000000000001</v>
          </cell>
          <cell r="P981">
            <v>0</v>
          </cell>
        </row>
        <row r="982">
          <cell r="A982" t="str">
            <v>LU1883306067</v>
          </cell>
          <cell r="B982" t="str">
            <v>AMUNDI FUNDS EUROLAND EQUITY</v>
          </cell>
          <cell r="C982" t="str">
            <v>Class R2 USD (C)</v>
          </cell>
          <cell r="D982" t="str">
            <v>USD</v>
          </cell>
          <cell r="E982" t="str">
            <v>01-Dec-2025</v>
          </cell>
          <cell r="F982">
            <v>148209.39000000001</v>
          </cell>
          <cell r="G982">
            <v>1535.43</v>
          </cell>
          <cell r="H982">
            <v>96.53</v>
          </cell>
          <cell r="I982">
            <v>0</v>
          </cell>
          <cell r="J982">
            <v>96.53</v>
          </cell>
          <cell r="K982">
            <v>0.31</v>
          </cell>
          <cell r="P982">
            <v>0</v>
          </cell>
        </row>
        <row r="983">
          <cell r="A983" t="str">
            <v>LU1880391971</v>
          </cell>
          <cell r="B983" t="str">
            <v>AMUNDI FUNDS EUROLAND EQUITY</v>
          </cell>
          <cell r="C983" t="str">
            <v>Class I EUR (C)</v>
          </cell>
          <cell r="D983" t="str">
            <v>EUR</v>
          </cell>
          <cell r="E983" t="str">
            <v>01-Dec-2025</v>
          </cell>
          <cell r="F983">
            <v>15710987.220000001</v>
          </cell>
          <cell r="G983">
            <v>8439.4030000000002</v>
          </cell>
          <cell r="H983">
            <v>1861.62</v>
          </cell>
          <cell r="I983">
            <v>0</v>
          </cell>
          <cell r="J983">
            <v>1861.62</v>
          </cell>
          <cell r="K983">
            <v>2.02</v>
          </cell>
          <cell r="P983">
            <v>0</v>
          </cell>
        </row>
        <row r="984">
          <cell r="A984" t="str">
            <v>LU1880392607</v>
          </cell>
          <cell r="B984" t="str">
            <v>AMUNDI FUNDS EUROLAND EQUITY</v>
          </cell>
          <cell r="C984" t="str">
            <v>Class Z EUR (C)</v>
          </cell>
          <cell r="D984" t="str">
            <v>EUR</v>
          </cell>
          <cell r="E984" t="str">
            <v>01-Dec-2025</v>
          </cell>
          <cell r="F984">
            <v>497574926.60000002</v>
          </cell>
          <cell r="G984">
            <v>264023.32400000002</v>
          </cell>
          <cell r="H984">
            <v>1884.59</v>
          </cell>
          <cell r="I984">
            <v>0</v>
          </cell>
          <cell r="J984">
            <v>1884.59</v>
          </cell>
          <cell r="K984">
            <v>2.0699999999999998</v>
          </cell>
          <cell r="P984">
            <v>0</v>
          </cell>
        </row>
        <row r="985">
          <cell r="A985" t="str">
            <v>LU1880392789</v>
          </cell>
          <cell r="B985" t="str">
            <v>AMUNDI FUNDS EUROLAND EQUITY</v>
          </cell>
          <cell r="C985" t="str">
            <v>Class Z EUR AD (D)</v>
          </cell>
          <cell r="D985" t="str">
            <v>EUR</v>
          </cell>
          <cell r="E985" t="str">
            <v>01-Dec-2025</v>
          </cell>
          <cell r="F985">
            <v>336135951.68000001</v>
          </cell>
          <cell r="G985">
            <v>206537.93100000001</v>
          </cell>
          <cell r="H985">
            <v>1627.48</v>
          </cell>
          <cell r="I985">
            <v>0</v>
          </cell>
          <cell r="J985">
            <v>1627.48</v>
          </cell>
          <cell r="K985">
            <v>1.78</v>
          </cell>
          <cell r="P985">
            <v>0</v>
          </cell>
        </row>
        <row r="986">
          <cell r="A986" t="str">
            <v>LU2237438978</v>
          </cell>
          <cell r="B986" t="str">
            <v>AMUNDI FUNDS US PIONEER FUND</v>
          </cell>
          <cell r="C986" t="str">
            <v>Class A2 USD (C)</v>
          </cell>
          <cell r="D986" t="str">
            <v>USD</v>
          </cell>
          <cell r="E986" t="str">
            <v>01-Dec-2025</v>
          </cell>
          <cell r="F986">
            <v>13042119.779999999</v>
          </cell>
          <cell r="G986">
            <v>131134.01800000001</v>
          </cell>
          <cell r="H986">
            <v>99.46</v>
          </cell>
          <cell r="I986">
            <v>0</v>
          </cell>
          <cell r="J986">
            <v>99.46</v>
          </cell>
          <cell r="K986">
            <v>-0.78</v>
          </cell>
          <cell r="P986">
            <v>0</v>
          </cell>
        </row>
        <row r="987">
          <cell r="A987" t="str">
            <v>LU1883872332</v>
          </cell>
          <cell r="B987" t="str">
            <v>AMUNDI FUNDS US PIONEER FUND</v>
          </cell>
          <cell r="C987" t="str">
            <v>Class A EUR (C)</v>
          </cell>
          <cell r="D987" t="str">
            <v>EUR</v>
          </cell>
          <cell r="E987" t="str">
            <v>01-Dec-2025</v>
          </cell>
          <cell r="F987">
            <v>1121509237.1099999</v>
          </cell>
          <cell r="G987">
            <v>42990546.634000003</v>
          </cell>
          <cell r="H987">
            <v>26.09</v>
          </cell>
          <cell r="I987">
            <v>0</v>
          </cell>
          <cell r="J987">
            <v>27.26</v>
          </cell>
          <cell r="K987">
            <v>-0.26</v>
          </cell>
          <cell r="P987">
            <v>0</v>
          </cell>
        </row>
        <row r="988">
          <cell r="A988" t="str">
            <v>LU2070308726</v>
          </cell>
          <cell r="B988" t="str">
            <v>AMUNDI FUNDS US PIONEER FUND</v>
          </cell>
          <cell r="C988" t="str">
            <v>Class A2 EUR (C)</v>
          </cell>
          <cell r="D988" t="str">
            <v>EUR</v>
          </cell>
          <cell r="E988" t="str">
            <v>01-Dec-2025</v>
          </cell>
          <cell r="F988">
            <v>232821813.66</v>
          </cell>
          <cell r="G988">
            <v>2125515.3190000001</v>
          </cell>
          <cell r="H988">
            <v>109.54</v>
          </cell>
          <cell r="I988">
            <v>0</v>
          </cell>
          <cell r="J988">
            <v>114.47</v>
          </cell>
          <cell r="K988">
            <v>-1.0900000000000001</v>
          </cell>
          <cell r="P988">
            <v>0</v>
          </cell>
        </row>
        <row r="989">
          <cell r="A989" t="str">
            <v>LU2330498838</v>
          </cell>
          <cell r="B989" t="str">
            <v>AMUNDI FUNDS US PIONEER FUND</v>
          </cell>
          <cell r="C989" t="str">
            <v>Class A EUR AD (D)</v>
          </cell>
          <cell r="D989" t="str">
            <v>EUR</v>
          </cell>
          <cell r="E989" t="str">
            <v>01-Dec-2025</v>
          </cell>
          <cell r="F989">
            <v>14205817.060000001</v>
          </cell>
          <cell r="G989">
            <v>177334.57</v>
          </cell>
          <cell r="H989">
            <v>80.11</v>
          </cell>
          <cell r="I989">
            <v>0</v>
          </cell>
          <cell r="J989">
            <v>80.11</v>
          </cell>
          <cell r="K989">
            <v>-0.78</v>
          </cell>
          <cell r="P989">
            <v>0</v>
          </cell>
        </row>
        <row r="990">
          <cell r="A990" t="str">
            <v>LU3081005020</v>
          </cell>
          <cell r="B990" t="str">
            <v>AMUNDI FUNDS US PIONEER FUND</v>
          </cell>
          <cell r="C990" t="str">
            <v>Class A2 EUR Hgd (C)</v>
          </cell>
          <cell r="D990" t="str">
            <v>EUR</v>
          </cell>
          <cell r="E990" t="str">
            <v>01-Dec-2025</v>
          </cell>
          <cell r="F990">
            <v>1730675.91</v>
          </cell>
          <cell r="G990">
            <v>33228.180999999997</v>
          </cell>
          <cell r="H990">
            <v>52.08</v>
          </cell>
          <cell r="I990">
            <v>0</v>
          </cell>
          <cell r="J990">
            <v>54.42</v>
          </cell>
          <cell r="K990">
            <v>-0.41</v>
          </cell>
          <cell r="P990">
            <v>0</v>
          </cell>
        </row>
        <row r="991">
          <cell r="A991" t="str">
            <v>LU1883872258</v>
          </cell>
          <cell r="B991" t="str">
            <v>AMUNDI FUNDS US PIONEER FUND</v>
          </cell>
          <cell r="C991" t="str">
            <v>Class A CZK Hgd (C)</v>
          </cell>
          <cell r="D991" t="str">
            <v>CZK</v>
          </cell>
          <cell r="E991" t="str">
            <v>01-Dec-2025</v>
          </cell>
          <cell r="F991">
            <v>8680109702.5699997</v>
          </cell>
          <cell r="G991">
            <v>1250687.7279999999</v>
          </cell>
          <cell r="H991">
            <v>6940.27</v>
          </cell>
          <cell r="I991">
            <v>0</v>
          </cell>
          <cell r="J991">
            <v>7252.58</v>
          </cell>
          <cell r="K991">
            <v>-54.33</v>
          </cell>
          <cell r="P991">
            <v>0</v>
          </cell>
        </row>
        <row r="992">
          <cell r="A992" t="str">
            <v>LU1883872415</v>
          </cell>
          <cell r="B992" t="str">
            <v>AMUNDI FUNDS US PIONEER FUND</v>
          </cell>
          <cell r="C992" t="str">
            <v>Class A USD (C)</v>
          </cell>
          <cell r="D992" t="str">
            <v>USD</v>
          </cell>
          <cell r="E992" t="str">
            <v>01-Dec-2025</v>
          </cell>
          <cell r="F992">
            <v>1169490714.3699999</v>
          </cell>
          <cell r="G992">
            <v>38547215.498000003</v>
          </cell>
          <cell r="H992">
            <v>30.34</v>
          </cell>
          <cell r="I992">
            <v>0</v>
          </cell>
          <cell r="J992">
            <v>31.71</v>
          </cell>
          <cell r="K992">
            <v>-0.24</v>
          </cell>
          <cell r="P992">
            <v>0</v>
          </cell>
        </row>
        <row r="993">
          <cell r="A993" t="str">
            <v>LU1883873736</v>
          </cell>
          <cell r="B993" t="str">
            <v>AMUNDI FUNDS US PIONEER FUND</v>
          </cell>
          <cell r="C993" t="str">
            <v>Class M2 EUR (C)</v>
          </cell>
          <cell r="D993" t="str">
            <v>EUR</v>
          </cell>
          <cell r="E993" t="str">
            <v>01-Dec-2025</v>
          </cell>
          <cell r="F993">
            <v>317069882.38</v>
          </cell>
          <cell r="G993">
            <v>45682.517999999996</v>
          </cell>
          <cell r="H993">
            <v>6940.73</v>
          </cell>
          <cell r="I993">
            <v>0</v>
          </cell>
          <cell r="J993">
            <v>6940.73</v>
          </cell>
          <cell r="K993">
            <v>-68.27</v>
          </cell>
          <cell r="P993">
            <v>0</v>
          </cell>
        </row>
        <row r="994">
          <cell r="A994" t="str">
            <v>LU1883873819</v>
          </cell>
          <cell r="B994" t="str">
            <v>AMUNDI FUNDS US PIONEER FUND</v>
          </cell>
          <cell r="C994" t="str">
            <v>Class M2 EUR Hgd (C)</v>
          </cell>
          <cell r="D994" t="str">
            <v>EUR</v>
          </cell>
          <cell r="E994" t="str">
            <v>01-Dec-2025</v>
          </cell>
          <cell r="F994">
            <v>125435236.3</v>
          </cell>
          <cell r="G994">
            <v>27316.508999999998</v>
          </cell>
          <cell r="H994">
            <v>4591.92</v>
          </cell>
          <cell r="I994">
            <v>0</v>
          </cell>
          <cell r="J994">
            <v>4591.92</v>
          </cell>
          <cell r="K994">
            <v>-35.68</v>
          </cell>
          <cell r="P994">
            <v>0</v>
          </cell>
        </row>
        <row r="995">
          <cell r="A995" t="str">
            <v>LU1883872506</v>
          </cell>
          <cell r="B995" t="str">
            <v>AMUNDI FUNDS US PIONEER FUND</v>
          </cell>
          <cell r="C995" t="str">
            <v>Class B USD (C)</v>
          </cell>
          <cell r="D995" t="str">
            <v>USD</v>
          </cell>
          <cell r="E995" t="str">
            <v>01-Dec-2025</v>
          </cell>
          <cell r="F995">
            <v>12171154.26</v>
          </cell>
          <cell r="G995">
            <v>507473.31900000002</v>
          </cell>
          <cell r="H995">
            <v>23.98</v>
          </cell>
          <cell r="I995">
            <v>0</v>
          </cell>
          <cell r="J995">
            <v>23.98</v>
          </cell>
          <cell r="K995">
            <v>-0.19</v>
          </cell>
          <cell r="P995">
            <v>0</v>
          </cell>
        </row>
        <row r="996">
          <cell r="A996" t="str">
            <v>LU1883872928</v>
          </cell>
          <cell r="B996" t="str">
            <v>AMUNDI FUNDS US PIONEER FUND</v>
          </cell>
          <cell r="C996" t="str">
            <v>Class E2 EUR (C)</v>
          </cell>
          <cell r="D996" t="str">
            <v>EUR</v>
          </cell>
          <cell r="E996" t="str">
            <v>01-Dec-2025</v>
          </cell>
          <cell r="F996">
            <v>236002659.22999999</v>
          </cell>
          <cell r="G996">
            <v>8858089.8230000008</v>
          </cell>
          <cell r="H996">
            <v>26.643000000000001</v>
          </cell>
          <cell r="I996">
            <v>0</v>
          </cell>
          <cell r="J996">
            <v>26.643000000000001</v>
          </cell>
          <cell r="K996">
            <v>-0.26400000000000001</v>
          </cell>
          <cell r="P996">
            <v>0</v>
          </cell>
        </row>
        <row r="997">
          <cell r="A997" t="str">
            <v>LU1883873066</v>
          </cell>
          <cell r="B997" t="str">
            <v>AMUNDI FUNDS US PIONEER FUND</v>
          </cell>
          <cell r="C997" t="str">
            <v>Class E2 EUR Hgd (C)</v>
          </cell>
          <cell r="D997" t="str">
            <v>EUR</v>
          </cell>
          <cell r="E997" t="str">
            <v>01-Dec-2025</v>
          </cell>
          <cell r="F997">
            <v>12183588.300000001</v>
          </cell>
          <cell r="G997">
            <v>737368.42799999996</v>
          </cell>
          <cell r="H997">
            <v>16.523</v>
          </cell>
          <cell r="I997">
            <v>0</v>
          </cell>
          <cell r="J997">
            <v>16.523</v>
          </cell>
          <cell r="K997">
            <v>-0.13</v>
          </cell>
          <cell r="P997">
            <v>0</v>
          </cell>
        </row>
        <row r="998">
          <cell r="A998" t="str">
            <v>LU1883873140</v>
          </cell>
          <cell r="B998" t="str">
            <v>AMUNDI FUNDS US PIONEER FUND</v>
          </cell>
          <cell r="C998" t="str">
            <v>Class F EUR (C)</v>
          </cell>
          <cell r="D998" t="str">
            <v>EUR</v>
          </cell>
          <cell r="E998" t="str">
            <v>01-Dec-2025</v>
          </cell>
          <cell r="F998">
            <v>27608407.050000001</v>
          </cell>
          <cell r="G998">
            <v>1257903.122</v>
          </cell>
          <cell r="H998">
            <v>21.948</v>
          </cell>
          <cell r="I998">
            <v>0</v>
          </cell>
          <cell r="J998">
            <v>21.948</v>
          </cell>
          <cell r="K998">
            <v>-0.219</v>
          </cell>
          <cell r="P998">
            <v>0</v>
          </cell>
        </row>
        <row r="999">
          <cell r="A999" t="str">
            <v>LU2428739630</v>
          </cell>
          <cell r="B999" t="str">
            <v>AMUNDI FUNDS US PIONEER FUND</v>
          </cell>
          <cell r="C999" t="str">
            <v>Class I15 USD (C)</v>
          </cell>
          <cell r="D999" t="str">
            <v>USD</v>
          </cell>
          <cell r="E999" t="str">
            <v>01-Dec-2025</v>
          </cell>
          <cell r="F999">
            <v>118506238.94</v>
          </cell>
          <cell r="G999">
            <v>74074.532999999996</v>
          </cell>
          <cell r="H999">
            <v>1599.82</v>
          </cell>
          <cell r="I999">
            <v>0</v>
          </cell>
          <cell r="J999">
            <v>1599.82</v>
          </cell>
          <cell r="K999">
            <v>-12.32</v>
          </cell>
          <cell r="P999">
            <v>0</v>
          </cell>
        </row>
        <row r="1000">
          <cell r="A1000" t="str">
            <v>LU1883873652</v>
          </cell>
          <cell r="B1000" t="str">
            <v>AMUNDI FUNDS US PIONEER FUND</v>
          </cell>
          <cell r="C1000" t="str">
            <v>Class I2 USD (C)</v>
          </cell>
          <cell r="D1000" t="str">
            <v>USD</v>
          </cell>
          <cell r="E1000" t="str">
            <v>01-Dec-2025</v>
          </cell>
          <cell r="F1000">
            <v>484101268.42000002</v>
          </cell>
          <cell r="G1000">
            <v>12622908.403000001</v>
          </cell>
          <cell r="H1000">
            <v>38.35</v>
          </cell>
          <cell r="I1000">
            <v>0</v>
          </cell>
          <cell r="J1000">
            <v>38.35</v>
          </cell>
          <cell r="K1000">
            <v>-0.3</v>
          </cell>
          <cell r="P1000">
            <v>0</v>
          </cell>
        </row>
        <row r="1001">
          <cell r="A1001" t="str">
            <v>LU1883873579</v>
          </cell>
          <cell r="B1001" t="str">
            <v>AMUNDI FUNDS US PIONEER FUND</v>
          </cell>
          <cell r="C1001" t="str">
            <v>Class I2 EUR Hgd (C)</v>
          </cell>
          <cell r="D1001" t="str">
            <v>EUR</v>
          </cell>
          <cell r="E1001" t="str">
            <v>01-Dec-2025</v>
          </cell>
          <cell r="F1001">
            <v>821589006.39999998</v>
          </cell>
          <cell r="G1001">
            <v>177159.81299999999</v>
          </cell>
          <cell r="H1001">
            <v>4637.5600000000004</v>
          </cell>
          <cell r="I1001">
            <v>0</v>
          </cell>
          <cell r="J1001">
            <v>4637.5600000000004</v>
          </cell>
          <cell r="K1001">
            <v>-36.03</v>
          </cell>
          <cell r="P1001">
            <v>0</v>
          </cell>
        </row>
        <row r="1002">
          <cell r="A1002" t="str">
            <v>LU1883873496</v>
          </cell>
          <cell r="B1002" t="str">
            <v>AMUNDI FUNDS US PIONEER FUND</v>
          </cell>
          <cell r="C1002" t="str">
            <v>Class I2 EUR (C)</v>
          </cell>
          <cell r="D1002" t="str">
            <v>EUR</v>
          </cell>
          <cell r="E1002" t="str">
            <v>01-Dec-2025</v>
          </cell>
          <cell r="F1002">
            <v>262327176.05000001</v>
          </cell>
          <cell r="G1002">
            <v>7955269.1339999996</v>
          </cell>
          <cell r="H1002">
            <v>32.979999999999997</v>
          </cell>
          <cell r="I1002">
            <v>0</v>
          </cell>
          <cell r="J1002">
            <v>32.979999999999997</v>
          </cell>
          <cell r="K1002">
            <v>-0.32</v>
          </cell>
          <cell r="P1002">
            <v>0</v>
          </cell>
        </row>
        <row r="1003">
          <cell r="A1003" t="str">
            <v>LU1883873223</v>
          </cell>
          <cell r="B1003" t="str">
            <v>AMUNDI FUNDS US PIONEER FUND</v>
          </cell>
          <cell r="C1003" t="str">
            <v>Class G EUR (C)</v>
          </cell>
          <cell r="D1003" t="str">
            <v>EUR</v>
          </cell>
          <cell r="E1003" t="str">
            <v>01-Dec-2025</v>
          </cell>
          <cell r="F1003">
            <v>24062537.260000002</v>
          </cell>
          <cell r="G1003">
            <v>1768000.575</v>
          </cell>
          <cell r="H1003">
            <v>13.61</v>
          </cell>
          <cell r="I1003">
            <v>0</v>
          </cell>
          <cell r="J1003">
            <v>13.61</v>
          </cell>
          <cell r="K1003">
            <v>-0.13300000000000001</v>
          </cell>
          <cell r="P1003">
            <v>0</v>
          </cell>
        </row>
        <row r="1004">
          <cell r="A1004" t="str">
            <v>LU1883874205</v>
          </cell>
          <cell r="B1004" t="str">
            <v>AMUNDI FUNDS US PIONEER FUND</v>
          </cell>
          <cell r="C1004" t="str">
            <v>Class T USD (C)</v>
          </cell>
          <cell r="D1004" t="str">
            <v>USD</v>
          </cell>
          <cell r="E1004" t="str">
            <v>01-Dec-2025</v>
          </cell>
          <cell r="F1004">
            <v>4685679.92</v>
          </cell>
          <cell r="G1004">
            <v>29117.541000000001</v>
          </cell>
          <cell r="H1004">
            <v>160.91999999999999</v>
          </cell>
          <cell r="I1004">
            <v>0</v>
          </cell>
          <cell r="J1004">
            <v>160.91999999999999</v>
          </cell>
          <cell r="K1004">
            <v>-1.27</v>
          </cell>
          <cell r="P1004">
            <v>0</v>
          </cell>
        </row>
        <row r="1005">
          <cell r="A1005" t="str">
            <v>LU2907103910</v>
          </cell>
          <cell r="B1005" t="str">
            <v>AMUNDI FUNDS US PIONEER FUND</v>
          </cell>
          <cell r="C1005" t="str">
            <v>Class M2 EUR QD (D)</v>
          </cell>
          <cell r="D1005" t="str">
            <v>EUR</v>
          </cell>
          <cell r="E1005" t="str">
            <v>01-Dec-2025</v>
          </cell>
          <cell r="F1005">
            <v>5561.99</v>
          </cell>
          <cell r="G1005">
            <v>5</v>
          </cell>
          <cell r="H1005">
            <v>1112.4000000000001</v>
          </cell>
          <cell r="I1005">
            <v>0</v>
          </cell>
          <cell r="J1005">
            <v>1112.4000000000001</v>
          </cell>
          <cell r="K1005">
            <v>-10.94</v>
          </cell>
          <cell r="P1005">
            <v>0</v>
          </cell>
        </row>
        <row r="1006">
          <cell r="A1006" t="str">
            <v>LU1883874031</v>
          </cell>
          <cell r="B1006" t="str">
            <v>AMUNDI FUNDS US PIONEER FUND</v>
          </cell>
          <cell r="C1006" t="str">
            <v>Class R2 EUR (C)</v>
          </cell>
          <cell r="D1006" t="str">
            <v>EUR</v>
          </cell>
          <cell r="E1006" t="str">
            <v>01-Dec-2025</v>
          </cell>
          <cell r="F1006">
            <v>23144766.859999999</v>
          </cell>
          <cell r="G1006">
            <v>102384.41800000001</v>
          </cell>
          <cell r="H1006">
            <v>226.06</v>
          </cell>
          <cell r="I1006">
            <v>0</v>
          </cell>
          <cell r="J1006">
            <v>226.06</v>
          </cell>
          <cell r="K1006">
            <v>-2.23</v>
          </cell>
          <cell r="P1006">
            <v>0</v>
          </cell>
        </row>
        <row r="1007">
          <cell r="A1007" t="str">
            <v>LU2347635711</v>
          </cell>
          <cell r="B1007" t="str">
            <v>AMUNDI FUNDS US PIONEER FUND</v>
          </cell>
          <cell r="C1007" t="str">
            <v>Class OR EUR (C)</v>
          </cell>
          <cell r="D1007" t="str">
            <v>EUR</v>
          </cell>
          <cell r="E1007" t="str">
            <v>01-Dec-2025</v>
          </cell>
          <cell r="F1007">
            <v>7106547.4000000004</v>
          </cell>
          <cell r="G1007">
            <v>6160.308</v>
          </cell>
          <cell r="H1007">
            <v>1153.5999999999999</v>
          </cell>
          <cell r="I1007">
            <v>0</v>
          </cell>
          <cell r="J1007">
            <v>1153.5999999999999</v>
          </cell>
          <cell r="K1007">
            <v>-11.28</v>
          </cell>
          <cell r="P1007">
            <v>0</v>
          </cell>
        </row>
        <row r="1008">
          <cell r="A1008" t="str">
            <v>LU1883873900</v>
          </cell>
          <cell r="B1008" t="str">
            <v>AMUNDI FUNDS US PIONEER FUND</v>
          </cell>
          <cell r="C1008" t="str">
            <v>Class P2 USD (C)</v>
          </cell>
          <cell r="D1008" t="str">
            <v>USD</v>
          </cell>
          <cell r="E1008" t="str">
            <v>01-Dec-2025</v>
          </cell>
          <cell r="F1008">
            <v>18580024.789999999</v>
          </cell>
          <cell r="G1008">
            <v>100723.85400000001</v>
          </cell>
          <cell r="H1008">
            <v>184.46</v>
          </cell>
          <cell r="I1008">
            <v>0</v>
          </cell>
          <cell r="J1008">
            <v>184.46</v>
          </cell>
          <cell r="K1008">
            <v>-1.43</v>
          </cell>
          <cell r="P1008">
            <v>0</v>
          </cell>
        </row>
        <row r="1009">
          <cell r="A1009" t="str">
            <v>LU1883874387</v>
          </cell>
          <cell r="B1009" t="str">
            <v>AMUNDI FUNDS US PIONEER FUND</v>
          </cell>
          <cell r="C1009" t="str">
            <v>Class U USD (C)</v>
          </cell>
          <cell r="D1009" t="str">
            <v>USD</v>
          </cell>
          <cell r="E1009" t="str">
            <v>01-Dec-2025</v>
          </cell>
          <cell r="F1009">
            <v>10357349.48</v>
          </cell>
          <cell r="G1009">
            <v>63192.800999999999</v>
          </cell>
          <cell r="H1009">
            <v>163.9</v>
          </cell>
          <cell r="I1009">
            <v>0</v>
          </cell>
          <cell r="J1009">
            <v>163.9</v>
          </cell>
          <cell r="K1009">
            <v>-1.29</v>
          </cell>
          <cell r="P1009">
            <v>0</v>
          </cell>
        </row>
        <row r="1010">
          <cell r="A1010" t="str">
            <v>LU2450198820</v>
          </cell>
          <cell r="B1010" t="str">
            <v>AMUNDI FUNDS US PIONEER FUND</v>
          </cell>
          <cell r="C1010" t="str">
            <v>Class R EUR (C)</v>
          </cell>
          <cell r="D1010" t="str">
            <v>EUR</v>
          </cell>
          <cell r="E1010" t="str">
            <v>01-Dec-2025</v>
          </cell>
          <cell r="F1010">
            <v>35876433.700000003</v>
          </cell>
          <cell r="G1010">
            <v>495771.60399999999</v>
          </cell>
          <cell r="H1010">
            <v>72.36</v>
          </cell>
          <cell r="I1010">
            <v>0</v>
          </cell>
          <cell r="J1010">
            <v>72.36</v>
          </cell>
          <cell r="K1010">
            <v>-0.7</v>
          </cell>
          <cell r="P1010">
            <v>0</v>
          </cell>
        </row>
        <row r="1011">
          <cell r="A1011" t="str">
            <v>LU2450199042</v>
          </cell>
          <cell r="B1011" t="str">
            <v>AMUNDI FUNDS US PIONEER FUND</v>
          </cell>
          <cell r="C1011" t="str">
            <v>Class R USD (C)</v>
          </cell>
          <cell r="D1011" t="str">
            <v>USD</v>
          </cell>
          <cell r="E1011" t="str">
            <v>01-Dec-2025</v>
          </cell>
          <cell r="F1011">
            <v>4320496.91</v>
          </cell>
          <cell r="G1011">
            <v>55855.190999999999</v>
          </cell>
          <cell r="H1011">
            <v>77.349999999999994</v>
          </cell>
          <cell r="I1011">
            <v>0</v>
          </cell>
          <cell r="J1011">
            <v>77.349999999999994</v>
          </cell>
          <cell r="K1011">
            <v>-0.59</v>
          </cell>
          <cell r="P1011">
            <v>0</v>
          </cell>
        </row>
        <row r="1012">
          <cell r="A1012" t="str">
            <v>LU2450198747</v>
          </cell>
          <cell r="B1012" t="str">
            <v>AMUNDI FUNDS US PIONEER FUND</v>
          </cell>
          <cell r="C1012" t="str">
            <v>Class R EUR Hgd (C)</v>
          </cell>
          <cell r="D1012" t="str">
            <v>EUR</v>
          </cell>
          <cell r="E1012" t="str">
            <v>01-Dec-2025</v>
          </cell>
          <cell r="F1012">
            <v>246691813.41999999</v>
          </cell>
          <cell r="G1012">
            <v>3553468.9580000001</v>
          </cell>
          <cell r="H1012">
            <v>69.42</v>
          </cell>
          <cell r="I1012">
            <v>0</v>
          </cell>
          <cell r="J1012">
            <v>69.42</v>
          </cell>
          <cell r="K1012">
            <v>-0.53</v>
          </cell>
          <cell r="P1012">
            <v>0</v>
          </cell>
        </row>
        <row r="1013">
          <cell r="A1013" t="str">
            <v>LU1883874114</v>
          </cell>
          <cell r="B1013" t="str">
            <v>AMUNDI FUNDS US PIONEER FUND</v>
          </cell>
          <cell r="C1013" t="str">
            <v>Class R2 USD (C)</v>
          </cell>
          <cell r="D1013" t="str">
            <v>USD</v>
          </cell>
          <cell r="E1013" t="str">
            <v>01-Dec-2025</v>
          </cell>
          <cell r="F1013">
            <v>37157749.990000002</v>
          </cell>
          <cell r="G1013">
            <v>141388.61300000001</v>
          </cell>
          <cell r="H1013">
            <v>262.81</v>
          </cell>
          <cell r="I1013">
            <v>0</v>
          </cell>
          <cell r="J1013">
            <v>262.81</v>
          </cell>
          <cell r="K1013">
            <v>-2.0299999999999998</v>
          </cell>
          <cell r="P1013">
            <v>0</v>
          </cell>
        </row>
        <row r="1014">
          <cell r="A1014" t="str">
            <v>LU2034727904</v>
          </cell>
          <cell r="B1014" t="str">
            <v>AMUNDI FUNDS US PIONEER FUND</v>
          </cell>
          <cell r="C1014" t="str">
            <v>Class X USD (C)</v>
          </cell>
          <cell r="D1014" t="str">
            <v>USD</v>
          </cell>
          <cell r="E1014" t="str">
            <v>01-Dec-2025</v>
          </cell>
          <cell r="F1014">
            <v>2798.29</v>
          </cell>
          <cell r="G1014">
            <v>1</v>
          </cell>
          <cell r="H1014">
            <v>2798.29</v>
          </cell>
          <cell r="I1014">
            <v>0</v>
          </cell>
          <cell r="J1014">
            <v>2798.29</v>
          </cell>
          <cell r="K1014">
            <v>-21.41</v>
          </cell>
          <cell r="P1014">
            <v>0</v>
          </cell>
        </row>
        <row r="1015">
          <cell r="A1015" t="str">
            <v>LU2040440823</v>
          </cell>
          <cell r="B1015" t="str">
            <v>AMUNDI FUNDS US PIONEER FUND</v>
          </cell>
          <cell r="C1015" t="str">
            <v>Class Z EUR (C)</v>
          </cell>
          <cell r="D1015" t="str">
            <v>EUR</v>
          </cell>
          <cell r="E1015" t="str">
            <v>01-Dec-2025</v>
          </cell>
          <cell r="F1015">
            <v>44615180.780000001</v>
          </cell>
          <cell r="G1015">
            <v>18601.287</v>
          </cell>
          <cell r="H1015">
            <v>2398.5</v>
          </cell>
          <cell r="I1015">
            <v>0</v>
          </cell>
          <cell r="J1015">
            <v>2398.5</v>
          </cell>
          <cell r="K1015">
            <v>-23.16</v>
          </cell>
          <cell r="P1015">
            <v>0</v>
          </cell>
        </row>
        <row r="1016">
          <cell r="A1016" t="str">
            <v>LU2031987014</v>
          </cell>
          <cell r="B1016" t="str">
            <v>AMUNDI FUNDS US PIONEER FUND</v>
          </cell>
          <cell r="C1016" t="str">
            <v>Class Z USD (C)</v>
          </cell>
          <cell r="D1016" t="str">
            <v>USD</v>
          </cell>
          <cell r="E1016" t="str">
            <v>01-Dec-2025</v>
          </cell>
          <cell r="F1016">
            <v>204303792.40000001</v>
          </cell>
          <cell r="G1016">
            <v>83129.491999999998</v>
          </cell>
          <cell r="H1016">
            <v>2457.66</v>
          </cell>
          <cell r="I1016">
            <v>0</v>
          </cell>
          <cell r="J1016">
            <v>2457.66</v>
          </cell>
          <cell r="K1016">
            <v>-18.899999999999999</v>
          </cell>
          <cell r="P1016">
            <v>0</v>
          </cell>
        </row>
        <row r="1017">
          <cell r="A1017" t="str">
            <v>LU1883859230</v>
          </cell>
          <cell r="B1017" t="str">
            <v>AMUNDI FUNDS US EQUITY RESEARCH</v>
          </cell>
          <cell r="C1017" t="str">
            <v>Class A EUR (C)</v>
          </cell>
          <cell r="D1017" t="str">
            <v>EUR</v>
          </cell>
          <cell r="E1017" t="str">
            <v>01-Dec-2025</v>
          </cell>
          <cell r="F1017">
            <v>18481142.739999998</v>
          </cell>
          <cell r="G1017">
            <v>801493.84499999997</v>
          </cell>
          <cell r="H1017">
            <v>23.06</v>
          </cell>
          <cell r="I1017">
            <v>0</v>
          </cell>
          <cell r="J1017">
            <v>24.1</v>
          </cell>
          <cell r="K1017">
            <v>-0.22</v>
          </cell>
          <cell r="P1017">
            <v>0</v>
          </cell>
        </row>
        <row r="1018">
          <cell r="A1018" t="str">
            <v>LU3081004569</v>
          </cell>
          <cell r="B1018" t="str">
            <v>AMUNDI FUNDS US EQUITY RESEARCH</v>
          </cell>
          <cell r="C1018" t="str">
            <v>Class A2 EUR (C)</v>
          </cell>
          <cell r="D1018" t="str">
            <v>EUR</v>
          </cell>
          <cell r="E1018" t="str">
            <v>01-Dec-2025</v>
          </cell>
          <cell r="F1018">
            <v>1556000.58</v>
          </cell>
          <cell r="G1018">
            <v>31569.254000000001</v>
          </cell>
          <cell r="H1018">
            <v>49.29</v>
          </cell>
          <cell r="I1018">
            <v>0</v>
          </cell>
          <cell r="J1018">
            <v>51.51</v>
          </cell>
          <cell r="K1018">
            <v>-0.48</v>
          </cell>
          <cell r="P1018">
            <v>0</v>
          </cell>
        </row>
        <row r="1019">
          <cell r="A1019" t="str">
            <v>LU1883859313</v>
          </cell>
          <cell r="B1019" t="str">
            <v>AMUNDI FUNDS US EQUITY RESEARCH</v>
          </cell>
          <cell r="C1019" t="str">
            <v>Class A EUR Hgd (C)</v>
          </cell>
          <cell r="D1019" t="str">
            <v>EUR</v>
          </cell>
          <cell r="E1019" t="str">
            <v>01-Dec-2025</v>
          </cell>
          <cell r="F1019">
            <v>3994760.48</v>
          </cell>
          <cell r="G1019">
            <v>25185.071</v>
          </cell>
          <cell r="H1019">
            <v>158.62</v>
          </cell>
          <cell r="I1019">
            <v>0</v>
          </cell>
          <cell r="J1019">
            <v>165.76</v>
          </cell>
          <cell r="K1019">
            <v>-1.2</v>
          </cell>
          <cell r="P1019">
            <v>0</v>
          </cell>
        </row>
        <row r="1020">
          <cell r="A1020" t="str">
            <v>LU3081004643</v>
          </cell>
          <cell r="B1020" t="str">
            <v>AMUNDI FUNDS US EQUITY RESEARCH</v>
          </cell>
          <cell r="C1020" t="str">
            <v>Class A2 USD (C)</v>
          </cell>
          <cell r="D1020" t="str">
            <v>USD</v>
          </cell>
          <cell r="E1020" t="str">
            <v>01-Dec-2025</v>
          </cell>
          <cell r="F1020">
            <v>3039760.86</v>
          </cell>
          <cell r="G1020">
            <v>61259.875999999997</v>
          </cell>
          <cell r="H1020">
            <v>49.62</v>
          </cell>
          <cell r="I1020">
            <v>0</v>
          </cell>
          <cell r="J1020">
            <v>51.85</v>
          </cell>
          <cell r="K1020">
            <v>49.62</v>
          </cell>
          <cell r="P1020">
            <v>0</v>
          </cell>
        </row>
        <row r="1021">
          <cell r="A1021" t="str">
            <v>LU1883859404</v>
          </cell>
          <cell r="B1021" t="str">
            <v>AMUNDI FUNDS US EQUITY RESEARCH</v>
          </cell>
          <cell r="C1021" t="str">
            <v>Class A USD (C)</v>
          </cell>
          <cell r="D1021" t="str">
            <v>USD</v>
          </cell>
          <cell r="E1021" t="str">
            <v>01-Dec-2025</v>
          </cell>
          <cell r="F1021">
            <v>60466368.710000001</v>
          </cell>
          <cell r="G1021">
            <v>2253623.1009999998</v>
          </cell>
          <cell r="H1021">
            <v>26.83</v>
          </cell>
          <cell r="I1021">
            <v>0</v>
          </cell>
          <cell r="J1021">
            <v>28.04</v>
          </cell>
          <cell r="K1021">
            <v>-0.2</v>
          </cell>
          <cell r="P1021">
            <v>0</v>
          </cell>
        </row>
        <row r="1022">
          <cell r="A1022" t="str">
            <v>LU1883860592</v>
          </cell>
          <cell r="B1022" t="str">
            <v>AMUNDI FUNDS US EQUITY RESEARCH</v>
          </cell>
          <cell r="C1022" t="str">
            <v>Class M2 EUR (C)</v>
          </cell>
          <cell r="D1022" t="str">
            <v>EUR</v>
          </cell>
          <cell r="E1022" t="str">
            <v>01-Dec-2025</v>
          </cell>
          <cell r="F1022">
            <v>1649312.78</v>
          </cell>
          <cell r="G1022">
            <v>275.84199999999998</v>
          </cell>
          <cell r="H1022">
            <v>5979.19</v>
          </cell>
          <cell r="I1022">
            <v>0</v>
          </cell>
          <cell r="J1022">
            <v>5979.19</v>
          </cell>
          <cell r="K1022">
            <v>-57.37</v>
          </cell>
          <cell r="P1022">
            <v>0</v>
          </cell>
        </row>
        <row r="1023">
          <cell r="A1023" t="str">
            <v>LU1883860675</v>
          </cell>
          <cell r="B1023" t="str">
            <v>AMUNDI FUNDS US EQUITY RESEARCH</v>
          </cell>
          <cell r="C1023" t="str">
            <v>Class M2 EUR Hgd (C)</v>
          </cell>
          <cell r="D1023" t="str">
            <v>EUR</v>
          </cell>
          <cell r="E1023" t="str">
            <v>01-Dec-2025</v>
          </cell>
          <cell r="F1023">
            <v>21186.67</v>
          </cell>
          <cell r="G1023">
            <v>5.18</v>
          </cell>
          <cell r="H1023">
            <v>4090.09</v>
          </cell>
          <cell r="I1023">
            <v>0</v>
          </cell>
          <cell r="J1023">
            <v>4090.09</v>
          </cell>
          <cell r="K1023">
            <v>-30.8</v>
          </cell>
          <cell r="P1023">
            <v>0</v>
          </cell>
        </row>
        <row r="1024">
          <cell r="A1024" t="str">
            <v>LU1883859743</v>
          </cell>
          <cell r="B1024" t="str">
            <v>AMUNDI FUNDS US EQUITY RESEARCH</v>
          </cell>
          <cell r="C1024" t="str">
            <v>Class E2 EUR (C)</v>
          </cell>
          <cell r="D1024" t="str">
            <v>EUR</v>
          </cell>
          <cell r="E1024" t="str">
            <v>01-Dec-2025</v>
          </cell>
          <cell r="F1024">
            <v>53295109.25</v>
          </cell>
          <cell r="G1024">
            <v>2265116.8339999998</v>
          </cell>
          <cell r="H1024">
            <v>23.529</v>
          </cell>
          <cell r="I1024">
            <v>0</v>
          </cell>
          <cell r="J1024">
            <v>23.529</v>
          </cell>
          <cell r="K1024">
            <v>-0.22700000000000001</v>
          </cell>
          <cell r="P1024">
            <v>0</v>
          </cell>
        </row>
        <row r="1025">
          <cell r="A1025" t="str">
            <v>LU1883859826</v>
          </cell>
          <cell r="B1025" t="str">
            <v>AMUNDI FUNDS US EQUITY RESEARCH</v>
          </cell>
          <cell r="C1025" t="str">
            <v>Class E2 EUR Hgd (C)</v>
          </cell>
          <cell r="D1025" t="str">
            <v>EUR</v>
          </cell>
          <cell r="E1025" t="str">
            <v>01-Dec-2025</v>
          </cell>
          <cell r="F1025">
            <v>16528486.75</v>
          </cell>
          <cell r="G1025">
            <v>1150271.1159999999</v>
          </cell>
          <cell r="H1025">
            <v>14.369</v>
          </cell>
          <cell r="I1025">
            <v>0</v>
          </cell>
          <cell r="J1025">
            <v>14.369</v>
          </cell>
          <cell r="K1025">
            <v>-0.11</v>
          </cell>
          <cell r="P1025">
            <v>0</v>
          </cell>
        </row>
        <row r="1026">
          <cell r="A1026" t="str">
            <v>LU1883860089</v>
          </cell>
          <cell r="B1026" t="str">
            <v>AMUNDI FUNDS US EQUITY RESEARCH</v>
          </cell>
          <cell r="C1026" t="str">
            <v>Class F EUR (C)</v>
          </cell>
          <cell r="D1026" t="str">
            <v>EUR</v>
          </cell>
          <cell r="E1026" t="str">
            <v>01-Dec-2025</v>
          </cell>
          <cell r="F1026">
            <v>43107155.950000003</v>
          </cell>
          <cell r="G1026">
            <v>2226269.156</v>
          </cell>
          <cell r="H1026">
            <v>19.363</v>
          </cell>
          <cell r="I1026">
            <v>0</v>
          </cell>
          <cell r="J1026">
            <v>19.363</v>
          </cell>
          <cell r="K1026">
            <v>-0.188</v>
          </cell>
          <cell r="P1026">
            <v>0</v>
          </cell>
        </row>
        <row r="1027">
          <cell r="A1027" t="str">
            <v>LU1883860329</v>
          </cell>
          <cell r="B1027" t="str">
            <v>AMUNDI FUNDS US EQUITY RESEARCH</v>
          </cell>
          <cell r="C1027" t="str">
            <v>Class I2 USD (C)</v>
          </cell>
          <cell r="D1027" t="str">
            <v>USD</v>
          </cell>
          <cell r="E1027" t="str">
            <v>01-Dec-2025</v>
          </cell>
          <cell r="F1027">
            <v>11562202.68</v>
          </cell>
          <cell r="G1027">
            <v>341277.62900000002</v>
          </cell>
          <cell r="H1027">
            <v>33.880000000000003</v>
          </cell>
          <cell r="I1027">
            <v>0</v>
          </cell>
          <cell r="J1027">
            <v>33.880000000000003</v>
          </cell>
          <cell r="K1027">
            <v>-0.25</v>
          </cell>
          <cell r="P1027">
            <v>0</v>
          </cell>
        </row>
        <row r="1028">
          <cell r="A1028" t="str">
            <v>LU1883860246</v>
          </cell>
          <cell r="B1028" t="str">
            <v>AMUNDI FUNDS US EQUITY RESEARCH</v>
          </cell>
          <cell r="C1028" t="str">
            <v>Class I2 EUR (C)</v>
          </cell>
          <cell r="D1028" t="str">
            <v>EUR</v>
          </cell>
          <cell r="E1028" t="str">
            <v>01-Dec-2025</v>
          </cell>
          <cell r="F1028">
            <v>2069332.61</v>
          </cell>
          <cell r="G1028">
            <v>71000</v>
          </cell>
          <cell r="H1028">
            <v>29.15</v>
          </cell>
          <cell r="I1028">
            <v>0</v>
          </cell>
          <cell r="J1028">
            <v>29.15</v>
          </cell>
          <cell r="K1028">
            <v>-0.28000000000000003</v>
          </cell>
          <cell r="P1028">
            <v>0</v>
          </cell>
        </row>
        <row r="1029">
          <cell r="A1029" t="str">
            <v>LU1883860162</v>
          </cell>
          <cell r="B1029" t="str">
            <v>AMUNDI FUNDS US EQUITY RESEARCH</v>
          </cell>
          <cell r="C1029" t="str">
            <v>Class G EUR (C)</v>
          </cell>
          <cell r="D1029" t="str">
            <v>EUR</v>
          </cell>
          <cell r="E1029" t="str">
            <v>01-Dec-2025</v>
          </cell>
          <cell r="F1029">
            <v>2034381.93</v>
          </cell>
          <cell r="G1029">
            <v>189554.93900000001</v>
          </cell>
          <cell r="H1029">
            <v>10.731999999999999</v>
          </cell>
          <cell r="I1029">
            <v>0</v>
          </cell>
          <cell r="J1029">
            <v>10.731999999999999</v>
          </cell>
          <cell r="K1029">
            <v>-0.104</v>
          </cell>
          <cell r="P1029">
            <v>0</v>
          </cell>
        </row>
        <row r="1030">
          <cell r="A1030" t="str">
            <v>LU1883860832</v>
          </cell>
          <cell r="B1030" t="str">
            <v>AMUNDI FUNDS US EQUITY RESEARCH</v>
          </cell>
          <cell r="C1030" t="str">
            <v>Class R2 EUR (C)</v>
          </cell>
          <cell r="D1030" t="str">
            <v>EUR</v>
          </cell>
          <cell r="E1030" t="str">
            <v>01-Dec-2025</v>
          </cell>
          <cell r="F1030">
            <v>10360.94</v>
          </cell>
          <cell r="G1030">
            <v>100</v>
          </cell>
          <cell r="H1030">
            <v>103.61</v>
          </cell>
          <cell r="I1030">
            <v>0</v>
          </cell>
          <cell r="J1030">
            <v>103.61</v>
          </cell>
          <cell r="K1030">
            <v>-1</v>
          </cell>
          <cell r="P1030">
            <v>0</v>
          </cell>
        </row>
        <row r="1031">
          <cell r="A1031" t="str">
            <v>LU1883860758</v>
          </cell>
          <cell r="B1031" t="str">
            <v>AMUNDI FUNDS US EQUITY RESEARCH</v>
          </cell>
          <cell r="C1031" t="str">
            <v>Class P2 USD (C)</v>
          </cell>
          <cell r="D1031" t="str">
            <v>USD</v>
          </cell>
          <cell r="E1031" t="str">
            <v>01-Dec-2025</v>
          </cell>
          <cell r="F1031">
            <v>14687.25</v>
          </cell>
          <cell r="G1031">
            <v>100</v>
          </cell>
          <cell r="H1031">
            <v>146.87</v>
          </cell>
          <cell r="I1031">
            <v>0</v>
          </cell>
          <cell r="J1031">
            <v>146.87</v>
          </cell>
          <cell r="K1031">
            <v>-1.1000000000000001</v>
          </cell>
          <cell r="P1031">
            <v>0</v>
          </cell>
        </row>
        <row r="1032">
          <cell r="A1032" t="str">
            <v>LU3208842685</v>
          </cell>
          <cell r="B1032" t="str">
            <v>AMUNDI FUNDS US EQUITY RESEARCH</v>
          </cell>
          <cell r="C1032" t="str">
            <v>Class R2 EUR Hgd (C)</v>
          </cell>
          <cell r="D1032" t="str">
            <v>EUR</v>
          </cell>
          <cell r="E1032" t="str">
            <v>01-Dec-2025</v>
          </cell>
          <cell r="F1032">
            <v>100711.61</v>
          </cell>
          <cell r="G1032">
            <v>2000</v>
          </cell>
          <cell r="H1032">
            <v>50.36</v>
          </cell>
          <cell r="I1032">
            <v>0</v>
          </cell>
          <cell r="J1032">
            <v>50.36</v>
          </cell>
          <cell r="K1032">
            <v>-0.38</v>
          </cell>
          <cell r="P1032">
            <v>0</v>
          </cell>
        </row>
        <row r="1033">
          <cell r="A1033" t="str">
            <v>LU1883860915</v>
          </cell>
          <cell r="B1033" t="str">
            <v>AMUNDI FUNDS US EQUITY RESEARCH</v>
          </cell>
          <cell r="C1033" t="str">
            <v>Class R2 USD (C)</v>
          </cell>
          <cell r="D1033" t="str">
            <v>USD</v>
          </cell>
          <cell r="E1033" t="str">
            <v>01-Dec-2025</v>
          </cell>
          <cell r="F1033">
            <v>2191.56</v>
          </cell>
          <cell r="G1033">
            <v>9.5079999999999991</v>
          </cell>
          <cell r="H1033">
            <v>230.5</v>
          </cell>
          <cell r="I1033">
            <v>0</v>
          </cell>
          <cell r="J1033">
            <v>230.5</v>
          </cell>
          <cell r="K1033">
            <v>-1.73</v>
          </cell>
          <cell r="P1033">
            <v>0</v>
          </cell>
        </row>
        <row r="1034">
          <cell r="A1034" t="str">
            <v>LU2976323027</v>
          </cell>
          <cell r="B1034" t="str">
            <v>AMUNDI FUNDS US HIGH YIELD BOND</v>
          </cell>
          <cell r="C1034" t="str">
            <v>Class A2 USD (C)</v>
          </cell>
          <cell r="D1034" t="str">
            <v>USD</v>
          </cell>
          <cell r="E1034" t="str">
            <v>01-Dec-2025</v>
          </cell>
          <cell r="F1034">
            <v>14433567.539999999</v>
          </cell>
          <cell r="G1034">
            <v>274112.26899999997</v>
          </cell>
          <cell r="H1034">
            <v>52.66</v>
          </cell>
          <cell r="I1034">
            <v>0</v>
          </cell>
          <cell r="J1034">
            <v>52.66</v>
          </cell>
          <cell r="K1034">
            <v>-7.0000000000000007E-2</v>
          </cell>
          <cell r="P1034">
            <v>0</v>
          </cell>
        </row>
        <row r="1035">
          <cell r="A1035" t="str">
            <v>LU1883861137</v>
          </cell>
          <cell r="B1035" t="str">
            <v>AMUNDI FUNDS US HIGH YIELD BOND</v>
          </cell>
          <cell r="C1035" t="str">
            <v>Class A EUR (C)</v>
          </cell>
          <cell r="D1035" t="str">
            <v>EUR</v>
          </cell>
          <cell r="E1035" t="str">
            <v>01-Dec-2025</v>
          </cell>
          <cell r="F1035">
            <v>11716368.99</v>
          </cell>
          <cell r="G1035">
            <v>770912.66399999999</v>
          </cell>
          <cell r="H1035">
            <v>15.2</v>
          </cell>
          <cell r="I1035">
            <v>0</v>
          </cell>
          <cell r="J1035">
            <v>15.81</v>
          </cell>
          <cell r="K1035">
            <v>-0.05</v>
          </cell>
          <cell r="P1035">
            <v>0</v>
          </cell>
        </row>
        <row r="1036">
          <cell r="A1036" t="str">
            <v>LU2976323290</v>
          </cell>
          <cell r="B1036" t="str">
            <v>AMUNDI FUNDS US HIGH YIELD BOND</v>
          </cell>
          <cell r="C1036" t="str">
            <v>Class A2 USD MD (D)</v>
          </cell>
          <cell r="D1036" t="str">
            <v>USD</v>
          </cell>
          <cell r="E1036" t="str">
            <v>01-Dec-2025</v>
          </cell>
          <cell r="F1036">
            <v>5033.7</v>
          </cell>
          <cell r="G1036">
            <v>100</v>
          </cell>
          <cell r="H1036">
            <v>50.34</v>
          </cell>
          <cell r="I1036">
            <v>0</v>
          </cell>
          <cell r="J1036">
            <v>50.34</v>
          </cell>
          <cell r="K1036">
            <v>-0.06</v>
          </cell>
          <cell r="P1036">
            <v>0</v>
          </cell>
        </row>
        <row r="1037">
          <cell r="A1037" t="str">
            <v>LU1883861053</v>
          </cell>
          <cell r="B1037" t="str">
            <v>AMUNDI FUNDS US HIGH YIELD BOND</v>
          </cell>
          <cell r="C1037" t="str">
            <v>Class A AUD Hgd MTD3 (D)</v>
          </cell>
          <cell r="D1037" t="str">
            <v>AUD</v>
          </cell>
          <cell r="E1037" t="str">
            <v>01-Dec-2025</v>
          </cell>
          <cell r="F1037">
            <v>28988434.109999999</v>
          </cell>
          <cell r="G1037">
            <v>1193583.236</v>
          </cell>
          <cell r="H1037">
            <v>24.29</v>
          </cell>
          <cell r="I1037">
            <v>0.1913</v>
          </cell>
          <cell r="J1037">
            <v>25.26</v>
          </cell>
          <cell r="K1037">
            <v>-0.22</v>
          </cell>
          <cell r="P1037">
            <v>0</v>
          </cell>
        </row>
        <row r="1038">
          <cell r="A1038" t="str">
            <v>LU1883861301</v>
          </cell>
          <cell r="B1038" t="str">
            <v>AMUNDI FUNDS US HIGH YIELD BOND</v>
          </cell>
          <cell r="C1038" t="str">
            <v>Class A EUR MTD (D)</v>
          </cell>
          <cell r="D1038" t="str">
            <v>EUR</v>
          </cell>
          <cell r="E1038" t="str">
            <v>01-Dec-2025</v>
          </cell>
          <cell r="F1038">
            <v>150749.04</v>
          </cell>
          <cell r="G1038">
            <v>35174.67</v>
          </cell>
          <cell r="H1038">
            <v>4.29</v>
          </cell>
          <cell r="I1038">
            <v>2.1000000000000001E-2</v>
          </cell>
          <cell r="J1038">
            <v>4.46</v>
          </cell>
          <cell r="K1038">
            <v>-0.03</v>
          </cell>
          <cell r="P1038">
            <v>0</v>
          </cell>
        </row>
        <row r="1039">
          <cell r="A1039" t="str">
            <v>LU3081002431</v>
          </cell>
          <cell r="B1039" t="str">
            <v>AMUNDI FUNDS US HIGH YIELD BOND</v>
          </cell>
          <cell r="C1039" t="str">
            <v>Class A2 EUR (C)</v>
          </cell>
          <cell r="D1039" t="str">
            <v>EUR</v>
          </cell>
          <cell r="E1039" t="str">
            <v>01-Dec-2025</v>
          </cell>
          <cell r="F1039">
            <v>173526.23</v>
          </cell>
          <cell r="G1039">
            <v>3482.76</v>
          </cell>
          <cell r="H1039">
            <v>49.82</v>
          </cell>
          <cell r="I1039">
            <v>0</v>
          </cell>
          <cell r="J1039">
            <v>51.81</v>
          </cell>
          <cell r="K1039">
            <v>0</v>
          </cell>
          <cell r="P1039">
            <v>0</v>
          </cell>
        </row>
        <row r="1040">
          <cell r="A1040" t="str">
            <v>LU3081002514</v>
          </cell>
          <cell r="B1040" t="str">
            <v>AMUNDI FUNDS US HIGH YIELD BOND</v>
          </cell>
          <cell r="C1040" t="str">
            <v>Class A2 USD MTD (D)</v>
          </cell>
          <cell r="D1040" t="str">
            <v>USD</v>
          </cell>
          <cell r="E1040" t="str">
            <v>01-Dec-2025</v>
          </cell>
          <cell r="F1040">
            <v>5583806.3200000003</v>
          </cell>
          <cell r="G1040">
            <v>112325.93399999999</v>
          </cell>
          <cell r="H1040">
            <v>49.71</v>
          </cell>
          <cell r="I1040">
            <v>0.21879999999999999</v>
          </cell>
          <cell r="J1040">
            <v>51.7</v>
          </cell>
          <cell r="K1040">
            <v>49.71</v>
          </cell>
          <cell r="P1040">
            <v>0</v>
          </cell>
        </row>
        <row r="1041">
          <cell r="A1041" t="str">
            <v>LU1883861566</v>
          </cell>
          <cell r="B1041" t="str">
            <v>AMUNDI FUNDS US HIGH YIELD BOND</v>
          </cell>
          <cell r="C1041" t="str">
            <v>Class A USD MTD (D)</v>
          </cell>
          <cell r="D1041" t="str">
            <v>USD</v>
          </cell>
          <cell r="E1041" t="str">
            <v>01-Dec-2025</v>
          </cell>
          <cell r="F1041">
            <v>2868828.41</v>
          </cell>
          <cell r="G1041">
            <v>577504.53099999996</v>
          </cell>
          <cell r="H1041">
            <v>4.97</v>
          </cell>
          <cell r="I1041">
            <v>2.1499999999999998E-2</v>
          </cell>
          <cell r="J1041">
            <v>5.17</v>
          </cell>
          <cell r="K1041">
            <v>-0.03</v>
          </cell>
          <cell r="P1041">
            <v>0</v>
          </cell>
        </row>
        <row r="1042">
          <cell r="A1042" t="str">
            <v>LU1883861640</v>
          </cell>
          <cell r="B1042" t="str">
            <v>AMUNDI FUNDS US HIGH YIELD BOND</v>
          </cell>
          <cell r="C1042" t="str">
            <v>Class A USD MTD3 (D)</v>
          </cell>
          <cell r="D1042" t="str">
            <v>USD</v>
          </cell>
          <cell r="E1042" t="str">
            <v>01-Dec-2025</v>
          </cell>
          <cell r="F1042">
            <v>2492461.63</v>
          </cell>
          <cell r="G1042">
            <v>84173.97</v>
          </cell>
          <cell r="H1042">
            <v>29.61</v>
          </cell>
          <cell r="I1042">
            <v>0.26129999999999998</v>
          </cell>
          <cell r="J1042">
            <v>30.79</v>
          </cell>
          <cell r="K1042">
            <v>-0.3</v>
          </cell>
          <cell r="P1042">
            <v>0</v>
          </cell>
        </row>
        <row r="1043">
          <cell r="A1043" t="str">
            <v>LU1883861723</v>
          </cell>
          <cell r="B1043" t="str">
            <v>AMUNDI FUNDS US HIGH YIELD BOND</v>
          </cell>
          <cell r="C1043" t="str">
            <v>Class A USD MGI (D)</v>
          </cell>
          <cell r="D1043" t="str">
            <v>USD</v>
          </cell>
          <cell r="E1043" t="str">
            <v>01-Dec-2025</v>
          </cell>
          <cell r="F1043">
            <v>80459429.590000004</v>
          </cell>
          <cell r="G1043">
            <v>1811700.3319999999</v>
          </cell>
          <cell r="H1043">
            <v>44.41</v>
          </cell>
          <cell r="I1043">
            <v>0.24427499999999999</v>
          </cell>
          <cell r="J1043">
            <v>46.19</v>
          </cell>
          <cell r="K1043">
            <v>-0.3</v>
          </cell>
          <cell r="P1043">
            <v>0</v>
          </cell>
        </row>
        <row r="1044">
          <cell r="A1044" t="str">
            <v>LU1883861210</v>
          </cell>
          <cell r="B1044" t="str">
            <v>AMUNDI FUNDS US HIGH YIELD BOND</v>
          </cell>
          <cell r="C1044" t="str">
            <v>Class A EUR Hgd (C)</v>
          </cell>
          <cell r="D1044" t="str">
            <v>EUR</v>
          </cell>
          <cell r="E1044" t="str">
            <v>01-Dec-2025</v>
          </cell>
          <cell r="F1044">
            <v>642306.28</v>
          </cell>
          <cell r="G1044">
            <v>6081.9269999999997</v>
          </cell>
          <cell r="H1044">
            <v>105.61</v>
          </cell>
          <cell r="I1044">
            <v>0</v>
          </cell>
          <cell r="J1044">
            <v>109.83</v>
          </cell>
          <cell r="K1044">
            <v>-0.15</v>
          </cell>
          <cell r="P1044">
            <v>0</v>
          </cell>
        </row>
        <row r="1045">
          <cell r="A1045" t="str">
            <v>LU1883861483</v>
          </cell>
          <cell r="B1045" t="str">
            <v>AMUNDI FUNDS US HIGH YIELD BOND</v>
          </cell>
          <cell r="C1045" t="str">
            <v>Class A USD (C)</v>
          </cell>
          <cell r="D1045" t="str">
            <v>USD</v>
          </cell>
          <cell r="E1045" t="str">
            <v>01-Dec-2025</v>
          </cell>
          <cell r="F1045">
            <v>35588638.859999999</v>
          </cell>
          <cell r="G1045">
            <v>2012750.77</v>
          </cell>
          <cell r="H1045">
            <v>17.68</v>
          </cell>
          <cell r="I1045">
            <v>0</v>
          </cell>
          <cell r="J1045">
            <v>18.39</v>
          </cell>
          <cell r="K1045">
            <v>-0.02</v>
          </cell>
          <cell r="P1045">
            <v>0</v>
          </cell>
        </row>
        <row r="1046">
          <cell r="A1046" t="str">
            <v>LU1883862705</v>
          </cell>
          <cell r="B1046" t="str">
            <v>AMUNDI FUNDS US HIGH YIELD BOND</v>
          </cell>
          <cell r="C1046" t="str">
            <v>Class B ZAR Hgd MTD3 (D)</v>
          </cell>
          <cell r="D1046" t="str">
            <v>ZAR</v>
          </cell>
          <cell r="E1046" t="str">
            <v>01-Dec-2025</v>
          </cell>
          <cell r="F1046">
            <v>5749589.3600000003</v>
          </cell>
          <cell r="G1046">
            <v>16732.298999999999</v>
          </cell>
          <cell r="H1046">
            <v>343.62</v>
          </cell>
          <cell r="I1046">
            <v>5.1208</v>
          </cell>
          <cell r="J1046">
            <v>343.62</v>
          </cell>
          <cell r="K1046">
            <v>-5.6</v>
          </cell>
          <cell r="P1046">
            <v>0</v>
          </cell>
        </row>
        <row r="1047">
          <cell r="A1047" t="str">
            <v>LU1883862614</v>
          </cell>
          <cell r="B1047" t="str">
            <v>AMUNDI FUNDS US HIGH YIELD BOND</v>
          </cell>
          <cell r="C1047" t="str">
            <v>Class B USD MGI (D)</v>
          </cell>
          <cell r="D1047" t="str">
            <v>USD</v>
          </cell>
          <cell r="E1047" t="str">
            <v>01-Dec-2025</v>
          </cell>
          <cell r="F1047">
            <v>478567.63</v>
          </cell>
          <cell r="G1047">
            <v>13219.236000000001</v>
          </cell>
          <cell r="H1047">
            <v>36.200000000000003</v>
          </cell>
          <cell r="I1047">
            <v>0.199215</v>
          </cell>
          <cell r="J1047">
            <v>36.200000000000003</v>
          </cell>
          <cell r="K1047">
            <v>-0.25</v>
          </cell>
          <cell r="P1047">
            <v>0</v>
          </cell>
        </row>
        <row r="1048">
          <cell r="A1048" t="str">
            <v>LU1883862531</v>
          </cell>
          <cell r="B1048" t="str">
            <v>AMUNDI FUNDS US HIGH YIELD BOND</v>
          </cell>
          <cell r="C1048" t="str">
            <v>Class B USD MTD3 (D)</v>
          </cell>
          <cell r="D1048" t="str">
            <v>USD</v>
          </cell>
          <cell r="E1048" t="str">
            <v>01-Dec-2025</v>
          </cell>
          <cell r="F1048">
            <v>409135.58</v>
          </cell>
          <cell r="G1048">
            <v>14622.154</v>
          </cell>
          <cell r="H1048">
            <v>27.98</v>
          </cell>
          <cell r="I1048">
            <v>0.2492</v>
          </cell>
          <cell r="J1048">
            <v>27.98</v>
          </cell>
          <cell r="K1048">
            <v>-0.28999999999999998</v>
          </cell>
          <cell r="P1048">
            <v>0</v>
          </cell>
        </row>
        <row r="1049">
          <cell r="A1049" t="str">
            <v>LU1883862028</v>
          </cell>
          <cell r="B1049" t="str">
            <v>AMUNDI FUNDS US HIGH YIELD BOND</v>
          </cell>
          <cell r="C1049" t="str">
            <v>Class B AUD Hgd MTD3 (D)</v>
          </cell>
          <cell r="D1049" t="str">
            <v>AUD</v>
          </cell>
          <cell r="E1049" t="str">
            <v>01-Dec-2025</v>
          </cell>
          <cell r="F1049">
            <v>328129.03999999998</v>
          </cell>
          <cell r="G1049">
            <v>15241.383</v>
          </cell>
          <cell r="H1049">
            <v>21.53</v>
          </cell>
          <cell r="I1049">
            <v>0.17119999999999999</v>
          </cell>
          <cell r="J1049">
            <v>21.53</v>
          </cell>
          <cell r="K1049">
            <v>-0.2</v>
          </cell>
          <cell r="P1049">
            <v>0</v>
          </cell>
        </row>
        <row r="1050">
          <cell r="A1050" t="str">
            <v>LU1883864073</v>
          </cell>
          <cell r="B1050" t="str">
            <v>AMUNDI FUNDS US HIGH YIELD BOND</v>
          </cell>
          <cell r="C1050" t="str">
            <v>Class M2 EUR (C)</v>
          </cell>
          <cell r="D1050" t="str">
            <v>EUR</v>
          </cell>
          <cell r="E1050" t="str">
            <v>01-Dec-2025</v>
          </cell>
          <cell r="F1050">
            <v>2855085.86</v>
          </cell>
          <cell r="G1050">
            <v>843.19299999999998</v>
          </cell>
          <cell r="H1050">
            <v>3386.04</v>
          </cell>
          <cell r="I1050">
            <v>0</v>
          </cell>
          <cell r="J1050">
            <v>3386.04</v>
          </cell>
          <cell r="K1050">
            <v>-11.38</v>
          </cell>
          <cell r="P1050">
            <v>0</v>
          </cell>
        </row>
        <row r="1051">
          <cell r="A1051" t="str">
            <v>LU1883864156</v>
          </cell>
          <cell r="B1051" t="str">
            <v>AMUNDI FUNDS US HIGH YIELD BOND</v>
          </cell>
          <cell r="C1051" t="str">
            <v>Class M2 EUR Hgd (C)</v>
          </cell>
          <cell r="D1051" t="str">
            <v>EUR</v>
          </cell>
          <cell r="E1051" t="str">
            <v>01-Dec-2025</v>
          </cell>
          <cell r="F1051">
            <v>4695468.09</v>
          </cell>
          <cell r="G1051">
            <v>2173.4749999999999</v>
          </cell>
          <cell r="H1051">
            <v>2160.35</v>
          </cell>
          <cell r="I1051">
            <v>0</v>
          </cell>
          <cell r="J1051">
            <v>2160.35</v>
          </cell>
          <cell r="K1051">
            <v>-2.82</v>
          </cell>
          <cell r="P1051">
            <v>0</v>
          </cell>
        </row>
        <row r="1052">
          <cell r="A1052" t="str">
            <v>LU1883862374</v>
          </cell>
          <cell r="B1052" t="str">
            <v>AMUNDI FUNDS US HIGH YIELD BOND</v>
          </cell>
          <cell r="C1052" t="str">
            <v>Class B USD (C)</v>
          </cell>
          <cell r="D1052" t="str">
            <v>USD</v>
          </cell>
          <cell r="E1052" t="str">
            <v>01-Dec-2025</v>
          </cell>
          <cell r="F1052">
            <v>38803.050000000003</v>
          </cell>
          <cell r="G1052">
            <v>637.56700000000001</v>
          </cell>
          <cell r="H1052">
            <v>60.86</v>
          </cell>
          <cell r="I1052">
            <v>0</v>
          </cell>
          <cell r="J1052">
            <v>60.86</v>
          </cell>
          <cell r="K1052">
            <v>-0.09</v>
          </cell>
          <cell r="P1052">
            <v>0</v>
          </cell>
        </row>
        <row r="1053">
          <cell r="A1053" t="str">
            <v>LU1883861996</v>
          </cell>
          <cell r="B1053" t="str">
            <v>AMUNDI FUNDS US HIGH YIELD BOND</v>
          </cell>
          <cell r="C1053" t="str">
            <v>Class A ZAR Hgd MTD3 (D)</v>
          </cell>
          <cell r="D1053" t="str">
            <v>ZAR</v>
          </cell>
          <cell r="E1053" t="str">
            <v>01-Dec-2025</v>
          </cell>
          <cell r="F1053">
            <v>442312562.92000002</v>
          </cell>
          <cell r="G1053">
            <v>1180586.9750000001</v>
          </cell>
          <cell r="H1053">
            <v>374.65</v>
          </cell>
          <cell r="I1053">
            <v>5.5107999999999997</v>
          </cell>
          <cell r="J1053">
            <v>389.64</v>
          </cell>
          <cell r="K1053">
            <v>-6</v>
          </cell>
          <cell r="P1053">
            <v>0</v>
          </cell>
        </row>
        <row r="1054">
          <cell r="A1054" t="str">
            <v>LU1883863265</v>
          </cell>
          <cell r="B1054" t="str">
            <v>AMUNDI FUNDS US HIGH YIELD BOND</v>
          </cell>
          <cell r="C1054" t="str">
            <v>Class E2 EUR (C)</v>
          </cell>
          <cell r="D1054" t="str">
            <v>EUR</v>
          </cell>
          <cell r="E1054" t="str">
            <v>01-Dec-2025</v>
          </cell>
          <cell r="F1054">
            <v>3422584.69</v>
          </cell>
          <cell r="G1054">
            <v>211255.65299999999</v>
          </cell>
          <cell r="H1054">
            <v>16.201000000000001</v>
          </cell>
          <cell r="I1054">
            <v>0</v>
          </cell>
          <cell r="J1054">
            <v>16.201000000000001</v>
          </cell>
          <cell r="K1054">
            <v>-5.6000000000000001E-2</v>
          </cell>
          <cell r="P1054">
            <v>0</v>
          </cell>
        </row>
        <row r="1055">
          <cell r="A1055" t="str">
            <v>LU1883863349</v>
          </cell>
          <cell r="B1055" t="str">
            <v>AMUNDI FUNDS US HIGH YIELD BOND</v>
          </cell>
          <cell r="C1055" t="str">
            <v>Class E2 EUR Hgd (C)</v>
          </cell>
          <cell r="D1055" t="str">
            <v>EUR</v>
          </cell>
          <cell r="E1055" t="str">
            <v>01-Dec-2025</v>
          </cell>
          <cell r="F1055">
            <v>632334.30000000005</v>
          </cell>
          <cell r="G1055">
            <v>67473.774999999994</v>
          </cell>
          <cell r="H1055">
            <v>9.3719999999999999</v>
          </cell>
          <cell r="I1055">
            <v>0</v>
          </cell>
          <cell r="J1055">
            <v>9.3719999999999999</v>
          </cell>
          <cell r="K1055">
            <v>-1.2999999999999999E-2</v>
          </cell>
          <cell r="P1055">
            <v>0</v>
          </cell>
        </row>
        <row r="1056">
          <cell r="A1056" t="str">
            <v>LU1883863422</v>
          </cell>
          <cell r="B1056" t="str">
            <v>AMUNDI FUNDS US HIGH YIELD BOND</v>
          </cell>
          <cell r="C1056" t="str">
            <v>Class F EUR (C)</v>
          </cell>
          <cell r="D1056" t="str">
            <v>EUR</v>
          </cell>
          <cell r="E1056" t="str">
            <v>01-Dec-2025</v>
          </cell>
          <cell r="F1056">
            <v>2750152.36</v>
          </cell>
          <cell r="G1056">
            <v>197410.60699999999</v>
          </cell>
          <cell r="H1056">
            <v>13.930999999999999</v>
          </cell>
          <cell r="I1056">
            <v>0</v>
          </cell>
          <cell r="J1056">
            <v>13.930999999999999</v>
          </cell>
          <cell r="K1056">
            <v>-4.8000000000000001E-2</v>
          </cell>
          <cell r="P1056">
            <v>0</v>
          </cell>
        </row>
        <row r="1057">
          <cell r="A1057" t="str">
            <v>LU1883863935</v>
          </cell>
          <cell r="B1057" t="str">
            <v>AMUNDI FUNDS US HIGH YIELD BOND</v>
          </cell>
          <cell r="C1057" t="str">
            <v>Class I2 USD QD (D)</v>
          </cell>
          <cell r="D1057" t="str">
            <v>USD</v>
          </cell>
          <cell r="E1057" t="str">
            <v>01-Dec-2025</v>
          </cell>
          <cell r="F1057">
            <v>16546567.640000001</v>
          </cell>
          <cell r="G1057">
            <v>16975.954000000002</v>
          </cell>
          <cell r="H1057">
            <v>974.71</v>
          </cell>
          <cell r="I1057">
            <v>0</v>
          </cell>
          <cell r="J1057">
            <v>974.71</v>
          </cell>
          <cell r="K1057">
            <v>-1.21</v>
          </cell>
          <cell r="P1057">
            <v>0</v>
          </cell>
        </row>
        <row r="1058">
          <cell r="A1058" t="str">
            <v>LU1883863851</v>
          </cell>
          <cell r="B1058" t="str">
            <v>AMUNDI FUNDS US HIGH YIELD BOND</v>
          </cell>
          <cell r="C1058" t="str">
            <v>Class I2 USD (C)</v>
          </cell>
          <cell r="D1058" t="str">
            <v>USD</v>
          </cell>
          <cell r="E1058" t="str">
            <v>01-Dec-2025</v>
          </cell>
          <cell r="F1058">
            <v>21646141.190000001</v>
          </cell>
          <cell r="G1058">
            <v>953109.50600000005</v>
          </cell>
          <cell r="H1058">
            <v>22.71</v>
          </cell>
          <cell r="I1058">
            <v>0</v>
          </cell>
          <cell r="J1058">
            <v>22.71</v>
          </cell>
          <cell r="K1058">
            <v>-0.03</v>
          </cell>
          <cell r="P1058">
            <v>0</v>
          </cell>
        </row>
        <row r="1059">
          <cell r="A1059" t="str">
            <v>LU1883863778</v>
          </cell>
          <cell r="B1059" t="str">
            <v>AMUNDI FUNDS US HIGH YIELD BOND</v>
          </cell>
          <cell r="C1059" t="str">
            <v>Class I2 EUR Hgd (C)</v>
          </cell>
          <cell r="D1059" t="str">
            <v>EUR</v>
          </cell>
          <cell r="E1059" t="str">
            <v>01-Dec-2025</v>
          </cell>
          <cell r="F1059">
            <v>7520415.8399999999</v>
          </cell>
          <cell r="G1059">
            <v>4992.91</v>
          </cell>
          <cell r="H1059">
            <v>1506.22</v>
          </cell>
          <cell r="I1059">
            <v>0</v>
          </cell>
          <cell r="J1059">
            <v>1506.22</v>
          </cell>
          <cell r="K1059">
            <v>-1.94</v>
          </cell>
          <cell r="P1059">
            <v>0</v>
          </cell>
        </row>
        <row r="1060">
          <cell r="A1060" t="str">
            <v>LU1883863695</v>
          </cell>
          <cell r="B1060" t="str">
            <v>AMUNDI FUNDS US HIGH YIELD BOND</v>
          </cell>
          <cell r="C1060" t="str">
            <v>Class I2 EUR (C)</v>
          </cell>
          <cell r="D1060" t="str">
            <v>EUR</v>
          </cell>
          <cell r="E1060" t="str">
            <v>01-Dec-2025</v>
          </cell>
          <cell r="F1060">
            <v>436.98</v>
          </cell>
          <cell r="G1060">
            <v>22.4</v>
          </cell>
          <cell r="H1060">
            <v>19.510000000000002</v>
          </cell>
          <cell r="I1060">
            <v>0</v>
          </cell>
          <cell r="J1060">
            <v>19.510000000000002</v>
          </cell>
          <cell r="K1060">
            <v>-0.06</v>
          </cell>
          <cell r="P1060">
            <v>0</v>
          </cell>
        </row>
        <row r="1061">
          <cell r="A1061" t="str">
            <v>LU1897311913</v>
          </cell>
          <cell r="B1061" t="str">
            <v>AMUNDI FUNDS US HIGH YIELD BOND</v>
          </cell>
          <cell r="C1061" t="str">
            <v>Class I2 GBP Hgd (C)</v>
          </cell>
          <cell r="D1061" t="str">
            <v>GBP</v>
          </cell>
          <cell r="E1061" t="str">
            <v>01-Dec-2025</v>
          </cell>
          <cell r="F1061">
            <v>125815.06</v>
          </cell>
          <cell r="G1061">
            <v>100</v>
          </cell>
          <cell r="H1061">
            <v>1258.1500000000001</v>
          </cell>
          <cell r="I1061">
            <v>0</v>
          </cell>
          <cell r="J1061">
            <v>0</v>
          </cell>
          <cell r="K1061">
            <v>-1.59</v>
          </cell>
          <cell r="P1061">
            <v>0</v>
          </cell>
        </row>
        <row r="1062">
          <cell r="A1062" t="str">
            <v>LU1883864826</v>
          </cell>
          <cell r="B1062" t="str">
            <v>AMUNDI FUNDS US HIGH YIELD BOND</v>
          </cell>
          <cell r="C1062" t="str">
            <v>Class T AUD Hgd MTD3 (D)</v>
          </cell>
          <cell r="D1062" t="str">
            <v>AUD</v>
          </cell>
          <cell r="E1062" t="str">
            <v>01-Dec-2025</v>
          </cell>
          <cell r="F1062">
            <v>9533.42</v>
          </cell>
          <cell r="G1062">
            <v>410.21899999999999</v>
          </cell>
          <cell r="H1062">
            <v>23.24</v>
          </cell>
          <cell r="I1062">
            <v>0.1847</v>
          </cell>
          <cell r="J1062">
            <v>23.24</v>
          </cell>
          <cell r="K1062">
            <v>-0.22</v>
          </cell>
          <cell r="P1062">
            <v>0</v>
          </cell>
        </row>
        <row r="1063">
          <cell r="A1063" t="str">
            <v>LU1883865476</v>
          </cell>
          <cell r="B1063" t="str">
            <v>AMUNDI FUNDS US HIGH YIELD BOND</v>
          </cell>
          <cell r="C1063" t="str">
            <v>Class T ZAR Hgd MTD3 (D)</v>
          </cell>
          <cell r="D1063" t="str">
            <v>ZAR</v>
          </cell>
          <cell r="E1063" t="str">
            <v>01-Dec-2025</v>
          </cell>
          <cell r="F1063">
            <v>1407273.38</v>
          </cell>
          <cell r="G1063">
            <v>3920.2139999999999</v>
          </cell>
          <cell r="H1063">
            <v>358.98</v>
          </cell>
          <cell r="I1063">
            <v>5.3564999999999996</v>
          </cell>
          <cell r="J1063">
            <v>358.98</v>
          </cell>
          <cell r="K1063">
            <v>-5.85</v>
          </cell>
          <cell r="P1063">
            <v>0</v>
          </cell>
        </row>
        <row r="1064">
          <cell r="A1064" t="str">
            <v>LU1883864586</v>
          </cell>
          <cell r="B1064" t="str">
            <v>AMUNDI FUNDS US HIGH YIELD BOND</v>
          </cell>
          <cell r="C1064" t="str">
            <v>Class R2 EUR (C)</v>
          </cell>
          <cell r="D1064" t="str">
            <v>EUR</v>
          </cell>
          <cell r="E1064" t="str">
            <v>01-Dec-2025</v>
          </cell>
          <cell r="F1064">
            <v>26230.47</v>
          </cell>
          <cell r="G1064">
            <v>404.2</v>
          </cell>
          <cell r="H1064">
            <v>64.89</v>
          </cell>
          <cell r="I1064">
            <v>0</v>
          </cell>
          <cell r="J1064">
            <v>64.89</v>
          </cell>
          <cell r="K1064">
            <v>-0.22</v>
          </cell>
          <cell r="P1064">
            <v>0</v>
          </cell>
        </row>
        <row r="1065">
          <cell r="A1065" t="str">
            <v>LU1883864669</v>
          </cell>
          <cell r="B1065" t="str">
            <v>AMUNDI FUNDS US HIGH YIELD BOND</v>
          </cell>
          <cell r="C1065" t="str">
            <v>Class R2 EUR Hgd (C)</v>
          </cell>
          <cell r="D1065" t="str">
            <v>EUR</v>
          </cell>
          <cell r="E1065" t="str">
            <v>01-Dec-2025</v>
          </cell>
          <cell r="F1065">
            <v>110863.3</v>
          </cell>
          <cell r="G1065">
            <v>1883.4</v>
          </cell>
          <cell r="H1065">
            <v>58.86</v>
          </cell>
          <cell r="I1065">
            <v>0</v>
          </cell>
          <cell r="J1065">
            <v>58.86</v>
          </cell>
          <cell r="K1065">
            <v>-0.08</v>
          </cell>
          <cell r="P1065">
            <v>0</v>
          </cell>
        </row>
        <row r="1066">
          <cell r="A1066" t="str">
            <v>LU1883864230</v>
          </cell>
          <cell r="B1066" t="str">
            <v>AMUNDI FUNDS US HIGH YIELD BOND</v>
          </cell>
          <cell r="C1066" t="str">
            <v>Class P2 USD (C)</v>
          </cell>
          <cell r="D1066" t="str">
            <v>USD</v>
          </cell>
          <cell r="E1066" t="str">
            <v>01-Dec-2025</v>
          </cell>
          <cell r="F1066">
            <v>5947.69</v>
          </cell>
          <cell r="G1066">
            <v>99.998999999999995</v>
          </cell>
          <cell r="H1066">
            <v>59.48</v>
          </cell>
          <cell r="I1066">
            <v>0</v>
          </cell>
          <cell r="J1066">
            <v>59.48</v>
          </cell>
          <cell r="K1066">
            <v>-7.0000000000000007E-2</v>
          </cell>
          <cell r="P1066">
            <v>0</v>
          </cell>
        </row>
        <row r="1067">
          <cell r="A1067" t="str">
            <v>LU1883864313</v>
          </cell>
          <cell r="B1067" t="str">
            <v>AMUNDI FUNDS US HIGH YIELD BOND</v>
          </cell>
          <cell r="C1067" t="str">
            <v>Class P2 USD MTD (D)</v>
          </cell>
          <cell r="D1067" t="str">
            <v>USD</v>
          </cell>
          <cell r="E1067" t="str">
            <v>01-Dec-2025</v>
          </cell>
          <cell r="F1067">
            <v>32515.72</v>
          </cell>
          <cell r="G1067">
            <v>698.02</v>
          </cell>
          <cell r="H1067">
            <v>46.58</v>
          </cell>
          <cell r="I1067">
            <v>0.2006</v>
          </cell>
          <cell r="J1067">
            <v>46.58</v>
          </cell>
          <cell r="K1067">
            <v>-0.26</v>
          </cell>
          <cell r="P1067">
            <v>0</v>
          </cell>
        </row>
        <row r="1068">
          <cell r="A1068" t="str">
            <v>LU1883864404</v>
          </cell>
          <cell r="B1068" t="str">
            <v>AMUNDI FUNDS US HIGH YIELD BOND</v>
          </cell>
          <cell r="C1068" t="str">
            <v>Class Q-D USD MTD (D)</v>
          </cell>
          <cell r="D1068" t="str">
            <v>USD</v>
          </cell>
          <cell r="E1068" t="str">
            <v>01-Dec-2025</v>
          </cell>
          <cell r="F1068">
            <v>148346.15</v>
          </cell>
          <cell r="G1068">
            <v>2680.1239999999998</v>
          </cell>
          <cell r="H1068">
            <v>55.35</v>
          </cell>
          <cell r="I1068">
            <v>0.24160000000000001</v>
          </cell>
          <cell r="J1068">
            <v>55.35</v>
          </cell>
          <cell r="K1068">
            <v>-0.32</v>
          </cell>
          <cell r="P1068">
            <v>0</v>
          </cell>
        </row>
        <row r="1069">
          <cell r="A1069" t="str">
            <v>LU1883865559</v>
          </cell>
          <cell r="B1069" t="str">
            <v>AMUNDI FUNDS US HIGH YIELD BOND</v>
          </cell>
          <cell r="C1069" t="str">
            <v>Class U AUD Hgd MTD3 (D)</v>
          </cell>
          <cell r="D1069" t="str">
            <v>AUD</v>
          </cell>
          <cell r="E1069" t="str">
            <v>01-Dec-2025</v>
          </cell>
          <cell r="F1069">
            <v>86206.62</v>
          </cell>
          <cell r="G1069">
            <v>3804.5320000000002</v>
          </cell>
          <cell r="H1069">
            <v>22.66</v>
          </cell>
          <cell r="I1069">
            <v>0.1802</v>
          </cell>
          <cell r="J1069">
            <v>22.66</v>
          </cell>
          <cell r="K1069">
            <v>-0.21</v>
          </cell>
          <cell r="P1069">
            <v>0</v>
          </cell>
        </row>
        <row r="1070">
          <cell r="A1070" t="str">
            <v>LU1883865807</v>
          </cell>
          <cell r="B1070" t="str">
            <v>AMUNDI FUNDS US HIGH YIELD BOND</v>
          </cell>
          <cell r="C1070" t="str">
            <v>Class U USD MGI (D)</v>
          </cell>
          <cell r="D1070" t="str">
            <v>USD</v>
          </cell>
          <cell r="E1070" t="str">
            <v>01-Dec-2025</v>
          </cell>
          <cell r="F1070">
            <v>245178.04</v>
          </cell>
          <cell r="G1070">
            <v>4938.268</v>
          </cell>
          <cell r="H1070">
            <v>49.65</v>
          </cell>
          <cell r="I1070">
            <v>0.27320499999999998</v>
          </cell>
          <cell r="J1070">
            <v>49.65</v>
          </cell>
          <cell r="K1070">
            <v>-0.34</v>
          </cell>
          <cell r="P1070">
            <v>0</v>
          </cell>
        </row>
        <row r="1071">
          <cell r="A1071" t="str">
            <v>LU1883865989</v>
          </cell>
          <cell r="B1071" t="str">
            <v>AMUNDI FUNDS US HIGH YIELD BOND</v>
          </cell>
          <cell r="C1071" t="str">
            <v>Class U ZAR Hgd MTD3 (D)</v>
          </cell>
          <cell r="D1071" t="str">
            <v>ZAR</v>
          </cell>
          <cell r="E1071" t="str">
            <v>01-Dec-2025</v>
          </cell>
          <cell r="F1071">
            <v>14009611.98</v>
          </cell>
          <cell r="G1071">
            <v>39472.108999999997</v>
          </cell>
          <cell r="H1071">
            <v>354.92</v>
          </cell>
          <cell r="I1071">
            <v>5.2976999999999999</v>
          </cell>
          <cell r="J1071">
            <v>354.92</v>
          </cell>
          <cell r="K1071">
            <v>-5.79</v>
          </cell>
          <cell r="P1071">
            <v>0</v>
          </cell>
        </row>
        <row r="1072">
          <cell r="A1072" t="str">
            <v>LU1883865716</v>
          </cell>
          <cell r="B1072" t="str">
            <v>AMUNDI FUNDS US HIGH YIELD BOND</v>
          </cell>
          <cell r="C1072" t="str">
            <v>Class U USD MTD3 (D)</v>
          </cell>
          <cell r="D1072" t="str">
            <v>USD</v>
          </cell>
          <cell r="E1072" t="str">
            <v>01-Dec-2025</v>
          </cell>
          <cell r="F1072">
            <v>71600.28</v>
          </cell>
          <cell r="G1072">
            <v>1591.346</v>
          </cell>
          <cell r="H1072">
            <v>44.99</v>
          </cell>
          <cell r="I1072">
            <v>0.40060000000000001</v>
          </cell>
          <cell r="J1072">
            <v>44.99</v>
          </cell>
          <cell r="K1072">
            <v>-0.47</v>
          </cell>
          <cell r="P1072">
            <v>0</v>
          </cell>
        </row>
        <row r="1073">
          <cell r="A1073" t="str">
            <v>LU1883864743</v>
          </cell>
          <cell r="B1073" t="str">
            <v>AMUNDI FUNDS US HIGH YIELD BOND</v>
          </cell>
          <cell r="C1073" t="str">
            <v>Class R2 USD (C)</v>
          </cell>
          <cell r="D1073" t="str">
            <v>USD</v>
          </cell>
          <cell r="E1073" t="str">
            <v>01-Dec-2025</v>
          </cell>
          <cell r="F1073">
            <v>185269.23</v>
          </cell>
          <cell r="G1073">
            <v>1670</v>
          </cell>
          <cell r="H1073">
            <v>110.94</v>
          </cell>
          <cell r="I1073">
            <v>0</v>
          </cell>
          <cell r="J1073">
            <v>110.94</v>
          </cell>
          <cell r="K1073">
            <v>-0.14000000000000001</v>
          </cell>
          <cell r="P1073">
            <v>0</v>
          </cell>
        </row>
        <row r="1074">
          <cell r="A1074" t="str">
            <v>LU2031986636</v>
          </cell>
          <cell r="B1074" t="str">
            <v>AMUNDI FUNDS US HIGH YIELD BOND</v>
          </cell>
          <cell r="C1074" t="str">
            <v>Class Z USD (C)</v>
          </cell>
          <cell r="D1074" t="str">
            <v>USD</v>
          </cell>
          <cell r="E1074" t="str">
            <v>01-Dec-2025</v>
          </cell>
          <cell r="F1074">
            <v>4892264.72</v>
          </cell>
          <cell r="G1074">
            <v>3554</v>
          </cell>
          <cell r="H1074">
            <v>1376.55</v>
          </cell>
          <cell r="I1074">
            <v>0</v>
          </cell>
          <cell r="J1074">
            <v>1376.55</v>
          </cell>
          <cell r="K1074">
            <v>-1.7</v>
          </cell>
          <cell r="P1074">
            <v>0</v>
          </cell>
        </row>
        <row r="1075">
          <cell r="A1075" t="str">
            <v>LU2259111263</v>
          </cell>
          <cell r="B1075" t="str">
            <v>AMUNDI FUNDS OPTIMAL YIELD</v>
          </cell>
          <cell r="C1075" t="str">
            <v>Class A2 EUR AD (D)</v>
          </cell>
          <cell r="D1075" t="str">
            <v>EUR</v>
          </cell>
          <cell r="E1075" t="str">
            <v>01-Dec-2025</v>
          </cell>
          <cell r="F1075">
            <v>19978.93</v>
          </cell>
          <cell r="G1075">
            <v>422.25799999999998</v>
          </cell>
          <cell r="H1075">
            <v>47.31</v>
          </cell>
          <cell r="I1075">
            <v>0</v>
          </cell>
          <cell r="J1075">
            <v>49.44</v>
          </cell>
          <cell r="K1075">
            <v>0</v>
          </cell>
          <cell r="P1075">
            <v>0</v>
          </cell>
        </row>
        <row r="1076">
          <cell r="A1076" t="str">
            <v>LU1883336643</v>
          </cell>
          <cell r="B1076" t="str">
            <v>AMUNDI FUNDS OPTIMAL YIELD</v>
          </cell>
          <cell r="C1076" t="str">
            <v>Class A EUR AD (D)</v>
          </cell>
          <cell r="D1076" t="str">
            <v>EUR</v>
          </cell>
          <cell r="E1076" t="str">
            <v>01-Dec-2025</v>
          </cell>
          <cell r="F1076">
            <v>8549577.0999999996</v>
          </cell>
          <cell r="G1076">
            <v>140331.59599999999</v>
          </cell>
          <cell r="H1076">
            <v>60.92</v>
          </cell>
          <cell r="I1076">
            <v>0</v>
          </cell>
          <cell r="J1076">
            <v>63.36</v>
          </cell>
          <cell r="K1076">
            <v>0.01</v>
          </cell>
          <cell r="P1076">
            <v>0</v>
          </cell>
        </row>
        <row r="1077">
          <cell r="A1077" t="str">
            <v>LU1883336569</v>
          </cell>
          <cell r="B1077" t="str">
            <v>AMUNDI FUNDS OPTIMAL YIELD</v>
          </cell>
          <cell r="C1077" t="str">
            <v>Class A EUR (C)</v>
          </cell>
          <cell r="D1077" t="str">
            <v>EUR</v>
          </cell>
          <cell r="E1077" t="str">
            <v>01-Dec-2025</v>
          </cell>
          <cell r="F1077">
            <v>10862335.699999999</v>
          </cell>
          <cell r="G1077">
            <v>93344.684999999998</v>
          </cell>
          <cell r="H1077">
            <v>116.37</v>
          </cell>
          <cell r="I1077">
            <v>0</v>
          </cell>
          <cell r="J1077">
            <v>121.02</v>
          </cell>
          <cell r="K1077">
            <v>0.02</v>
          </cell>
          <cell r="P1077">
            <v>0</v>
          </cell>
        </row>
        <row r="1078">
          <cell r="A1078" t="str">
            <v>LU2259111180</v>
          </cell>
          <cell r="B1078" t="str">
            <v>AMUNDI FUNDS OPTIMAL YIELD</v>
          </cell>
          <cell r="C1078" t="str">
            <v>Class A2 EUR (C)</v>
          </cell>
          <cell r="D1078" t="str">
            <v>EUR</v>
          </cell>
          <cell r="E1078" t="str">
            <v>01-Dec-2025</v>
          </cell>
          <cell r="F1078">
            <v>5583.54</v>
          </cell>
          <cell r="G1078">
            <v>103.056</v>
          </cell>
          <cell r="H1078">
            <v>54.18</v>
          </cell>
          <cell r="I1078">
            <v>0</v>
          </cell>
          <cell r="J1078">
            <v>56.62</v>
          </cell>
          <cell r="K1078">
            <v>0.01</v>
          </cell>
          <cell r="P1078">
            <v>0</v>
          </cell>
        </row>
        <row r="1079">
          <cell r="A1079" t="str">
            <v>LU1883337021</v>
          </cell>
          <cell r="B1079" t="str">
            <v>AMUNDI FUNDS OPTIMAL YIELD</v>
          </cell>
          <cell r="C1079" t="str">
            <v>Class A USD Hgd MTD (D)</v>
          </cell>
          <cell r="D1079" t="str">
            <v>USD</v>
          </cell>
          <cell r="E1079" t="str">
            <v>01-Dec-2025</v>
          </cell>
          <cell r="F1079">
            <v>599201.02</v>
          </cell>
          <cell r="G1079">
            <v>8123.8</v>
          </cell>
          <cell r="H1079">
            <v>73.760000000000005</v>
          </cell>
          <cell r="I1079">
            <v>0.27500000000000002</v>
          </cell>
          <cell r="J1079">
            <v>76.709999999999994</v>
          </cell>
          <cell r="K1079">
            <v>-0.26</v>
          </cell>
          <cell r="P1079">
            <v>0</v>
          </cell>
        </row>
        <row r="1080">
          <cell r="A1080" t="str">
            <v>LU1883336999</v>
          </cell>
          <cell r="B1080" t="str">
            <v>AMUNDI FUNDS OPTIMAL YIELD</v>
          </cell>
          <cell r="C1080" t="str">
            <v>Class A USD Hgd (C)</v>
          </cell>
          <cell r="D1080" t="str">
            <v>USD</v>
          </cell>
          <cell r="E1080" t="str">
            <v>01-Dec-2025</v>
          </cell>
          <cell r="F1080">
            <v>2095859.9</v>
          </cell>
          <cell r="G1080">
            <v>18740.202000000001</v>
          </cell>
          <cell r="H1080">
            <v>111.84</v>
          </cell>
          <cell r="I1080">
            <v>0</v>
          </cell>
          <cell r="J1080">
            <v>116.31</v>
          </cell>
          <cell r="K1080">
            <v>0.03</v>
          </cell>
          <cell r="P1080">
            <v>0</v>
          </cell>
        </row>
        <row r="1081">
          <cell r="A1081" t="str">
            <v>LU1883338003</v>
          </cell>
          <cell r="B1081" t="str">
            <v>AMUNDI FUNDS OPTIMAL YIELD</v>
          </cell>
          <cell r="C1081" t="str">
            <v>Class M2 EUR (C)</v>
          </cell>
          <cell r="D1081" t="str">
            <v>EUR</v>
          </cell>
          <cell r="E1081" t="str">
            <v>01-Dec-2025</v>
          </cell>
          <cell r="F1081">
            <v>7315412.6900000004</v>
          </cell>
          <cell r="G1081">
            <v>2811.7829999999999</v>
          </cell>
          <cell r="H1081">
            <v>2601.6999999999998</v>
          </cell>
          <cell r="I1081">
            <v>0</v>
          </cell>
          <cell r="J1081">
            <v>2601.6999999999998</v>
          </cell>
          <cell r="K1081">
            <v>0.69</v>
          </cell>
          <cell r="P1081">
            <v>0</v>
          </cell>
        </row>
        <row r="1082">
          <cell r="A1082" t="str">
            <v>LU1883337377</v>
          </cell>
          <cell r="B1082" t="str">
            <v>AMUNDI FUNDS OPTIMAL YIELD</v>
          </cell>
          <cell r="C1082" t="str">
            <v>Class E2 EUR (C)</v>
          </cell>
          <cell r="D1082" t="str">
            <v>EUR</v>
          </cell>
          <cell r="E1082" t="str">
            <v>01-Dec-2025</v>
          </cell>
          <cell r="F1082">
            <v>44845255.090000004</v>
          </cell>
          <cell r="G1082">
            <v>3531743.85</v>
          </cell>
          <cell r="H1082">
            <v>12.698</v>
          </cell>
          <cell r="I1082">
            <v>0</v>
          </cell>
          <cell r="J1082">
            <v>12.698</v>
          </cell>
          <cell r="K1082">
            <v>3.0000000000000001E-3</v>
          </cell>
          <cell r="P1082">
            <v>0</v>
          </cell>
        </row>
        <row r="1083">
          <cell r="A1083" t="str">
            <v>LU1883337534</v>
          </cell>
          <cell r="B1083" t="str">
            <v>AMUNDI FUNDS OPTIMAL YIELD</v>
          </cell>
          <cell r="C1083" t="str">
            <v>Class F EUR (C)</v>
          </cell>
          <cell r="D1083" t="str">
            <v>EUR</v>
          </cell>
          <cell r="E1083" t="str">
            <v>01-Dec-2025</v>
          </cell>
          <cell r="F1083">
            <v>18248970.149999999</v>
          </cell>
          <cell r="G1083">
            <v>1694704.1510000001</v>
          </cell>
          <cell r="H1083">
            <v>10.768000000000001</v>
          </cell>
          <cell r="I1083">
            <v>0</v>
          </cell>
          <cell r="J1083">
            <v>10.768000000000001</v>
          </cell>
          <cell r="K1083">
            <v>1E-3</v>
          </cell>
          <cell r="P1083">
            <v>0</v>
          </cell>
        </row>
        <row r="1084">
          <cell r="A1084" t="str">
            <v>LU1883337617</v>
          </cell>
          <cell r="B1084" t="str">
            <v>AMUNDI FUNDS OPTIMAL YIELD</v>
          </cell>
          <cell r="C1084" t="str">
            <v>Class F EUR QTD (D)</v>
          </cell>
          <cell r="D1084" t="str">
            <v>EUR</v>
          </cell>
          <cell r="E1084" t="str">
            <v>01-Dec-2025</v>
          </cell>
          <cell r="F1084">
            <v>3132886.31</v>
          </cell>
          <cell r="G1084">
            <v>640312.18299999996</v>
          </cell>
          <cell r="H1084">
            <v>4.8929999999999998</v>
          </cell>
          <cell r="I1084">
            <v>0</v>
          </cell>
          <cell r="J1084">
            <v>4.8929999999999998</v>
          </cell>
          <cell r="K1084">
            <v>1E-3</v>
          </cell>
          <cell r="P1084">
            <v>0</v>
          </cell>
        </row>
        <row r="1085">
          <cell r="A1085" t="str">
            <v>LU1883337450</v>
          </cell>
          <cell r="B1085" t="str">
            <v>AMUNDI FUNDS OPTIMAL YIELD</v>
          </cell>
          <cell r="C1085" t="str">
            <v>Class E2 EUR QTD (D)</v>
          </cell>
          <cell r="D1085" t="str">
            <v>EUR</v>
          </cell>
          <cell r="E1085" t="str">
            <v>01-Dec-2025</v>
          </cell>
          <cell r="F1085">
            <v>17488670.140000001</v>
          </cell>
          <cell r="G1085">
            <v>3136544.0380000002</v>
          </cell>
          <cell r="H1085">
            <v>5.5759999999999996</v>
          </cell>
          <cell r="I1085">
            <v>0</v>
          </cell>
          <cell r="J1085">
            <v>5.5759999999999996</v>
          </cell>
          <cell r="K1085">
            <v>1E-3</v>
          </cell>
          <cell r="P1085">
            <v>0</v>
          </cell>
        </row>
        <row r="1086">
          <cell r="A1086" t="str">
            <v>LU1883337708</v>
          </cell>
          <cell r="B1086" t="str">
            <v>AMUNDI FUNDS OPTIMAL YIELD</v>
          </cell>
          <cell r="C1086" t="str">
            <v>Class I2 EUR (C)</v>
          </cell>
          <cell r="D1086" t="str">
            <v>EUR</v>
          </cell>
          <cell r="E1086" t="str">
            <v>01-Dec-2025</v>
          </cell>
          <cell r="F1086">
            <v>46336885.210000001</v>
          </cell>
          <cell r="G1086">
            <v>18942.162</v>
          </cell>
          <cell r="H1086">
            <v>2446.23</v>
          </cell>
          <cell r="I1086">
            <v>0</v>
          </cell>
          <cell r="J1086">
            <v>2446.23</v>
          </cell>
          <cell r="K1086">
            <v>0.66</v>
          </cell>
          <cell r="P1086">
            <v>0</v>
          </cell>
        </row>
        <row r="1087">
          <cell r="A1087" t="str">
            <v>LU1894680088</v>
          </cell>
          <cell r="B1087" t="str">
            <v>AMUNDI FUNDS OPTIMAL YIELD</v>
          </cell>
          <cell r="C1087" t="str">
            <v>Class G EUR QD (D)</v>
          </cell>
          <cell r="D1087" t="str">
            <v>EUR</v>
          </cell>
          <cell r="E1087" t="str">
            <v>01-Dec-2025</v>
          </cell>
          <cell r="F1087">
            <v>1000645.11</v>
          </cell>
          <cell r="G1087">
            <v>215672.08300000001</v>
          </cell>
          <cell r="H1087">
            <v>4.6399999999999997</v>
          </cell>
          <cell r="I1087">
            <v>0</v>
          </cell>
          <cell r="J1087">
            <v>4.6399999999999997</v>
          </cell>
          <cell r="K1087">
            <v>1E-3</v>
          </cell>
          <cell r="P1087">
            <v>0</v>
          </cell>
        </row>
        <row r="1088">
          <cell r="A1088" t="str">
            <v>LU1883338342</v>
          </cell>
          <cell r="B1088" t="str">
            <v>AMUNDI FUNDS OPTIMAL YIELD</v>
          </cell>
          <cell r="C1088" t="str">
            <v>Class R2 EUR AD (D)</v>
          </cell>
          <cell r="D1088" t="str">
            <v>EUR</v>
          </cell>
          <cell r="E1088" t="str">
            <v>01-Dec-2025</v>
          </cell>
          <cell r="F1088">
            <v>44963.35</v>
          </cell>
          <cell r="G1088">
            <v>960.01</v>
          </cell>
          <cell r="H1088">
            <v>46.84</v>
          </cell>
          <cell r="I1088">
            <v>0</v>
          </cell>
          <cell r="J1088">
            <v>46.84</v>
          </cell>
          <cell r="K1088">
            <v>0.02</v>
          </cell>
          <cell r="P1088">
            <v>0</v>
          </cell>
        </row>
        <row r="1089">
          <cell r="A1089" t="str">
            <v>LU1883338268</v>
          </cell>
          <cell r="B1089" t="str">
            <v>AMUNDI FUNDS OPTIMAL YIELD</v>
          </cell>
          <cell r="C1089" t="str">
            <v>Class R2 EUR (C)</v>
          </cell>
          <cell r="D1089" t="str">
            <v>EUR</v>
          </cell>
          <cell r="E1089" t="str">
            <v>01-Dec-2025</v>
          </cell>
          <cell r="F1089">
            <v>288525.17</v>
          </cell>
          <cell r="G1089">
            <v>4160.62</v>
          </cell>
          <cell r="H1089">
            <v>69.349999999999994</v>
          </cell>
          <cell r="I1089">
            <v>0</v>
          </cell>
          <cell r="J1089">
            <v>69.349999999999994</v>
          </cell>
          <cell r="K1089">
            <v>0.02</v>
          </cell>
          <cell r="P1089">
            <v>0</v>
          </cell>
        </row>
        <row r="1090">
          <cell r="A1090" t="str">
            <v>LU1883338425</v>
          </cell>
          <cell r="B1090" t="str">
            <v>AMUNDI FUNDS OPTIMAL YIELD</v>
          </cell>
          <cell r="C1090" t="str">
            <v>Class R2 GBP (C)</v>
          </cell>
          <cell r="D1090" t="str">
            <v>GBP</v>
          </cell>
          <cell r="E1090" t="str">
            <v>01-Dec-2025</v>
          </cell>
          <cell r="F1090">
            <v>158107.35</v>
          </cell>
          <cell r="G1090">
            <v>1669.1790000000001</v>
          </cell>
          <cell r="H1090">
            <v>94.72</v>
          </cell>
          <cell r="I1090">
            <v>0</v>
          </cell>
          <cell r="J1090">
            <v>94.72</v>
          </cell>
          <cell r="K1090">
            <v>0.21</v>
          </cell>
          <cell r="P1090">
            <v>0</v>
          </cell>
        </row>
        <row r="1091">
          <cell r="A1091" t="str">
            <v>LU2176991185</v>
          </cell>
          <cell r="B1091" t="str">
            <v>AMUNDI FUNDS OPTIMAL YIELD</v>
          </cell>
          <cell r="C1091" t="str">
            <v>Class G EUR (C)</v>
          </cell>
          <cell r="D1091" t="str">
            <v>EUR</v>
          </cell>
          <cell r="E1091" t="str">
            <v>01-Dec-2025</v>
          </cell>
          <cell r="F1091">
            <v>409916.7</v>
          </cell>
          <cell r="G1091">
            <v>70912.009999999995</v>
          </cell>
          <cell r="H1091">
            <v>5.7809999999999997</v>
          </cell>
          <cell r="I1091">
            <v>0</v>
          </cell>
          <cell r="J1091">
            <v>5.7809999999999997</v>
          </cell>
          <cell r="K1091">
            <v>1E-3</v>
          </cell>
          <cell r="P1091">
            <v>0</v>
          </cell>
        </row>
        <row r="1092">
          <cell r="A1092" t="str">
            <v>LU1882476010</v>
          </cell>
          <cell r="B1092" t="str">
            <v>AMUNDI FUNDS STRATEGIC BOND</v>
          </cell>
          <cell r="C1092" t="str">
            <v>Class A EUR AD (D)</v>
          </cell>
          <cell r="D1092" t="str">
            <v>EUR</v>
          </cell>
          <cell r="E1092" t="str">
            <v>01-Dec-2025</v>
          </cell>
          <cell r="F1092">
            <v>5587215.1200000001</v>
          </cell>
          <cell r="G1092">
            <v>152651.37100000001</v>
          </cell>
          <cell r="H1092">
            <v>36.6</v>
          </cell>
          <cell r="I1092">
            <v>0</v>
          </cell>
          <cell r="J1092">
            <v>37.700000000000003</v>
          </cell>
          <cell r="K1092">
            <v>-0.03</v>
          </cell>
          <cell r="P1092">
            <v>0</v>
          </cell>
        </row>
        <row r="1093">
          <cell r="A1093" t="str">
            <v>LU1882475988</v>
          </cell>
          <cell r="B1093" t="str">
            <v>AMUNDI FUNDS STRATEGIC BOND</v>
          </cell>
          <cell r="C1093" t="str">
            <v>Class A EUR (C)</v>
          </cell>
          <cell r="D1093" t="str">
            <v>EUR</v>
          </cell>
          <cell r="E1093" t="str">
            <v>01-Dec-2025</v>
          </cell>
          <cell r="F1093">
            <v>35946345.57</v>
          </cell>
          <cell r="G1093">
            <v>330157.98700000002</v>
          </cell>
          <cell r="H1093">
            <v>108.88</v>
          </cell>
          <cell r="I1093">
            <v>0</v>
          </cell>
          <cell r="J1093">
            <v>112.15</v>
          </cell>
          <cell r="K1093">
            <v>-0.09</v>
          </cell>
          <cell r="P1093">
            <v>0</v>
          </cell>
        </row>
        <row r="1094">
          <cell r="A1094" t="str">
            <v>LU3081006002</v>
          </cell>
          <cell r="B1094" t="str">
            <v>AMUNDI FUNDS STRATEGIC BOND</v>
          </cell>
          <cell r="C1094" t="str">
            <v>Class A2 EUR (C)</v>
          </cell>
          <cell r="D1094" t="str">
            <v>EUR</v>
          </cell>
          <cell r="E1094" t="str">
            <v>01-Dec-2025</v>
          </cell>
          <cell r="F1094">
            <v>1164814.68</v>
          </cell>
          <cell r="G1094">
            <v>23318.445</v>
          </cell>
          <cell r="H1094">
            <v>49.95</v>
          </cell>
          <cell r="I1094">
            <v>0</v>
          </cell>
          <cell r="J1094">
            <v>51.45</v>
          </cell>
          <cell r="K1094">
            <v>0</v>
          </cell>
          <cell r="P1094">
            <v>0</v>
          </cell>
        </row>
        <row r="1095">
          <cell r="A1095" t="str">
            <v>LU1882475806</v>
          </cell>
          <cell r="B1095" t="str">
            <v>AMUNDI FUNDS STRATEGIC BOND</v>
          </cell>
          <cell r="C1095" t="str">
            <v>Class A CZK Hgd (C)</v>
          </cell>
          <cell r="D1095" t="str">
            <v>CZK</v>
          </cell>
          <cell r="E1095" t="str">
            <v>01-Dec-2025</v>
          </cell>
          <cell r="F1095">
            <v>1151942524.6199999</v>
          </cell>
          <cell r="G1095">
            <v>613830.02</v>
          </cell>
          <cell r="H1095">
            <v>1876.65</v>
          </cell>
          <cell r="I1095">
            <v>0</v>
          </cell>
          <cell r="J1095">
            <v>1932.95</v>
          </cell>
          <cell r="K1095">
            <v>-1.56</v>
          </cell>
          <cell r="P1095">
            <v>0</v>
          </cell>
        </row>
        <row r="1096">
          <cell r="A1096" t="str">
            <v>LU3206526264</v>
          </cell>
          <cell r="B1096" t="str">
            <v>AMUNDI FUNDS STRATEGIC BOND</v>
          </cell>
          <cell r="C1096" t="str">
            <v>Class A2 USD HMGI(D)</v>
          </cell>
          <cell r="D1096" t="str">
            <v>USD</v>
          </cell>
          <cell r="E1096" t="str">
            <v>01-Dec-2025</v>
          </cell>
          <cell r="F1096">
            <v>726867.21</v>
          </cell>
          <cell r="G1096">
            <v>14500</v>
          </cell>
          <cell r="H1096">
            <v>50.13</v>
          </cell>
          <cell r="I1096">
            <v>0</v>
          </cell>
          <cell r="J1096">
            <v>50.13</v>
          </cell>
          <cell r="K1096">
            <v>-0.04</v>
          </cell>
          <cell r="P1096">
            <v>0</v>
          </cell>
        </row>
        <row r="1097">
          <cell r="A1097" t="str">
            <v>LU1883302827</v>
          </cell>
          <cell r="B1097" t="str">
            <v>AMUNDI FUNDS STRATEGIC BOND</v>
          </cell>
          <cell r="C1097" t="str">
            <v>Class M2 EUR (C)</v>
          </cell>
          <cell r="D1097" t="str">
            <v>EUR</v>
          </cell>
          <cell r="E1097" t="str">
            <v>01-Dec-2025</v>
          </cell>
          <cell r="F1097">
            <v>43071470.880000003</v>
          </cell>
          <cell r="G1097">
            <v>19462.341</v>
          </cell>
          <cell r="H1097">
            <v>2213.0700000000002</v>
          </cell>
          <cell r="I1097">
            <v>0</v>
          </cell>
          <cell r="J1097">
            <v>2213.0700000000002</v>
          </cell>
          <cell r="K1097">
            <v>-1.75</v>
          </cell>
          <cell r="P1097">
            <v>0</v>
          </cell>
        </row>
        <row r="1098">
          <cell r="A1098" t="str">
            <v>LU1883303049</v>
          </cell>
          <cell r="B1098" t="str">
            <v>AMUNDI FUNDS STRATEGIC BOND</v>
          </cell>
          <cell r="C1098" t="str">
            <v>Class M2 EUR AD (D)</v>
          </cell>
          <cell r="D1098" t="str">
            <v>EUR</v>
          </cell>
          <cell r="E1098" t="str">
            <v>01-Dec-2025</v>
          </cell>
          <cell r="F1098">
            <v>284756.88</v>
          </cell>
          <cell r="G1098">
            <v>381.798</v>
          </cell>
          <cell r="H1098">
            <v>745.83</v>
          </cell>
          <cell r="I1098">
            <v>0</v>
          </cell>
          <cell r="J1098">
            <v>745.83</v>
          </cell>
          <cell r="K1098">
            <v>-0.59</v>
          </cell>
          <cell r="P1098">
            <v>0</v>
          </cell>
        </row>
        <row r="1099">
          <cell r="A1099" t="str">
            <v>LU1882476283</v>
          </cell>
          <cell r="B1099" t="str">
            <v>AMUNDI FUNDS STRATEGIC BOND</v>
          </cell>
          <cell r="C1099" t="str">
            <v>Class E2 EUR (C)</v>
          </cell>
          <cell r="D1099" t="str">
            <v>EUR</v>
          </cell>
          <cell r="E1099" t="str">
            <v>01-Dec-2025</v>
          </cell>
          <cell r="F1099">
            <v>124834555.73</v>
          </cell>
          <cell r="G1099">
            <v>10313820.136</v>
          </cell>
          <cell r="H1099">
            <v>12.103999999999999</v>
          </cell>
          <cell r="I1099">
            <v>0</v>
          </cell>
          <cell r="J1099">
            <v>12.103999999999999</v>
          </cell>
          <cell r="K1099">
            <v>-0.01</v>
          </cell>
          <cell r="P1099">
            <v>0</v>
          </cell>
        </row>
        <row r="1100">
          <cell r="A1100" t="str">
            <v>LU1882476366</v>
          </cell>
          <cell r="B1100" t="str">
            <v>AMUNDI FUNDS STRATEGIC BOND</v>
          </cell>
          <cell r="C1100" t="str">
            <v>Class E2 EUR AD (D)</v>
          </cell>
          <cell r="D1100" t="str">
            <v>EUR</v>
          </cell>
          <cell r="E1100" t="str">
            <v>01-Dec-2025</v>
          </cell>
          <cell r="F1100">
            <v>45903398.880000003</v>
          </cell>
          <cell r="G1100">
            <v>12832644.99</v>
          </cell>
          <cell r="H1100">
            <v>3.577</v>
          </cell>
          <cell r="I1100">
            <v>0</v>
          </cell>
          <cell r="J1100">
            <v>3.577</v>
          </cell>
          <cell r="K1100">
            <v>-3.0000000000000001E-3</v>
          </cell>
          <cell r="P1100">
            <v>0</v>
          </cell>
        </row>
        <row r="1101">
          <cell r="A1101" t="str">
            <v>LU1882476796</v>
          </cell>
          <cell r="B1101" t="str">
            <v>AMUNDI FUNDS STRATEGIC BOND</v>
          </cell>
          <cell r="C1101" t="str">
            <v>Class F EUR AD (D)</v>
          </cell>
          <cell r="D1101" t="str">
            <v>EUR</v>
          </cell>
          <cell r="E1101" t="str">
            <v>01-Dec-2025</v>
          </cell>
          <cell r="F1101">
            <v>7965821.9800000004</v>
          </cell>
          <cell r="G1101">
            <v>2242738.804</v>
          </cell>
          <cell r="H1101">
            <v>3.552</v>
          </cell>
          <cell r="I1101">
            <v>0</v>
          </cell>
          <cell r="J1101">
            <v>3.552</v>
          </cell>
          <cell r="K1101">
            <v>-3.0000000000000001E-3</v>
          </cell>
          <cell r="P1101">
            <v>0</v>
          </cell>
        </row>
        <row r="1102">
          <cell r="A1102" t="str">
            <v>LU1882476523</v>
          </cell>
          <cell r="B1102" t="str">
            <v>AMUNDI FUNDS STRATEGIC BOND</v>
          </cell>
          <cell r="C1102" t="str">
            <v>Class F EUR (C)</v>
          </cell>
          <cell r="D1102" t="str">
            <v>EUR</v>
          </cell>
          <cell r="E1102" t="str">
            <v>01-Dec-2025</v>
          </cell>
          <cell r="F1102">
            <v>51219527.859999999</v>
          </cell>
          <cell r="G1102">
            <v>5275758.9989999998</v>
          </cell>
          <cell r="H1102">
            <v>9.7080000000000002</v>
          </cell>
          <cell r="I1102">
            <v>0</v>
          </cell>
          <cell r="J1102">
            <v>9.7080000000000002</v>
          </cell>
          <cell r="K1102">
            <v>-8.9999999999999993E-3</v>
          </cell>
          <cell r="P1102">
            <v>0</v>
          </cell>
        </row>
        <row r="1103">
          <cell r="A1103" t="str">
            <v>LU1882476879</v>
          </cell>
          <cell r="B1103" t="str">
            <v>AMUNDI FUNDS STRATEGIC BOND</v>
          </cell>
          <cell r="C1103" t="str">
            <v>Class F EUR QTD (D)</v>
          </cell>
          <cell r="D1103" t="str">
            <v>EUR</v>
          </cell>
          <cell r="E1103" t="str">
            <v>01-Dec-2025</v>
          </cell>
          <cell r="F1103">
            <v>16692302.34</v>
          </cell>
          <cell r="G1103">
            <v>3792716.1680000001</v>
          </cell>
          <cell r="H1103">
            <v>4.4009999999999998</v>
          </cell>
          <cell r="I1103">
            <v>0</v>
          </cell>
          <cell r="J1103">
            <v>4.4009999999999998</v>
          </cell>
          <cell r="K1103">
            <v>-4.0000000000000001E-3</v>
          </cell>
          <cell r="P1103">
            <v>0</v>
          </cell>
        </row>
        <row r="1104">
          <cell r="A1104" t="str">
            <v>LU1883302744</v>
          </cell>
          <cell r="B1104" t="str">
            <v>AMUNDI FUNDS STRATEGIC BOND</v>
          </cell>
          <cell r="C1104" t="str">
            <v>Class I2 EUR QD (D)</v>
          </cell>
          <cell r="D1104" t="str">
            <v>EUR</v>
          </cell>
          <cell r="E1104" t="str">
            <v>01-Dec-2025</v>
          </cell>
          <cell r="F1104">
            <v>5286123.62</v>
          </cell>
          <cell r="G1104">
            <v>7432.1220000000003</v>
          </cell>
          <cell r="H1104">
            <v>711.25</v>
          </cell>
          <cell r="I1104">
            <v>0</v>
          </cell>
          <cell r="J1104">
            <v>711.25</v>
          </cell>
          <cell r="K1104">
            <v>-0.56999999999999995</v>
          </cell>
          <cell r="P1104">
            <v>0</v>
          </cell>
        </row>
        <row r="1105">
          <cell r="A1105" t="str">
            <v>LU3206526009</v>
          </cell>
          <cell r="B1105" t="str">
            <v>AMUNDI FUNDS STRATEGIC BOND</v>
          </cell>
          <cell r="C1105" t="str">
            <v>Class I2 USD Hgd (C)</v>
          </cell>
          <cell r="D1105" t="str">
            <v>USD</v>
          </cell>
          <cell r="E1105" t="str">
            <v>01-Dec-2025</v>
          </cell>
          <cell r="F1105">
            <v>877547.92</v>
          </cell>
          <cell r="G1105">
            <v>875</v>
          </cell>
          <cell r="H1105">
            <v>1002.91</v>
          </cell>
          <cell r="I1105">
            <v>0</v>
          </cell>
          <cell r="J1105">
            <v>1002.91</v>
          </cell>
          <cell r="K1105">
            <v>-0.75</v>
          </cell>
          <cell r="P1105">
            <v>0</v>
          </cell>
        </row>
        <row r="1106">
          <cell r="A1106" t="str">
            <v>LU1882476440</v>
          </cell>
          <cell r="B1106" t="str">
            <v>AMUNDI FUNDS STRATEGIC BOND</v>
          </cell>
          <cell r="C1106" t="str">
            <v>Class E2 EUR QTD (D)</v>
          </cell>
          <cell r="D1106" t="str">
            <v>EUR</v>
          </cell>
          <cell r="E1106" t="str">
            <v>01-Dec-2025</v>
          </cell>
          <cell r="F1106">
            <v>76672485.840000004</v>
          </cell>
          <cell r="G1106">
            <v>15959625.872</v>
          </cell>
          <cell r="H1106">
            <v>4.8040000000000003</v>
          </cell>
          <cell r="I1106">
            <v>0</v>
          </cell>
          <cell r="J1106">
            <v>4.8040000000000003</v>
          </cell>
          <cell r="K1106">
            <v>-4.0000000000000001E-3</v>
          </cell>
          <cell r="P1106">
            <v>0</v>
          </cell>
        </row>
        <row r="1107">
          <cell r="A1107" t="str">
            <v>LU1883302660</v>
          </cell>
          <cell r="B1107" t="str">
            <v>AMUNDI FUNDS STRATEGIC BOND</v>
          </cell>
          <cell r="C1107" t="str">
            <v>Class I2 EUR (C)</v>
          </cell>
          <cell r="D1107" t="str">
            <v>EUR</v>
          </cell>
          <cell r="E1107" t="str">
            <v>01-Dec-2025</v>
          </cell>
          <cell r="F1107">
            <v>2918153.31</v>
          </cell>
          <cell r="G1107">
            <v>22179.098999999998</v>
          </cell>
          <cell r="H1107">
            <v>131.57</v>
          </cell>
          <cell r="I1107">
            <v>0</v>
          </cell>
          <cell r="J1107">
            <v>131.57</v>
          </cell>
          <cell r="K1107">
            <v>-0.11</v>
          </cell>
          <cell r="P1107">
            <v>0</v>
          </cell>
        </row>
        <row r="1108">
          <cell r="A1108" t="str">
            <v>LU1894679072</v>
          </cell>
          <cell r="B1108" t="str">
            <v>AMUNDI FUNDS STRATEGIC BOND</v>
          </cell>
          <cell r="C1108" t="str">
            <v>Class G EUR AD (D)</v>
          </cell>
          <cell r="D1108" t="str">
            <v>EUR</v>
          </cell>
          <cell r="E1108" t="str">
            <v>01-Dec-2025</v>
          </cell>
          <cell r="F1108">
            <v>2887670.41</v>
          </cell>
          <cell r="G1108">
            <v>742564.473</v>
          </cell>
          <cell r="H1108">
            <v>3.8889999999999998</v>
          </cell>
          <cell r="I1108">
            <v>0</v>
          </cell>
          <cell r="J1108">
            <v>3.8889999999999998</v>
          </cell>
          <cell r="K1108">
            <v>-3.0000000000000001E-3</v>
          </cell>
          <cell r="P1108">
            <v>0</v>
          </cell>
        </row>
        <row r="1109">
          <cell r="A1109" t="str">
            <v>LU1894679155</v>
          </cell>
          <cell r="B1109" t="str">
            <v>AMUNDI FUNDS STRATEGIC BOND</v>
          </cell>
          <cell r="C1109" t="str">
            <v>Class G EUR QD (D)</v>
          </cell>
          <cell r="D1109" t="str">
            <v>EUR</v>
          </cell>
          <cell r="E1109" t="str">
            <v>01-Dec-2025</v>
          </cell>
          <cell r="F1109">
            <v>502904.27</v>
          </cell>
          <cell r="G1109">
            <v>130197.787</v>
          </cell>
          <cell r="H1109">
            <v>3.863</v>
          </cell>
          <cell r="I1109">
            <v>0</v>
          </cell>
          <cell r="J1109">
            <v>3.863</v>
          </cell>
          <cell r="K1109">
            <v>-3.0000000000000001E-3</v>
          </cell>
          <cell r="P1109">
            <v>0</v>
          </cell>
        </row>
        <row r="1110">
          <cell r="A1110" t="str">
            <v>LU1883303395</v>
          </cell>
          <cell r="B1110" t="str">
            <v>AMUNDI FUNDS STRATEGIC BOND</v>
          </cell>
          <cell r="C1110" t="str">
            <v>Class R2 EUR (C)</v>
          </cell>
          <cell r="D1110" t="str">
            <v>EUR</v>
          </cell>
          <cell r="E1110" t="str">
            <v>01-Dec-2025</v>
          </cell>
          <cell r="F1110">
            <v>199617.98</v>
          </cell>
          <cell r="G1110">
            <v>3001.3870000000002</v>
          </cell>
          <cell r="H1110">
            <v>66.510000000000005</v>
          </cell>
          <cell r="I1110">
            <v>0</v>
          </cell>
          <cell r="J1110">
            <v>66.510000000000005</v>
          </cell>
          <cell r="K1110">
            <v>-0.05</v>
          </cell>
          <cell r="P1110">
            <v>0</v>
          </cell>
        </row>
        <row r="1111">
          <cell r="A1111" t="str">
            <v>LU2585852598</v>
          </cell>
          <cell r="B1111" t="str">
            <v>AMUNDI FUNDS US SHORT TERM BOND</v>
          </cell>
          <cell r="C1111" t="str">
            <v>Class A2 USD MTD3 (D)</v>
          </cell>
          <cell r="D1111" t="str">
            <v>USD</v>
          </cell>
          <cell r="E1111" t="str">
            <v>01-Dec-2025</v>
          </cell>
          <cell r="F1111">
            <v>370061407.25999999</v>
          </cell>
          <cell r="G1111">
            <v>7517628.091</v>
          </cell>
          <cell r="H1111">
            <v>49.23</v>
          </cell>
          <cell r="I1111">
            <v>0.24929999999999999</v>
          </cell>
          <cell r="J1111">
            <v>49.23</v>
          </cell>
          <cell r="K1111">
            <v>-0.23</v>
          </cell>
          <cell r="P1111">
            <v>0</v>
          </cell>
        </row>
        <row r="1112">
          <cell r="A1112" t="str">
            <v>LU3036603218</v>
          </cell>
          <cell r="B1112" t="str">
            <v>AMUNDI FUNDS US SHORT TERM BOND</v>
          </cell>
          <cell r="C1112" t="str">
            <v>Class A2 HKD (C)</v>
          </cell>
          <cell r="D1112" t="str">
            <v>HKD</v>
          </cell>
          <cell r="E1112" t="str">
            <v>01-Dec-2025</v>
          </cell>
          <cell r="F1112">
            <v>238532772.66999999</v>
          </cell>
          <cell r="G1112">
            <v>4611489.6720000003</v>
          </cell>
          <cell r="H1112">
            <v>51.73</v>
          </cell>
          <cell r="I1112">
            <v>0</v>
          </cell>
          <cell r="J1112">
            <v>51.73</v>
          </cell>
          <cell r="K1112">
            <v>0.04</v>
          </cell>
          <cell r="P1112">
            <v>0</v>
          </cell>
        </row>
        <row r="1113">
          <cell r="A1113" t="str">
            <v>LU2574252669</v>
          </cell>
          <cell r="B1113" t="str">
            <v>AMUNDI FUNDS US SHORT TERM BOND</v>
          </cell>
          <cell r="C1113" t="str">
            <v>Class A2 USD MD (D)</v>
          </cell>
          <cell r="D1113" t="str">
            <v>USD</v>
          </cell>
          <cell r="E1113" t="str">
            <v>01-Dec-2025</v>
          </cell>
          <cell r="F1113">
            <v>5866047</v>
          </cell>
          <cell r="G1113">
            <v>115722.421</v>
          </cell>
          <cell r="H1113">
            <v>50.69</v>
          </cell>
          <cell r="I1113">
            <v>0</v>
          </cell>
          <cell r="J1113">
            <v>50.69</v>
          </cell>
          <cell r="K1113">
            <v>0.01</v>
          </cell>
          <cell r="P1113">
            <v>0</v>
          </cell>
        </row>
        <row r="1114">
          <cell r="A1114" t="str">
            <v>LU3221878740</v>
          </cell>
          <cell r="B1114" t="str">
            <v>AMUNDI FUNDS US SHORT TERM BOND</v>
          </cell>
          <cell r="C1114" t="str">
            <v>Class A24 USD (C)</v>
          </cell>
          <cell r="D1114" t="str">
            <v>USD</v>
          </cell>
          <cell r="E1114" t="str">
            <v>01-Dec-2025</v>
          </cell>
          <cell r="F1114">
            <v>5014.3100000000004</v>
          </cell>
          <cell r="G1114">
            <v>100</v>
          </cell>
          <cell r="H1114">
            <v>50.14</v>
          </cell>
          <cell r="I1114">
            <v>0</v>
          </cell>
          <cell r="J1114">
            <v>50.14</v>
          </cell>
          <cell r="K1114">
            <v>0.01</v>
          </cell>
          <cell r="P1114">
            <v>0</v>
          </cell>
        </row>
        <row r="1115">
          <cell r="A1115" t="str">
            <v>LU3110460980</v>
          </cell>
          <cell r="B1115" t="str">
            <v>AMUNDI FUNDS US SHORT TERM BOND</v>
          </cell>
          <cell r="C1115" t="str">
            <v>Class A2 CAD Hgd MTD3 (D)</v>
          </cell>
          <cell r="D1115" t="str">
            <v>CAD</v>
          </cell>
          <cell r="E1115" t="str">
            <v>01-Dec-2025</v>
          </cell>
          <cell r="F1115">
            <v>1674006.63</v>
          </cell>
          <cell r="G1115">
            <v>33673.125</v>
          </cell>
          <cell r="H1115">
            <v>49.71</v>
          </cell>
          <cell r="I1115">
            <v>0.17929999999999999</v>
          </cell>
          <cell r="J1115">
            <v>49.71</v>
          </cell>
          <cell r="K1115">
            <v>-0.17</v>
          </cell>
          <cell r="P1115">
            <v>0</v>
          </cell>
        </row>
        <row r="1116">
          <cell r="A1116" t="str">
            <v>LU2976322565</v>
          </cell>
          <cell r="B1116" t="str">
            <v>AMUNDI FUNDS US SHORT TERM BOND</v>
          </cell>
          <cell r="C1116" t="str">
            <v>Class A2 GBP Hgd MTD3 (D)</v>
          </cell>
          <cell r="D1116" t="str">
            <v>GBP</v>
          </cell>
          <cell r="E1116" t="str">
            <v>01-Dec-2025</v>
          </cell>
          <cell r="F1116">
            <v>8483120.4299999997</v>
          </cell>
          <cell r="G1116">
            <v>173342.99400000001</v>
          </cell>
          <cell r="H1116">
            <v>48.94</v>
          </cell>
          <cell r="I1116">
            <v>0.245</v>
          </cell>
          <cell r="J1116">
            <v>48.94</v>
          </cell>
          <cell r="K1116">
            <v>-0.23</v>
          </cell>
          <cell r="P1116">
            <v>0</v>
          </cell>
        </row>
        <row r="1117">
          <cell r="A1117" t="str">
            <v>LU2741907526</v>
          </cell>
          <cell r="B1117" t="str">
            <v>AMUNDI FUNDS US SHORT TERM BOND</v>
          </cell>
          <cell r="C1117" t="str">
            <v>Class A2 USD MGI (D)</v>
          </cell>
          <cell r="D1117" t="str">
            <v>USD</v>
          </cell>
          <cell r="E1117" t="str">
            <v>01-Dec-2025</v>
          </cell>
          <cell r="F1117">
            <v>9205102.1899999995</v>
          </cell>
          <cell r="G1117">
            <v>185072.51699999999</v>
          </cell>
          <cell r="H1117">
            <v>49.74</v>
          </cell>
          <cell r="I1117">
            <v>0.198681</v>
          </cell>
          <cell r="J1117">
            <v>49.74</v>
          </cell>
          <cell r="K1117">
            <v>-0.18</v>
          </cell>
          <cell r="P1117">
            <v>0</v>
          </cell>
        </row>
        <row r="1118">
          <cell r="A1118" t="str">
            <v>LU2585852671</v>
          </cell>
          <cell r="B1118" t="str">
            <v>AMUNDI FUNDS US SHORT TERM BOND</v>
          </cell>
          <cell r="C1118" t="str">
            <v>Class A2 HKD MTD3 (D)</v>
          </cell>
          <cell r="D1118" t="str">
            <v>HKD</v>
          </cell>
          <cell r="E1118" t="str">
            <v>01-Dec-2025</v>
          </cell>
          <cell r="F1118">
            <v>4136135547.9200001</v>
          </cell>
          <cell r="G1118">
            <v>84922111.071999997</v>
          </cell>
          <cell r="H1118">
            <v>48.71</v>
          </cell>
          <cell r="I1118">
            <v>0.24160000000000001</v>
          </cell>
          <cell r="J1118">
            <v>48.71</v>
          </cell>
          <cell r="K1118">
            <v>-0.21</v>
          </cell>
          <cell r="P1118">
            <v>0</v>
          </cell>
        </row>
        <row r="1119">
          <cell r="A1119" t="str">
            <v>LU2585852838</v>
          </cell>
          <cell r="B1119" t="str">
            <v>AMUNDI FUNDS US SHORT TERM BOND</v>
          </cell>
          <cell r="C1119" t="str">
            <v>Class A2 RMB Hgd MTD3 (D)</v>
          </cell>
          <cell r="D1119" t="str">
            <v>CNH</v>
          </cell>
          <cell r="E1119" t="str">
            <v>01-Dec-2025</v>
          </cell>
          <cell r="F1119">
            <v>167341698.38</v>
          </cell>
          <cell r="G1119">
            <v>3422155.6260000002</v>
          </cell>
          <cell r="H1119">
            <v>48.9</v>
          </cell>
          <cell r="I1119">
            <v>0.14510000000000001</v>
          </cell>
          <cell r="J1119">
            <v>48.9</v>
          </cell>
          <cell r="K1119">
            <v>-0.14000000000000001</v>
          </cell>
          <cell r="P1119">
            <v>0</v>
          </cell>
        </row>
        <row r="1120">
          <cell r="A1120" t="str">
            <v>LU2741907443</v>
          </cell>
          <cell r="B1120" t="str">
            <v>AMUNDI FUNDS US SHORT TERM BOND</v>
          </cell>
          <cell r="C1120" t="str">
            <v>Class A2 SGD Hgd MGI (D)</v>
          </cell>
          <cell r="D1120" t="str">
            <v>SGD</v>
          </cell>
          <cell r="E1120" t="str">
            <v>01-Dec-2025</v>
          </cell>
          <cell r="F1120">
            <v>12925885.949999999</v>
          </cell>
          <cell r="G1120">
            <v>264286.39500000002</v>
          </cell>
          <cell r="H1120">
            <v>48.91</v>
          </cell>
          <cell r="I1120">
            <v>0.19448199999999999</v>
          </cell>
          <cell r="J1120">
            <v>48.91</v>
          </cell>
          <cell r="K1120">
            <v>-0.18</v>
          </cell>
          <cell r="P1120">
            <v>0</v>
          </cell>
        </row>
        <row r="1121">
          <cell r="A1121" t="str">
            <v>LU2741907369</v>
          </cell>
          <cell r="B1121" t="str">
            <v>AMUNDI FUNDS US SHORT TERM BOND</v>
          </cell>
          <cell r="C1121" t="str">
            <v>Class A2 SGD Hgd (C)</v>
          </cell>
          <cell r="D1121" t="str">
            <v>SGD</v>
          </cell>
          <cell r="E1121" t="str">
            <v>01-Dec-2025</v>
          </cell>
          <cell r="F1121">
            <v>9173912.7599999998</v>
          </cell>
          <cell r="G1121">
            <v>180862.011</v>
          </cell>
          <cell r="H1121">
            <v>50.72</v>
          </cell>
          <cell r="I1121">
            <v>0</v>
          </cell>
          <cell r="J1121">
            <v>50.72</v>
          </cell>
          <cell r="K1121">
            <v>0.01</v>
          </cell>
          <cell r="P1121">
            <v>0</v>
          </cell>
        </row>
        <row r="1122">
          <cell r="A1122" t="str">
            <v>LU2585852754</v>
          </cell>
          <cell r="B1122" t="str">
            <v>AMUNDI FUNDS US SHORT TERM BOND</v>
          </cell>
          <cell r="C1122" t="str">
            <v>Class A2 AUD Hgd MTD3 (D)</v>
          </cell>
          <cell r="D1122" t="str">
            <v>AUD</v>
          </cell>
          <cell r="E1122" t="str">
            <v>01-Dec-2025</v>
          </cell>
          <cell r="F1122">
            <v>96049650.269999996</v>
          </cell>
          <cell r="G1122">
            <v>1961926.0179999999</v>
          </cell>
          <cell r="H1122">
            <v>48.96</v>
          </cell>
          <cell r="I1122">
            <v>0.2276</v>
          </cell>
          <cell r="J1122">
            <v>48.96</v>
          </cell>
          <cell r="K1122">
            <v>-0.21</v>
          </cell>
          <cell r="P1122">
            <v>0</v>
          </cell>
        </row>
        <row r="1123">
          <cell r="A1123" t="str">
            <v>LU2596443304</v>
          </cell>
          <cell r="B1123" t="str">
            <v>AMUNDI FUNDS US SHORT TERM BOND</v>
          </cell>
          <cell r="C1123" t="str">
            <v>Class A2 ZAR Hgd MTD3 (D)</v>
          </cell>
          <cell r="D1123" t="str">
            <v>ZAR</v>
          </cell>
          <cell r="E1123" t="str">
            <v>01-Dec-2025</v>
          </cell>
          <cell r="F1123">
            <v>2268667.77</v>
          </cell>
          <cell r="G1123">
            <v>2000</v>
          </cell>
          <cell r="H1123">
            <v>1134.33</v>
          </cell>
          <cell r="I1123">
            <v>0</v>
          </cell>
          <cell r="J1123">
            <v>1134.33</v>
          </cell>
          <cell r="K1123">
            <v>0.34</v>
          </cell>
          <cell r="P1123">
            <v>0</v>
          </cell>
        </row>
        <row r="1124">
          <cell r="A1124" t="str">
            <v>LU2596443056</v>
          </cell>
          <cell r="B1124" t="str">
            <v>AMUNDI FUNDS US SHORT TERM BOND</v>
          </cell>
          <cell r="C1124" t="str">
            <v>Class B ZAR Hgd MTD3 (D)</v>
          </cell>
          <cell r="D1124" t="str">
            <v>ZAR</v>
          </cell>
          <cell r="E1124" t="str">
            <v>01-Dec-2025</v>
          </cell>
          <cell r="F1124">
            <v>2206371.17</v>
          </cell>
          <cell r="G1124">
            <v>2000</v>
          </cell>
          <cell r="H1124">
            <v>1103.19</v>
          </cell>
          <cell r="I1124">
            <v>0</v>
          </cell>
          <cell r="J1124">
            <v>1103.19</v>
          </cell>
          <cell r="K1124">
            <v>0.26</v>
          </cell>
          <cell r="P1124">
            <v>0</v>
          </cell>
        </row>
        <row r="1125">
          <cell r="A1125" t="str">
            <v>LU2596443130</v>
          </cell>
          <cell r="B1125" t="str">
            <v>AMUNDI FUNDS US SHORT TERM BOND</v>
          </cell>
          <cell r="C1125" t="str">
            <v>Class B USD MTD3 (D)</v>
          </cell>
          <cell r="D1125" t="str">
            <v>USD</v>
          </cell>
          <cell r="E1125" t="str">
            <v>01-Dec-2025</v>
          </cell>
          <cell r="F1125">
            <v>5362.31</v>
          </cell>
          <cell r="G1125">
            <v>100</v>
          </cell>
          <cell r="H1125">
            <v>53.62</v>
          </cell>
          <cell r="I1125">
            <v>0</v>
          </cell>
          <cell r="J1125">
            <v>53.62</v>
          </cell>
          <cell r="K1125">
            <v>0.01</v>
          </cell>
          <cell r="P1125">
            <v>0</v>
          </cell>
        </row>
        <row r="1126">
          <cell r="A1126" t="str">
            <v>LU1882443432</v>
          </cell>
          <cell r="B1126" t="str">
            <v>AMUNDI FUNDS US SHORT TERM BOND</v>
          </cell>
          <cell r="C1126" t="str">
            <v>Class M2 EUR (C)</v>
          </cell>
          <cell r="D1126" t="str">
            <v>EUR</v>
          </cell>
          <cell r="E1126" t="str">
            <v>01-Dec-2025</v>
          </cell>
          <cell r="F1126">
            <v>6643556.0300000003</v>
          </cell>
          <cell r="G1126">
            <v>3494.83</v>
          </cell>
          <cell r="H1126">
            <v>1900.97</v>
          </cell>
          <cell r="I1126">
            <v>0</v>
          </cell>
          <cell r="J1126">
            <v>1900.97</v>
          </cell>
          <cell r="K1126">
            <v>-3.45</v>
          </cell>
          <cell r="P1126">
            <v>0</v>
          </cell>
        </row>
        <row r="1127">
          <cell r="A1127" t="str">
            <v>LU1882442467</v>
          </cell>
          <cell r="B1127" t="str">
            <v>AMUNDI FUNDS US SHORT TERM BOND</v>
          </cell>
          <cell r="C1127" t="str">
            <v>Class B USD (C)</v>
          </cell>
          <cell r="D1127" t="str">
            <v>USD</v>
          </cell>
          <cell r="E1127" t="str">
            <v>01-Dec-2025</v>
          </cell>
          <cell r="F1127">
            <v>19078898.149999999</v>
          </cell>
          <cell r="G1127">
            <v>3193237.2119999998</v>
          </cell>
          <cell r="H1127">
            <v>5.97</v>
          </cell>
          <cell r="I1127">
            <v>0</v>
          </cell>
          <cell r="J1127">
            <v>5.97</v>
          </cell>
          <cell r="K1127">
            <v>0</v>
          </cell>
          <cell r="P1127">
            <v>0</v>
          </cell>
        </row>
        <row r="1128">
          <cell r="A1128" t="str">
            <v>LU1882442202</v>
          </cell>
          <cell r="B1128" t="str">
            <v>AMUNDI FUNDS US SHORT TERM BOND</v>
          </cell>
          <cell r="C1128" t="str">
            <v>Class A2 USD MTD (D)</v>
          </cell>
          <cell r="D1128" t="str">
            <v>USD</v>
          </cell>
          <cell r="E1128" t="str">
            <v>01-Dec-2025</v>
          </cell>
          <cell r="F1128">
            <v>40856922.630000003</v>
          </cell>
          <cell r="G1128">
            <v>7890301.8300000001</v>
          </cell>
          <cell r="H1128">
            <v>5.18</v>
          </cell>
          <cell r="I1128">
            <v>2.1999999999999999E-2</v>
          </cell>
          <cell r="J1128">
            <v>5.28</v>
          </cell>
          <cell r="K1128">
            <v>-0.02</v>
          </cell>
          <cell r="P1128">
            <v>0</v>
          </cell>
        </row>
        <row r="1129">
          <cell r="A1129" t="str">
            <v>LU1882441816</v>
          </cell>
          <cell r="B1129" t="str">
            <v>AMUNDI FUNDS US SHORT TERM BOND</v>
          </cell>
          <cell r="C1129" t="str">
            <v>Class A2 EUR (C)</v>
          </cell>
          <cell r="D1129" t="str">
            <v>EUR</v>
          </cell>
          <cell r="E1129" t="str">
            <v>01-Dec-2025</v>
          </cell>
          <cell r="F1129">
            <v>13710035.57</v>
          </cell>
          <cell r="G1129">
            <v>1945559.8389999999</v>
          </cell>
          <cell r="H1129">
            <v>7.05</v>
          </cell>
          <cell r="I1129">
            <v>0</v>
          </cell>
          <cell r="J1129">
            <v>7.19</v>
          </cell>
          <cell r="K1129">
            <v>-0.01</v>
          </cell>
          <cell r="P1129">
            <v>0</v>
          </cell>
        </row>
        <row r="1130">
          <cell r="A1130" t="str">
            <v>LU1882443192</v>
          </cell>
          <cell r="B1130" t="str">
            <v>AMUNDI FUNDS US SHORT TERM BOND</v>
          </cell>
          <cell r="C1130" t="str">
            <v>Class E2 EUR (C)</v>
          </cell>
          <cell r="D1130" t="str">
            <v>EUR</v>
          </cell>
          <cell r="E1130" t="str">
            <v>01-Dec-2025</v>
          </cell>
          <cell r="F1130">
            <v>18865718.32</v>
          </cell>
          <cell r="G1130">
            <v>2597944.0950000002</v>
          </cell>
          <cell r="H1130">
            <v>7.2619999999999996</v>
          </cell>
          <cell r="I1130">
            <v>0</v>
          </cell>
          <cell r="J1130">
            <v>7.2619999999999996</v>
          </cell>
          <cell r="K1130">
            <v>-1.2999999999999999E-2</v>
          </cell>
          <cell r="P1130">
            <v>0</v>
          </cell>
        </row>
        <row r="1131">
          <cell r="A1131" t="str">
            <v>LU1882443275</v>
          </cell>
          <cell r="B1131" t="str">
            <v>AMUNDI FUNDS US SHORT TERM BOND</v>
          </cell>
          <cell r="C1131" t="str">
            <v>Class F EUR (C)</v>
          </cell>
          <cell r="D1131" t="str">
            <v>EUR</v>
          </cell>
          <cell r="E1131" t="str">
            <v>01-Dec-2025</v>
          </cell>
          <cell r="F1131">
            <v>11676584.539999999</v>
          </cell>
          <cell r="G1131">
            <v>1765458.1</v>
          </cell>
          <cell r="H1131">
            <v>6.6139999999999999</v>
          </cell>
          <cell r="I1131">
            <v>0</v>
          </cell>
          <cell r="J1131">
            <v>6.6139999999999999</v>
          </cell>
          <cell r="K1131">
            <v>-1.2E-2</v>
          </cell>
          <cell r="P1131">
            <v>0</v>
          </cell>
        </row>
        <row r="1132">
          <cell r="A1132" t="str">
            <v>LU3221879045</v>
          </cell>
          <cell r="B1132" t="str">
            <v>AMUNDI FUNDS US SHORT TERM BOND</v>
          </cell>
          <cell r="C1132" t="str">
            <v>Class I24 USD (C)</v>
          </cell>
          <cell r="D1132" t="str">
            <v>USD</v>
          </cell>
          <cell r="E1132" t="str">
            <v>01-Dec-2025</v>
          </cell>
          <cell r="F1132">
            <v>5015.6000000000004</v>
          </cell>
          <cell r="G1132">
            <v>5</v>
          </cell>
          <cell r="H1132">
            <v>1003.12</v>
          </cell>
          <cell r="I1132">
            <v>0</v>
          </cell>
          <cell r="J1132">
            <v>1003.12</v>
          </cell>
          <cell r="K1132">
            <v>0.3</v>
          </cell>
          <cell r="P1132">
            <v>0</v>
          </cell>
        </row>
        <row r="1133">
          <cell r="A1133" t="str">
            <v>LU1882443358</v>
          </cell>
          <cell r="B1133" t="str">
            <v>AMUNDI FUNDS US SHORT TERM BOND</v>
          </cell>
          <cell r="C1133" t="str">
            <v>Class I2 USD (C)</v>
          </cell>
          <cell r="D1133" t="str">
            <v>USD</v>
          </cell>
          <cell r="E1133" t="str">
            <v>01-Dec-2025</v>
          </cell>
          <cell r="F1133">
            <v>322142450.14999998</v>
          </cell>
          <cell r="G1133">
            <v>130121.178</v>
          </cell>
          <cell r="H1133">
            <v>2475.71</v>
          </cell>
          <cell r="I1133">
            <v>0</v>
          </cell>
          <cell r="J1133">
            <v>2475.71</v>
          </cell>
          <cell r="K1133">
            <v>0.74</v>
          </cell>
          <cell r="P1133">
            <v>0</v>
          </cell>
        </row>
        <row r="1134">
          <cell r="A1134" t="str">
            <v>LU3110461285</v>
          </cell>
          <cell r="B1134" t="str">
            <v>AMUNDI FUNDS US SHORT TERM BOND</v>
          </cell>
          <cell r="C1134" t="str">
            <v>Class I2 USD MD (D)</v>
          </cell>
          <cell r="D1134" t="str">
            <v>USD</v>
          </cell>
          <cell r="E1134" t="str">
            <v>01-Dec-2025</v>
          </cell>
          <cell r="F1134">
            <v>11269485.460000001</v>
          </cell>
          <cell r="G1134">
            <v>11272.314</v>
          </cell>
          <cell r="H1134">
            <v>999.75</v>
          </cell>
          <cell r="I1134">
            <v>0</v>
          </cell>
          <cell r="J1134">
            <v>999.75</v>
          </cell>
          <cell r="K1134">
            <v>0.3</v>
          </cell>
          <cell r="P1134">
            <v>0</v>
          </cell>
        </row>
        <row r="1135">
          <cell r="A1135" t="str">
            <v>LU3110461103</v>
          </cell>
          <cell r="B1135" t="str">
            <v>AMUNDI FUNDS US SHORT TERM BOND</v>
          </cell>
          <cell r="C1135" t="str">
            <v>Class J2 USD (C)</v>
          </cell>
          <cell r="D1135" t="str">
            <v>USD</v>
          </cell>
          <cell r="E1135" t="str">
            <v>01-Dec-2025</v>
          </cell>
          <cell r="F1135">
            <v>54520829.340000004</v>
          </cell>
          <cell r="G1135">
            <v>53605.523999999998</v>
          </cell>
          <cell r="H1135">
            <v>1017.07</v>
          </cell>
          <cell r="I1135">
            <v>0</v>
          </cell>
          <cell r="J1135">
            <v>1017.07</v>
          </cell>
          <cell r="K1135">
            <v>0.3</v>
          </cell>
          <cell r="P1135">
            <v>0</v>
          </cell>
        </row>
        <row r="1136">
          <cell r="A1136" t="str">
            <v>LU2085676596</v>
          </cell>
          <cell r="B1136" t="str">
            <v>AMUNDI FUNDS US SHORT TERM BOND</v>
          </cell>
          <cell r="C1136" t="str">
            <v>Class G EUR (C)</v>
          </cell>
          <cell r="D1136" t="str">
            <v>EUR</v>
          </cell>
          <cell r="E1136" t="str">
            <v>01-Dec-2025</v>
          </cell>
          <cell r="F1136">
            <v>3301118.48</v>
          </cell>
          <cell r="G1136">
            <v>586549.60900000005</v>
          </cell>
          <cell r="H1136">
            <v>5.6280000000000001</v>
          </cell>
          <cell r="I1136">
            <v>0</v>
          </cell>
          <cell r="J1136">
            <v>5.6280000000000001</v>
          </cell>
          <cell r="K1136">
            <v>-0.01</v>
          </cell>
          <cell r="P1136">
            <v>0</v>
          </cell>
        </row>
        <row r="1137">
          <cell r="A1137" t="str">
            <v>LU1882443861</v>
          </cell>
          <cell r="B1137" t="str">
            <v>AMUNDI FUNDS US SHORT TERM BOND</v>
          </cell>
          <cell r="C1137" t="str">
            <v>Class T USD (C)</v>
          </cell>
          <cell r="D1137" t="str">
            <v>USD</v>
          </cell>
          <cell r="E1137" t="str">
            <v>01-Dec-2025</v>
          </cell>
          <cell r="F1137">
            <v>17311192.379999999</v>
          </cell>
          <cell r="G1137">
            <v>306912.80900000001</v>
          </cell>
          <cell r="H1137">
            <v>56.4</v>
          </cell>
          <cell r="I1137">
            <v>0</v>
          </cell>
          <cell r="J1137">
            <v>56.4</v>
          </cell>
          <cell r="K1137">
            <v>0.01</v>
          </cell>
          <cell r="P1137">
            <v>0</v>
          </cell>
        </row>
        <row r="1138">
          <cell r="A1138" t="str">
            <v>LU1882443606</v>
          </cell>
          <cell r="B1138" t="str">
            <v>AMUNDI FUNDS US SHORT TERM BOND</v>
          </cell>
          <cell r="C1138" t="str">
            <v>Class R2 EUR (C)</v>
          </cell>
          <cell r="D1138" t="str">
            <v>EUR</v>
          </cell>
          <cell r="E1138" t="str">
            <v>01-Dec-2025</v>
          </cell>
          <cell r="F1138">
            <v>3709265.58</v>
          </cell>
          <cell r="G1138">
            <v>67796.741999999998</v>
          </cell>
          <cell r="H1138">
            <v>54.71</v>
          </cell>
          <cell r="I1138">
            <v>0</v>
          </cell>
          <cell r="J1138">
            <v>54.71</v>
          </cell>
          <cell r="K1138">
            <v>-0.1</v>
          </cell>
          <cell r="P1138">
            <v>0</v>
          </cell>
        </row>
        <row r="1139">
          <cell r="A1139" t="str">
            <v>LU1882441907</v>
          </cell>
          <cell r="B1139" t="str">
            <v>AMUNDI FUNDS US SHORT TERM BOND</v>
          </cell>
          <cell r="C1139" t="str">
            <v>Class A2 USD (C)</v>
          </cell>
          <cell r="D1139" t="str">
            <v>USD</v>
          </cell>
          <cell r="E1139" t="str">
            <v>01-Dec-2025</v>
          </cell>
          <cell r="F1139">
            <v>832084296.63999999</v>
          </cell>
          <cell r="G1139">
            <v>101575642.455</v>
          </cell>
          <cell r="H1139">
            <v>8.19</v>
          </cell>
          <cell r="I1139">
            <v>0</v>
          </cell>
          <cell r="J1139">
            <v>8.35</v>
          </cell>
          <cell r="K1139">
            <v>0</v>
          </cell>
          <cell r="P1139">
            <v>0</v>
          </cell>
        </row>
        <row r="1140">
          <cell r="A1140" t="str">
            <v>LU1882442111</v>
          </cell>
          <cell r="B1140" t="str">
            <v>AMUNDI FUNDS US SHORT TERM BOND</v>
          </cell>
          <cell r="C1140" t="str">
            <v>Class A2 USD AD (D)</v>
          </cell>
          <cell r="D1140" t="str">
            <v>USD</v>
          </cell>
          <cell r="E1140" t="str">
            <v>01-Dec-2025</v>
          </cell>
          <cell r="F1140">
            <v>3064327.51</v>
          </cell>
          <cell r="G1140">
            <v>46829.688000000002</v>
          </cell>
          <cell r="H1140">
            <v>65.44</v>
          </cell>
          <cell r="I1140">
            <v>0</v>
          </cell>
          <cell r="J1140">
            <v>66.75</v>
          </cell>
          <cell r="K1140">
            <v>0.02</v>
          </cell>
          <cell r="P1140">
            <v>0</v>
          </cell>
        </row>
        <row r="1141">
          <cell r="A1141" t="str">
            <v>LU3221878823</v>
          </cell>
          <cell r="B1141" t="str">
            <v>AMUNDI FUNDS US SHORT TERM BOND</v>
          </cell>
          <cell r="C1141" t="str">
            <v>Class P24 USD (C)</v>
          </cell>
          <cell r="D1141" t="str">
            <v>USD</v>
          </cell>
          <cell r="E1141" t="str">
            <v>01-Dec-2025</v>
          </cell>
          <cell r="F1141">
            <v>5014.8999999999996</v>
          </cell>
          <cell r="G1141">
            <v>100</v>
          </cell>
          <cell r="H1141">
            <v>50.15</v>
          </cell>
          <cell r="I1141">
            <v>0</v>
          </cell>
          <cell r="J1141">
            <v>50.15</v>
          </cell>
          <cell r="K1141">
            <v>0.02</v>
          </cell>
          <cell r="P1141">
            <v>0</v>
          </cell>
        </row>
        <row r="1142">
          <cell r="A1142" t="str">
            <v>LU1882443515</v>
          </cell>
          <cell r="B1142" t="str">
            <v>AMUNDI FUNDS US SHORT TERM BOND</v>
          </cell>
          <cell r="C1142" t="str">
            <v>Class P2 USD (C)</v>
          </cell>
          <cell r="D1142" t="str">
            <v>USD</v>
          </cell>
          <cell r="E1142" t="str">
            <v>01-Dec-2025</v>
          </cell>
          <cell r="F1142">
            <v>37964559.659999996</v>
          </cell>
          <cell r="G1142">
            <v>592052.57499999995</v>
          </cell>
          <cell r="H1142">
            <v>64.12</v>
          </cell>
          <cell r="I1142">
            <v>0</v>
          </cell>
          <cell r="J1142">
            <v>64.12</v>
          </cell>
          <cell r="K1142">
            <v>0.01</v>
          </cell>
          <cell r="P1142">
            <v>0</v>
          </cell>
        </row>
        <row r="1143">
          <cell r="A1143" t="str">
            <v>LU1882443945</v>
          </cell>
          <cell r="B1143" t="str">
            <v>AMUNDI FUNDS US SHORT TERM BOND</v>
          </cell>
          <cell r="C1143" t="str">
            <v>Class U USD (C)</v>
          </cell>
          <cell r="D1143" t="str">
            <v>USD</v>
          </cell>
          <cell r="E1143" t="str">
            <v>01-Dec-2025</v>
          </cell>
          <cell r="F1143">
            <v>50825918.829999998</v>
          </cell>
          <cell r="G1143">
            <v>904141.27099999995</v>
          </cell>
          <cell r="H1143">
            <v>56.21</v>
          </cell>
          <cell r="I1143">
            <v>0</v>
          </cell>
          <cell r="J1143">
            <v>56.21</v>
          </cell>
          <cell r="K1143">
            <v>0.01</v>
          </cell>
          <cell r="P1143">
            <v>0</v>
          </cell>
        </row>
        <row r="1144">
          <cell r="A1144" t="str">
            <v>LU3078300434</v>
          </cell>
          <cell r="B1144" t="str">
            <v>AMUNDI FUNDS US SHORT TERM BOND</v>
          </cell>
          <cell r="C1144" t="str">
            <v>Class R2 HKD (C)</v>
          </cell>
          <cell r="D1144" t="str">
            <v>HKD</v>
          </cell>
          <cell r="E1144" t="str">
            <v>01-Dec-2025</v>
          </cell>
          <cell r="F1144">
            <v>529693.93000000005</v>
          </cell>
          <cell r="G1144">
            <v>10466.564</v>
          </cell>
          <cell r="H1144">
            <v>50.61</v>
          </cell>
          <cell r="I1144">
            <v>0</v>
          </cell>
          <cell r="J1144">
            <v>50.61</v>
          </cell>
          <cell r="K1144">
            <v>0.03</v>
          </cell>
          <cell r="P1144">
            <v>0</v>
          </cell>
        </row>
        <row r="1145">
          <cell r="A1145" t="str">
            <v>LU1882443788</v>
          </cell>
          <cell r="B1145" t="str">
            <v>AMUNDI FUNDS US SHORT TERM BOND</v>
          </cell>
          <cell r="C1145" t="str">
            <v>Class R2 USD (C)</v>
          </cell>
          <cell r="D1145" t="str">
            <v>USD</v>
          </cell>
          <cell r="E1145" t="str">
            <v>01-Dec-2025</v>
          </cell>
          <cell r="F1145">
            <v>9247951.8599999994</v>
          </cell>
          <cell r="G1145">
            <v>145206.753</v>
          </cell>
          <cell r="H1145">
            <v>63.69</v>
          </cell>
          <cell r="I1145">
            <v>0</v>
          </cell>
          <cell r="J1145">
            <v>63.69</v>
          </cell>
          <cell r="K1145">
            <v>0.02</v>
          </cell>
          <cell r="P1145">
            <v>0</v>
          </cell>
        </row>
        <row r="1146">
          <cell r="A1146" t="str">
            <v>LU2596442918</v>
          </cell>
          <cell r="B1146" t="str">
            <v>AMUNDI FUNDS US SHORT TERM BOND</v>
          </cell>
          <cell r="C1146" t="str">
            <v>Class U USD MTD3 (D)</v>
          </cell>
          <cell r="D1146" t="str">
            <v>USD</v>
          </cell>
          <cell r="E1146" t="str">
            <v>01-Dec-2025</v>
          </cell>
          <cell r="F1146">
            <v>5230.2</v>
          </cell>
          <cell r="G1146">
            <v>100</v>
          </cell>
          <cell r="H1146">
            <v>52.3</v>
          </cell>
          <cell r="I1146">
            <v>0.26329999999999998</v>
          </cell>
          <cell r="J1146">
            <v>52.3</v>
          </cell>
          <cell r="K1146">
            <v>-0.26</v>
          </cell>
          <cell r="P1146">
            <v>0</v>
          </cell>
        </row>
        <row r="1147">
          <cell r="A1147" t="str">
            <v>LU2596442835</v>
          </cell>
          <cell r="B1147" t="str">
            <v>AMUNDI FUNDS US SHORT TERM BOND</v>
          </cell>
          <cell r="C1147" t="str">
            <v>Class U ZAR Hgd MTD3 (D)</v>
          </cell>
          <cell r="D1147" t="str">
            <v>ZAR</v>
          </cell>
          <cell r="E1147" t="str">
            <v>01-Dec-2025</v>
          </cell>
          <cell r="F1147">
            <v>2206371.17</v>
          </cell>
          <cell r="G1147">
            <v>2000</v>
          </cell>
          <cell r="H1147">
            <v>1103.19</v>
          </cell>
          <cell r="I1147">
            <v>0</v>
          </cell>
          <cell r="J1147">
            <v>1103.19</v>
          </cell>
          <cell r="K1147">
            <v>0.26</v>
          </cell>
          <cell r="P1147">
            <v>0</v>
          </cell>
        </row>
        <row r="1148">
          <cell r="A1148" t="str">
            <v>LU2031986552</v>
          </cell>
          <cell r="B1148" t="str">
            <v>AMUNDI FUNDS US SHORT TERM BOND</v>
          </cell>
          <cell r="C1148" t="str">
            <v>Class Z USD (C)</v>
          </cell>
          <cell r="D1148" t="str">
            <v>USD</v>
          </cell>
          <cell r="E1148" t="str">
            <v>01-Dec-2025</v>
          </cell>
          <cell r="F1148">
            <v>371676.8</v>
          </cell>
          <cell r="G1148">
            <v>326.64499999999998</v>
          </cell>
          <cell r="H1148">
            <v>1137.8599999999999</v>
          </cell>
          <cell r="I1148">
            <v>0</v>
          </cell>
          <cell r="J1148">
            <v>1137.8599999999999</v>
          </cell>
          <cell r="K1148">
            <v>0.39</v>
          </cell>
          <cell r="P1148">
            <v>0</v>
          </cell>
        </row>
        <row r="1149">
          <cell r="A1149" t="str">
            <v>LU2110860256</v>
          </cell>
          <cell r="B1149" t="str">
            <v>AMUNDI FUNDS EMERGING MARKETS BOND</v>
          </cell>
          <cell r="C1149" t="str">
            <v>Class A2 AUD Hgd MTD3 (D)</v>
          </cell>
          <cell r="D1149" t="str">
            <v>AUD</v>
          </cell>
          <cell r="E1149" t="str">
            <v>01-Dec-2025</v>
          </cell>
          <cell r="F1149">
            <v>119211.39</v>
          </cell>
          <cell r="G1149">
            <v>3300</v>
          </cell>
          <cell r="H1149">
            <v>36.119999999999997</v>
          </cell>
          <cell r="I1149">
            <v>0.25519999999999998</v>
          </cell>
          <cell r="J1149">
            <v>36.119999999999997</v>
          </cell>
          <cell r="K1149">
            <v>-0.27</v>
          </cell>
          <cell r="P1149">
            <v>0</v>
          </cell>
        </row>
        <row r="1150">
          <cell r="A1150" t="str">
            <v>LU1882449983</v>
          </cell>
          <cell r="B1150" t="str">
            <v>AMUNDI FUNDS EMERGING MARKETS BOND</v>
          </cell>
          <cell r="C1150" t="str">
            <v>Class A EUR AD (D)</v>
          </cell>
          <cell r="D1150" t="str">
            <v>EUR</v>
          </cell>
          <cell r="E1150" t="str">
            <v>01-Dec-2025</v>
          </cell>
          <cell r="F1150">
            <v>64832041.200000003</v>
          </cell>
          <cell r="G1150">
            <v>1582540.16</v>
          </cell>
          <cell r="H1150">
            <v>40.97</v>
          </cell>
          <cell r="I1150">
            <v>0</v>
          </cell>
          <cell r="J1150">
            <v>42.61</v>
          </cell>
          <cell r="K1150">
            <v>-0.09</v>
          </cell>
          <cell r="P1150">
            <v>0</v>
          </cell>
        </row>
        <row r="1151">
          <cell r="A1151" t="str">
            <v>LU1882449801</v>
          </cell>
          <cell r="B1151" t="str">
            <v>AMUNDI FUNDS EMERGING MARKETS BOND</v>
          </cell>
          <cell r="C1151" t="str">
            <v>Class A EUR (C)</v>
          </cell>
          <cell r="D1151" t="str">
            <v>EUR</v>
          </cell>
          <cell r="E1151" t="str">
            <v>01-Dec-2025</v>
          </cell>
          <cell r="F1151">
            <v>67334960.480000004</v>
          </cell>
          <cell r="G1151">
            <v>3353094.4330000002</v>
          </cell>
          <cell r="H1151">
            <v>20.079999999999998</v>
          </cell>
          <cell r="I1151">
            <v>0</v>
          </cell>
          <cell r="J1151">
            <v>20.88</v>
          </cell>
          <cell r="K1151">
            <v>-0.05</v>
          </cell>
          <cell r="P1151">
            <v>0</v>
          </cell>
        </row>
        <row r="1152">
          <cell r="A1152" t="str">
            <v>LU2070310037</v>
          </cell>
          <cell r="B1152" t="str">
            <v>AMUNDI FUNDS EMERGING MARKETS BOND</v>
          </cell>
          <cell r="C1152" t="str">
            <v>Class A2 EUR (C)</v>
          </cell>
          <cell r="D1152" t="str">
            <v>EUR</v>
          </cell>
          <cell r="E1152" t="str">
            <v>01-Dec-2025</v>
          </cell>
          <cell r="F1152">
            <v>1881570</v>
          </cell>
          <cell r="G1152">
            <v>33626.173000000003</v>
          </cell>
          <cell r="H1152">
            <v>55.96</v>
          </cell>
          <cell r="I1152">
            <v>0</v>
          </cell>
          <cell r="J1152">
            <v>58.2</v>
          </cell>
          <cell r="K1152">
            <v>-0.13</v>
          </cell>
          <cell r="P1152">
            <v>0</v>
          </cell>
        </row>
        <row r="1153">
          <cell r="A1153" t="str">
            <v>LU1882449637</v>
          </cell>
          <cell r="B1153" t="str">
            <v>AMUNDI FUNDS EMERGING MARKETS BOND</v>
          </cell>
          <cell r="C1153" t="str">
            <v>Class A AUD Hgd MTD3 (D)</v>
          </cell>
          <cell r="D1153" t="str">
            <v>AUD</v>
          </cell>
          <cell r="E1153" t="str">
            <v>01-Dec-2025</v>
          </cell>
          <cell r="F1153">
            <v>129072892.09999999</v>
          </cell>
          <cell r="G1153">
            <v>7449957.3839999996</v>
          </cell>
          <cell r="H1153">
            <v>17.329999999999998</v>
          </cell>
          <cell r="I1153">
            <v>0.2354</v>
          </cell>
          <cell r="J1153">
            <v>18.02</v>
          </cell>
          <cell r="K1153">
            <v>-0.23</v>
          </cell>
          <cell r="P1153">
            <v>0</v>
          </cell>
        </row>
        <row r="1154">
          <cell r="A1154" t="str">
            <v>LU1882450213</v>
          </cell>
          <cell r="B1154" t="str">
            <v>AMUNDI FUNDS EMERGING MARKETS BOND</v>
          </cell>
          <cell r="C1154" t="str">
            <v>Class A EUR MTD (D)</v>
          </cell>
          <cell r="D1154" t="str">
            <v>EUR</v>
          </cell>
          <cell r="E1154" t="str">
            <v>01-Dec-2025</v>
          </cell>
          <cell r="F1154">
            <v>11123422.550000001</v>
          </cell>
          <cell r="G1154">
            <v>2344243.0240000002</v>
          </cell>
          <cell r="H1154">
            <v>4.74</v>
          </cell>
          <cell r="I1154">
            <v>2.1000000000000001E-2</v>
          </cell>
          <cell r="J1154">
            <v>4.93</v>
          </cell>
          <cell r="K1154">
            <v>-0.04</v>
          </cell>
          <cell r="P1154">
            <v>0</v>
          </cell>
        </row>
        <row r="1155">
          <cell r="A1155" t="str">
            <v>LU2110860330</v>
          </cell>
          <cell r="B1155" t="str">
            <v>AMUNDI FUNDS EMERGING MARKETS BOND</v>
          </cell>
          <cell r="C1155" t="str">
            <v>Class A2 HKD MTD3 (D)</v>
          </cell>
          <cell r="D1155" t="str">
            <v>HKD</v>
          </cell>
          <cell r="E1155" t="str">
            <v>01-Dec-2025</v>
          </cell>
          <cell r="F1155">
            <v>34015.379999999997</v>
          </cell>
          <cell r="G1155">
            <v>920</v>
          </cell>
          <cell r="H1155">
            <v>36.97</v>
          </cell>
          <cell r="I1155">
            <v>0.2722</v>
          </cell>
          <cell r="J1155">
            <v>36.97</v>
          </cell>
          <cell r="K1155">
            <v>-0.27</v>
          </cell>
          <cell r="P1155">
            <v>0</v>
          </cell>
        </row>
        <row r="1156">
          <cell r="A1156" t="str">
            <v>LU1882450486</v>
          </cell>
          <cell r="B1156" t="str">
            <v>AMUNDI FUNDS EMERGING MARKETS BOND</v>
          </cell>
          <cell r="C1156" t="str">
            <v>Class A USD AD (D)</v>
          </cell>
          <cell r="D1156" t="str">
            <v>USD</v>
          </cell>
          <cell r="E1156" t="str">
            <v>01-Dec-2025</v>
          </cell>
          <cell r="F1156">
            <v>3549360</v>
          </cell>
          <cell r="G1156">
            <v>74510.164000000004</v>
          </cell>
          <cell r="H1156">
            <v>47.64</v>
          </cell>
          <cell r="I1156">
            <v>0</v>
          </cell>
          <cell r="J1156">
            <v>49.55</v>
          </cell>
          <cell r="K1156">
            <v>-0.01</v>
          </cell>
          <cell r="P1156">
            <v>0</v>
          </cell>
        </row>
        <row r="1157">
          <cell r="A1157" t="str">
            <v>LU1882450569</v>
          </cell>
          <cell r="B1157" t="str">
            <v>AMUNDI FUNDS EMERGING MARKETS BOND</v>
          </cell>
          <cell r="C1157" t="str">
            <v>Class A USD MTD (D)</v>
          </cell>
          <cell r="D1157" t="str">
            <v>USD</v>
          </cell>
          <cell r="E1157" t="str">
            <v>01-Dec-2025</v>
          </cell>
          <cell r="F1157">
            <v>57503624.509999998</v>
          </cell>
          <cell r="G1157">
            <v>10517225.967</v>
          </cell>
          <cell r="H1157">
            <v>5.47</v>
          </cell>
          <cell r="I1157">
            <v>2.1399999999999999E-2</v>
          </cell>
          <cell r="J1157">
            <v>5.69</v>
          </cell>
          <cell r="K1157">
            <v>-0.02</v>
          </cell>
          <cell r="P1157">
            <v>0</v>
          </cell>
        </row>
        <row r="1158">
          <cell r="A1158" t="str">
            <v>LU1882450643</v>
          </cell>
          <cell r="B1158" t="str">
            <v>AMUNDI FUNDS EMERGING MARKETS BOND</v>
          </cell>
          <cell r="C1158" t="str">
            <v>Class A USD MTD3 (D)</v>
          </cell>
          <cell r="D1158" t="str">
            <v>USD</v>
          </cell>
          <cell r="E1158" t="str">
            <v>01-Dec-2025</v>
          </cell>
          <cell r="F1158">
            <v>254206396.91</v>
          </cell>
          <cell r="G1158">
            <v>12134207.298</v>
          </cell>
          <cell r="H1158">
            <v>20.95</v>
          </cell>
          <cell r="I1158">
            <v>0.30480000000000002</v>
          </cell>
          <cell r="J1158">
            <v>21.79</v>
          </cell>
          <cell r="K1158">
            <v>-0.31</v>
          </cell>
          <cell r="P1158">
            <v>0</v>
          </cell>
        </row>
        <row r="1159">
          <cell r="A1159" t="str">
            <v>LU1882450726</v>
          </cell>
          <cell r="B1159" t="str">
            <v>AMUNDI FUNDS EMERGING MARKETS BOND</v>
          </cell>
          <cell r="C1159" t="str">
            <v>Class A USD MGI (D)</v>
          </cell>
          <cell r="D1159" t="str">
            <v>USD</v>
          </cell>
          <cell r="E1159" t="str">
            <v>01-Dec-2025</v>
          </cell>
          <cell r="F1159">
            <v>124599788.38</v>
          </cell>
          <cell r="G1159">
            <v>2853885.2039999999</v>
          </cell>
          <cell r="H1159">
            <v>43.66</v>
          </cell>
          <cell r="I1159">
            <v>0.23517099999999999</v>
          </cell>
          <cell r="J1159">
            <v>45.41</v>
          </cell>
          <cell r="K1159">
            <v>-0.24</v>
          </cell>
          <cell r="P1159">
            <v>0</v>
          </cell>
        </row>
        <row r="1160">
          <cell r="A1160" t="str">
            <v>LU1882450130</v>
          </cell>
          <cell r="B1160" t="str">
            <v>AMUNDI FUNDS EMERGING MARKETS BOND</v>
          </cell>
          <cell r="C1160" t="str">
            <v>Class A EUR Hgd AD (D)</v>
          </cell>
          <cell r="D1160" t="str">
            <v>EUR</v>
          </cell>
          <cell r="E1160" t="str">
            <v>01-Dec-2025</v>
          </cell>
          <cell r="F1160">
            <v>15118931.27</v>
          </cell>
          <cell r="G1160">
            <v>558718.402</v>
          </cell>
          <cell r="H1160">
            <v>27.06</v>
          </cell>
          <cell r="I1160">
            <v>0</v>
          </cell>
          <cell r="J1160">
            <v>28.14</v>
          </cell>
          <cell r="K1160">
            <v>-0.01</v>
          </cell>
          <cell r="P1160">
            <v>0</v>
          </cell>
        </row>
        <row r="1161">
          <cell r="A1161" t="str">
            <v>LU2110860769</v>
          </cell>
          <cell r="B1161" t="str">
            <v>AMUNDI FUNDS EMERGING MARKETS BOND</v>
          </cell>
          <cell r="C1161" t="str">
            <v>Class A2 USD MTD3 (D)</v>
          </cell>
          <cell r="D1161" t="str">
            <v>USD</v>
          </cell>
          <cell r="E1161" t="str">
            <v>01-Dec-2025</v>
          </cell>
          <cell r="F1161">
            <v>337334.34</v>
          </cell>
          <cell r="G1161">
            <v>9148.6080000000002</v>
          </cell>
          <cell r="H1161">
            <v>36.869999999999997</v>
          </cell>
          <cell r="I1161">
            <v>0.2697</v>
          </cell>
          <cell r="J1161">
            <v>36.869999999999997</v>
          </cell>
          <cell r="K1161">
            <v>-0.28000000000000003</v>
          </cell>
          <cell r="P1161">
            <v>0</v>
          </cell>
        </row>
        <row r="1162">
          <cell r="A1162" t="str">
            <v>LU2110860686</v>
          </cell>
          <cell r="B1162" t="str">
            <v>AMUNDI FUNDS EMERGING MARKETS BOND</v>
          </cell>
          <cell r="C1162" t="str">
            <v>Class A2 USD MTD (D)</v>
          </cell>
          <cell r="D1162" t="str">
            <v>USD</v>
          </cell>
          <cell r="E1162" t="str">
            <v>01-Dec-2025</v>
          </cell>
          <cell r="F1162">
            <v>914330.25</v>
          </cell>
          <cell r="G1162">
            <v>18368.474999999999</v>
          </cell>
          <cell r="H1162">
            <v>49.78</v>
          </cell>
          <cell r="I1162">
            <v>0.20830000000000001</v>
          </cell>
          <cell r="J1162">
            <v>49.78</v>
          </cell>
          <cell r="K1162">
            <v>49.78</v>
          </cell>
          <cell r="P1162">
            <v>0</v>
          </cell>
        </row>
        <row r="1163">
          <cell r="A1163" t="str">
            <v>LU3081002944</v>
          </cell>
          <cell r="B1163" t="str">
            <v>AMUNDI FUNDS EMERGING MARKETS BOND</v>
          </cell>
          <cell r="C1163" t="str">
            <v>Class A2 EUR MTD (D)</v>
          </cell>
          <cell r="D1163" t="str">
            <v>EUR</v>
          </cell>
          <cell r="E1163" t="str">
            <v>01-Dec-2025</v>
          </cell>
          <cell r="F1163">
            <v>22807.93</v>
          </cell>
          <cell r="G1163">
            <v>459.17200000000003</v>
          </cell>
          <cell r="H1163">
            <v>49.67</v>
          </cell>
          <cell r="I1163">
            <v>0.20830000000000001</v>
          </cell>
          <cell r="J1163">
            <v>51.66</v>
          </cell>
          <cell r="K1163">
            <v>0</v>
          </cell>
          <cell r="P1163">
            <v>0</v>
          </cell>
        </row>
        <row r="1164">
          <cell r="A1164" t="str">
            <v>LU1882450056</v>
          </cell>
          <cell r="B1164" t="str">
            <v>AMUNDI FUNDS EMERGING MARKETS BOND</v>
          </cell>
          <cell r="C1164" t="str">
            <v>Class A EUR Hgd (C)</v>
          </cell>
          <cell r="D1164" t="str">
            <v>EUR</v>
          </cell>
          <cell r="E1164" t="str">
            <v>01-Dec-2025</v>
          </cell>
          <cell r="F1164">
            <v>4275869.2</v>
          </cell>
          <cell r="G1164">
            <v>73342.667000000001</v>
          </cell>
          <cell r="H1164">
            <v>58.3</v>
          </cell>
          <cell r="I1164">
            <v>0</v>
          </cell>
          <cell r="J1164">
            <v>60.63</v>
          </cell>
          <cell r="K1164">
            <v>-0.02</v>
          </cell>
          <cell r="P1164">
            <v>0</v>
          </cell>
        </row>
        <row r="1165">
          <cell r="A1165" t="str">
            <v>LU2401860049</v>
          </cell>
          <cell r="B1165" t="str">
            <v>AMUNDI FUNDS EMERGING MARKETS BOND</v>
          </cell>
          <cell r="C1165" t="str">
            <v>Class A2 RMB Hgd MTD3 (D)</v>
          </cell>
          <cell r="D1165" t="str">
            <v>CNH</v>
          </cell>
          <cell r="E1165" t="str">
            <v>01-Dec-2025</v>
          </cell>
          <cell r="F1165">
            <v>591291.05000000005</v>
          </cell>
          <cell r="G1165">
            <v>16000</v>
          </cell>
          <cell r="H1165">
            <v>36.96</v>
          </cell>
          <cell r="I1165">
            <v>0.2036</v>
          </cell>
          <cell r="J1165">
            <v>36.96</v>
          </cell>
          <cell r="K1165">
            <v>-0.21</v>
          </cell>
          <cell r="P1165">
            <v>0</v>
          </cell>
        </row>
        <row r="1166">
          <cell r="A1166" t="str">
            <v>LU2237438622</v>
          </cell>
          <cell r="B1166" t="str">
            <v>AMUNDI FUNDS EMERGING MARKETS BOND</v>
          </cell>
          <cell r="C1166" t="str">
            <v>Class A2 SGD Hgd MGI (D)</v>
          </cell>
          <cell r="D1166" t="str">
            <v>SGD</v>
          </cell>
          <cell r="E1166" t="str">
            <v>01-Dec-2025</v>
          </cell>
          <cell r="F1166">
            <v>121403.15</v>
          </cell>
          <cell r="G1166">
            <v>3200</v>
          </cell>
          <cell r="H1166">
            <v>37.94</v>
          </cell>
          <cell r="I1166">
            <v>0.20358100000000001</v>
          </cell>
          <cell r="J1166">
            <v>37.94</v>
          </cell>
          <cell r="K1166">
            <v>-0.21</v>
          </cell>
          <cell r="P1166">
            <v>0</v>
          </cell>
        </row>
        <row r="1167">
          <cell r="A1167" t="str">
            <v>LU1882449710</v>
          </cell>
          <cell r="B1167" t="str">
            <v>AMUNDI FUNDS EMERGING MARKETS BOND</v>
          </cell>
          <cell r="C1167" t="str">
            <v>Class A CZK Hgd (C)</v>
          </cell>
          <cell r="D1167" t="str">
            <v>CZK</v>
          </cell>
          <cell r="E1167" t="str">
            <v>01-Dec-2025</v>
          </cell>
          <cell r="F1167">
            <v>190921670.19</v>
          </cell>
          <cell r="G1167">
            <v>109487.04700000001</v>
          </cell>
          <cell r="H1167">
            <v>1743.78</v>
          </cell>
          <cell r="I1167">
            <v>0</v>
          </cell>
          <cell r="J1167">
            <v>1813.53</v>
          </cell>
          <cell r="K1167">
            <v>-0.5</v>
          </cell>
          <cell r="P1167">
            <v>0</v>
          </cell>
        </row>
        <row r="1168">
          <cell r="A1168" t="str">
            <v>LU1882450304</v>
          </cell>
          <cell r="B1168" t="str">
            <v>AMUNDI FUNDS EMERGING MARKETS BOND</v>
          </cell>
          <cell r="C1168" t="str">
            <v>Class A USD (C)</v>
          </cell>
          <cell r="D1168" t="str">
            <v>USD</v>
          </cell>
          <cell r="E1168" t="str">
            <v>01-Dec-2025</v>
          </cell>
          <cell r="F1168">
            <v>49043850.409999996</v>
          </cell>
          <cell r="G1168">
            <v>2105172.7549999999</v>
          </cell>
          <cell r="H1168">
            <v>23.3</v>
          </cell>
          <cell r="I1168">
            <v>0</v>
          </cell>
          <cell r="J1168">
            <v>24.23</v>
          </cell>
          <cell r="K1168">
            <v>0</v>
          </cell>
          <cell r="P1168">
            <v>0</v>
          </cell>
        </row>
        <row r="1169">
          <cell r="A1169" t="str">
            <v>LU2110860504</v>
          </cell>
          <cell r="B1169" t="str">
            <v>AMUNDI FUNDS EMERGING MARKETS BOND</v>
          </cell>
          <cell r="C1169" t="str">
            <v>Class A2 USD (C)</v>
          </cell>
          <cell r="D1169" t="str">
            <v>USD</v>
          </cell>
          <cell r="E1169" t="str">
            <v>01-Dec-2025</v>
          </cell>
          <cell r="F1169">
            <v>5254333.8899999997</v>
          </cell>
          <cell r="G1169">
            <v>96703.49</v>
          </cell>
          <cell r="H1169">
            <v>54.33</v>
          </cell>
          <cell r="I1169">
            <v>0</v>
          </cell>
          <cell r="J1169">
            <v>54.33</v>
          </cell>
          <cell r="K1169">
            <v>-0.02</v>
          </cell>
          <cell r="P1169">
            <v>0</v>
          </cell>
        </row>
        <row r="1170">
          <cell r="A1170" t="str">
            <v>LU1882451708</v>
          </cell>
          <cell r="B1170" t="str">
            <v>AMUNDI FUNDS EMERGING MARKETS BOND</v>
          </cell>
          <cell r="C1170" t="str">
            <v>Class B ZAR Hgd MTD3 (D)</v>
          </cell>
          <cell r="D1170" t="str">
            <v>ZAR</v>
          </cell>
          <cell r="E1170" t="str">
            <v>01-Dec-2025</v>
          </cell>
          <cell r="F1170">
            <v>1067283206.08</v>
          </cell>
          <cell r="G1170">
            <v>4740132.2050000001</v>
          </cell>
          <cell r="H1170">
            <v>225.16</v>
          </cell>
          <cell r="I1170">
            <v>4.8098000000000001</v>
          </cell>
          <cell r="J1170">
            <v>225.16</v>
          </cell>
          <cell r="K1170">
            <v>-4.8600000000000003</v>
          </cell>
          <cell r="P1170">
            <v>0</v>
          </cell>
        </row>
        <row r="1171">
          <cell r="A1171" t="str">
            <v>LU1882451294</v>
          </cell>
          <cell r="B1171" t="str">
            <v>AMUNDI FUNDS EMERGING MARKETS BOND</v>
          </cell>
          <cell r="C1171" t="str">
            <v>Class B EUR (C)</v>
          </cell>
          <cell r="D1171" t="str">
            <v>EUR</v>
          </cell>
          <cell r="E1171" t="str">
            <v>01-Dec-2025</v>
          </cell>
          <cell r="F1171">
            <v>112438.07</v>
          </cell>
          <cell r="G1171">
            <v>7301.0219999999999</v>
          </cell>
          <cell r="H1171">
            <v>15.4</v>
          </cell>
          <cell r="I1171">
            <v>0</v>
          </cell>
          <cell r="J1171">
            <v>15.4</v>
          </cell>
          <cell r="K1171">
            <v>-0.04</v>
          </cell>
          <cell r="P1171">
            <v>0</v>
          </cell>
        </row>
        <row r="1172">
          <cell r="A1172" t="str">
            <v>LU1882451617</v>
          </cell>
          <cell r="B1172" t="str">
            <v>AMUNDI FUNDS EMERGING MARKETS BOND</v>
          </cell>
          <cell r="C1172" t="str">
            <v>Class B USD MGI (D)</v>
          </cell>
          <cell r="D1172" t="str">
            <v>USD</v>
          </cell>
          <cell r="E1172" t="str">
            <v>01-Dec-2025</v>
          </cell>
          <cell r="F1172">
            <v>8949390.7899999991</v>
          </cell>
          <cell r="G1172">
            <v>234254.94899999999</v>
          </cell>
          <cell r="H1172">
            <v>38.200000000000003</v>
          </cell>
          <cell r="I1172">
            <v>0.20588000000000001</v>
          </cell>
          <cell r="J1172">
            <v>38.200000000000003</v>
          </cell>
          <cell r="K1172">
            <v>-0.22</v>
          </cell>
          <cell r="P1172">
            <v>0</v>
          </cell>
        </row>
        <row r="1173">
          <cell r="A1173" t="str">
            <v>LU1882451534</v>
          </cell>
          <cell r="B1173" t="str">
            <v>AMUNDI FUNDS EMERGING MARKETS BOND</v>
          </cell>
          <cell r="C1173" t="str">
            <v>Class B USD MTD3 (D)</v>
          </cell>
          <cell r="D1173" t="str">
            <v>USD</v>
          </cell>
          <cell r="E1173" t="str">
            <v>01-Dec-2025</v>
          </cell>
          <cell r="F1173">
            <v>101529898.36</v>
          </cell>
          <cell r="G1173">
            <v>5257009.7220000001</v>
          </cell>
          <cell r="H1173">
            <v>19.309999999999999</v>
          </cell>
          <cell r="I1173">
            <v>0.28470000000000001</v>
          </cell>
          <cell r="J1173">
            <v>19.309999999999999</v>
          </cell>
          <cell r="K1173">
            <v>-0.28999999999999998</v>
          </cell>
          <cell r="P1173">
            <v>0</v>
          </cell>
        </row>
        <row r="1174">
          <cell r="A1174" t="str">
            <v>LU1882451021</v>
          </cell>
          <cell r="B1174" t="str">
            <v>AMUNDI FUNDS EMERGING MARKETS BOND</v>
          </cell>
          <cell r="C1174" t="str">
            <v>Class B AUD Hgd MTD3 (D)</v>
          </cell>
          <cell r="D1174" t="str">
            <v>AUD</v>
          </cell>
          <cell r="E1174" t="str">
            <v>01-Dec-2025</v>
          </cell>
          <cell r="F1174">
            <v>11541202.960000001</v>
          </cell>
          <cell r="G1174">
            <v>745788.62399999995</v>
          </cell>
          <cell r="H1174">
            <v>15.48</v>
          </cell>
          <cell r="I1174">
            <v>0.21199999999999999</v>
          </cell>
          <cell r="J1174">
            <v>15.48</v>
          </cell>
          <cell r="K1174">
            <v>-0.21</v>
          </cell>
          <cell r="P1174">
            <v>0</v>
          </cell>
        </row>
        <row r="1175">
          <cell r="A1175" t="str">
            <v>LU1882454553</v>
          </cell>
          <cell r="B1175" t="str">
            <v>AMUNDI FUNDS EMERGING MARKETS BOND</v>
          </cell>
          <cell r="C1175" t="str">
            <v>Class M2 EUR (C)</v>
          </cell>
          <cell r="D1175" t="str">
            <v>EUR</v>
          </cell>
          <cell r="E1175" t="str">
            <v>01-Dec-2025</v>
          </cell>
          <cell r="F1175">
            <v>40319636.149999999</v>
          </cell>
          <cell r="G1175">
            <v>12983.651</v>
          </cell>
          <cell r="H1175">
            <v>3105.42</v>
          </cell>
          <cell r="I1175">
            <v>0</v>
          </cell>
          <cell r="J1175">
            <v>3105.42</v>
          </cell>
          <cell r="K1175">
            <v>-6.96</v>
          </cell>
          <cell r="P1175">
            <v>0</v>
          </cell>
        </row>
        <row r="1176">
          <cell r="A1176" t="str">
            <v>LU1882454637</v>
          </cell>
          <cell r="B1176" t="str">
            <v>AMUNDI FUNDS EMERGING MARKETS BOND</v>
          </cell>
          <cell r="C1176" t="str">
            <v>Class M2 EUR AD (D)</v>
          </cell>
          <cell r="D1176" t="str">
            <v>EUR</v>
          </cell>
          <cell r="E1176" t="str">
            <v>01-Dec-2025</v>
          </cell>
          <cell r="F1176">
            <v>5784823.3099999996</v>
          </cell>
          <cell r="G1176">
            <v>5301.63</v>
          </cell>
          <cell r="H1176">
            <v>1091.1400000000001</v>
          </cell>
          <cell r="I1176">
            <v>0</v>
          </cell>
          <cell r="J1176">
            <v>1091.1400000000001</v>
          </cell>
          <cell r="K1176">
            <v>-2.4500000000000002</v>
          </cell>
          <cell r="P1176">
            <v>0</v>
          </cell>
        </row>
        <row r="1177">
          <cell r="A1177" t="str">
            <v>LU1882454710</v>
          </cell>
          <cell r="B1177" t="str">
            <v>AMUNDI FUNDS EMERGING MARKETS BOND</v>
          </cell>
          <cell r="C1177" t="str">
            <v>Class M2 EUR Hgd (C)</v>
          </cell>
          <cell r="D1177" t="str">
            <v>EUR</v>
          </cell>
          <cell r="E1177" t="str">
            <v>01-Dec-2025</v>
          </cell>
          <cell r="F1177">
            <v>39147537.240000002</v>
          </cell>
          <cell r="G1177">
            <v>20915.831999999999</v>
          </cell>
          <cell r="H1177">
            <v>1871.67</v>
          </cell>
          <cell r="I1177">
            <v>0</v>
          </cell>
          <cell r="J1177">
            <v>1871.67</v>
          </cell>
          <cell r="K1177">
            <v>-0.38</v>
          </cell>
          <cell r="P1177">
            <v>0</v>
          </cell>
        </row>
        <row r="1178">
          <cell r="A1178" t="str">
            <v>LU1882451377</v>
          </cell>
          <cell r="B1178" t="str">
            <v>AMUNDI FUNDS EMERGING MARKETS BOND</v>
          </cell>
          <cell r="C1178" t="str">
            <v>Class B USD (C)</v>
          </cell>
          <cell r="D1178" t="str">
            <v>USD</v>
          </cell>
          <cell r="E1178" t="str">
            <v>01-Dec-2025</v>
          </cell>
          <cell r="F1178">
            <v>3636488.29</v>
          </cell>
          <cell r="G1178">
            <v>203112.182</v>
          </cell>
          <cell r="H1178">
            <v>17.899999999999999</v>
          </cell>
          <cell r="I1178">
            <v>0</v>
          </cell>
          <cell r="J1178">
            <v>17.899999999999999</v>
          </cell>
          <cell r="K1178">
            <v>-0.01</v>
          </cell>
          <cell r="P1178">
            <v>0</v>
          </cell>
        </row>
        <row r="1179">
          <cell r="A1179" t="str">
            <v>LU1882450999</v>
          </cell>
          <cell r="B1179" t="str">
            <v>AMUNDI FUNDS EMERGING MARKETS BOND</v>
          </cell>
          <cell r="C1179" t="str">
            <v>Class A ZAR Hgd MTD3 (D)</v>
          </cell>
          <cell r="D1179" t="str">
            <v>ZAR</v>
          </cell>
          <cell r="E1179" t="str">
            <v>01-Dec-2025</v>
          </cell>
          <cell r="F1179">
            <v>13454656333.76</v>
          </cell>
          <cell r="G1179">
            <v>57609535.842</v>
          </cell>
          <cell r="H1179">
            <v>233.55</v>
          </cell>
          <cell r="I1179">
            <v>4.9599000000000002</v>
          </cell>
          <cell r="J1179">
            <v>242.89</v>
          </cell>
          <cell r="K1179">
            <v>-4.9800000000000004</v>
          </cell>
          <cell r="P1179">
            <v>0</v>
          </cell>
        </row>
        <row r="1180">
          <cell r="A1180" t="str">
            <v>LU2070309963</v>
          </cell>
          <cell r="B1180" t="str">
            <v>AMUNDI FUNDS EMERGING MARKETS BOND</v>
          </cell>
          <cell r="C1180" t="str">
            <v>Class A2 EUR AD (D)</v>
          </cell>
          <cell r="D1180" t="str">
            <v>EUR</v>
          </cell>
          <cell r="E1180" t="str">
            <v>01-Dec-2025</v>
          </cell>
          <cell r="F1180">
            <v>411294.47</v>
          </cell>
          <cell r="G1180">
            <v>10082</v>
          </cell>
          <cell r="H1180">
            <v>40.79</v>
          </cell>
          <cell r="I1180">
            <v>0</v>
          </cell>
          <cell r="J1180">
            <v>42.42</v>
          </cell>
          <cell r="K1180">
            <v>-0.1</v>
          </cell>
          <cell r="P1180">
            <v>0</v>
          </cell>
        </row>
        <row r="1181">
          <cell r="A1181" t="str">
            <v>LU1882452268</v>
          </cell>
          <cell r="B1181" t="str">
            <v>AMUNDI FUNDS EMERGING MARKETS BOND</v>
          </cell>
          <cell r="C1181" t="str">
            <v>Class E2 EUR (C)</v>
          </cell>
          <cell r="D1181" t="str">
            <v>EUR</v>
          </cell>
          <cell r="E1181" t="str">
            <v>01-Dec-2025</v>
          </cell>
          <cell r="F1181">
            <v>230979949.00999999</v>
          </cell>
          <cell r="G1181">
            <v>10765122.125</v>
          </cell>
          <cell r="H1181">
            <v>21.456</v>
          </cell>
          <cell r="I1181">
            <v>0</v>
          </cell>
          <cell r="J1181">
            <v>21.456</v>
          </cell>
          <cell r="K1181">
            <v>-0.05</v>
          </cell>
          <cell r="P1181">
            <v>0</v>
          </cell>
        </row>
        <row r="1182">
          <cell r="A1182" t="str">
            <v>LU1882452854</v>
          </cell>
          <cell r="B1182" t="str">
            <v>AMUNDI FUNDS EMERGING MARKETS BOND</v>
          </cell>
          <cell r="C1182" t="str">
            <v>Class E2 USD AD (D)</v>
          </cell>
          <cell r="D1182" t="str">
            <v>USD</v>
          </cell>
          <cell r="E1182" t="str">
            <v>01-Dec-2025</v>
          </cell>
          <cell r="F1182">
            <v>119333.78</v>
          </cell>
          <cell r="G1182">
            <v>21954.401000000002</v>
          </cell>
          <cell r="H1182">
            <v>5.4359999999999999</v>
          </cell>
          <cell r="I1182">
            <v>0</v>
          </cell>
          <cell r="J1182">
            <v>5.4359999999999999</v>
          </cell>
          <cell r="K1182">
            <v>-1E-3</v>
          </cell>
          <cell r="P1182">
            <v>0</v>
          </cell>
        </row>
        <row r="1183">
          <cell r="A1183" t="str">
            <v>LU1882452425</v>
          </cell>
          <cell r="B1183" t="str">
            <v>AMUNDI FUNDS EMERGING MARKETS BOND</v>
          </cell>
          <cell r="C1183" t="str">
            <v>Class E2 EUR Hgd (C)</v>
          </cell>
          <cell r="D1183" t="str">
            <v>EUR</v>
          </cell>
          <cell r="E1183" t="str">
            <v>01-Dec-2025</v>
          </cell>
          <cell r="F1183">
            <v>91009322.480000004</v>
          </cell>
          <cell r="G1183">
            <v>6414779.5990000004</v>
          </cell>
          <cell r="H1183">
            <v>14.186999999999999</v>
          </cell>
          <cell r="I1183">
            <v>0</v>
          </cell>
          <cell r="J1183">
            <v>14.186999999999999</v>
          </cell>
          <cell r="K1183">
            <v>-4.0000000000000001E-3</v>
          </cell>
          <cell r="P1183">
            <v>0</v>
          </cell>
        </row>
        <row r="1184">
          <cell r="A1184" t="str">
            <v>LU1882452938</v>
          </cell>
          <cell r="B1184" t="str">
            <v>AMUNDI FUNDS EMERGING MARKETS BOND</v>
          </cell>
          <cell r="C1184" t="str">
            <v>Class F EUR (C)</v>
          </cell>
          <cell r="D1184" t="str">
            <v>EUR</v>
          </cell>
          <cell r="E1184" t="str">
            <v>01-Dec-2025</v>
          </cell>
          <cell r="F1184">
            <v>25629466.57</v>
          </cell>
          <cell r="G1184">
            <v>1436355.7879999999</v>
          </cell>
          <cell r="H1184">
            <v>17.843</v>
          </cell>
          <cell r="I1184">
            <v>0</v>
          </cell>
          <cell r="J1184">
            <v>17.843</v>
          </cell>
          <cell r="K1184">
            <v>-4.2000000000000003E-2</v>
          </cell>
          <cell r="P1184">
            <v>0</v>
          </cell>
        </row>
        <row r="1185">
          <cell r="A1185" t="str">
            <v>LU2995468613</v>
          </cell>
          <cell r="B1185" t="str">
            <v>AMUNDI FUNDS EMERGING MARKETS BOND</v>
          </cell>
          <cell r="C1185" t="str">
            <v>Class FA EUR (C)</v>
          </cell>
          <cell r="D1185" t="str">
            <v>EUR</v>
          </cell>
          <cell r="E1185" t="str">
            <v>01-Dec-2025</v>
          </cell>
          <cell r="F1185">
            <v>102550.52</v>
          </cell>
          <cell r="G1185">
            <v>2089.6439999999998</v>
          </cell>
          <cell r="H1185">
            <v>49.08</v>
          </cell>
          <cell r="I1185">
            <v>0</v>
          </cell>
          <cell r="J1185">
            <v>49.08</v>
          </cell>
          <cell r="K1185">
            <v>-0.1</v>
          </cell>
          <cell r="P1185">
            <v>0</v>
          </cell>
        </row>
        <row r="1186">
          <cell r="A1186" t="str">
            <v>LU1882453076</v>
          </cell>
          <cell r="B1186" t="str">
            <v>AMUNDI FUNDS EMERGING MARKETS BOND</v>
          </cell>
          <cell r="C1186" t="str">
            <v>Class F EUR QTD (D)</v>
          </cell>
          <cell r="D1186" t="str">
            <v>EUR</v>
          </cell>
          <cell r="E1186" t="str">
            <v>01-Dec-2025</v>
          </cell>
          <cell r="F1186">
            <v>4999881.9800000004</v>
          </cell>
          <cell r="G1186">
            <v>1007687.589</v>
          </cell>
          <cell r="H1186">
            <v>4.9619999999999997</v>
          </cell>
          <cell r="I1186">
            <v>0</v>
          </cell>
          <cell r="J1186">
            <v>4.9619999999999997</v>
          </cell>
          <cell r="K1186">
            <v>-1.0999999999999999E-2</v>
          </cell>
          <cell r="P1186">
            <v>0</v>
          </cell>
        </row>
        <row r="1187">
          <cell r="A1187" t="str">
            <v>LU1998914052</v>
          </cell>
          <cell r="B1187" t="str">
            <v>AMUNDI FUNDS EMERGING MARKETS BOND</v>
          </cell>
          <cell r="C1187" t="str">
            <v>Class H EUR (C)</v>
          </cell>
          <cell r="D1187" t="str">
            <v>EUR</v>
          </cell>
          <cell r="E1187" t="str">
            <v>01-Dec-2025</v>
          </cell>
          <cell r="F1187">
            <v>70519359.079999998</v>
          </cell>
          <cell r="G1187">
            <v>57581.383999999998</v>
          </cell>
          <cell r="H1187">
            <v>1224.69</v>
          </cell>
          <cell r="I1187">
            <v>0</v>
          </cell>
          <cell r="J1187">
            <v>1224.69</v>
          </cell>
          <cell r="K1187">
            <v>-2.73</v>
          </cell>
          <cell r="P1187">
            <v>0</v>
          </cell>
        </row>
        <row r="1188">
          <cell r="A1188" t="str">
            <v>LU1897302250</v>
          </cell>
          <cell r="B1188" t="str">
            <v>AMUNDI FUNDS EMERGING MARKETS BOND</v>
          </cell>
          <cell r="C1188" t="str">
            <v>Class I2 GBP (C)</v>
          </cell>
          <cell r="D1188" t="str">
            <v>GBP</v>
          </cell>
          <cell r="E1188" t="str">
            <v>01-Dec-2025</v>
          </cell>
          <cell r="F1188">
            <v>6091.09</v>
          </cell>
          <cell r="G1188">
            <v>5</v>
          </cell>
          <cell r="H1188">
            <v>1218.22</v>
          </cell>
          <cell r="I1188">
            <v>0</v>
          </cell>
          <cell r="J1188">
            <v>1218.22</v>
          </cell>
          <cell r="K1188">
            <v>-0.36</v>
          </cell>
          <cell r="P1188">
            <v>0</v>
          </cell>
        </row>
        <row r="1189">
          <cell r="A1189" t="str">
            <v>LU1882453829</v>
          </cell>
          <cell r="B1189" t="str">
            <v>AMUNDI FUNDS EMERGING MARKETS BOND</v>
          </cell>
          <cell r="C1189" t="str">
            <v>Class I2 USD QTD (D)</v>
          </cell>
          <cell r="D1189" t="str">
            <v>USD</v>
          </cell>
          <cell r="E1189" t="str">
            <v>01-Dec-2025</v>
          </cell>
          <cell r="F1189">
            <v>14689282.51</v>
          </cell>
          <cell r="G1189">
            <v>11099.049000000001</v>
          </cell>
          <cell r="H1189">
            <v>1323.47</v>
          </cell>
          <cell r="I1189">
            <v>0</v>
          </cell>
          <cell r="J1189">
            <v>1323.47</v>
          </cell>
          <cell r="K1189">
            <v>-0.17</v>
          </cell>
          <cell r="P1189">
            <v>0</v>
          </cell>
        </row>
        <row r="1190">
          <cell r="A1190" t="str">
            <v>LU1882453746</v>
          </cell>
          <cell r="B1190" t="str">
            <v>AMUNDI FUNDS EMERGING MARKETS BOND</v>
          </cell>
          <cell r="C1190" t="str">
            <v>Class I2 USD QD (D)</v>
          </cell>
          <cell r="D1190" t="str">
            <v>USD</v>
          </cell>
          <cell r="E1190" t="str">
            <v>01-Dec-2025</v>
          </cell>
          <cell r="F1190">
            <v>1024165.92</v>
          </cell>
          <cell r="G1190">
            <v>1246.1479999999999</v>
          </cell>
          <cell r="H1190">
            <v>821.87</v>
          </cell>
          <cell r="I1190">
            <v>0</v>
          </cell>
          <cell r="J1190">
            <v>821.87</v>
          </cell>
          <cell r="K1190">
            <v>-0.1</v>
          </cell>
          <cell r="P1190">
            <v>0</v>
          </cell>
        </row>
        <row r="1191">
          <cell r="A1191" t="str">
            <v>LU1882453662</v>
          </cell>
          <cell r="B1191" t="str">
            <v>AMUNDI FUNDS EMERGING MARKETS BOND</v>
          </cell>
          <cell r="C1191" t="str">
            <v>Class I2 USD (C)</v>
          </cell>
          <cell r="D1191" t="str">
            <v>USD</v>
          </cell>
          <cell r="E1191" t="str">
            <v>01-Dec-2025</v>
          </cell>
          <cell r="F1191">
            <v>603614655.05999994</v>
          </cell>
          <cell r="G1191">
            <v>19937673.809999999</v>
          </cell>
          <cell r="H1191">
            <v>30.28</v>
          </cell>
          <cell r="I1191">
            <v>0</v>
          </cell>
          <cell r="J1191">
            <v>30.28</v>
          </cell>
          <cell r="K1191">
            <v>0</v>
          </cell>
          <cell r="P1191">
            <v>0</v>
          </cell>
        </row>
        <row r="1192">
          <cell r="A1192" t="str">
            <v>LU1882453407</v>
          </cell>
          <cell r="B1192" t="str">
            <v>AMUNDI FUNDS EMERGING MARKETS BOND</v>
          </cell>
          <cell r="C1192" t="str">
            <v>Class I2 EUR QTD (D)</v>
          </cell>
          <cell r="D1192" t="str">
            <v>EUR</v>
          </cell>
          <cell r="E1192" t="str">
            <v>01-Dec-2025</v>
          </cell>
          <cell r="F1192">
            <v>17335086.84</v>
          </cell>
          <cell r="G1192">
            <v>15133.154</v>
          </cell>
          <cell r="H1192">
            <v>1145.5</v>
          </cell>
          <cell r="I1192">
            <v>0</v>
          </cell>
          <cell r="J1192">
            <v>1145.5</v>
          </cell>
          <cell r="K1192">
            <v>-2.57</v>
          </cell>
          <cell r="P1192">
            <v>0</v>
          </cell>
        </row>
        <row r="1193">
          <cell r="A1193" t="str">
            <v>LU1882453589</v>
          </cell>
          <cell r="B1193" t="str">
            <v>AMUNDI FUNDS EMERGING MARKETS BOND</v>
          </cell>
          <cell r="C1193" t="str">
            <v>Class I2 GBP Hgd QD (D)</v>
          </cell>
          <cell r="D1193" t="str">
            <v>GBP</v>
          </cell>
          <cell r="E1193" t="str">
            <v>01-Dec-2025</v>
          </cell>
          <cell r="F1193">
            <v>2842575.41</v>
          </cell>
          <cell r="G1193">
            <v>3671.087</v>
          </cell>
          <cell r="H1193">
            <v>774.31</v>
          </cell>
          <cell r="I1193">
            <v>0</v>
          </cell>
          <cell r="J1193">
            <v>774.31</v>
          </cell>
          <cell r="K1193">
            <v>-0.12</v>
          </cell>
          <cell r="P1193">
            <v>0</v>
          </cell>
        </row>
        <row r="1194">
          <cell r="A1194" t="str">
            <v>LU1882452698</v>
          </cell>
          <cell r="B1194" t="str">
            <v>AMUNDI FUNDS EMERGING MARKETS BOND</v>
          </cell>
          <cell r="C1194" t="str">
            <v>Class E2 EUR QTD (D)</v>
          </cell>
          <cell r="D1194" t="str">
            <v>EUR</v>
          </cell>
          <cell r="E1194" t="str">
            <v>01-Dec-2025</v>
          </cell>
          <cell r="F1194">
            <v>42316367.299999997</v>
          </cell>
          <cell r="G1194">
            <v>8199760.432</v>
          </cell>
          <cell r="H1194">
            <v>5.1609999999999996</v>
          </cell>
          <cell r="I1194">
            <v>0</v>
          </cell>
          <cell r="J1194">
            <v>5.1609999999999996</v>
          </cell>
          <cell r="K1194">
            <v>-1.2E-2</v>
          </cell>
          <cell r="P1194">
            <v>0</v>
          </cell>
        </row>
        <row r="1195">
          <cell r="A1195" t="str">
            <v>LU1882453316</v>
          </cell>
          <cell r="B1195" t="str">
            <v>AMUNDI FUNDS EMERGING MARKETS BOND</v>
          </cell>
          <cell r="C1195" t="str">
            <v>Class I2 EUR Hgd AD (D)</v>
          </cell>
          <cell r="D1195" t="str">
            <v>EUR</v>
          </cell>
          <cell r="E1195" t="str">
            <v>01-Dec-2025</v>
          </cell>
          <cell r="F1195">
            <v>41439448.490000002</v>
          </cell>
          <cell r="G1195">
            <v>64360.286999999997</v>
          </cell>
          <cell r="H1195">
            <v>643.87</v>
          </cell>
          <cell r="I1195">
            <v>0</v>
          </cell>
          <cell r="J1195">
            <v>643.87</v>
          </cell>
          <cell r="K1195">
            <v>-0.12</v>
          </cell>
          <cell r="P1195">
            <v>0</v>
          </cell>
        </row>
        <row r="1196">
          <cell r="A1196" t="str">
            <v>LU1882453233</v>
          </cell>
          <cell r="B1196" t="str">
            <v>AMUNDI FUNDS EMERGING MARKETS BOND</v>
          </cell>
          <cell r="C1196" t="str">
            <v>Class I2 EUR Hgd (C)</v>
          </cell>
          <cell r="D1196" t="str">
            <v>EUR</v>
          </cell>
          <cell r="E1196" t="str">
            <v>01-Dec-2025</v>
          </cell>
          <cell r="F1196">
            <v>127730092.13</v>
          </cell>
          <cell r="G1196">
            <v>93349.558999999994</v>
          </cell>
          <cell r="H1196">
            <v>1368.3</v>
          </cell>
          <cell r="I1196">
            <v>0</v>
          </cell>
          <cell r="J1196">
            <v>1368.3</v>
          </cell>
          <cell r="K1196">
            <v>-0.26</v>
          </cell>
          <cell r="P1196">
            <v>0</v>
          </cell>
        </row>
        <row r="1197">
          <cell r="A1197" t="str">
            <v>LU1882453159</v>
          </cell>
          <cell r="B1197" t="str">
            <v>AMUNDI FUNDS EMERGING MARKETS BOND</v>
          </cell>
          <cell r="C1197" t="str">
            <v>Class I2 EUR (C)</v>
          </cell>
          <cell r="D1197" t="str">
            <v>EUR</v>
          </cell>
          <cell r="E1197" t="str">
            <v>01-Dec-2025</v>
          </cell>
          <cell r="F1197">
            <v>189238414.46000001</v>
          </cell>
          <cell r="G1197">
            <v>7270103.5549999997</v>
          </cell>
          <cell r="H1197">
            <v>26.03</v>
          </cell>
          <cell r="I1197">
            <v>0</v>
          </cell>
          <cell r="J1197">
            <v>26.03</v>
          </cell>
          <cell r="K1197">
            <v>-0.06</v>
          </cell>
          <cell r="P1197">
            <v>0</v>
          </cell>
        </row>
        <row r="1198">
          <cell r="A1198" t="str">
            <v>LU2110860843</v>
          </cell>
          <cell r="B1198" t="str">
            <v>AMUNDI FUNDS EMERGING MARKETS BOND</v>
          </cell>
          <cell r="C1198" t="str">
            <v>Class I2 CHF Hgd (C)</v>
          </cell>
          <cell r="D1198" t="str">
            <v>CHF</v>
          </cell>
          <cell r="E1198" t="str">
            <v>01-Dec-2025</v>
          </cell>
          <cell r="F1198">
            <v>20866908.809999999</v>
          </cell>
          <cell r="G1198">
            <v>18191.998</v>
          </cell>
          <cell r="H1198">
            <v>1147.04</v>
          </cell>
          <cell r="I1198">
            <v>0</v>
          </cell>
          <cell r="J1198">
            <v>1147.04</v>
          </cell>
          <cell r="K1198">
            <v>-0.28999999999999998</v>
          </cell>
          <cell r="P1198">
            <v>0</v>
          </cell>
        </row>
        <row r="1199">
          <cell r="A1199" t="str">
            <v>LU1882455790</v>
          </cell>
          <cell r="B1199" t="str">
            <v>AMUNDI FUNDS EMERGING MARKETS BOND</v>
          </cell>
          <cell r="C1199" t="str">
            <v>Class R2 USD AD (D)</v>
          </cell>
          <cell r="D1199" t="str">
            <v>USD</v>
          </cell>
          <cell r="E1199" t="str">
            <v>01-Dec-2025</v>
          </cell>
          <cell r="F1199">
            <v>154917.16</v>
          </cell>
          <cell r="G1199">
            <v>3774.0459999999998</v>
          </cell>
          <cell r="H1199">
            <v>41.05</v>
          </cell>
          <cell r="I1199">
            <v>0</v>
          </cell>
          <cell r="J1199">
            <v>41.05</v>
          </cell>
          <cell r="K1199">
            <v>0</v>
          </cell>
          <cell r="P1199">
            <v>0</v>
          </cell>
        </row>
        <row r="1200">
          <cell r="A1200" t="str">
            <v>LU2052287724</v>
          </cell>
          <cell r="B1200" t="str">
            <v>AMUNDI FUNDS EMERGING MARKETS BOND</v>
          </cell>
          <cell r="C1200" t="str">
            <v>Class J3 GBP (C)</v>
          </cell>
          <cell r="D1200" t="str">
            <v>GBP</v>
          </cell>
          <cell r="E1200" t="str">
            <v>01-Dec-2025</v>
          </cell>
          <cell r="F1200">
            <v>5801.97</v>
          </cell>
          <cell r="G1200">
            <v>5</v>
          </cell>
          <cell r="H1200">
            <v>1160.3900000000001</v>
          </cell>
          <cell r="I1200">
            <v>0</v>
          </cell>
          <cell r="J1200">
            <v>1160.3900000000001</v>
          </cell>
          <cell r="K1200">
            <v>-0.35</v>
          </cell>
          <cell r="P1200">
            <v>0</v>
          </cell>
        </row>
        <row r="1201">
          <cell r="A1201" t="str">
            <v>LU2052287997</v>
          </cell>
          <cell r="B1201" t="str">
            <v>AMUNDI FUNDS EMERGING MARKETS BOND</v>
          </cell>
          <cell r="C1201" t="str">
            <v>Class J3 GBP QD (D)</v>
          </cell>
          <cell r="D1201" t="str">
            <v>GBP</v>
          </cell>
          <cell r="E1201" t="str">
            <v>01-Dec-2025</v>
          </cell>
          <cell r="F1201">
            <v>3908.48</v>
          </cell>
          <cell r="G1201">
            <v>5</v>
          </cell>
          <cell r="H1201">
            <v>781.7</v>
          </cell>
          <cell r="I1201">
            <v>0</v>
          </cell>
          <cell r="J1201">
            <v>781.7</v>
          </cell>
          <cell r="K1201">
            <v>-0.23</v>
          </cell>
          <cell r="P1201">
            <v>0</v>
          </cell>
        </row>
        <row r="1202">
          <cell r="A1202" t="str">
            <v>LU1882454124</v>
          </cell>
          <cell r="B1202" t="str">
            <v>AMUNDI FUNDS EMERGING MARKETS BOND</v>
          </cell>
          <cell r="C1202" t="str">
            <v>Class J2 EUR Hgd (C)</v>
          </cell>
          <cell r="D1202" t="str">
            <v>EUR</v>
          </cell>
          <cell r="E1202" t="str">
            <v>01-Dec-2025</v>
          </cell>
          <cell r="F1202">
            <v>125520064.5</v>
          </cell>
          <cell r="G1202">
            <v>109797.584</v>
          </cell>
          <cell r="H1202">
            <v>1143.2</v>
          </cell>
          <cell r="I1202">
            <v>0</v>
          </cell>
          <cell r="J1202">
            <v>1143.2</v>
          </cell>
          <cell r="K1202">
            <v>-0.21</v>
          </cell>
          <cell r="P1202">
            <v>0</v>
          </cell>
        </row>
        <row r="1203">
          <cell r="A1203" t="str">
            <v>LU1894676722</v>
          </cell>
          <cell r="B1203" t="str">
            <v>AMUNDI FUNDS EMERGING MARKETS BOND</v>
          </cell>
          <cell r="C1203" t="str">
            <v>Class G EUR Hgd AD (D)</v>
          </cell>
          <cell r="D1203" t="str">
            <v>EUR</v>
          </cell>
          <cell r="E1203" t="str">
            <v>01-Dec-2025</v>
          </cell>
          <cell r="F1203">
            <v>11606080.18</v>
          </cell>
          <cell r="G1203">
            <v>3065842.15</v>
          </cell>
          <cell r="H1203">
            <v>3.786</v>
          </cell>
          <cell r="I1203">
            <v>0</v>
          </cell>
          <cell r="J1203">
            <v>3.786</v>
          </cell>
          <cell r="K1203">
            <v>-1E-3</v>
          </cell>
          <cell r="P1203">
            <v>0</v>
          </cell>
        </row>
        <row r="1204">
          <cell r="A1204" t="str">
            <v>LU2834370277</v>
          </cell>
          <cell r="B1204" t="str">
            <v>AMUNDI FUNDS EMERGING MARKETS BOND</v>
          </cell>
          <cell r="C1204" t="str">
            <v>Class G EUR Hgd (C)</v>
          </cell>
          <cell r="D1204" t="str">
            <v>EUR</v>
          </cell>
          <cell r="E1204" t="str">
            <v>01-Dec-2025</v>
          </cell>
          <cell r="F1204">
            <v>691149.01</v>
          </cell>
          <cell r="G1204">
            <v>122074.788</v>
          </cell>
          <cell r="H1204">
            <v>5.6619999999999999</v>
          </cell>
          <cell r="I1204">
            <v>0</v>
          </cell>
          <cell r="J1204">
            <v>5.6619999999999999</v>
          </cell>
          <cell r="K1204">
            <v>-1E-3</v>
          </cell>
          <cell r="P1204">
            <v>0</v>
          </cell>
        </row>
        <row r="1205">
          <cell r="A1205" t="str">
            <v>LU1882456178</v>
          </cell>
          <cell r="B1205" t="str">
            <v>AMUNDI FUNDS EMERGING MARKETS BOND</v>
          </cell>
          <cell r="C1205" t="str">
            <v>Class T USD MTD3 (D)</v>
          </cell>
          <cell r="D1205" t="str">
            <v>USD</v>
          </cell>
          <cell r="E1205" t="str">
            <v>01-Dec-2025</v>
          </cell>
          <cell r="F1205">
            <v>10501240.449999999</v>
          </cell>
          <cell r="G1205">
            <v>547447.88300000003</v>
          </cell>
          <cell r="H1205">
            <v>19.18</v>
          </cell>
          <cell r="I1205">
            <v>0.28270000000000001</v>
          </cell>
          <cell r="J1205">
            <v>19.18</v>
          </cell>
          <cell r="K1205">
            <v>-0.28999999999999998</v>
          </cell>
          <cell r="P1205">
            <v>0</v>
          </cell>
        </row>
        <row r="1206">
          <cell r="A1206" t="str">
            <v>LU1882456095</v>
          </cell>
          <cell r="B1206" t="str">
            <v>AMUNDI FUNDS EMERGING MARKETS BOND</v>
          </cell>
          <cell r="C1206" t="str">
            <v>Class T USD (C)</v>
          </cell>
          <cell r="D1206" t="str">
            <v>USD</v>
          </cell>
          <cell r="E1206" t="str">
            <v>01-Dec-2025</v>
          </cell>
          <cell r="F1206">
            <v>423769.89</v>
          </cell>
          <cell r="G1206">
            <v>6344.8919999999998</v>
          </cell>
          <cell r="H1206">
            <v>66.790000000000006</v>
          </cell>
          <cell r="I1206">
            <v>0</v>
          </cell>
          <cell r="J1206">
            <v>66.790000000000006</v>
          </cell>
          <cell r="K1206">
            <v>-0.02</v>
          </cell>
          <cell r="P1206">
            <v>0</v>
          </cell>
        </row>
        <row r="1207">
          <cell r="A1207" t="str">
            <v>LU1882456251</v>
          </cell>
          <cell r="B1207" t="str">
            <v>AMUNDI FUNDS EMERGING MARKETS BOND</v>
          </cell>
          <cell r="C1207" t="str">
            <v>Class T USD MGI (D)</v>
          </cell>
          <cell r="D1207" t="str">
            <v>USD</v>
          </cell>
          <cell r="E1207" t="str">
            <v>01-Dec-2025</v>
          </cell>
          <cell r="F1207">
            <v>815774.98</v>
          </cell>
          <cell r="G1207">
            <v>25344.517</v>
          </cell>
          <cell r="H1207">
            <v>32.19</v>
          </cell>
          <cell r="I1207">
            <v>0.173453</v>
          </cell>
          <cell r="J1207">
            <v>32.19</v>
          </cell>
          <cell r="K1207">
            <v>-0.18</v>
          </cell>
          <cell r="P1207">
            <v>0</v>
          </cell>
        </row>
        <row r="1208">
          <cell r="A1208" t="str">
            <v>LU1882455873</v>
          </cell>
          <cell r="B1208" t="str">
            <v>AMUNDI FUNDS EMERGING MARKETS BOND</v>
          </cell>
          <cell r="C1208" t="str">
            <v>Class T AUD Hgd MTD3 (D)</v>
          </cell>
          <cell r="D1208" t="str">
            <v>AUD</v>
          </cell>
          <cell r="E1208" t="str">
            <v>01-Dec-2025</v>
          </cell>
          <cell r="F1208">
            <v>3023878.52</v>
          </cell>
          <cell r="G1208">
            <v>180127.399</v>
          </cell>
          <cell r="H1208">
            <v>16.79</v>
          </cell>
          <cell r="I1208">
            <v>0.23</v>
          </cell>
          <cell r="J1208">
            <v>16.79</v>
          </cell>
          <cell r="K1208">
            <v>-0.23</v>
          </cell>
          <cell r="P1208">
            <v>0</v>
          </cell>
        </row>
        <row r="1209">
          <cell r="A1209" t="str">
            <v>LU1882455956</v>
          </cell>
          <cell r="B1209" t="str">
            <v>AMUNDI FUNDS EMERGING MARKETS BOND</v>
          </cell>
          <cell r="C1209" t="str">
            <v>Class T EUR (C)</v>
          </cell>
          <cell r="D1209" t="str">
            <v>EUR</v>
          </cell>
          <cell r="E1209" t="str">
            <v>01-Dec-2025</v>
          </cell>
          <cell r="F1209">
            <v>15776.03</v>
          </cell>
          <cell r="G1209">
            <v>269.08800000000002</v>
          </cell>
          <cell r="H1209">
            <v>58.63</v>
          </cell>
          <cell r="I1209">
            <v>0</v>
          </cell>
          <cell r="J1209">
            <v>58.63</v>
          </cell>
          <cell r="K1209">
            <v>-0.14000000000000001</v>
          </cell>
          <cell r="P1209">
            <v>0</v>
          </cell>
        </row>
        <row r="1210">
          <cell r="A1210" t="str">
            <v>LU1882456335</v>
          </cell>
          <cell r="B1210" t="str">
            <v>AMUNDI FUNDS EMERGING MARKETS BOND</v>
          </cell>
          <cell r="C1210" t="str">
            <v>Class T ZAR Hgd MTD3 (D)</v>
          </cell>
          <cell r="D1210" t="str">
            <v>ZAR</v>
          </cell>
          <cell r="E1210" t="str">
            <v>01-Dec-2025</v>
          </cell>
          <cell r="F1210">
            <v>218153905.16</v>
          </cell>
          <cell r="G1210">
            <v>912675.46200000006</v>
          </cell>
          <cell r="H1210">
            <v>239.03</v>
          </cell>
          <cell r="I1210">
            <v>5.1101000000000001</v>
          </cell>
          <cell r="J1210">
            <v>239.03</v>
          </cell>
          <cell r="K1210">
            <v>-5.17</v>
          </cell>
          <cell r="P1210">
            <v>0</v>
          </cell>
        </row>
        <row r="1211">
          <cell r="A1211" t="str">
            <v>LU1882455287</v>
          </cell>
          <cell r="B1211" t="str">
            <v>AMUNDI FUNDS EMERGING MARKETS BOND</v>
          </cell>
          <cell r="C1211" t="str">
            <v>Class R2 EUR (C)</v>
          </cell>
          <cell r="D1211" t="str">
            <v>EUR</v>
          </cell>
          <cell r="E1211" t="str">
            <v>01-Dec-2025</v>
          </cell>
          <cell r="F1211">
            <v>1576145.1</v>
          </cell>
          <cell r="G1211">
            <v>16295.694</v>
          </cell>
          <cell r="H1211">
            <v>96.72</v>
          </cell>
          <cell r="I1211">
            <v>0</v>
          </cell>
          <cell r="J1211">
            <v>96.72</v>
          </cell>
          <cell r="K1211">
            <v>-0.22</v>
          </cell>
          <cell r="P1211">
            <v>0</v>
          </cell>
        </row>
        <row r="1212">
          <cell r="A1212" t="str">
            <v>LU1882455444</v>
          </cell>
          <cell r="B1212" t="str">
            <v>AMUNDI FUNDS EMERGING MARKETS BOND</v>
          </cell>
          <cell r="C1212" t="str">
            <v>Class R2 GBP (C)</v>
          </cell>
          <cell r="D1212" t="str">
            <v>GBP</v>
          </cell>
          <cell r="E1212" t="str">
            <v>01-Dec-2025</v>
          </cell>
          <cell r="F1212">
            <v>14279.87</v>
          </cell>
          <cell r="G1212">
            <v>131.31399999999999</v>
          </cell>
          <cell r="H1212">
            <v>108.75</v>
          </cell>
          <cell r="I1212">
            <v>0</v>
          </cell>
          <cell r="J1212">
            <v>108.75</v>
          </cell>
          <cell r="K1212">
            <v>-0.03</v>
          </cell>
          <cell r="P1212">
            <v>0</v>
          </cell>
        </row>
        <row r="1213">
          <cell r="A1213" t="str">
            <v>LU1882455360</v>
          </cell>
          <cell r="B1213" t="str">
            <v>AMUNDI FUNDS EMERGING MARKETS BOND</v>
          </cell>
          <cell r="C1213" t="str">
            <v>Class R2 EUR Hgd (C)</v>
          </cell>
          <cell r="D1213" t="str">
            <v>EUR</v>
          </cell>
          <cell r="E1213" t="str">
            <v>01-Dec-2025</v>
          </cell>
          <cell r="F1213">
            <v>3615394.2</v>
          </cell>
          <cell r="G1213">
            <v>65304.639999999999</v>
          </cell>
          <cell r="H1213">
            <v>55.36</v>
          </cell>
          <cell r="I1213">
            <v>0</v>
          </cell>
          <cell r="J1213">
            <v>55.36</v>
          </cell>
          <cell r="K1213">
            <v>-0.01</v>
          </cell>
          <cell r="P1213">
            <v>0</v>
          </cell>
        </row>
        <row r="1214">
          <cell r="A1214" t="str">
            <v>LU1882454983</v>
          </cell>
          <cell r="B1214" t="str">
            <v>AMUNDI FUNDS EMERGING MARKETS BOND</v>
          </cell>
          <cell r="C1214" t="str">
            <v>Class P2 USD (C)</v>
          </cell>
          <cell r="D1214" t="str">
            <v>USD</v>
          </cell>
          <cell r="E1214" t="str">
            <v>01-Dec-2025</v>
          </cell>
          <cell r="F1214">
            <v>4895741.6100000003</v>
          </cell>
          <cell r="G1214">
            <v>68604.388999999996</v>
          </cell>
          <cell r="H1214">
            <v>71.36</v>
          </cell>
          <cell r="I1214">
            <v>0</v>
          </cell>
          <cell r="J1214">
            <v>71.36</v>
          </cell>
          <cell r="K1214">
            <v>-0.01</v>
          </cell>
          <cell r="P1214">
            <v>0</v>
          </cell>
        </row>
        <row r="1215">
          <cell r="A1215" t="str">
            <v>LU1882455014</v>
          </cell>
          <cell r="B1215" t="str">
            <v>AMUNDI FUNDS EMERGING MARKETS BOND</v>
          </cell>
          <cell r="C1215" t="str">
            <v>Class P2 USD MTD (D)</v>
          </cell>
          <cell r="D1215" t="str">
            <v>USD</v>
          </cell>
          <cell r="E1215" t="str">
            <v>01-Dec-2025</v>
          </cell>
          <cell r="F1215">
            <v>395850.23</v>
          </cell>
          <cell r="G1215">
            <v>8757.9920000000002</v>
          </cell>
          <cell r="H1215">
            <v>45.2</v>
          </cell>
          <cell r="I1215">
            <v>0.1762</v>
          </cell>
          <cell r="J1215">
            <v>45.2</v>
          </cell>
          <cell r="K1215">
            <v>-0.18</v>
          </cell>
          <cell r="P1215">
            <v>0</v>
          </cell>
        </row>
        <row r="1216">
          <cell r="A1216" t="str">
            <v>LU1882455105</v>
          </cell>
          <cell r="B1216" t="str">
            <v>AMUNDI FUNDS EMERGING MARKETS BOND</v>
          </cell>
          <cell r="C1216" t="str">
            <v>Class Q-D USD MTD (D)</v>
          </cell>
          <cell r="D1216" t="str">
            <v>USD</v>
          </cell>
          <cell r="E1216" t="str">
            <v>01-Dec-2025</v>
          </cell>
          <cell r="F1216">
            <v>237543.95</v>
          </cell>
          <cell r="G1216">
            <v>4328.25</v>
          </cell>
          <cell r="H1216">
            <v>54.88</v>
          </cell>
          <cell r="I1216">
            <v>0.217</v>
          </cell>
          <cell r="J1216">
            <v>56.53</v>
          </cell>
          <cell r="K1216">
            <v>-0.23</v>
          </cell>
          <cell r="P1216">
            <v>0</v>
          </cell>
        </row>
        <row r="1217">
          <cell r="A1217" t="str">
            <v>LU1882456681</v>
          </cell>
          <cell r="B1217" t="str">
            <v>AMUNDI FUNDS EMERGING MARKETS BOND</v>
          </cell>
          <cell r="C1217" t="str">
            <v>Class U USD (C)</v>
          </cell>
          <cell r="D1217" t="str">
            <v>USD</v>
          </cell>
          <cell r="E1217" t="str">
            <v>01-Dec-2025</v>
          </cell>
          <cell r="F1217">
            <v>3699446.09</v>
          </cell>
          <cell r="G1217">
            <v>49508.447999999997</v>
          </cell>
          <cell r="H1217">
            <v>74.72</v>
          </cell>
          <cell r="I1217">
            <v>0</v>
          </cell>
          <cell r="J1217">
            <v>74.72</v>
          </cell>
          <cell r="K1217">
            <v>-0.02</v>
          </cell>
          <cell r="P1217">
            <v>0</v>
          </cell>
        </row>
        <row r="1218">
          <cell r="A1218" t="str">
            <v>LU1882456418</v>
          </cell>
          <cell r="B1218" t="str">
            <v>AMUNDI FUNDS EMERGING MARKETS BOND</v>
          </cell>
          <cell r="C1218" t="str">
            <v>Class U AUD Hgd MTD3 (D)</v>
          </cell>
          <cell r="D1218" t="str">
            <v>AUD</v>
          </cell>
          <cell r="E1218" t="str">
            <v>01-Dec-2025</v>
          </cell>
          <cell r="F1218">
            <v>23245184.620000001</v>
          </cell>
          <cell r="G1218">
            <v>1328701.26</v>
          </cell>
          <cell r="H1218">
            <v>17.489999999999998</v>
          </cell>
          <cell r="I1218">
            <v>0.23980000000000001</v>
          </cell>
          <cell r="J1218">
            <v>17.489999999999998</v>
          </cell>
          <cell r="K1218">
            <v>-0.25</v>
          </cell>
          <cell r="P1218">
            <v>0</v>
          </cell>
        </row>
        <row r="1219">
          <cell r="A1219" t="str">
            <v>LU1882456848</v>
          </cell>
          <cell r="B1219" t="str">
            <v>AMUNDI FUNDS EMERGING MARKETS BOND</v>
          </cell>
          <cell r="C1219" t="str">
            <v>Class U USD MGI (D)</v>
          </cell>
          <cell r="D1219" t="str">
            <v>USD</v>
          </cell>
          <cell r="E1219" t="str">
            <v>01-Dec-2025</v>
          </cell>
          <cell r="F1219">
            <v>10475317.23</v>
          </cell>
          <cell r="G1219">
            <v>326776.614</v>
          </cell>
          <cell r="H1219">
            <v>32.06</v>
          </cell>
          <cell r="I1219">
            <v>0.17275199999999999</v>
          </cell>
          <cell r="J1219">
            <v>32.06</v>
          </cell>
          <cell r="K1219">
            <v>-0.18</v>
          </cell>
          <cell r="P1219">
            <v>0</v>
          </cell>
        </row>
        <row r="1220">
          <cell r="A1220" t="str">
            <v>LU1882456921</v>
          </cell>
          <cell r="B1220" t="str">
            <v>AMUNDI FUNDS EMERGING MARKETS BOND</v>
          </cell>
          <cell r="C1220" t="str">
            <v>Class U ZAR Hgd MTD3 (D)</v>
          </cell>
          <cell r="D1220" t="str">
            <v>ZAR</v>
          </cell>
          <cell r="E1220" t="str">
            <v>01-Dec-2025</v>
          </cell>
          <cell r="F1220">
            <v>3824707933.0700002</v>
          </cell>
          <cell r="G1220">
            <v>15145305.869999999</v>
          </cell>
          <cell r="H1220">
            <v>252.53</v>
          </cell>
          <cell r="I1220">
            <v>5.3941999999999997</v>
          </cell>
          <cell r="J1220">
            <v>252.53</v>
          </cell>
          <cell r="K1220">
            <v>-5.46</v>
          </cell>
          <cell r="P1220">
            <v>0</v>
          </cell>
        </row>
        <row r="1221">
          <cell r="A1221" t="str">
            <v>LU1882456764</v>
          </cell>
          <cell r="B1221" t="str">
            <v>AMUNDI FUNDS EMERGING MARKETS BOND</v>
          </cell>
          <cell r="C1221" t="str">
            <v>Class U USD MTD3 (D)</v>
          </cell>
          <cell r="D1221" t="str">
            <v>USD</v>
          </cell>
          <cell r="E1221" t="str">
            <v>01-Dec-2025</v>
          </cell>
          <cell r="F1221">
            <v>163843405.84</v>
          </cell>
          <cell r="G1221">
            <v>8546655.4360000007</v>
          </cell>
          <cell r="H1221">
            <v>19.170000000000002</v>
          </cell>
          <cell r="I1221">
            <v>0.28249999999999997</v>
          </cell>
          <cell r="J1221">
            <v>19.170000000000002</v>
          </cell>
          <cell r="K1221">
            <v>-0.28999999999999998</v>
          </cell>
          <cell r="P1221">
            <v>0</v>
          </cell>
        </row>
        <row r="1222">
          <cell r="A1222" t="str">
            <v>LU1882456509</v>
          </cell>
          <cell r="B1222" t="str">
            <v>AMUNDI FUNDS EMERGING MARKETS BOND</v>
          </cell>
          <cell r="C1222" t="str">
            <v>Class U EUR (C)</v>
          </cell>
          <cell r="D1222" t="str">
            <v>EUR</v>
          </cell>
          <cell r="E1222" t="str">
            <v>01-Dec-2025</v>
          </cell>
          <cell r="F1222">
            <v>226666.54</v>
          </cell>
          <cell r="G1222">
            <v>3527.3809999999999</v>
          </cell>
          <cell r="H1222">
            <v>64.260000000000005</v>
          </cell>
          <cell r="I1222">
            <v>0</v>
          </cell>
          <cell r="J1222">
            <v>64.260000000000005</v>
          </cell>
          <cell r="K1222">
            <v>-0.15</v>
          </cell>
          <cell r="P1222">
            <v>0</v>
          </cell>
        </row>
        <row r="1223">
          <cell r="A1223" t="str">
            <v>LU1882455527</v>
          </cell>
          <cell r="B1223" t="str">
            <v>AMUNDI FUNDS EMERGING MARKETS BOND</v>
          </cell>
          <cell r="C1223" t="str">
            <v>Class R2 USD (C)</v>
          </cell>
          <cell r="D1223" t="str">
            <v>USD</v>
          </cell>
          <cell r="E1223" t="str">
            <v>01-Dec-2025</v>
          </cell>
          <cell r="F1223">
            <v>2109255.0699999998</v>
          </cell>
          <cell r="G1223">
            <v>18757.712</v>
          </cell>
          <cell r="H1223">
            <v>112.45</v>
          </cell>
          <cell r="I1223">
            <v>0</v>
          </cell>
          <cell r="J1223">
            <v>112.45</v>
          </cell>
          <cell r="K1223">
            <v>-0.01</v>
          </cell>
          <cell r="P1223">
            <v>0</v>
          </cell>
        </row>
        <row r="1224">
          <cell r="A1224" t="str">
            <v>LU2036673023</v>
          </cell>
          <cell r="B1224" t="str">
            <v>AMUNDI FUNDS EMERGING MARKETS BOND</v>
          </cell>
          <cell r="C1224" t="str">
            <v>Class G EUR (C)</v>
          </cell>
          <cell r="D1224" t="str">
            <v>EUR</v>
          </cell>
          <cell r="E1224" t="str">
            <v>01-Dec-2025</v>
          </cell>
          <cell r="F1224">
            <v>25168289.940000001</v>
          </cell>
          <cell r="G1224">
            <v>4607350.0279999999</v>
          </cell>
          <cell r="H1224">
            <v>5.4630000000000001</v>
          </cell>
          <cell r="I1224">
            <v>0</v>
          </cell>
          <cell r="J1224">
            <v>5.4630000000000001</v>
          </cell>
          <cell r="K1224">
            <v>-1.2E-2</v>
          </cell>
          <cell r="P1224">
            <v>0</v>
          </cell>
        </row>
        <row r="1225">
          <cell r="A1225" t="str">
            <v>LU2036673296</v>
          </cell>
          <cell r="B1225" t="str">
            <v>AMUNDI FUNDS EMERGING MARKETS BOND</v>
          </cell>
          <cell r="C1225" t="str">
            <v>Class G EUR QTD (D)</v>
          </cell>
          <cell r="D1225" t="str">
            <v>EUR</v>
          </cell>
          <cell r="E1225" t="str">
            <v>01-Dec-2025</v>
          </cell>
          <cell r="F1225">
            <v>8001098.6500000004</v>
          </cell>
          <cell r="G1225">
            <v>2037842.1</v>
          </cell>
          <cell r="H1225">
            <v>3.9260000000000002</v>
          </cell>
          <cell r="I1225">
            <v>0</v>
          </cell>
          <cell r="J1225">
            <v>3.9260000000000002</v>
          </cell>
          <cell r="K1225">
            <v>-8.9999999999999993E-3</v>
          </cell>
          <cell r="P1225">
            <v>0</v>
          </cell>
        </row>
        <row r="1226">
          <cell r="A1226" t="str">
            <v>LU2237438895</v>
          </cell>
          <cell r="B1226" t="str">
            <v>AMUNDI FUNDS EMERGING MARKETS BOND</v>
          </cell>
          <cell r="C1226" t="str">
            <v>Class A2 USD MGI (D)</v>
          </cell>
          <cell r="D1226" t="str">
            <v>USD</v>
          </cell>
          <cell r="E1226" t="str">
            <v>01-Dec-2025</v>
          </cell>
          <cell r="F1226">
            <v>4024.19</v>
          </cell>
          <cell r="G1226">
            <v>100</v>
          </cell>
          <cell r="H1226">
            <v>40.24</v>
          </cell>
          <cell r="I1226">
            <v>0.21659999999999999</v>
          </cell>
          <cell r="J1226">
            <v>40.24</v>
          </cell>
          <cell r="K1226">
            <v>-0.23</v>
          </cell>
          <cell r="P1226">
            <v>0</v>
          </cell>
        </row>
        <row r="1227">
          <cell r="A1227" t="str">
            <v>LU1882457069</v>
          </cell>
          <cell r="B1227" t="str">
            <v>AMUNDI FUNDS EMERGING MARKETS BOND</v>
          </cell>
          <cell r="C1227" t="str">
            <v>Class X EUR (C)</v>
          </cell>
          <cell r="D1227" t="str">
            <v>EUR</v>
          </cell>
          <cell r="E1227" t="str">
            <v>01-Dec-2025</v>
          </cell>
          <cell r="F1227">
            <v>181922.62</v>
          </cell>
          <cell r="G1227">
            <v>130</v>
          </cell>
          <cell r="H1227">
            <v>1399.4</v>
          </cell>
          <cell r="I1227">
            <v>0</v>
          </cell>
          <cell r="J1227">
            <v>1399.4</v>
          </cell>
          <cell r="K1227">
            <v>-3.07</v>
          </cell>
          <cell r="P1227">
            <v>0</v>
          </cell>
        </row>
        <row r="1228">
          <cell r="A1228" t="str">
            <v>LU2085674625</v>
          </cell>
          <cell r="B1228" t="str">
            <v>AMUNDI FUNDS EMERGING MARKETS BOND</v>
          </cell>
          <cell r="C1228" t="str">
            <v>Class Z EUR Hgd AD (D)</v>
          </cell>
          <cell r="D1228" t="str">
            <v>EUR</v>
          </cell>
          <cell r="E1228" t="str">
            <v>01-Dec-2025</v>
          </cell>
          <cell r="F1228">
            <v>5698228.3200000003</v>
          </cell>
          <cell r="G1228">
            <v>7770</v>
          </cell>
          <cell r="H1228">
            <v>733.36</v>
          </cell>
          <cell r="I1228">
            <v>0</v>
          </cell>
          <cell r="J1228">
            <v>733.36</v>
          </cell>
          <cell r="K1228">
            <v>-0.11</v>
          </cell>
          <cell r="P1228">
            <v>0</v>
          </cell>
        </row>
        <row r="1229">
          <cell r="A1229" t="str">
            <v>LU2040440153</v>
          </cell>
          <cell r="B1229" t="str">
            <v>AMUNDI FUNDS EMERGING MARKETS BOND</v>
          </cell>
          <cell r="C1229" t="str">
            <v>Class Z USD (C)</v>
          </cell>
          <cell r="D1229" t="str">
            <v>USD</v>
          </cell>
          <cell r="E1229" t="str">
            <v>01-Dec-2025</v>
          </cell>
          <cell r="F1229">
            <v>6575900.8099999996</v>
          </cell>
          <cell r="G1229">
            <v>5313.6750000000002</v>
          </cell>
          <cell r="H1229">
            <v>1237.54</v>
          </cell>
          <cell r="I1229">
            <v>0</v>
          </cell>
          <cell r="J1229">
            <v>1237.54</v>
          </cell>
          <cell r="K1229">
            <v>-0.05</v>
          </cell>
          <cell r="P1229">
            <v>0</v>
          </cell>
        </row>
        <row r="1230">
          <cell r="A1230" t="str">
            <v>LU1998914136</v>
          </cell>
          <cell r="B1230" t="str">
            <v>AMUNDI FUNDS EMERGING MARKETS BOND</v>
          </cell>
          <cell r="C1230" t="str">
            <v>Class H EUR Hgd (C)</v>
          </cell>
          <cell r="D1230" t="str">
            <v>EUR</v>
          </cell>
          <cell r="E1230" t="str">
            <v>01-Dec-2025</v>
          </cell>
          <cell r="F1230">
            <v>5007688.3600000003</v>
          </cell>
          <cell r="G1230">
            <v>4542</v>
          </cell>
          <cell r="H1230">
            <v>1102.53</v>
          </cell>
          <cell r="I1230">
            <v>0</v>
          </cell>
          <cell r="J1230">
            <v>1102.53</v>
          </cell>
          <cell r="K1230">
            <v>-0.21</v>
          </cell>
          <cell r="P1230">
            <v>0</v>
          </cell>
        </row>
        <row r="1231">
          <cell r="A1231" t="str">
            <v>LU2976322722</v>
          </cell>
          <cell r="B1231" t="str">
            <v>AMUNDI FUNDS PIONEER GLOBAL HIGH YIELD BOND</v>
          </cell>
          <cell r="C1231" t="str">
            <v>Class A2 USD (C)</v>
          </cell>
          <cell r="D1231" t="str">
            <v>USD</v>
          </cell>
          <cell r="E1231" t="str">
            <v>01-Dec-2025</v>
          </cell>
          <cell r="F1231">
            <v>2865635.29</v>
          </cell>
          <cell r="G1231">
            <v>54081.783000000003</v>
          </cell>
          <cell r="H1231">
            <v>52.99</v>
          </cell>
          <cell r="I1231">
            <v>0</v>
          </cell>
          <cell r="J1231">
            <v>52.99</v>
          </cell>
          <cell r="K1231">
            <v>-0.02</v>
          </cell>
          <cell r="P1231">
            <v>0</v>
          </cell>
        </row>
        <row r="1232">
          <cell r="A1232" t="str">
            <v>LU1883834910</v>
          </cell>
          <cell r="B1232" t="str">
            <v>AMUNDI FUNDS PIONEER GLOBAL HIGH YIELD BOND</v>
          </cell>
          <cell r="C1232" t="str">
            <v>Class A EUR AD (D)</v>
          </cell>
          <cell r="D1232" t="str">
            <v>EUR</v>
          </cell>
          <cell r="E1232" t="str">
            <v>01-Dec-2025</v>
          </cell>
          <cell r="F1232">
            <v>205589.58</v>
          </cell>
          <cell r="G1232">
            <v>4245.5140000000001</v>
          </cell>
          <cell r="H1232">
            <v>48.43</v>
          </cell>
          <cell r="I1232">
            <v>0</v>
          </cell>
          <cell r="J1232">
            <v>50.37</v>
          </cell>
          <cell r="K1232">
            <v>-0.11</v>
          </cell>
          <cell r="P1232">
            <v>0</v>
          </cell>
        </row>
        <row r="1233">
          <cell r="A1233" t="str">
            <v>LU1883834837</v>
          </cell>
          <cell r="B1233" t="str">
            <v>AMUNDI FUNDS PIONEER GLOBAL HIGH YIELD BOND</v>
          </cell>
          <cell r="C1233" t="str">
            <v>Class A EUR (C)</v>
          </cell>
          <cell r="D1233" t="str">
            <v>EUR</v>
          </cell>
          <cell r="E1233" t="str">
            <v>01-Dec-2025</v>
          </cell>
          <cell r="F1233">
            <v>2638337.7799999998</v>
          </cell>
          <cell r="G1233">
            <v>19801.081999999999</v>
          </cell>
          <cell r="H1233">
            <v>133.24</v>
          </cell>
          <cell r="I1233">
            <v>0</v>
          </cell>
          <cell r="J1233">
            <v>138.57</v>
          </cell>
          <cell r="K1233">
            <v>-0.33</v>
          </cell>
          <cell r="P1233">
            <v>0</v>
          </cell>
        </row>
        <row r="1234">
          <cell r="A1234" t="str">
            <v>LU2976323373</v>
          </cell>
          <cell r="B1234" t="str">
            <v>AMUNDI FUNDS PIONEER GLOBAL HIGH YIELD BOND</v>
          </cell>
          <cell r="C1234" t="str">
            <v>Class A2 USD MD (D)</v>
          </cell>
          <cell r="D1234" t="str">
            <v>USD</v>
          </cell>
          <cell r="E1234" t="str">
            <v>01-Dec-2025</v>
          </cell>
          <cell r="F1234">
            <v>5094.42</v>
          </cell>
          <cell r="G1234">
            <v>100</v>
          </cell>
          <cell r="H1234">
            <v>50.94</v>
          </cell>
          <cell r="I1234">
            <v>0</v>
          </cell>
          <cell r="J1234">
            <v>50.94</v>
          </cell>
          <cell r="K1234">
            <v>-0.02</v>
          </cell>
          <cell r="P1234">
            <v>0</v>
          </cell>
        </row>
        <row r="1235">
          <cell r="A1235" t="str">
            <v>LU1883834670</v>
          </cell>
          <cell r="B1235" t="str">
            <v>AMUNDI FUNDS PIONEER GLOBAL HIGH YIELD BOND</v>
          </cell>
          <cell r="C1235" t="str">
            <v>Class A AUD Hgd MTD3 (D)</v>
          </cell>
          <cell r="D1235" t="str">
            <v>AUD</v>
          </cell>
          <cell r="E1235" t="str">
            <v>01-Dec-2025</v>
          </cell>
          <cell r="F1235">
            <v>3468049.64</v>
          </cell>
          <cell r="G1235">
            <v>218842.67499999999</v>
          </cell>
          <cell r="H1235">
            <v>15.85</v>
          </cell>
          <cell r="I1235">
            <v>0.15629999999999999</v>
          </cell>
          <cell r="J1235">
            <v>16.48</v>
          </cell>
          <cell r="K1235">
            <v>-0.16</v>
          </cell>
          <cell r="P1235">
            <v>0</v>
          </cell>
        </row>
        <row r="1236">
          <cell r="A1236" t="str">
            <v>LU3081006184</v>
          </cell>
          <cell r="B1236" t="str">
            <v>AMUNDI FUNDS PIONEER GLOBAL HIGH YIELD BOND</v>
          </cell>
          <cell r="C1236" t="str">
            <v>Class A2 EUR (C)</v>
          </cell>
          <cell r="D1236" t="str">
            <v>EUR</v>
          </cell>
          <cell r="E1236" t="str">
            <v>01-Dec-2025</v>
          </cell>
          <cell r="F1236">
            <v>193325.01</v>
          </cell>
          <cell r="G1236">
            <v>3876.34</v>
          </cell>
          <cell r="H1236">
            <v>49.87</v>
          </cell>
          <cell r="I1236">
            <v>0</v>
          </cell>
          <cell r="J1236">
            <v>51.86</v>
          </cell>
          <cell r="K1236">
            <v>0</v>
          </cell>
          <cell r="P1236">
            <v>0</v>
          </cell>
        </row>
        <row r="1237">
          <cell r="A1237" t="str">
            <v>LU3081002357</v>
          </cell>
          <cell r="B1237" t="str">
            <v>AMUNDI FUNDS PIONEER GLOBAL HIGH YIELD BOND</v>
          </cell>
          <cell r="C1237" t="str">
            <v>Class A2 USD MTD (D)</v>
          </cell>
          <cell r="D1237" t="str">
            <v>USD</v>
          </cell>
          <cell r="E1237" t="str">
            <v>01-Dec-2025</v>
          </cell>
          <cell r="F1237">
            <v>1245512.99</v>
          </cell>
          <cell r="G1237">
            <v>25030.611000000001</v>
          </cell>
          <cell r="H1237">
            <v>49.76</v>
          </cell>
          <cell r="I1237">
            <v>0.21879999999999999</v>
          </cell>
          <cell r="J1237">
            <v>51.75</v>
          </cell>
          <cell r="K1237">
            <v>49.76</v>
          </cell>
          <cell r="P1237">
            <v>0</v>
          </cell>
        </row>
        <row r="1238">
          <cell r="A1238" t="str">
            <v>LU1883835131</v>
          </cell>
          <cell r="B1238" t="str">
            <v>AMUNDI FUNDS PIONEER GLOBAL HIGH YIELD BOND</v>
          </cell>
          <cell r="C1238" t="str">
            <v>Class A USD MTD (D)</v>
          </cell>
          <cell r="D1238" t="str">
            <v>USD</v>
          </cell>
          <cell r="E1238" t="str">
            <v>01-Dec-2025</v>
          </cell>
          <cell r="F1238">
            <v>5756851.2599999998</v>
          </cell>
          <cell r="G1238">
            <v>134409.36199999999</v>
          </cell>
          <cell r="H1238">
            <v>42.83</v>
          </cell>
          <cell r="I1238">
            <v>0.18360000000000001</v>
          </cell>
          <cell r="J1238">
            <v>44.54</v>
          </cell>
          <cell r="K1238">
            <v>-0.2</v>
          </cell>
          <cell r="P1238">
            <v>0</v>
          </cell>
        </row>
        <row r="1239">
          <cell r="A1239" t="str">
            <v>LU1883835214</v>
          </cell>
          <cell r="B1239" t="str">
            <v>AMUNDI FUNDS PIONEER GLOBAL HIGH YIELD BOND</v>
          </cell>
          <cell r="C1239" t="str">
            <v>Class A USD MTD3 (D)</v>
          </cell>
          <cell r="D1239" t="str">
            <v>USD</v>
          </cell>
          <cell r="E1239" t="str">
            <v>01-Dec-2025</v>
          </cell>
          <cell r="F1239">
            <v>4481232.59</v>
          </cell>
          <cell r="G1239">
            <v>208845.014</v>
          </cell>
          <cell r="H1239">
            <v>21.46</v>
          </cell>
          <cell r="I1239">
            <v>0.2316</v>
          </cell>
          <cell r="J1239">
            <v>22.1</v>
          </cell>
          <cell r="K1239">
            <v>-0.24</v>
          </cell>
          <cell r="P1239">
            <v>0</v>
          </cell>
        </row>
        <row r="1240">
          <cell r="A1240" t="str">
            <v>LU1883835305</v>
          </cell>
          <cell r="B1240" t="str">
            <v>AMUNDI FUNDS PIONEER GLOBAL HIGH YIELD BOND</v>
          </cell>
          <cell r="C1240" t="str">
            <v>Class A USD MGI (D)</v>
          </cell>
          <cell r="D1240" t="str">
            <v>USD</v>
          </cell>
          <cell r="E1240" t="str">
            <v>01-Dec-2025</v>
          </cell>
          <cell r="F1240">
            <v>111216059.22</v>
          </cell>
          <cell r="G1240">
            <v>3558429.0410000002</v>
          </cell>
          <cell r="H1240">
            <v>31.25</v>
          </cell>
          <cell r="I1240">
            <v>0.14998</v>
          </cell>
          <cell r="J1240">
            <v>32.5</v>
          </cell>
          <cell r="K1240">
            <v>-0.17</v>
          </cell>
          <cell r="P1240">
            <v>0</v>
          </cell>
        </row>
        <row r="1241">
          <cell r="A1241" t="str">
            <v>LU1883834753</v>
          </cell>
          <cell r="B1241" t="str">
            <v>AMUNDI FUNDS PIONEER GLOBAL HIGH YIELD BOND</v>
          </cell>
          <cell r="C1241" t="str">
            <v>Class A CZK Hgd (C)</v>
          </cell>
          <cell r="D1241" t="str">
            <v>CZK</v>
          </cell>
          <cell r="E1241" t="str">
            <v>01-Dec-2025</v>
          </cell>
          <cell r="F1241">
            <v>209922771.09</v>
          </cell>
          <cell r="G1241">
            <v>125374.461</v>
          </cell>
          <cell r="H1241">
            <v>1674.37</v>
          </cell>
          <cell r="I1241">
            <v>0</v>
          </cell>
          <cell r="J1241">
            <v>1741.34</v>
          </cell>
          <cell r="K1241">
            <v>-0.7</v>
          </cell>
          <cell r="P1241">
            <v>0</v>
          </cell>
        </row>
        <row r="1242">
          <cell r="A1242" t="str">
            <v>LU1883835057</v>
          </cell>
          <cell r="B1242" t="str">
            <v>AMUNDI FUNDS PIONEER GLOBAL HIGH YIELD BOND</v>
          </cell>
          <cell r="C1242" t="str">
            <v>Class A USD (C)</v>
          </cell>
          <cell r="D1242" t="str">
            <v>USD</v>
          </cell>
          <cell r="E1242" t="str">
            <v>01-Dec-2025</v>
          </cell>
          <cell r="F1242">
            <v>6648220.4800000004</v>
          </cell>
          <cell r="G1242">
            <v>42900.989000000001</v>
          </cell>
          <cell r="H1242">
            <v>154.97</v>
          </cell>
          <cell r="I1242">
            <v>0</v>
          </cell>
          <cell r="J1242">
            <v>161.16999999999999</v>
          </cell>
          <cell r="K1242">
            <v>-0.05</v>
          </cell>
          <cell r="P1242">
            <v>0</v>
          </cell>
        </row>
        <row r="1243">
          <cell r="A1243" t="str">
            <v>LU1883836295</v>
          </cell>
          <cell r="B1243" t="str">
            <v>AMUNDI FUNDS PIONEER GLOBAL HIGH YIELD BOND</v>
          </cell>
          <cell r="C1243" t="str">
            <v>Class B ZAR Hgd MTD3 (D)</v>
          </cell>
          <cell r="D1243" t="str">
            <v>ZAR</v>
          </cell>
          <cell r="E1243" t="str">
            <v>01-Dec-2025</v>
          </cell>
          <cell r="F1243">
            <v>5341150.16</v>
          </cell>
          <cell r="G1243">
            <v>7431.8959999999997</v>
          </cell>
          <cell r="H1243">
            <v>718.68</v>
          </cell>
          <cell r="I1243">
            <v>12.3423</v>
          </cell>
          <cell r="J1243">
            <v>718.68</v>
          </cell>
          <cell r="K1243">
            <v>-12.63</v>
          </cell>
          <cell r="P1243">
            <v>0</v>
          </cell>
        </row>
        <row r="1244">
          <cell r="A1244" t="str">
            <v>LU1883836022</v>
          </cell>
          <cell r="B1244" t="str">
            <v>AMUNDI FUNDS PIONEER GLOBAL HIGH YIELD BOND</v>
          </cell>
          <cell r="C1244" t="str">
            <v>Class B USD MGI (D)</v>
          </cell>
          <cell r="D1244" t="str">
            <v>USD</v>
          </cell>
          <cell r="E1244" t="str">
            <v>01-Dec-2025</v>
          </cell>
          <cell r="F1244">
            <v>124963.48</v>
          </cell>
          <cell r="G1244">
            <v>2489.5320000000002</v>
          </cell>
          <cell r="H1244">
            <v>50.2</v>
          </cell>
          <cell r="I1244">
            <v>0.24098900000000001</v>
          </cell>
          <cell r="J1244">
            <v>50.2</v>
          </cell>
          <cell r="K1244">
            <v>-0.26</v>
          </cell>
          <cell r="P1244">
            <v>0</v>
          </cell>
        </row>
        <row r="1245">
          <cell r="A1245" t="str">
            <v>LU1883835990</v>
          </cell>
          <cell r="B1245" t="str">
            <v>AMUNDI FUNDS PIONEER GLOBAL HIGH YIELD BOND</v>
          </cell>
          <cell r="C1245" t="str">
            <v>Class B USD MTD3 (D)</v>
          </cell>
          <cell r="D1245" t="str">
            <v>USD</v>
          </cell>
          <cell r="E1245" t="str">
            <v>01-Dec-2025</v>
          </cell>
          <cell r="F1245">
            <v>135960.56</v>
          </cell>
          <cell r="G1245">
            <v>6549.07</v>
          </cell>
          <cell r="H1245">
            <v>20.76</v>
          </cell>
          <cell r="I1245">
            <v>0.22620000000000001</v>
          </cell>
          <cell r="J1245">
            <v>20.76</v>
          </cell>
          <cell r="K1245">
            <v>-0.24</v>
          </cell>
          <cell r="P1245">
            <v>0</v>
          </cell>
        </row>
        <row r="1246">
          <cell r="A1246" t="str">
            <v>LU1883837426</v>
          </cell>
          <cell r="B1246" t="str">
            <v>AMUNDI FUNDS PIONEER GLOBAL HIGH YIELD BOND</v>
          </cell>
          <cell r="C1246" t="str">
            <v>Class M2 EUR (C)</v>
          </cell>
          <cell r="D1246" t="str">
            <v>EUR</v>
          </cell>
          <cell r="E1246" t="str">
            <v>01-Dec-2025</v>
          </cell>
          <cell r="F1246">
            <v>71851.97</v>
          </cell>
          <cell r="G1246">
            <v>25.858000000000001</v>
          </cell>
          <cell r="H1246">
            <v>2778.71</v>
          </cell>
          <cell r="I1246">
            <v>0</v>
          </cell>
          <cell r="J1246">
            <v>2778.71</v>
          </cell>
          <cell r="K1246">
            <v>-6.62</v>
          </cell>
          <cell r="P1246">
            <v>0</v>
          </cell>
        </row>
        <row r="1247">
          <cell r="A1247" t="str">
            <v>LU1883837699</v>
          </cell>
          <cell r="B1247" t="str">
            <v>AMUNDI FUNDS PIONEER GLOBAL HIGH YIELD BOND</v>
          </cell>
          <cell r="C1247" t="str">
            <v>Class M2 EUR AD (D)</v>
          </cell>
          <cell r="D1247" t="str">
            <v>EUR</v>
          </cell>
          <cell r="E1247" t="str">
            <v>01-Dec-2025</v>
          </cell>
          <cell r="F1247">
            <v>41173.18</v>
          </cell>
          <cell r="G1247">
            <v>48.348999999999997</v>
          </cell>
          <cell r="H1247">
            <v>851.58</v>
          </cell>
          <cell r="I1247">
            <v>0</v>
          </cell>
          <cell r="J1247">
            <v>851.58</v>
          </cell>
          <cell r="K1247">
            <v>-2.0299999999999998</v>
          </cell>
          <cell r="P1247">
            <v>0</v>
          </cell>
        </row>
        <row r="1248">
          <cell r="A1248" t="str">
            <v>LU1883837772</v>
          </cell>
          <cell r="B1248" t="str">
            <v>AMUNDI FUNDS PIONEER GLOBAL HIGH YIELD BOND</v>
          </cell>
          <cell r="C1248" t="str">
            <v>Class M2 EUR Hgd (C)</v>
          </cell>
          <cell r="D1248" t="str">
            <v>EUR</v>
          </cell>
          <cell r="E1248" t="str">
            <v>01-Dec-2025</v>
          </cell>
          <cell r="F1248">
            <v>3642.25</v>
          </cell>
          <cell r="G1248">
            <v>2.0950000000000002</v>
          </cell>
          <cell r="H1248">
            <v>1738.54</v>
          </cell>
          <cell r="I1248">
            <v>0</v>
          </cell>
          <cell r="J1248">
            <v>1738.54</v>
          </cell>
          <cell r="K1248">
            <v>-0.61</v>
          </cell>
          <cell r="P1248">
            <v>0</v>
          </cell>
        </row>
        <row r="1249">
          <cell r="A1249" t="str">
            <v>LU1883835487</v>
          </cell>
          <cell r="B1249" t="str">
            <v>AMUNDI FUNDS PIONEER GLOBAL HIGH YIELD BOND</v>
          </cell>
          <cell r="C1249" t="str">
            <v>Class A ZAR Hgd MTD3 (D)</v>
          </cell>
          <cell r="D1249" t="str">
            <v>ZAR</v>
          </cell>
          <cell r="E1249" t="str">
            <v>01-Dec-2025</v>
          </cell>
          <cell r="F1249">
            <v>110090053.78</v>
          </cell>
          <cell r="G1249">
            <v>492976.98300000001</v>
          </cell>
          <cell r="H1249">
            <v>223.32</v>
          </cell>
          <cell r="I1249">
            <v>3.7968000000000002</v>
          </cell>
          <cell r="J1249">
            <v>232.25</v>
          </cell>
          <cell r="K1249">
            <v>-3.86</v>
          </cell>
          <cell r="P1249">
            <v>0</v>
          </cell>
        </row>
        <row r="1250">
          <cell r="A1250" t="str">
            <v>LU1883836618</v>
          </cell>
          <cell r="B1250" t="str">
            <v>AMUNDI FUNDS PIONEER GLOBAL HIGH YIELD BOND</v>
          </cell>
          <cell r="C1250" t="str">
            <v>Class E2 EUR (C)</v>
          </cell>
          <cell r="D1250" t="str">
            <v>EUR</v>
          </cell>
          <cell r="E1250" t="str">
            <v>01-Dec-2025</v>
          </cell>
          <cell r="F1250">
            <v>4828478.13</v>
          </cell>
          <cell r="G1250">
            <v>345406.96799999999</v>
          </cell>
          <cell r="H1250">
            <v>13.978999999999999</v>
          </cell>
          <cell r="I1250">
            <v>0</v>
          </cell>
          <cell r="J1250">
            <v>13.978999999999999</v>
          </cell>
          <cell r="K1250">
            <v>-3.4000000000000002E-2</v>
          </cell>
          <cell r="P1250">
            <v>0</v>
          </cell>
        </row>
        <row r="1251">
          <cell r="A1251" t="str">
            <v>LU1883836881</v>
          </cell>
          <cell r="B1251" t="str">
            <v>AMUNDI FUNDS PIONEER GLOBAL HIGH YIELD BOND</v>
          </cell>
          <cell r="C1251" t="str">
            <v>Class F EUR (C)</v>
          </cell>
          <cell r="D1251" t="str">
            <v>EUR</v>
          </cell>
          <cell r="E1251" t="str">
            <v>01-Dec-2025</v>
          </cell>
          <cell r="F1251">
            <v>4335881.75</v>
          </cell>
          <cell r="G1251">
            <v>378693.33500000002</v>
          </cell>
          <cell r="H1251">
            <v>11.45</v>
          </cell>
          <cell r="I1251">
            <v>0</v>
          </cell>
          <cell r="J1251">
            <v>11.45</v>
          </cell>
          <cell r="K1251">
            <v>-2.8000000000000001E-2</v>
          </cell>
          <cell r="P1251">
            <v>0</v>
          </cell>
        </row>
        <row r="1252">
          <cell r="A1252" t="str">
            <v>LU1883836964</v>
          </cell>
          <cell r="B1252" t="str">
            <v>AMUNDI FUNDS PIONEER GLOBAL HIGH YIELD BOND</v>
          </cell>
          <cell r="C1252" t="str">
            <v>Class F EUR QTD (D)</v>
          </cell>
          <cell r="D1252" t="str">
            <v>EUR</v>
          </cell>
          <cell r="E1252" t="str">
            <v>01-Dec-2025</v>
          </cell>
          <cell r="F1252">
            <v>3435744.64</v>
          </cell>
          <cell r="G1252">
            <v>755718.19299999997</v>
          </cell>
          <cell r="H1252">
            <v>4.5460000000000003</v>
          </cell>
          <cell r="I1252">
            <v>0</v>
          </cell>
          <cell r="J1252">
            <v>4.5460000000000003</v>
          </cell>
          <cell r="K1252">
            <v>-1.2E-2</v>
          </cell>
          <cell r="P1252">
            <v>0</v>
          </cell>
        </row>
        <row r="1253">
          <cell r="A1253" t="str">
            <v>LU1883837343</v>
          </cell>
          <cell r="B1253" t="str">
            <v>AMUNDI FUNDS PIONEER GLOBAL HIGH YIELD BOND</v>
          </cell>
          <cell r="C1253" t="str">
            <v>Class I2 USD (C)</v>
          </cell>
          <cell r="D1253" t="str">
            <v>USD</v>
          </cell>
          <cell r="E1253" t="str">
            <v>01-Dec-2025</v>
          </cell>
          <cell r="F1253">
            <v>3432621.31</v>
          </cell>
          <cell r="G1253">
            <v>1116.097</v>
          </cell>
          <cell r="H1253">
            <v>3075.56</v>
          </cell>
          <cell r="I1253">
            <v>0</v>
          </cell>
          <cell r="J1253">
            <v>3075.56</v>
          </cell>
          <cell r="K1253">
            <v>-0.82</v>
          </cell>
          <cell r="P1253">
            <v>0</v>
          </cell>
        </row>
        <row r="1254">
          <cell r="A1254" t="str">
            <v>LU1883836709</v>
          </cell>
          <cell r="B1254" t="str">
            <v>AMUNDI FUNDS PIONEER GLOBAL HIGH YIELD BOND</v>
          </cell>
          <cell r="C1254" t="str">
            <v>Class E2 EUR QTD (D)</v>
          </cell>
          <cell r="D1254" t="str">
            <v>EUR</v>
          </cell>
          <cell r="E1254" t="str">
            <v>01-Dec-2025</v>
          </cell>
          <cell r="F1254">
            <v>14307266.960000001</v>
          </cell>
          <cell r="G1254">
            <v>2871433.2960000001</v>
          </cell>
          <cell r="H1254">
            <v>4.9829999999999997</v>
          </cell>
          <cell r="I1254">
            <v>0</v>
          </cell>
          <cell r="J1254">
            <v>4.9829999999999997</v>
          </cell>
          <cell r="K1254">
            <v>-1.2E-2</v>
          </cell>
          <cell r="P1254">
            <v>0</v>
          </cell>
        </row>
        <row r="1255">
          <cell r="A1255" t="str">
            <v>LU1883837186</v>
          </cell>
          <cell r="B1255" t="str">
            <v>AMUNDI FUNDS PIONEER GLOBAL HIGH YIELD BOND</v>
          </cell>
          <cell r="C1255" t="str">
            <v>Class I2 EUR Hgd (C)</v>
          </cell>
          <cell r="D1255" t="str">
            <v>EUR</v>
          </cell>
          <cell r="E1255" t="str">
            <v>01-Dec-2025</v>
          </cell>
          <cell r="F1255">
            <v>7967318.04</v>
          </cell>
          <cell r="G1255">
            <v>6580.5860000000002</v>
          </cell>
          <cell r="H1255">
            <v>1210.73</v>
          </cell>
          <cell r="I1255">
            <v>0</v>
          </cell>
          <cell r="J1255">
            <v>1210.73</v>
          </cell>
          <cell r="K1255">
            <v>-0.42</v>
          </cell>
          <cell r="P1255">
            <v>0</v>
          </cell>
        </row>
        <row r="1256">
          <cell r="A1256" t="str">
            <v>LU1894680674</v>
          </cell>
          <cell r="B1256" t="str">
            <v>AMUNDI FUNDS PIONEER GLOBAL HIGH YIELD BOND</v>
          </cell>
          <cell r="C1256" t="str">
            <v>Class G EUR Hgd AD (D)</v>
          </cell>
          <cell r="D1256" t="str">
            <v>EUR</v>
          </cell>
          <cell r="E1256" t="str">
            <v>01-Dec-2025</v>
          </cell>
          <cell r="F1256">
            <v>109012.63</v>
          </cell>
          <cell r="G1256">
            <v>28988.806</v>
          </cell>
          <cell r="H1256">
            <v>3.7610000000000001</v>
          </cell>
          <cell r="I1256">
            <v>0</v>
          </cell>
          <cell r="J1256">
            <v>3.7610000000000001</v>
          </cell>
          <cell r="K1256">
            <v>-1E-3</v>
          </cell>
          <cell r="P1256">
            <v>0</v>
          </cell>
        </row>
        <row r="1257">
          <cell r="A1257" t="str">
            <v>LU1883838747</v>
          </cell>
          <cell r="B1257" t="str">
            <v>AMUNDI FUNDS PIONEER GLOBAL HIGH YIELD BOND</v>
          </cell>
          <cell r="C1257" t="str">
            <v>Class T ZAR Hgd MTD3 (D)</v>
          </cell>
          <cell r="D1257" t="str">
            <v>ZAR</v>
          </cell>
          <cell r="E1257" t="str">
            <v>01-Dec-2025</v>
          </cell>
          <cell r="F1257">
            <v>233658.76</v>
          </cell>
          <cell r="G1257">
            <v>1031.7919999999999</v>
          </cell>
          <cell r="H1257">
            <v>226.46</v>
          </cell>
          <cell r="I1257">
            <v>3.8927999999999998</v>
          </cell>
          <cell r="J1257">
            <v>226.46</v>
          </cell>
          <cell r="K1257">
            <v>-3.98</v>
          </cell>
          <cell r="P1257">
            <v>0</v>
          </cell>
        </row>
        <row r="1258">
          <cell r="A1258" t="str">
            <v>LU1883838317</v>
          </cell>
          <cell r="B1258" t="str">
            <v>AMUNDI FUNDS PIONEER GLOBAL HIGH YIELD BOND</v>
          </cell>
          <cell r="C1258" t="str">
            <v>Class R2 GBP (C)</v>
          </cell>
          <cell r="D1258" t="str">
            <v>GBP</v>
          </cell>
          <cell r="E1258" t="str">
            <v>01-Dec-2025</v>
          </cell>
          <cell r="F1258">
            <v>2042.37</v>
          </cell>
          <cell r="G1258">
            <v>20.084</v>
          </cell>
          <cell r="H1258">
            <v>101.69</v>
          </cell>
          <cell r="I1258">
            <v>0</v>
          </cell>
          <cell r="J1258">
            <v>101.69</v>
          </cell>
          <cell r="K1258">
            <v>-0.01</v>
          </cell>
          <cell r="P1258">
            <v>0</v>
          </cell>
        </row>
        <row r="1259">
          <cell r="A1259" t="str">
            <v>LU1883837939</v>
          </cell>
          <cell r="B1259" t="str">
            <v>AMUNDI FUNDS PIONEER GLOBAL HIGH YIELD BOND</v>
          </cell>
          <cell r="C1259" t="str">
            <v>Class P2 USD (C)</v>
          </cell>
          <cell r="D1259" t="str">
            <v>USD</v>
          </cell>
          <cell r="E1259" t="str">
            <v>01-Dec-2025</v>
          </cell>
          <cell r="F1259">
            <v>283990.65999999997</v>
          </cell>
          <cell r="G1259">
            <v>5348.3140000000003</v>
          </cell>
          <cell r="H1259">
            <v>53.1</v>
          </cell>
          <cell r="I1259">
            <v>0</v>
          </cell>
          <cell r="J1259">
            <v>53.1</v>
          </cell>
          <cell r="K1259">
            <v>-0.01</v>
          </cell>
          <cell r="P1259">
            <v>0</v>
          </cell>
        </row>
        <row r="1260">
          <cell r="A1260" t="str">
            <v>LU1883838150</v>
          </cell>
          <cell r="B1260" t="str">
            <v>AMUNDI FUNDS PIONEER GLOBAL HIGH YIELD BOND</v>
          </cell>
          <cell r="C1260" t="str">
            <v>Class Q-D USD MTD (D)</v>
          </cell>
          <cell r="D1260" t="str">
            <v>USD</v>
          </cell>
          <cell r="E1260" t="str">
            <v>01-Dec-2025</v>
          </cell>
          <cell r="F1260">
            <v>44520.97</v>
          </cell>
          <cell r="G1260">
            <v>930.21</v>
          </cell>
          <cell r="H1260">
            <v>47.86</v>
          </cell>
          <cell r="I1260">
            <v>0.20680000000000001</v>
          </cell>
          <cell r="J1260">
            <v>49.3</v>
          </cell>
          <cell r="K1260">
            <v>-0.23</v>
          </cell>
          <cell r="P1260">
            <v>0</v>
          </cell>
        </row>
        <row r="1261">
          <cell r="A1261" t="str">
            <v>LU1883839042</v>
          </cell>
          <cell r="B1261" t="str">
            <v>AMUNDI FUNDS PIONEER GLOBAL HIGH YIELD BOND</v>
          </cell>
          <cell r="C1261" t="str">
            <v>Class U USD MTD3 (D)</v>
          </cell>
          <cell r="D1261" t="str">
            <v>USD</v>
          </cell>
          <cell r="E1261" t="str">
            <v>01-Dec-2025</v>
          </cell>
          <cell r="F1261">
            <v>91835.41</v>
          </cell>
          <cell r="G1261">
            <v>2070</v>
          </cell>
          <cell r="H1261">
            <v>44.36</v>
          </cell>
          <cell r="I1261">
            <v>0.48349999999999999</v>
          </cell>
          <cell r="J1261">
            <v>44.36</v>
          </cell>
          <cell r="K1261">
            <v>-0.51</v>
          </cell>
          <cell r="P1261">
            <v>0</v>
          </cell>
        </row>
        <row r="1262">
          <cell r="A1262" t="str">
            <v>LU1883838408</v>
          </cell>
          <cell r="B1262" t="str">
            <v>AMUNDI FUNDS PIONEER GLOBAL HIGH YIELD BOND</v>
          </cell>
          <cell r="C1262" t="str">
            <v>Class R2 USD (C)</v>
          </cell>
          <cell r="D1262" t="str">
            <v>USD</v>
          </cell>
          <cell r="E1262" t="str">
            <v>01-Dec-2025</v>
          </cell>
          <cell r="F1262">
            <v>1158717.67</v>
          </cell>
          <cell r="G1262">
            <v>16046.513999999999</v>
          </cell>
          <cell r="H1262">
            <v>72.209999999999994</v>
          </cell>
          <cell r="I1262">
            <v>0</v>
          </cell>
          <cell r="J1262">
            <v>72.209999999999994</v>
          </cell>
          <cell r="K1262">
            <v>-0.02</v>
          </cell>
          <cell r="P1262">
            <v>0</v>
          </cell>
        </row>
        <row r="1263">
          <cell r="A1263" t="str">
            <v>LU2031986123</v>
          </cell>
          <cell r="B1263" t="str">
            <v>AMUNDI FUNDS PIONEER GLOBAL HIGH YIELD BOND</v>
          </cell>
          <cell r="C1263" t="str">
            <v>Class Z USD (C)</v>
          </cell>
          <cell r="D1263" t="str">
            <v>USD</v>
          </cell>
          <cell r="E1263" t="str">
            <v>01-Dec-2025</v>
          </cell>
          <cell r="F1263">
            <v>1864140.87</v>
          </cell>
          <cell r="G1263">
            <v>1328.615</v>
          </cell>
          <cell r="H1263">
            <v>1403.07</v>
          </cell>
          <cell r="I1263">
            <v>0</v>
          </cell>
          <cell r="J1263">
            <v>1403.07</v>
          </cell>
          <cell r="K1263">
            <v>-0.36</v>
          </cell>
          <cell r="P1263">
            <v>0</v>
          </cell>
        </row>
        <row r="1264">
          <cell r="A1264" t="str">
            <v>LU2976322995</v>
          </cell>
          <cell r="B1264" t="str">
            <v>AMUNDI FUNDS STRATEGIC INCOME</v>
          </cell>
          <cell r="C1264" t="str">
            <v>Class A2 USD (C)</v>
          </cell>
          <cell r="D1264" t="str">
            <v>USD</v>
          </cell>
          <cell r="E1264" t="str">
            <v>01-Dec-2025</v>
          </cell>
          <cell r="F1264">
            <v>33257947.309999999</v>
          </cell>
          <cell r="G1264">
            <v>613126.652</v>
          </cell>
          <cell r="H1264">
            <v>54.24</v>
          </cell>
          <cell r="I1264">
            <v>0</v>
          </cell>
          <cell r="J1264">
            <v>54.24</v>
          </cell>
          <cell r="K1264">
            <v>-0.16</v>
          </cell>
          <cell r="P1264">
            <v>0</v>
          </cell>
        </row>
        <row r="1265">
          <cell r="A1265" t="str">
            <v>LU1883841022</v>
          </cell>
          <cell r="B1265" t="str">
            <v>AMUNDI FUNDS STRATEGIC INCOME</v>
          </cell>
          <cell r="C1265" t="str">
            <v>Class A EUR (C)</v>
          </cell>
          <cell r="D1265" t="str">
            <v>EUR</v>
          </cell>
          <cell r="E1265" t="str">
            <v>01-Dec-2025</v>
          </cell>
          <cell r="F1265">
            <v>109352693.08</v>
          </cell>
          <cell r="G1265">
            <v>9435445.1899999995</v>
          </cell>
          <cell r="H1265">
            <v>11.59</v>
          </cell>
          <cell r="I1265">
            <v>0</v>
          </cell>
          <cell r="J1265">
            <v>11.94</v>
          </cell>
          <cell r="K1265">
            <v>-0.06</v>
          </cell>
          <cell r="P1265">
            <v>0</v>
          </cell>
        </row>
        <row r="1266">
          <cell r="A1266" t="str">
            <v>LU2070309294</v>
          </cell>
          <cell r="B1266" t="str">
            <v>AMUNDI FUNDS STRATEGIC INCOME</v>
          </cell>
          <cell r="C1266" t="str">
            <v>Class A2 EUR (C)</v>
          </cell>
          <cell r="D1266" t="str">
            <v>EUR</v>
          </cell>
          <cell r="E1266" t="str">
            <v>01-Dec-2025</v>
          </cell>
          <cell r="F1266">
            <v>887755.33</v>
          </cell>
          <cell r="G1266">
            <v>16751.792000000001</v>
          </cell>
          <cell r="H1266">
            <v>52.99</v>
          </cell>
          <cell r="I1266">
            <v>0</v>
          </cell>
          <cell r="J1266">
            <v>54.58</v>
          </cell>
          <cell r="K1266">
            <v>-0.27</v>
          </cell>
          <cell r="P1266">
            <v>0</v>
          </cell>
        </row>
        <row r="1267">
          <cell r="A1267" t="str">
            <v>LU1883840644</v>
          </cell>
          <cell r="B1267" t="str">
            <v>AMUNDI FUNDS STRATEGIC INCOME</v>
          </cell>
          <cell r="C1267" t="str">
            <v>Class A AUD Hgd MTD3 (D)</v>
          </cell>
          <cell r="D1267" t="str">
            <v>AUD</v>
          </cell>
          <cell r="E1267" t="str">
            <v>01-Dec-2025</v>
          </cell>
          <cell r="F1267">
            <v>72923375.700000003</v>
          </cell>
          <cell r="G1267">
            <v>3064451.6609999998</v>
          </cell>
          <cell r="H1267">
            <v>23.8</v>
          </cell>
          <cell r="I1267">
            <v>0.17499999999999999</v>
          </cell>
          <cell r="J1267">
            <v>24.51</v>
          </cell>
          <cell r="K1267">
            <v>-0.24</v>
          </cell>
          <cell r="P1267">
            <v>0</v>
          </cell>
        </row>
        <row r="1268">
          <cell r="A1268" t="str">
            <v>LU2032056512</v>
          </cell>
          <cell r="B1268" t="str">
            <v>AMUNDI FUNDS STRATEGIC INCOME</v>
          </cell>
          <cell r="C1268" t="str">
            <v>Class A5 EUR (C)</v>
          </cell>
          <cell r="D1268" t="str">
            <v>EUR</v>
          </cell>
          <cell r="E1268" t="str">
            <v>01-Dec-2025</v>
          </cell>
          <cell r="F1268">
            <v>1152999.69</v>
          </cell>
          <cell r="G1268">
            <v>21035.566999999999</v>
          </cell>
          <cell r="H1268">
            <v>54.81</v>
          </cell>
          <cell r="I1268">
            <v>0</v>
          </cell>
          <cell r="J1268">
            <v>54.81</v>
          </cell>
          <cell r="K1268">
            <v>-0.28000000000000003</v>
          </cell>
          <cell r="P1268">
            <v>0</v>
          </cell>
        </row>
        <row r="1269">
          <cell r="A1269" t="str">
            <v>LU2574252404</v>
          </cell>
          <cell r="B1269" t="str">
            <v>AMUNDI FUNDS STRATEGIC INCOME</v>
          </cell>
          <cell r="C1269" t="str">
            <v>Class A2 USD MD (D)</v>
          </cell>
          <cell r="D1269" t="str">
            <v>USD</v>
          </cell>
          <cell r="E1269" t="str">
            <v>01-Dec-2025</v>
          </cell>
          <cell r="F1269">
            <v>5101.6899999999996</v>
          </cell>
          <cell r="G1269">
            <v>100</v>
          </cell>
          <cell r="H1269">
            <v>51.02</v>
          </cell>
          <cell r="I1269">
            <v>0</v>
          </cell>
          <cell r="J1269">
            <v>51.02</v>
          </cell>
          <cell r="K1269">
            <v>-0.14000000000000001</v>
          </cell>
          <cell r="P1269">
            <v>0</v>
          </cell>
        </row>
        <row r="1270">
          <cell r="A1270" t="str">
            <v>LU1883841618</v>
          </cell>
          <cell r="B1270" t="str">
            <v>AMUNDI FUNDS STRATEGIC INCOME</v>
          </cell>
          <cell r="C1270" t="str">
            <v>Class A USD MTD (D)</v>
          </cell>
          <cell r="D1270" t="str">
            <v>USD</v>
          </cell>
          <cell r="E1270" t="str">
            <v>01-Dec-2025</v>
          </cell>
          <cell r="F1270">
            <v>16979328.800000001</v>
          </cell>
          <cell r="G1270">
            <v>2954259.642</v>
          </cell>
          <cell r="H1270">
            <v>5.75</v>
          </cell>
          <cell r="I1270">
            <v>2.2499999999999999E-2</v>
          </cell>
          <cell r="J1270">
            <v>5.92</v>
          </cell>
          <cell r="K1270">
            <v>-0.04</v>
          </cell>
          <cell r="P1270">
            <v>0</v>
          </cell>
        </row>
        <row r="1271">
          <cell r="A1271" t="str">
            <v>LU1883841709</v>
          </cell>
          <cell r="B1271" t="str">
            <v>AMUNDI FUNDS STRATEGIC INCOME</v>
          </cell>
          <cell r="C1271" t="str">
            <v>Class A USD MTD3 (D)</v>
          </cell>
          <cell r="D1271" t="str">
            <v>USD</v>
          </cell>
          <cell r="E1271" t="str">
            <v>01-Dec-2025</v>
          </cell>
          <cell r="F1271">
            <v>206733071.16</v>
          </cell>
          <cell r="G1271">
            <v>7134541.6090000002</v>
          </cell>
          <cell r="H1271">
            <v>28.98</v>
          </cell>
          <cell r="I1271">
            <v>0.2392</v>
          </cell>
          <cell r="J1271">
            <v>29.85</v>
          </cell>
          <cell r="K1271">
            <v>-0.32</v>
          </cell>
          <cell r="P1271">
            <v>0</v>
          </cell>
        </row>
        <row r="1272">
          <cell r="A1272" t="str">
            <v>LU1883841881</v>
          </cell>
          <cell r="B1272" t="str">
            <v>AMUNDI FUNDS STRATEGIC INCOME</v>
          </cell>
          <cell r="C1272" t="str">
            <v>Class A USD MGI (D)</v>
          </cell>
          <cell r="D1272" t="str">
            <v>USD</v>
          </cell>
          <cell r="E1272" t="str">
            <v>01-Dec-2025</v>
          </cell>
          <cell r="F1272">
            <v>153397099.31999999</v>
          </cell>
          <cell r="G1272">
            <v>3519761.3870000001</v>
          </cell>
          <cell r="H1272">
            <v>43.58</v>
          </cell>
          <cell r="I1272">
            <v>0.19692599999999999</v>
          </cell>
          <cell r="J1272">
            <v>44.89</v>
          </cell>
          <cell r="K1272">
            <v>-0.33</v>
          </cell>
          <cell r="P1272">
            <v>0</v>
          </cell>
        </row>
        <row r="1273">
          <cell r="A1273" t="str">
            <v>LU1883841378</v>
          </cell>
          <cell r="B1273" t="str">
            <v>AMUNDI FUNDS STRATEGIC INCOME</v>
          </cell>
          <cell r="C1273" t="str">
            <v>Class A EUR Hgd AD (D)</v>
          </cell>
          <cell r="D1273" t="str">
            <v>EUR</v>
          </cell>
          <cell r="E1273" t="str">
            <v>01-Dec-2025</v>
          </cell>
          <cell r="F1273">
            <v>3625678.23</v>
          </cell>
          <cell r="G1273">
            <v>92732.032999999996</v>
          </cell>
          <cell r="H1273">
            <v>39.1</v>
          </cell>
          <cell r="I1273">
            <v>0</v>
          </cell>
          <cell r="J1273">
            <v>40.270000000000003</v>
          </cell>
          <cell r="K1273">
            <v>-0.12</v>
          </cell>
          <cell r="P1273">
            <v>0</v>
          </cell>
        </row>
        <row r="1274">
          <cell r="A1274" t="str">
            <v>LU1883841451</v>
          </cell>
          <cell r="B1274" t="str">
            <v>AMUNDI FUNDS STRATEGIC INCOME</v>
          </cell>
          <cell r="C1274" t="str">
            <v>Class A EUR Hgd MGI (D)</v>
          </cell>
          <cell r="D1274" t="str">
            <v>EUR</v>
          </cell>
          <cell r="E1274" t="str">
            <v>01-Dec-2025</v>
          </cell>
          <cell r="F1274">
            <v>29072696.190000001</v>
          </cell>
          <cell r="G1274">
            <v>1099544.531</v>
          </cell>
          <cell r="H1274">
            <v>26.44</v>
          </cell>
          <cell r="I1274">
            <v>0.11885900000000001</v>
          </cell>
          <cell r="J1274">
            <v>27.23</v>
          </cell>
          <cell r="K1274">
            <v>-0.2</v>
          </cell>
          <cell r="P1274">
            <v>0</v>
          </cell>
        </row>
        <row r="1275">
          <cell r="A1275" t="str">
            <v>LU1883840727</v>
          </cell>
          <cell r="B1275" t="str">
            <v>AMUNDI FUNDS STRATEGIC INCOME</v>
          </cell>
          <cell r="C1275" t="str">
            <v>Class A CHF Hgd (C)</v>
          </cell>
          <cell r="D1275" t="str">
            <v>CHF</v>
          </cell>
          <cell r="E1275" t="str">
            <v>01-Dec-2025</v>
          </cell>
          <cell r="F1275">
            <v>280601.17</v>
          </cell>
          <cell r="G1275">
            <v>5938.8519999999999</v>
          </cell>
          <cell r="H1275">
            <v>47.25</v>
          </cell>
          <cell r="I1275">
            <v>0</v>
          </cell>
          <cell r="J1275">
            <v>48.67</v>
          </cell>
          <cell r="K1275">
            <v>-0.15</v>
          </cell>
          <cell r="P1275">
            <v>0</v>
          </cell>
        </row>
        <row r="1276">
          <cell r="A1276" t="str">
            <v>LU3081002605</v>
          </cell>
          <cell r="B1276" t="str">
            <v>AMUNDI FUNDS STRATEGIC INCOME</v>
          </cell>
          <cell r="C1276" t="str">
            <v>Class A2 EUR Hgd (C)</v>
          </cell>
          <cell r="D1276" t="str">
            <v>EUR</v>
          </cell>
          <cell r="E1276" t="str">
            <v>01-Dec-2025</v>
          </cell>
          <cell r="F1276">
            <v>174181.69</v>
          </cell>
          <cell r="G1276">
            <v>3493.4879999999998</v>
          </cell>
          <cell r="H1276">
            <v>49.86</v>
          </cell>
          <cell r="I1276">
            <v>0</v>
          </cell>
          <cell r="J1276">
            <v>51.36</v>
          </cell>
          <cell r="K1276">
            <v>0</v>
          </cell>
          <cell r="P1276">
            <v>0</v>
          </cell>
        </row>
        <row r="1277">
          <cell r="A1277" t="str">
            <v>LU1883841295</v>
          </cell>
          <cell r="B1277" t="str">
            <v>AMUNDI FUNDS STRATEGIC INCOME</v>
          </cell>
          <cell r="C1277" t="str">
            <v>Class A EUR Hgd (C)</v>
          </cell>
          <cell r="D1277" t="str">
            <v>EUR</v>
          </cell>
          <cell r="E1277" t="str">
            <v>01-Dec-2025</v>
          </cell>
          <cell r="F1277">
            <v>27117977.75</v>
          </cell>
          <cell r="G1277">
            <v>317054.96600000001</v>
          </cell>
          <cell r="H1277">
            <v>85.53</v>
          </cell>
          <cell r="I1277">
            <v>0</v>
          </cell>
          <cell r="J1277">
            <v>88.1</v>
          </cell>
          <cell r="K1277">
            <v>-0.26</v>
          </cell>
          <cell r="P1277">
            <v>0</v>
          </cell>
        </row>
        <row r="1278">
          <cell r="A1278" t="str">
            <v>LU3081002787</v>
          </cell>
          <cell r="B1278" t="str">
            <v>AMUNDI FUNDS STRATEGIC INCOME</v>
          </cell>
          <cell r="C1278" t="str">
            <v>Class A2 EUR HMGI(D)</v>
          </cell>
          <cell r="D1278" t="str">
            <v>EUR</v>
          </cell>
          <cell r="E1278" t="str">
            <v>01-Dec-2025</v>
          </cell>
          <cell r="F1278">
            <v>330192.65000000002</v>
          </cell>
          <cell r="G1278">
            <v>6622.5339999999997</v>
          </cell>
          <cell r="H1278">
            <v>49.86</v>
          </cell>
          <cell r="I1278">
            <v>0</v>
          </cell>
          <cell r="J1278">
            <v>51.36</v>
          </cell>
          <cell r="K1278">
            <v>0</v>
          </cell>
          <cell r="P1278">
            <v>0</v>
          </cell>
        </row>
        <row r="1279">
          <cell r="A1279" t="str">
            <v>LU3081002860</v>
          </cell>
          <cell r="B1279" t="str">
            <v>AMUNDI FUNDS STRATEGIC INCOME</v>
          </cell>
          <cell r="C1279" t="str">
            <v>Class A2 USD MTD (D)</v>
          </cell>
          <cell r="D1279" t="str">
            <v>USD</v>
          </cell>
          <cell r="E1279" t="str">
            <v>01-Dec-2025</v>
          </cell>
          <cell r="F1279">
            <v>6762743.6100000003</v>
          </cell>
          <cell r="G1279">
            <v>136200.649</v>
          </cell>
          <cell r="H1279">
            <v>49.65</v>
          </cell>
          <cell r="I1279">
            <v>0.2031</v>
          </cell>
          <cell r="J1279">
            <v>51.14</v>
          </cell>
          <cell r="K1279">
            <v>49.65</v>
          </cell>
          <cell r="P1279">
            <v>0</v>
          </cell>
        </row>
        <row r="1280">
          <cell r="A1280" t="str">
            <v>LU1883840990</v>
          </cell>
          <cell r="B1280" t="str">
            <v>AMUNDI FUNDS STRATEGIC INCOME</v>
          </cell>
          <cell r="C1280" t="str">
            <v>Class A CZK Hgd (C)</v>
          </cell>
          <cell r="D1280" t="str">
            <v>CZK</v>
          </cell>
          <cell r="E1280" t="str">
            <v>01-Dec-2025</v>
          </cell>
          <cell r="F1280">
            <v>1331672259.22</v>
          </cell>
          <cell r="G1280">
            <v>820019.66599999997</v>
          </cell>
          <cell r="H1280">
            <v>1623.95</v>
          </cell>
          <cell r="I1280">
            <v>0</v>
          </cell>
          <cell r="J1280">
            <v>1672.67</v>
          </cell>
          <cell r="K1280">
            <v>-4.92</v>
          </cell>
          <cell r="P1280">
            <v>0</v>
          </cell>
        </row>
        <row r="1281">
          <cell r="A1281" t="str">
            <v>LU1883841535</v>
          </cell>
          <cell r="B1281" t="str">
            <v>AMUNDI FUNDS STRATEGIC INCOME</v>
          </cell>
          <cell r="C1281" t="str">
            <v>Class A USD (C)</v>
          </cell>
          <cell r="D1281" t="str">
            <v>USD</v>
          </cell>
          <cell r="E1281" t="str">
            <v>01-Dec-2025</v>
          </cell>
          <cell r="F1281">
            <v>116263439.87</v>
          </cell>
          <cell r="G1281">
            <v>8620435.2080000006</v>
          </cell>
          <cell r="H1281">
            <v>13.49</v>
          </cell>
          <cell r="I1281">
            <v>0</v>
          </cell>
          <cell r="J1281">
            <v>13.89</v>
          </cell>
          <cell r="K1281">
            <v>-0.04</v>
          </cell>
          <cell r="P1281">
            <v>0</v>
          </cell>
        </row>
        <row r="1282">
          <cell r="A1282" t="str">
            <v>LU1883842699</v>
          </cell>
          <cell r="B1282" t="str">
            <v>AMUNDI FUNDS STRATEGIC INCOME</v>
          </cell>
          <cell r="C1282" t="str">
            <v>Class B ZAR Hgd MTD3 (D)</v>
          </cell>
          <cell r="D1282" t="str">
            <v>ZAR</v>
          </cell>
          <cell r="E1282" t="str">
            <v>01-Dec-2025</v>
          </cell>
          <cell r="F1282">
            <v>301945765.18000001</v>
          </cell>
          <cell r="G1282">
            <v>844310.50699999998</v>
          </cell>
          <cell r="H1282">
            <v>357.62</v>
          </cell>
          <cell r="I1282">
            <v>5.0461999999999998</v>
          </cell>
          <cell r="J1282">
            <v>357.62</v>
          </cell>
          <cell r="K1282">
            <v>-6.06</v>
          </cell>
          <cell r="P1282">
            <v>0</v>
          </cell>
        </row>
        <row r="1283">
          <cell r="A1283" t="str">
            <v>LU1883842426</v>
          </cell>
          <cell r="B1283" t="str">
            <v>AMUNDI FUNDS STRATEGIC INCOME</v>
          </cell>
          <cell r="C1283" t="str">
            <v>Class B USD MGI (D)</v>
          </cell>
          <cell r="D1283" t="str">
            <v>USD</v>
          </cell>
          <cell r="E1283" t="str">
            <v>01-Dec-2025</v>
          </cell>
          <cell r="F1283">
            <v>22771449.02</v>
          </cell>
          <cell r="G1283">
            <v>591208.33499999996</v>
          </cell>
          <cell r="H1283">
            <v>38.520000000000003</v>
          </cell>
          <cell r="I1283">
            <v>0.17411399999999999</v>
          </cell>
          <cell r="J1283">
            <v>38.520000000000003</v>
          </cell>
          <cell r="K1283">
            <v>-0.28000000000000003</v>
          </cell>
          <cell r="P1283">
            <v>0</v>
          </cell>
        </row>
        <row r="1284">
          <cell r="A1284" t="str">
            <v>LU1883842343</v>
          </cell>
          <cell r="B1284" t="str">
            <v>AMUNDI FUNDS STRATEGIC INCOME</v>
          </cell>
          <cell r="C1284" t="str">
            <v>Class B USD MTD3 (D)</v>
          </cell>
          <cell r="D1284" t="str">
            <v>USD</v>
          </cell>
          <cell r="E1284" t="str">
            <v>01-Dec-2025</v>
          </cell>
          <cell r="F1284">
            <v>157852966.40000001</v>
          </cell>
          <cell r="G1284">
            <v>5424255.6119999997</v>
          </cell>
          <cell r="H1284">
            <v>29.1</v>
          </cell>
          <cell r="I1284">
            <v>0.24110000000000001</v>
          </cell>
          <cell r="J1284">
            <v>29.1</v>
          </cell>
          <cell r="K1284">
            <v>-0.33</v>
          </cell>
          <cell r="P1284">
            <v>0</v>
          </cell>
        </row>
        <row r="1285">
          <cell r="A1285" t="str">
            <v>LU1883842004</v>
          </cell>
          <cell r="B1285" t="str">
            <v>AMUNDI FUNDS STRATEGIC INCOME</v>
          </cell>
          <cell r="C1285" t="str">
            <v>Class B AUD Hgd MTD3 (D)</v>
          </cell>
          <cell r="D1285" t="str">
            <v>AUD</v>
          </cell>
          <cell r="E1285" t="str">
            <v>01-Dec-2025</v>
          </cell>
          <cell r="F1285">
            <v>21780285.800000001</v>
          </cell>
          <cell r="G1285">
            <v>966097.68500000006</v>
          </cell>
          <cell r="H1285">
            <v>22.54</v>
          </cell>
          <cell r="I1285">
            <v>0.16600000000000001</v>
          </cell>
          <cell r="J1285">
            <v>22.54</v>
          </cell>
          <cell r="K1285">
            <v>-0.24</v>
          </cell>
          <cell r="P1285">
            <v>0</v>
          </cell>
        </row>
        <row r="1286">
          <cell r="A1286" t="str">
            <v>LU1883845361</v>
          </cell>
          <cell r="B1286" t="str">
            <v>AMUNDI FUNDS STRATEGIC INCOME</v>
          </cell>
          <cell r="C1286" t="str">
            <v>Class M2 EUR (C)</v>
          </cell>
          <cell r="D1286" t="str">
            <v>EUR</v>
          </cell>
          <cell r="E1286" t="str">
            <v>01-Dec-2025</v>
          </cell>
          <cell r="F1286">
            <v>20039818.899999999</v>
          </cell>
          <cell r="G1286">
            <v>7212.1329999999998</v>
          </cell>
          <cell r="H1286">
            <v>2778.63</v>
          </cell>
          <cell r="I1286">
            <v>0</v>
          </cell>
          <cell r="J1286">
            <v>2778.63</v>
          </cell>
          <cell r="K1286">
            <v>-13.41</v>
          </cell>
          <cell r="P1286">
            <v>0</v>
          </cell>
        </row>
        <row r="1287">
          <cell r="A1287" t="str">
            <v>LU2002723232</v>
          </cell>
          <cell r="B1287" t="str">
            <v>AMUNDI FUNDS STRATEGIC INCOME</v>
          </cell>
          <cell r="C1287" t="str">
            <v>Class M2 EUR Hgd (C)</v>
          </cell>
          <cell r="D1287" t="str">
            <v>EUR</v>
          </cell>
          <cell r="E1287" t="str">
            <v>01-Dec-2025</v>
          </cell>
          <cell r="F1287">
            <v>216752.95</v>
          </cell>
          <cell r="G1287">
            <v>200.67099999999999</v>
          </cell>
          <cell r="H1287">
            <v>1080.1400000000001</v>
          </cell>
          <cell r="I1287">
            <v>0</v>
          </cell>
          <cell r="J1287">
            <v>1080.1400000000001</v>
          </cell>
          <cell r="K1287">
            <v>-2.99</v>
          </cell>
          <cell r="P1287">
            <v>0</v>
          </cell>
        </row>
        <row r="1288">
          <cell r="A1288" t="str">
            <v>LU1883842186</v>
          </cell>
          <cell r="B1288" t="str">
            <v>AMUNDI FUNDS STRATEGIC INCOME</v>
          </cell>
          <cell r="C1288" t="str">
            <v>Class B USD (C)</v>
          </cell>
          <cell r="D1288" t="str">
            <v>USD</v>
          </cell>
          <cell r="E1288" t="str">
            <v>01-Dec-2025</v>
          </cell>
          <cell r="F1288">
            <v>7314693.8700000001</v>
          </cell>
          <cell r="G1288">
            <v>642669.02300000004</v>
          </cell>
          <cell r="H1288">
            <v>11.38</v>
          </cell>
          <cell r="I1288">
            <v>0</v>
          </cell>
          <cell r="J1288">
            <v>11.38</v>
          </cell>
          <cell r="K1288">
            <v>-0.03</v>
          </cell>
          <cell r="P1288">
            <v>0</v>
          </cell>
        </row>
        <row r="1289">
          <cell r="A1289" t="str">
            <v>LU1883841964</v>
          </cell>
          <cell r="B1289" t="str">
            <v>AMUNDI FUNDS STRATEGIC INCOME</v>
          </cell>
          <cell r="C1289" t="str">
            <v>Class A ZAR Hgd MTD3 (D)</v>
          </cell>
          <cell r="D1289" t="str">
            <v>ZAR</v>
          </cell>
          <cell r="E1289" t="str">
            <v>01-Dec-2025</v>
          </cell>
          <cell r="F1289">
            <v>6092167327.8900003</v>
          </cell>
          <cell r="G1289">
            <v>17135654.046</v>
          </cell>
          <cell r="H1289">
            <v>355.53</v>
          </cell>
          <cell r="I1289">
            <v>5.0011000000000001</v>
          </cell>
          <cell r="J1289">
            <v>366.2</v>
          </cell>
          <cell r="K1289">
            <v>-6.04</v>
          </cell>
          <cell r="P1289">
            <v>0</v>
          </cell>
        </row>
        <row r="1290">
          <cell r="A1290" t="str">
            <v>LU1883843234</v>
          </cell>
          <cell r="B1290" t="str">
            <v>AMUNDI FUNDS STRATEGIC INCOME</v>
          </cell>
          <cell r="C1290" t="str">
            <v>Class E2 EUR (C)</v>
          </cell>
          <cell r="D1290" t="str">
            <v>EUR</v>
          </cell>
          <cell r="E1290" t="str">
            <v>01-Dec-2025</v>
          </cell>
          <cell r="F1290">
            <v>56864778.82</v>
          </cell>
          <cell r="G1290">
            <v>4310886.1909999996</v>
          </cell>
          <cell r="H1290">
            <v>13.191000000000001</v>
          </cell>
          <cell r="I1290">
            <v>0</v>
          </cell>
          <cell r="J1290">
            <v>13.191000000000001</v>
          </cell>
          <cell r="K1290">
            <v>-6.4000000000000001E-2</v>
          </cell>
          <cell r="P1290">
            <v>0</v>
          </cell>
        </row>
        <row r="1291">
          <cell r="A1291" t="str">
            <v>LU1883843317</v>
          </cell>
          <cell r="B1291" t="str">
            <v>AMUNDI FUNDS STRATEGIC INCOME</v>
          </cell>
          <cell r="C1291" t="str">
            <v>Class E2 EUR AD (D)</v>
          </cell>
          <cell r="D1291" t="str">
            <v>EUR</v>
          </cell>
          <cell r="E1291" t="str">
            <v>01-Dec-2025</v>
          </cell>
          <cell r="F1291">
            <v>11261059.359999999</v>
          </cell>
          <cell r="G1291">
            <v>2034787.6640000001</v>
          </cell>
          <cell r="H1291">
            <v>5.5339999999999998</v>
          </cell>
          <cell r="I1291">
            <v>0</v>
          </cell>
          <cell r="J1291">
            <v>5.5339999999999998</v>
          </cell>
          <cell r="K1291">
            <v>-2.7E-2</v>
          </cell>
          <cell r="P1291">
            <v>0</v>
          </cell>
        </row>
        <row r="1292">
          <cell r="A1292" t="str">
            <v>LU1883843408</v>
          </cell>
          <cell r="B1292" t="str">
            <v>AMUNDI FUNDS STRATEGIC INCOME</v>
          </cell>
          <cell r="C1292" t="str">
            <v>Class E2 EUR Hgd (C)</v>
          </cell>
          <cell r="D1292" t="str">
            <v>EUR</v>
          </cell>
          <cell r="E1292" t="str">
            <v>01-Dec-2025</v>
          </cell>
          <cell r="F1292">
            <v>51184731.390000001</v>
          </cell>
          <cell r="G1292">
            <v>5151381.5429999996</v>
          </cell>
          <cell r="H1292">
            <v>9.9359999999999999</v>
          </cell>
          <cell r="I1292">
            <v>0</v>
          </cell>
          <cell r="J1292">
            <v>9.9359999999999999</v>
          </cell>
          <cell r="K1292">
            <v>-2.8000000000000001E-2</v>
          </cell>
          <cell r="P1292">
            <v>0</v>
          </cell>
        </row>
        <row r="1293">
          <cell r="A1293" t="str">
            <v>LU1883843580</v>
          </cell>
          <cell r="B1293" t="str">
            <v>AMUNDI FUNDS STRATEGIC INCOME</v>
          </cell>
          <cell r="C1293" t="str">
            <v>Class E2 EUR Hgd AD (D)</v>
          </cell>
          <cell r="D1293" t="str">
            <v>EUR</v>
          </cell>
          <cell r="E1293" t="str">
            <v>01-Dec-2025</v>
          </cell>
          <cell r="F1293">
            <v>31983264.379999999</v>
          </cell>
          <cell r="G1293">
            <v>7831611.8169999998</v>
          </cell>
          <cell r="H1293">
            <v>4.0839999999999996</v>
          </cell>
          <cell r="I1293">
            <v>0</v>
          </cell>
          <cell r="J1293">
            <v>4.0839999999999996</v>
          </cell>
          <cell r="K1293">
            <v>-1.0999999999999999E-2</v>
          </cell>
          <cell r="P1293">
            <v>0</v>
          </cell>
        </row>
        <row r="1294">
          <cell r="A1294" t="str">
            <v>LU1883843663</v>
          </cell>
          <cell r="B1294" t="str">
            <v>AMUNDI FUNDS STRATEGIC INCOME</v>
          </cell>
          <cell r="C1294" t="str">
            <v>Class E2 EUR Hgd QTD (D)</v>
          </cell>
          <cell r="D1294" t="str">
            <v>EUR</v>
          </cell>
          <cell r="E1294" t="str">
            <v>01-Dec-2025</v>
          </cell>
          <cell r="F1294">
            <v>8073868.1600000001</v>
          </cell>
          <cell r="G1294">
            <v>2025386.9</v>
          </cell>
          <cell r="H1294">
            <v>3.9860000000000002</v>
          </cell>
          <cell r="I1294">
            <v>0</v>
          </cell>
          <cell r="J1294">
            <v>3.9860000000000002</v>
          </cell>
          <cell r="K1294">
            <v>-1.2E-2</v>
          </cell>
          <cell r="P1294">
            <v>0</v>
          </cell>
        </row>
        <row r="1295">
          <cell r="A1295" t="str">
            <v>LU1883844042</v>
          </cell>
          <cell r="B1295" t="str">
            <v>AMUNDI FUNDS STRATEGIC INCOME</v>
          </cell>
          <cell r="C1295" t="str">
            <v>Class F EUR AD (D)</v>
          </cell>
          <cell r="D1295" t="str">
            <v>EUR</v>
          </cell>
          <cell r="E1295" t="str">
            <v>01-Dec-2025</v>
          </cell>
          <cell r="F1295">
            <v>733122.42</v>
          </cell>
          <cell r="G1295">
            <v>131137.39300000001</v>
          </cell>
          <cell r="H1295">
            <v>5.59</v>
          </cell>
          <cell r="I1295">
            <v>0</v>
          </cell>
          <cell r="J1295">
            <v>5.59</v>
          </cell>
          <cell r="K1295">
            <v>-2.9000000000000001E-2</v>
          </cell>
          <cell r="P1295">
            <v>0</v>
          </cell>
        </row>
        <row r="1296">
          <cell r="A1296" t="str">
            <v>LU1883843820</v>
          </cell>
          <cell r="B1296" t="str">
            <v>AMUNDI FUNDS STRATEGIC INCOME</v>
          </cell>
          <cell r="C1296" t="str">
            <v>Class F EUR (C)</v>
          </cell>
          <cell r="D1296" t="str">
            <v>EUR</v>
          </cell>
          <cell r="E1296" t="str">
            <v>01-Dec-2025</v>
          </cell>
          <cell r="F1296">
            <v>8886513.9000000004</v>
          </cell>
          <cell r="G1296">
            <v>792654.56700000004</v>
          </cell>
          <cell r="H1296">
            <v>11.211</v>
          </cell>
          <cell r="I1296">
            <v>0</v>
          </cell>
          <cell r="J1296">
            <v>11.211</v>
          </cell>
          <cell r="K1296">
            <v>-5.6000000000000001E-2</v>
          </cell>
          <cell r="P1296">
            <v>0</v>
          </cell>
        </row>
        <row r="1297">
          <cell r="A1297" t="str">
            <v>LU1883844471</v>
          </cell>
          <cell r="B1297" t="str">
            <v>AMUNDI FUNDS STRATEGIC INCOME</v>
          </cell>
          <cell r="C1297" t="str">
            <v>Class F EUR QTD (D)</v>
          </cell>
          <cell r="D1297" t="str">
            <v>EUR</v>
          </cell>
          <cell r="E1297" t="str">
            <v>01-Dec-2025</v>
          </cell>
          <cell r="F1297">
            <v>5783625.2999999998</v>
          </cell>
          <cell r="G1297">
            <v>1072745.9669999999</v>
          </cell>
          <cell r="H1297">
            <v>5.391</v>
          </cell>
          <cell r="I1297">
            <v>0</v>
          </cell>
          <cell r="J1297">
            <v>5.391</v>
          </cell>
          <cell r="K1297">
            <v>-2.7E-2</v>
          </cell>
          <cell r="P1297">
            <v>0</v>
          </cell>
        </row>
        <row r="1298">
          <cell r="A1298" t="str">
            <v>LU1883844398</v>
          </cell>
          <cell r="B1298" t="str">
            <v>AMUNDI FUNDS STRATEGIC INCOME</v>
          </cell>
          <cell r="C1298" t="str">
            <v>Class F EUR Hgd AD (D)</v>
          </cell>
          <cell r="D1298" t="str">
            <v>EUR</v>
          </cell>
          <cell r="E1298" t="str">
            <v>01-Dec-2025</v>
          </cell>
          <cell r="F1298">
            <v>2111659</v>
          </cell>
          <cell r="G1298">
            <v>540617.59600000002</v>
          </cell>
          <cell r="H1298">
            <v>3.9060000000000001</v>
          </cell>
          <cell r="I1298">
            <v>0</v>
          </cell>
          <cell r="J1298">
            <v>3.9060000000000001</v>
          </cell>
          <cell r="K1298">
            <v>-1.0999999999999999E-2</v>
          </cell>
          <cell r="P1298">
            <v>0</v>
          </cell>
        </row>
        <row r="1299">
          <cell r="A1299" t="str">
            <v>LU1883844125</v>
          </cell>
          <cell r="B1299" t="str">
            <v>AMUNDI FUNDS STRATEGIC INCOME</v>
          </cell>
          <cell r="C1299" t="str">
            <v>Class F EUR Hgd (C)</v>
          </cell>
          <cell r="D1299" t="str">
            <v>EUR</v>
          </cell>
          <cell r="E1299" t="str">
            <v>01-Dec-2025</v>
          </cell>
          <cell r="F1299">
            <v>6889200.8099999996</v>
          </cell>
          <cell r="G1299">
            <v>790241.57799999998</v>
          </cell>
          <cell r="H1299">
            <v>8.718</v>
          </cell>
          <cell r="I1299">
            <v>0</v>
          </cell>
          <cell r="J1299">
            <v>8.718</v>
          </cell>
          <cell r="K1299">
            <v>-2.5999999999999999E-2</v>
          </cell>
          <cell r="P1299">
            <v>0</v>
          </cell>
        </row>
        <row r="1300">
          <cell r="A1300" t="str">
            <v>LU1883845288</v>
          </cell>
          <cell r="B1300" t="str">
            <v>AMUNDI FUNDS STRATEGIC INCOME</v>
          </cell>
          <cell r="C1300" t="str">
            <v>Class I2 USD QD (D)</v>
          </cell>
          <cell r="D1300" t="str">
            <v>USD</v>
          </cell>
          <cell r="E1300" t="str">
            <v>01-Dec-2025</v>
          </cell>
          <cell r="F1300">
            <v>14559454.460000001</v>
          </cell>
          <cell r="G1300">
            <v>12815.44</v>
          </cell>
          <cell r="H1300">
            <v>1136.0899999999999</v>
          </cell>
          <cell r="I1300">
            <v>0</v>
          </cell>
          <cell r="J1300">
            <v>1136.0899999999999</v>
          </cell>
          <cell r="K1300">
            <v>-3.08</v>
          </cell>
          <cell r="P1300">
            <v>0</v>
          </cell>
        </row>
        <row r="1301">
          <cell r="A1301" t="str">
            <v>LU1883845106</v>
          </cell>
          <cell r="B1301" t="str">
            <v>AMUNDI FUNDS STRATEGIC INCOME</v>
          </cell>
          <cell r="C1301" t="str">
            <v>Class I2 USD (C)</v>
          </cell>
          <cell r="D1301" t="str">
            <v>USD</v>
          </cell>
          <cell r="E1301" t="str">
            <v>01-Dec-2025</v>
          </cell>
          <cell r="F1301">
            <v>174303827.59</v>
          </cell>
          <cell r="G1301">
            <v>1025358.389</v>
          </cell>
          <cell r="H1301">
            <v>169.99</v>
          </cell>
          <cell r="I1301">
            <v>0</v>
          </cell>
          <cell r="J1301">
            <v>169.99</v>
          </cell>
          <cell r="K1301">
            <v>-0.46</v>
          </cell>
          <cell r="P1301">
            <v>0</v>
          </cell>
        </row>
        <row r="1302">
          <cell r="A1302" t="str">
            <v>LU1883844802</v>
          </cell>
          <cell r="B1302" t="str">
            <v>AMUNDI FUNDS STRATEGIC INCOME</v>
          </cell>
          <cell r="C1302" t="str">
            <v>Class I2 EUR QD (D)</v>
          </cell>
          <cell r="D1302" t="str">
            <v>EUR</v>
          </cell>
          <cell r="E1302" t="str">
            <v>01-Dec-2025</v>
          </cell>
          <cell r="F1302">
            <v>89884.47</v>
          </cell>
          <cell r="G1302">
            <v>92</v>
          </cell>
          <cell r="H1302">
            <v>977.01</v>
          </cell>
          <cell r="I1302">
            <v>0</v>
          </cell>
          <cell r="J1302">
            <v>977.01</v>
          </cell>
          <cell r="K1302">
            <v>-4.71</v>
          </cell>
          <cell r="P1302">
            <v>0</v>
          </cell>
        </row>
        <row r="1303">
          <cell r="A1303" t="str">
            <v>LU1883843747</v>
          </cell>
          <cell r="B1303" t="str">
            <v>AMUNDI FUNDS STRATEGIC INCOME</v>
          </cell>
          <cell r="C1303" t="str">
            <v>Class E2 EUR QTD (D)</v>
          </cell>
          <cell r="D1303" t="str">
            <v>EUR</v>
          </cell>
          <cell r="E1303" t="str">
            <v>01-Dec-2025</v>
          </cell>
          <cell r="F1303">
            <v>23141085.210000001</v>
          </cell>
          <cell r="G1303">
            <v>3993362.8769999999</v>
          </cell>
          <cell r="H1303">
            <v>5.7949999999999999</v>
          </cell>
          <cell r="I1303">
            <v>0</v>
          </cell>
          <cell r="J1303">
            <v>5.7949999999999999</v>
          </cell>
          <cell r="K1303">
            <v>-2.8000000000000001E-2</v>
          </cell>
          <cell r="P1303">
            <v>0</v>
          </cell>
        </row>
        <row r="1304">
          <cell r="A1304" t="str">
            <v>LU2347634748</v>
          </cell>
          <cell r="B1304" t="str">
            <v>AMUNDI FUNDS STRATEGIC INCOME</v>
          </cell>
          <cell r="C1304" t="str">
            <v>Class I4 USD QTD (D)</v>
          </cell>
          <cell r="D1304" t="str">
            <v>USD</v>
          </cell>
          <cell r="E1304" t="str">
            <v>01-Dec-2025</v>
          </cell>
          <cell r="F1304">
            <v>14644783.689999999</v>
          </cell>
          <cell r="G1304">
            <v>16082.120999999999</v>
          </cell>
          <cell r="H1304">
            <v>910.63</v>
          </cell>
          <cell r="I1304">
            <v>0</v>
          </cell>
          <cell r="J1304">
            <v>910.63</v>
          </cell>
          <cell r="K1304">
            <v>-2.4500000000000002</v>
          </cell>
          <cell r="P1304">
            <v>0</v>
          </cell>
        </row>
        <row r="1305">
          <cell r="A1305" t="str">
            <v>LU1883844638</v>
          </cell>
          <cell r="B1305" t="str">
            <v>AMUNDI FUNDS STRATEGIC INCOME</v>
          </cell>
          <cell r="C1305" t="str">
            <v>Class I2 EUR Hgd (C)</v>
          </cell>
          <cell r="D1305" t="str">
            <v>EUR</v>
          </cell>
          <cell r="E1305" t="str">
            <v>01-Dec-2025</v>
          </cell>
          <cell r="F1305">
            <v>1836648.76</v>
          </cell>
          <cell r="G1305">
            <v>1494.9069999999999</v>
          </cell>
          <cell r="H1305">
            <v>1228.5999999999999</v>
          </cell>
          <cell r="I1305">
            <v>0</v>
          </cell>
          <cell r="J1305">
            <v>1228.5999999999999</v>
          </cell>
          <cell r="K1305">
            <v>-3.41</v>
          </cell>
          <cell r="P1305">
            <v>0</v>
          </cell>
        </row>
        <row r="1306">
          <cell r="A1306" t="str">
            <v>LU1883844554</v>
          </cell>
          <cell r="B1306" t="str">
            <v>AMUNDI FUNDS STRATEGIC INCOME</v>
          </cell>
          <cell r="C1306" t="str">
            <v>Class I2 EUR (C)</v>
          </cell>
          <cell r="D1306" t="str">
            <v>EUR</v>
          </cell>
          <cell r="E1306" t="str">
            <v>01-Dec-2025</v>
          </cell>
          <cell r="F1306">
            <v>502106.26</v>
          </cell>
          <cell r="G1306">
            <v>3435</v>
          </cell>
          <cell r="H1306">
            <v>146.16999999999999</v>
          </cell>
          <cell r="I1306">
            <v>0</v>
          </cell>
          <cell r="J1306">
            <v>146.16999999999999</v>
          </cell>
          <cell r="K1306">
            <v>-0.71</v>
          </cell>
          <cell r="P1306">
            <v>0</v>
          </cell>
        </row>
        <row r="1307">
          <cell r="A1307" t="str">
            <v>LU1883844984</v>
          </cell>
          <cell r="B1307" t="str">
            <v>AMUNDI FUNDS STRATEGIC INCOME</v>
          </cell>
          <cell r="C1307" t="str">
            <v>Class I2 GBP Hgd (C)</v>
          </cell>
          <cell r="D1307" t="str">
            <v>GBP</v>
          </cell>
          <cell r="E1307" t="str">
            <v>01-Dec-2025</v>
          </cell>
          <cell r="F1307">
            <v>59797.34</v>
          </cell>
          <cell r="G1307">
            <v>44.7</v>
          </cell>
          <cell r="H1307">
            <v>1337.75</v>
          </cell>
          <cell r="I1307">
            <v>0</v>
          </cell>
          <cell r="J1307">
            <v>1337.75</v>
          </cell>
          <cell r="K1307">
            <v>-3.66</v>
          </cell>
          <cell r="P1307">
            <v>0</v>
          </cell>
        </row>
        <row r="1308">
          <cell r="A1308" t="str">
            <v>LU1883846849</v>
          </cell>
          <cell r="B1308" t="str">
            <v>AMUNDI FUNDS STRATEGIC INCOME</v>
          </cell>
          <cell r="C1308" t="str">
            <v>Class R2 USD AD (D)</v>
          </cell>
          <cell r="D1308" t="str">
            <v>USD</v>
          </cell>
          <cell r="E1308" t="str">
            <v>01-Dec-2025</v>
          </cell>
          <cell r="F1308">
            <v>2687842.29</v>
          </cell>
          <cell r="G1308">
            <v>45989.786</v>
          </cell>
          <cell r="H1308">
            <v>58.44</v>
          </cell>
          <cell r="I1308">
            <v>0</v>
          </cell>
          <cell r="J1308">
            <v>58.44</v>
          </cell>
          <cell r="K1308">
            <v>-0.16</v>
          </cell>
          <cell r="P1308">
            <v>0</v>
          </cell>
        </row>
        <row r="1309">
          <cell r="A1309" t="str">
            <v>LU1894682456</v>
          </cell>
          <cell r="B1309" t="str">
            <v>AMUNDI FUNDS STRATEGIC INCOME</v>
          </cell>
          <cell r="C1309" t="str">
            <v>Class G EUR Hgd AD (D)</v>
          </cell>
          <cell r="D1309" t="str">
            <v>EUR</v>
          </cell>
          <cell r="E1309" t="str">
            <v>01-Dec-2025</v>
          </cell>
          <cell r="F1309">
            <v>8356976.0199999996</v>
          </cell>
          <cell r="G1309">
            <v>2005707.8259999999</v>
          </cell>
          <cell r="H1309">
            <v>4.1669999999999998</v>
          </cell>
          <cell r="I1309">
            <v>0</v>
          </cell>
          <cell r="J1309">
            <v>4.1669999999999998</v>
          </cell>
          <cell r="K1309">
            <v>-1.2E-2</v>
          </cell>
          <cell r="P1309">
            <v>0</v>
          </cell>
        </row>
        <row r="1310">
          <cell r="A1310" t="str">
            <v>LU1894682530</v>
          </cell>
          <cell r="B1310" t="str">
            <v>AMUNDI FUNDS STRATEGIC INCOME</v>
          </cell>
          <cell r="C1310" t="str">
            <v>Class G EUR Hgd QD (D)</v>
          </cell>
          <cell r="D1310" t="str">
            <v>EUR</v>
          </cell>
          <cell r="E1310" t="str">
            <v>01-Dec-2025</v>
          </cell>
          <cell r="F1310">
            <v>16063827.220000001</v>
          </cell>
          <cell r="G1310">
            <v>3892837.588</v>
          </cell>
          <cell r="H1310">
            <v>4.1269999999999998</v>
          </cell>
          <cell r="I1310">
            <v>0</v>
          </cell>
          <cell r="J1310">
            <v>4.1269999999999998</v>
          </cell>
          <cell r="K1310">
            <v>-1.2E-2</v>
          </cell>
          <cell r="P1310">
            <v>0</v>
          </cell>
        </row>
        <row r="1311">
          <cell r="A1311" t="str">
            <v>LU1883847227</v>
          </cell>
          <cell r="B1311" t="str">
            <v>AMUNDI FUNDS STRATEGIC INCOME</v>
          </cell>
          <cell r="C1311" t="str">
            <v>Class T USD MTD3 (D)</v>
          </cell>
          <cell r="D1311" t="str">
            <v>USD</v>
          </cell>
          <cell r="E1311" t="str">
            <v>01-Dec-2025</v>
          </cell>
          <cell r="F1311">
            <v>1729400.4</v>
          </cell>
          <cell r="G1311">
            <v>61281.451999999997</v>
          </cell>
          <cell r="H1311">
            <v>28.22</v>
          </cell>
          <cell r="I1311">
            <v>0.23369999999999999</v>
          </cell>
          <cell r="J1311">
            <v>28.22</v>
          </cell>
          <cell r="K1311">
            <v>-0.31</v>
          </cell>
          <cell r="P1311">
            <v>0</v>
          </cell>
        </row>
        <row r="1312">
          <cell r="A1312" t="str">
            <v>LU1883847144</v>
          </cell>
          <cell r="B1312" t="str">
            <v>AMUNDI FUNDS STRATEGIC INCOME</v>
          </cell>
          <cell r="C1312" t="str">
            <v>Class T USD (C)</v>
          </cell>
          <cell r="D1312" t="str">
            <v>USD</v>
          </cell>
          <cell r="E1312" t="str">
            <v>01-Dec-2025</v>
          </cell>
          <cell r="F1312">
            <v>152236.14000000001</v>
          </cell>
          <cell r="G1312">
            <v>2550.1210000000001</v>
          </cell>
          <cell r="H1312">
            <v>59.7</v>
          </cell>
          <cell r="I1312">
            <v>0</v>
          </cell>
          <cell r="J1312">
            <v>59.7</v>
          </cell>
          <cell r="K1312">
            <v>-0.17</v>
          </cell>
          <cell r="P1312">
            <v>0</v>
          </cell>
        </row>
        <row r="1313">
          <cell r="A1313" t="str">
            <v>LU1883847490</v>
          </cell>
          <cell r="B1313" t="str">
            <v>AMUNDI FUNDS STRATEGIC INCOME</v>
          </cell>
          <cell r="C1313" t="str">
            <v>Class T USD MGI (D)</v>
          </cell>
          <cell r="D1313" t="str">
            <v>USD</v>
          </cell>
          <cell r="E1313" t="str">
            <v>01-Dec-2025</v>
          </cell>
          <cell r="F1313">
            <v>1174188.8400000001</v>
          </cell>
          <cell r="G1313">
            <v>32458.401999999998</v>
          </cell>
          <cell r="H1313">
            <v>36.18</v>
          </cell>
          <cell r="I1313">
            <v>0.16352900000000001</v>
          </cell>
          <cell r="J1313">
            <v>36.18</v>
          </cell>
          <cell r="K1313">
            <v>-0.26</v>
          </cell>
          <cell r="P1313">
            <v>0</v>
          </cell>
        </row>
        <row r="1314">
          <cell r="A1314" t="str">
            <v>LU1883847060</v>
          </cell>
          <cell r="B1314" t="str">
            <v>AMUNDI FUNDS STRATEGIC INCOME</v>
          </cell>
          <cell r="C1314" t="str">
            <v>Class T AUD Hgd MTD3 (D)</v>
          </cell>
          <cell r="D1314" t="str">
            <v>AUD</v>
          </cell>
          <cell r="E1314" t="str">
            <v>01-Dec-2025</v>
          </cell>
          <cell r="F1314">
            <v>1479868.42</v>
          </cell>
          <cell r="G1314">
            <v>61736.928</v>
          </cell>
          <cell r="H1314">
            <v>23.97</v>
          </cell>
          <cell r="I1314">
            <v>0.17660000000000001</v>
          </cell>
          <cell r="J1314">
            <v>23.97</v>
          </cell>
          <cell r="K1314">
            <v>-0.25</v>
          </cell>
          <cell r="P1314">
            <v>0</v>
          </cell>
        </row>
        <row r="1315">
          <cell r="A1315" t="str">
            <v>LU1883847573</v>
          </cell>
          <cell r="B1315" t="str">
            <v>AMUNDI FUNDS STRATEGIC INCOME</v>
          </cell>
          <cell r="C1315" t="str">
            <v>Class T ZAR Hgd MTD3 (D)</v>
          </cell>
          <cell r="D1315" t="str">
            <v>ZAR</v>
          </cell>
          <cell r="E1315" t="str">
            <v>01-Dec-2025</v>
          </cell>
          <cell r="F1315">
            <v>16622834.720000001</v>
          </cell>
          <cell r="G1315">
            <v>44735.896000000001</v>
          </cell>
          <cell r="H1315">
            <v>371.58</v>
          </cell>
          <cell r="I1315">
            <v>5.2415000000000003</v>
          </cell>
          <cell r="J1315">
            <v>371.58</v>
          </cell>
          <cell r="K1315">
            <v>-6.29</v>
          </cell>
          <cell r="P1315">
            <v>0</v>
          </cell>
        </row>
        <row r="1316">
          <cell r="A1316" t="str">
            <v>LU1883846419</v>
          </cell>
          <cell r="B1316" t="str">
            <v>AMUNDI FUNDS STRATEGIC INCOME</v>
          </cell>
          <cell r="C1316" t="str">
            <v>Class R2 EUR Hgd MGI (D)</v>
          </cell>
          <cell r="D1316" t="str">
            <v>EUR</v>
          </cell>
          <cell r="E1316" t="str">
            <v>01-Dec-2025</v>
          </cell>
          <cell r="F1316">
            <v>579069.65</v>
          </cell>
          <cell r="G1316">
            <v>16099.473</v>
          </cell>
          <cell r="H1316">
            <v>35.97</v>
          </cell>
          <cell r="I1316">
            <v>0.16164300000000001</v>
          </cell>
          <cell r="J1316">
            <v>35.97</v>
          </cell>
          <cell r="K1316">
            <v>-0.26</v>
          </cell>
          <cell r="P1316">
            <v>0</v>
          </cell>
        </row>
        <row r="1317">
          <cell r="A1317" t="str">
            <v>LU1883846179</v>
          </cell>
          <cell r="B1317" t="str">
            <v>AMUNDI FUNDS STRATEGIC INCOME</v>
          </cell>
          <cell r="C1317" t="str">
            <v>Class R2 EUR AD (D)</v>
          </cell>
          <cell r="D1317" t="str">
            <v>EUR</v>
          </cell>
          <cell r="E1317" t="str">
            <v>01-Dec-2025</v>
          </cell>
          <cell r="F1317">
            <v>1207504.96</v>
          </cell>
          <cell r="G1317">
            <v>24027.877</v>
          </cell>
          <cell r="H1317">
            <v>50.25</v>
          </cell>
          <cell r="I1317">
            <v>0</v>
          </cell>
          <cell r="J1317">
            <v>50.25</v>
          </cell>
          <cell r="K1317">
            <v>-0.25</v>
          </cell>
          <cell r="P1317">
            <v>0</v>
          </cell>
        </row>
        <row r="1318">
          <cell r="A1318" t="str">
            <v>LU1883846096</v>
          </cell>
          <cell r="B1318" t="str">
            <v>AMUNDI FUNDS STRATEGIC INCOME</v>
          </cell>
          <cell r="C1318" t="str">
            <v>Class R2 EUR (C)</v>
          </cell>
          <cell r="D1318" t="str">
            <v>EUR</v>
          </cell>
          <cell r="E1318" t="str">
            <v>01-Dec-2025</v>
          </cell>
          <cell r="F1318">
            <v>1152640.6599999999</v>
          </cell>
          <cell r="G1318">
            <v>13756.286</v>
          </cell>
          <cell r="H1318">
            <v>83.79</v>
          </cell>
          <cell r="I1318">
            <v>0</v>
          </cell>
          <cell r="J1318">
            <v>83.79</v>
          </cell>
          <cell r="K1318">
            <v>-0.41</v>
          </cell>
          <cell r="P1318">
            <v>0</v>
          </cell>
        </row>
        <row r="1319">
          <cell r="A1319" t="str">
            <v>LU1883846682</v>
          </cell>
          <cell r="B1319" t="str">
            <v>AMUNDI FUNDS STRATEGIC INCOME</v>
          </cell>
          <cell r="C1319" t="str">
            <v>Class R2 GBP AD (D)</v>
          </cell>
          <cell r="D1319" t="str">
            <v>GBP</v>
          </cell>
          <cell r="E1319" t="str">
            <v>01-Dec-2025</v>
          </cell>
          <cell r="F1319">
            <v>104534.71</v>
          </cell>
          <cell r="G1319">
            <v>2366.5360000000001</v>
          </cell>
          <cell r="H1319">
            <v>44.17</v>
          </cell>
          <cell r="I1319">
            <v>0</v>
          </cell>
          <cell r="J1319">
            <v>44.17</v>
          </cell>
          <cell r="K1319">
            <v>-0.13</v>
          </cell>
          <cell r="P1319">
            <v>0</v>
          </cell>
        </row>
        <row r="1320">
          <cell r="A1320" t="str">
            <v>LU1883846336</v>
          </cell>
          <cell r="B1320" t="str">
            <v>AMUNDI FUNDS STRATEGIC INCOME</v>
          </cell>
          <cell r="C1320" t="str">
            <v>Class R2 EUR Hgd AD (D)</v>
          </cell>
          <cell r="D1320" t="str">
            <v>EUR</v>
          </cell>
          <cell r="E1320" t="str">
            <v>01-Dec-2025</v>
          </cell>
          <cell r="F1320">
            <v>472008.71</v>
          </cell>
          <cell r="G1320">
            <v>11919.643</v>
          </cell>
          <cell r="H1320">
            <v>39.6</v>
          </cell>
          <cell r="I1320">
            <v>0</v>
          </cell>
          <cell r="J1320">
            <v>39.6</v>
          </cell>
          <cell r="K1320">
            <v>-0.11</v>
          </cell>
          <cell r="P1320">
            <v>0</v>
          </cell>
        </row>
        <row r="1321">
          <cell r="A1321" t="str">
            <v>LU1883846252</v>
          </cell>
          <cell r="B1321" t="str">
            <v>AMUNDI FUNDS STRATEGIC INCOME</v>
          </cell>
          <cell r="C1321" t="str">
            <v>Class R2 EUR Hgd (C)</v>
          </cell>
          <cell r="D1321" t="str">
            <v>EUR</v>
          </cell>
          <cell r="E1321" t="str">
            <v>01-Dec-2025</v>
          </cell>
          <cell r="F1321">
            <v>104539668.98</v>
          </cell>
          <cell r="G1321">
            <v>1810356.4839999999</v>
          </cell>
          <cell r="H1321">
            <v>57.75</v>
          </cell>
          <cell r="I1321">
            <v>0</v>
          </cell>
          <cell r="J1321">
            <v>57.75</v>
          </cell>
          <cell r="K1321">
            <v>-0.16</v>
          </cell>
          <cell r="P1321">
            <v>0</v>
          </cell>
        </row>
        <row r="1322">
          <cell r="A1322" t="str">
            <v>LU1883845528</v>
          </cell>
          <cell r="B1322" t="str">
            <v>AMUNDI FUNDS STRATEGIC INCOME</v>
          </cell>
          <cell r="C1322" t="str">
            <v>Class P2 USD (C)</v>
          </cell>
          <cell r="D1322" t="str">
            <v>USD</v>
          </cell>
          <cell r="E1322" t="str">
            <v>01-Dec-2025</v>
          </cell>
          <cell r="F1322">
            <v>18095814.850000001</v>
          </cell>
          <cell r="G1322">
            <v>277512.196</v>
          </cell>
          <cell r="H1322">
            <v>65.209999999999994</v>
          </cell>
          <cell r="I1322">
            <v>0</v>
          </cell>
          <cell r="J1322">
            <v>65.209999999999994</v>
          </cell>
          <cell r="K1322">
            <v>-0.18</v>
          </cell>
          <cell r="P1322">
            <v>0</v>
          </cell>
        </row>
        <row r="1323">
          <cell r="A1323" t="str">
            <v>LU1883845791</v>
          </cell>
          <cell r="B1323" t="str">
            <v>AMUNDI FUNDS STRATEGIC INCOME</v>
          </cell>
          <cell r="C1323" t="str">
            <v>Class P2 USD MTD (D)</v>
          </cell>
          <cell r="D1323" t="str">
            <v>USD</v>
          </cell>
          <cell r="E1323" t="str">
            <v>01-Dec-2025</v>
          </cell>
          <cell r="F1323">
            <v>29651.39</v>
          </cell>
          <cell r="G1323">
            <v>614.38599999999997</v>
          </cell>
          <cell r="H1323">
            <v>48.26</v>
          </cell>
          <cell r="I1323">
            <v>0.18770000000000001</v>
          </cell>
          <cell r="J1323">
            <v>48.26</v>
          </cell>
          <cell r="K1323">
            <v>-0.32</v>
          </cell>
          <cell r="P1323">
            <v>0</v>
          </cell>
        </row>
        <row r="1324">
          <cell r="A1324" t="str">
            <v>LU1883845874</v>
          </cell>
          <cell r="B1324" t="str">
            <v>AMUNDI FUNDS STRATEGIC INCOME</v>
          </cell>
          <cell r="C1324" t="str">
            <v>Class Q-D USD MTD (D)</v>
          </cell>
          <cell r="D1324" t="str">
            <v>USD</v>
          </cell>
          <cell r="E1324" t="str">
            <v>01-Dec-2025</v>
          </cell>
          <cell r="F1324">
            <v>1123441.42</v>
          </cell>
          <cell r="G1324">
            <v>18628.976999999999</v>
          </cell>
          <cell r="H1324">
            <v>60.31</v>
          </cell>
          <cell r="I1324">
            <v>0.23719999999999999</v>
          </cell>
          <cell r="J1324">
            <v>62.12</v>
          </cell>
          <cell r="K1324">
            <v>-0.4</v>
          </cell>
          <cell r="P1324">
            <v>0</v>
          </cell>
        </row>
        <row r="1325">
          <cell r="A1325" t="str">
            <v>LU1883847730</v>
          </cell>
          <cell r="B1325" t="str">
            <v>AMUNDI FUNDS STRATEGIC INCOME</v>
          </cell>
          <cell r="C1325" t="str">
            <v>Class U USD (C)</v>
          </cell>
          <cell r="D1325" t="str">
            <v>USD</v>
          </cell>
          <cell r="E1325" t="str">
            <v>01-Dec-2025</v>
          </cell>
          <cell r="F1325">
            <v>3281950.04</v>
          </cell>
          <cell r="G1325">
            <v>55313.146999999997</v>
          </cell>
          <cell r="H1325">
            <v>59.33</v>
          </cell>
          <cell r="I1325">
            <v>0</v>
          </cell>
          <cell r="J1325">
            <v>59.33</v>
          </cell>
          <cell r="K1325">
            <v>-0.17</v>
          </cell>
          <cell r="P1325">
            <v>0</v>
          </cell>
        </row>
        <row r="1326">
          <cell r="A1326" t="str">
            <v>LU1883847656</v>
          </cell>
          <cell r="B1326" t="str">
            <v>AMUNDI FUNDS STRATEGIC INCOME</v>
          </cell>
          <cell r="C1326" t="str">
            <v>Class U AUD Hgd MTD3 (D)</v>
          </cell>
          <cell r="D1326" t="str">
            <v>AUD</v>
          </cell>
          <cell r="E1326" t="str">
            <v>01-Dec-2025</v>
          </cell>
          <cell r="F1326">
            <v>18467168.420000002</v>
          </cell>
          <cell r="G1326">
            <v>733476.554</v>
          </cell>
          <cell r="H1326">
            <v>25.18</v>
          </cell>
          <cell r="I1326">
            <v>0.18559999999999999</v>
          </cell>
          <cell r="J1326">
            <v>25.18</v>
          </cell>
          <cell r="K1326">
            <v>-0.26</v>
          </cell>
          <cell r="P1326">
            <v>0</v>
          </cell>
        </row>
        <row r="1327">
          <cell r="A1327" t="str">
            <v>LU1883847904</v>
          </cell>
          <cell r="B1327" t="str">
            <v>AMUNDI FUNDS STRATEGIC INCOME</v>
          </cell>
          <cell r="C1327" t="str">
            <v>Class U USD MGI (D)</v>
          </cell>
          <cell r="D1327" t="str">
            <v>USD</v>
          </cell>
          <cell r="E1327" t="str">
            <v>01-Dec-2025</v>
          </cell>
          <cell r="F1327">
            <v>11381039.1</v>
          </cell>
          <cell r="G1327">
            <v>317276.03000000003</v>
          </cell>
          <cell r="H1327">
            <v>35.869999999999997</v>
          </cell>
          <cell r="I1327">
            <v>0.16215399999999999</v>
          </cell>
          <cell r="J1327">
            <v>35.869999999999997</v>
          </cell>
          <cell r="K1327">
            <v>-0.27</v>
          </cell>
          <cell r="P1327">
            <v>0</v>
          </cell>
        </row>
        <row r="1328">
          <cell r="A1328" t="str">
            <v>LU1883848035</v>
          </cell>
          <cell r="B1328" t="str">
            <v>AMUNDI FUNDS STRATEGIC INCOME</v>
          </cell>
          <cell r="C1328" t="str">
            <v>Class U ZAR Hgd MTD3 (D)</v>
          </cell>
          <cell r="D1328" t="str">
            <v>ZAR</v>
          </cell>
          <cell r="E1328" t="str">
            <v>01-Dec-2025</v>
          </cell>
          <cell r="F1328">
            <v>281972155.19999999</v>
          </cell>
          <cell r="G1328">
            <v>709559.32700000005</v>
          </cell>
          <cell r="H1328">
            <v>397.39</v>
          </cell>
          <cell r="I1328">
            <v>5.6060999999999996</v>
          </cell>
          <cell r="J1328">
            <v>397.39</v>
          </cell>
          <cell r="K1328">
            <v>-6.73</v>
          </cell>
          <cell r="P1328">
            <v>0</v>
          </cell>
        </row>
        <row r="1329">
          <cell r="A1329" t="str">
            <v>LU1883847813</v>
          </cell>
          <cell r="B1329" t="str">
            <v>AMUNDI FUNDS STRATEGIC INCOME</v>
          </cell>
          <cell r="C1329" t="str">
            <v>Class U USD MTD3 (D)</v>
          </cell>
          <cell r="D1329" t="str">
            <v>USD</v>
          </cell>
          <cell r="E1329" t="str">
            <v>01-Dec-2025</v>
          </cell>
          <cell r="F1329">
            <v>71443300.599999994</v>
          </cell>
          <cell r="G1329">
            <v>2530960.4939999999</v>
          </cell>
          <cell r="H1329">
            <v>28.23</v>
          </cell>
          <cell r="I1329">
            <v>0.23380000000000001</v>
          </cell>
          <cell r="J1329">
            <v>28.23</v>
          </cell>
          <cell r="K1329">
            <v>-0.31</v>
          </cell>
          <cell r="P1329">
            <v>0</v>
          </cell>
        </row>
        <row r="1330">
          <cell r="A1330" t="str">
            <v>LU1883846765</v>
          </cell>
          <cell r="B1330" t="str">
            <v>AMUNDI FUNDS STRATEGIC INCOME</v>
          </cell>
          <cell r="C1330" t="str">
            <v>Class R2 USD (C)</v>
          </cell>
          <cell r="D1330" t="str">
            <v>USD</v>
          </cell>
          <cell r="E1330" t="str">
            <v>01-Dec-2025</v>
          </cell>
          <cell r="F1330">
            <v>4092377.23</v>
          </cell>
          <cell r="G1330">
            <v>42010.279000000002</v>
          </cell>
          <cell r="H1330">
            <v>97.41</v>
          </cell>
          <cell r="I1330">
            <v>0</v>
          </cell>
          <cell r="J1330">
            <v>97.41</v>
          </cell>
          <cell r="K1330">
            <v>-0.27</v>
          </cell>
          <cell r="P1330">
            <v>0</v>
          </cell>
        </row>
        <row r="1331">
          <cell r="A1331" t="str">
            <v>LU2036673379</v>
          </cell>
          <cell r="B1331" t="str">
            <v>AMUNDI FUNDS STRATEGIC INCOME</v>
          </cell>
          <cell r="C1331" t="str">
            <v>Class G EUR (C)</v>
          </cell>
          <cell r="D1331" t="str">
            <v>EUR</v>
          </cell>
          <cell r="E1331" t="str">
            <v>01-Dec-2025</v>
          </cell>
          <cell r="F1331">
            <v>5083236.7</v>
          </cell>
          <cell r="G1331">
            <v>957918.07499999995</v>
          </cell>
          <cell r="H1331">
            <v>5.3070000000000004</v>
          </cell>
          <cell r="I1331">
            <v>0</v>
          </cell>
          <cell r="J1331">
            <v>5.3070000000000004</v>
          </cell>
          <cell r="K1331">
            <v>-2.7E-2</v>
          </cell>
          <cell r="P1331">
            <v>0</v>
          </cell>
        </row>
        <row r="1332">
          <cell r="A1332" t="str">
            <v>LU2036673452</v>
          </cell>
          <cell r="B1332" t="str">
            <v>AMUNDI FUNDS STRATEGIC INCOME</v>
          </cell>
          <cell r="C1332" t="str">
            <v>Class G EUR QTD (D)</v>
          </cell>
          <cell r="D1332" t="str">
            <v>EUR</v>
          </cell>
          <cell r="E1332" t="str">
            <v>01-Dec-2025</v>
          </cell>
          <cell r="F1332">
            <v>35004228.770000003</v>
          </cell>
          <cell r="G1332">
            <v>8162348.8459999999</v>
          </cell>
          <cell r="H1332">
            <v>4.2880000000000003</v>
          </cell>
          <cell r="I1332">
            <v>0</v>
          </cell>
          <cell r="J1332">
            <v>4.2880000000000003</v>
          </cell>
          <cell r="K1332">
            <v>-2.1999999999999999E-2</v>
          </cell>
          <cell r="P1332">
            <v>0</v>
          </cell>
        </row>
        <row r="1333">
          <cell r="A1333" t="str">
            <v>LU2036673619</v>
          </cell>
          <cell r="B1333" t="str">
            <v>AMUNDI FUNDS STRATEGIC INCOME</v>
          </cell>
          <cell r="C1333" t="str">
            <v>Class G EUR Hgd (C)</v>
          </cell>
          <cell r="D1333" t="str">
            <v>EUR</v>
          </cell>
          <cell r="E1333" t="str">
            <v>01-Dec-2025</v>
          </cell>
          <cell r="F1333">
            <v>37303492.100000001</v>
          </cell>
          <cell r="G1333">
            <v>7449184.3700000001</v>
          </cell>
          <cell r="H1333">
            <v>5.008</v>
          </cell>
          <cell r="I1333">
            <v>0</v>
          </cell>
          <cell r="J1333">
            <v>5.008</v>
          </cell>
          <cell r="K1333">
            <v>-1.4999999999999999E-2</v>
          </cell>
          <cell r="P1333">
            <v>0</v>
          </cell>
        </row>
        <row r="1334">
          <cell r="A1334" t="str">
            <v>LU2085675515</v>
          </cell>
          <cell r="B1334" t="str">
            <v>AMUNDI FUNDS STRATEGIC INCOME</v>
          </cell>
          <cell r="C1334" t="str">
            <v>Class Z EUR HGD QTD (D)</v>
          </cell>
          <cell r="D1334" t="str">
            <v>EUR</v>
          </cell>
          <cell r="E1334" t="str">
            <v>01-Dec-2025</v>
          </cell>
          <cell r="F1334">
            <v>1148048.21</v>
          </cell>
          <cell r="G1334">
            <v>1385.2729999999999</v>
          </cell>
          <cell r="H1334">
            <v>828.75</v>
          </cell>
          <cell r="I1334">
            <v>0</v>
          </cell>
          <cell r="J1334">
            <v>828.75</v>
          </cell>
          <cell r="K1334">
            <v>-2.4700000000000002</v>
          </cell>
          <cell r="P1334">
            <v>0</v>
          </cell>
        </row>
        <row r="1335">
          <cell r="A1335" t="str">
            <v>LU2574252586</v>
          </cell>
          <cell r="B1335" t="str">
            <v>AMUNDI FUNDS US BOND</v>
          </cell>
          <cell r="C1335" t="str">
            <v>Class A2 USD MD (D)</v>
          </cell>
          <cell r="D1335" t="str">
            <v>USD</v>
          </cell>
          <cell r="E1335" t="str">
            <v>01-Dec-2025</v>
          </cell>
          <cell r="F1335">
            <v>45490.19</v>
          </cell>
          <cell r="G1335">
            <v>907.37699999999995</v>
          </cell>
          <cell r="H1335">
            <v>50.13</v>
          </cell>
          <cell r="I1335">
            <v>0</v>
          </cell>
          <cell r="J1335">
            <v>50.13</v>
          </cell>
          <cell r="K1335">
            <v>-0.2</v>
          </cell>
          <cell r="P1335">
            <v>0</v>
          </cell>
        </row>
        <row r="1336">
          <cell r="A1336" t="str">
            <v>LU1880401283</v>
          </cell>
          <cell r="B1336" t="str">
            <v>AMUNDI FUNDS US BOND</v>
          </cell>
          <cell r="C1336" t="str">
            <v>Class A EUR AD (D)</v>
          </cell>
          <cell r="D1336" t="str">
            <v>EUR</v>
          </cell>
          <cell r="E1336" t="str">
            <v>01-Dec-2025</v>
          </cell>
          <cell r="F1336">
            <v>1600020.49</v>
          </cell>
          <cell r="G1336">
            <v>36785.129000000001</v>
          </cell>
          <cell r="H1336">
            <v>43.5</v>
          </cell>
          <cell r="I1336">
            <v>0</v>
          </cell>
          <cell r="J1336">
            <v>44.81</v>
          </cell>
          <cell r="K1336">
            <v>-0.26</v>
          </cell>
          <cell r="P1336">
            <v>0</v>
          </cell>
        </row>
        <row r="1337">
          <cell r="A1337" t="str">
            <v>LU1880401101</v>
          </cell>
          <cell r="B1337" t="str">
            <v>AMUNDI FUNDS US BOND</v>
          </cell>
          <cell r="C1337" t="str">
            <v>Class A EUR (C)</v>
          </cell>
          <cell r="D1337" t="str">
            <v>EUR</v>
          </cell>
          <cell r="E1337" t="str">
            <v>01-Dec-2025</v>
          </cell>
          <cell r="F1337">
            <v>17883385.969999999</v>
          </cell>
          <cell r="G1337">
            <v>337373.114</v>
          </cell>
          <cell r="H1337">
            <v>53.01</v>
          </cell>
          <cell r="I1337">
            <v>0</v>
          </cell>
          <cell r="J1337">
            <v>54.6</v>
          </cell>
          <cell r="K1337">
            <v>-0.32</v>
          </cell>
          <cell r="P1337">
            <v>0</v>
          </cell>
        </row>
        <row r="1338">
          <cell r="A1338" t="str">
            <v>LU2070305110</v>
          </cell>
          <cell r="B1338" t="str">
            <v>AMUNDI FUNDS US BOND</v>
          </cell>
          <cell r="C1338" t="str">
            <v>Class A2 AUD Hgd MTD3 (D)</v>
          </cell>
          <cell r="D1338" t="str">
            <v>AUD</v>
          </cell>
          <cell r="E1338" t="str">
            <v>01-Dec-2025</v>
          </cell>
          <cell r="F1338">
            <v>3998760.95</v>
          </cell>
          <cell r="G1338">
            <v>113102.36</v>
          </cell>
          <cell r="H1338">
            <v>35.36</v>
          </cell>
          <cell r="I1338">
            <v>0.19550000000000001</v>
          </cell>
          <cell r="J1338">
            <v>35.36</v>
          </cell>
          <cell r="K1338">
            <v>-0.33</v>
          </cell>
          <cell r="P1338">
            <v>0</v>
          </cell>
        </row>
        <row r="1339">
          <cell r="A1339" t="str">
            <v>LU2002723406</v>
          </cell>
          <cell r="B1339" t="str">
            <v>AMUNDI FUNDS US BOND</v>
          </cell>
          <cell r="C1339" t="str">
            <v>Class M2 USD (C)</v>
          </cell>
          <cell r="D1339" t="str">
            <v>USD</v>
          </cell>
          <cell r="E1339" t="str">
            <v>01-Dec-2025</v>
          </cell>
          <cell r="F1339">
            <v>23703.86</v>
          </cell>
          <cell r="G1339">
            <v>21.356000000000002</v>
          </cell>
          <cell r="H1339">
            <v>1109.94</v>
          </cell>
          <cell r="I1339">
            <v>0</v>
          </cell>
          <cell r="J1339">
            <v>1109.94</v>
          </cell>
          <cell r="K1339">
            <v>-4.29</v>
          </cell>
          <cell r="P1339">
            <v>0</v>
          </cell>
        </row>
        <row r="1340">
          <cell r="A1340" t="str">
            <v>LU2070309021</v>
          </cell>
          <cell r="B1340" t="str">
            <v>AMUNDI FUNDS US BOND</v>
          </cell>
          <cell r="C1340" t="str">
            <v>Class A2 EUR AD (D)</v>
          </cell>
          <cell r="D1340" t="str">
            <v>EUR</v>
          </cell>
          <cell r="E1340" t="str">
            <v>01-Dec-2025</v>
          </cell>
          <cell r="F1340">
            <v>719466.19</v>
          </cell>
          <cell r="G1340">
            <v>16589.223000000002</v>
          </cell>
          <cell r="H1340">
            <v>43.37</v>
          </cell>
          <cell r="I1340">
            <v>0</v>
          </cell>
          <cell r="J1340">
            <v>44.67</v>
          </cell>
          <cell r="K1340">
            <v>-0.26</v>
          </cell>
          <cell r="P1340">
            <v>0</v>
          </cell>
        </row>
        <row r="1341">
          <cell r="A1341" t="str">
            <v>LU1880401796</v>
          </cell>
          <cell r="B1341" t="str">
            <v>AMUNDI FUNDS US BOND</v>
          </cell>
          <cell r="C1341" t="str">
            <v>Class A USD AD (D)</v>
          </cell>
          <cell r="D1341" t="str">
            <v>USD</v>
          </cell>
          <cell r="E1341" t="str">
            <v>01-Dec-2025</v>
          </cell>
          <cell r="F1341">
            <v>4039858.4</v>
          </cell>
          <cell r="G1341">
            <v>90393.903999999995</v>
          </cell>
          <cell r="H1341">
            <v>44.69</v>
          </cell>
          <cell r="I1341">
            <v>0</v>
          </cell>
          <cell r="J1341">
            <v>46.03</v>
          </cell>
          <cell r="K1341">
            <v>-0.18</v>
          </cell>
          <cell r="P1341">
            <v>0</v>
          </cell>
        </row>
        <row r="1342">
          <cell r="A1342" t="str">
            <v>LU2347634235</v>
          </cell>
          <cell r="B1342" t="str">
            <v>AMUNDI FUNDS US BOND</v>
          </cell>
          <cell r="C1342" t="str">
            <v>Class A2-7 USD (C)</v>
          </cell>
          <cell r="D1342" t="str">
            <v>USD</v>
          </cell>
          <cell r="E1342" t="str">
            <v>01-Dec-2025</v>
          </cell>
          <cell r="F1342">
            <v>50218.48</v>
          </cell>
          <cell r="G1342">
            <v>1020.299</v>
          </cell>
          <cell r="H1342">
            <v>49.22</v>
          </cell>
          <cell r="I1342">
            <v>0</v>
          </cell>
          <cell r="J1342">
            <v>49.22</v>
          </cell>
          <cell r="K1342">
            <v>-0.19</v>
          </cell>
          <cell r="P1342">
            <v>0</v>
          </cell>
        </row>
        <row r="1343">
          <cell r="A1343" t="str">
            <v>LU1880401366</v>
          </cell>
          <cell r="B1343" t="str">
            <v>AMUNDI FUNDS US BOND</v>
          </cell>
          <cell r="C1343" t="str">
            <v>Class A EUR Hgd (C)</v>
          </cell>
          <cell r="D1343" t="str">
            <v>EUR</v>
          </cell>
          <cell r="E1343" t="str">
            <v>01-Dec-2025</v>
          </cell>
          <cell r="F1343">
            <v>39381293.259999998</v>
          </cell>
          <cell r="G1343">
            <v>825079.12699999998</v>
          </cell>
          <cell r="H1343">
            <v>47.73</v>
          </cell>
          <cell r="I1343">
            <v>0</v>
          </cell>
          <cell r="J1343">
            <v>49.16</v>
          </cell>
          <cell r="K1343">
            <v>-0.19</v>
          </cell>
          <cell r="P1343">
            <v>0</v>
          </cell>
        </row>
        <row r="1344">
          <cell r="A1344" t="str">
            <v>LU1883849199</v>
          </cell>
          <cell r="B1344" t="str">
            <v>AMUNDI FUNDS US BOND</v>
          </cell>
          <cell r="C1344" t="str">
            <v>Class A2 EUR Hgd (C)</v>
          </cell>
          <cell r="D1344" t="str">
            <v>EUR</v>
          </cell>
          <cell r="E1344" t="str">
            <v>01-Dec-2025</v>
          </cell>
          <cell r="F1344">
            <v>19217996.300000001</v>
          </cell>
          <cell r="G1344">
            <v>386593.08799999999</v>
          </cell>
          <cell r="H1344">
            <v>49.71</v>
          </cell>
          <cell r="I1344">
            <v>0</v>
          </cell>
          <cell r="J1344">
            <v>51.2</v>
          </cell>
          <cell r="K1344">
            <v>-0.2</v>
          </cell>
          <cell r="P1344">
            <v>0</v>
          </cell>
        </row>
        <row r="1345">
          <cell r="A1345" t="str">
            <v>LU2237438549</v>
          </cell>
          <cell r="B1345" t="str">
            <v>AMUNDI FUNDS US BOND</v>
          </cell>
          <cell r="C1345" t="str">
            <v>Class A2 SGD Hgd MGI (D)</v>
          </cell>
          <cell r="D1345" t="str">
            <v>SGD</v>
          </cell>
          <cell r="E1345" t="str">
            <v>01-Dec-2025</v>
          </cell>
          <cell r="F1345">
            <v>260162.89</v>
          </cell>
          <cell r="G1345">
            <v>6761.1109999999999</v>
          </cell>
          <cell r="H1345">
            <v>38.479999999999997</v>
          </cell>
          <cell r="I1345">
            <v>0.138349</v>
          </cell>
          <cell r="J1345">
            <v>38.479999999999997</v>
          </cell>
          <cell r="K1345">
            <v>-0.28999999999999998</v>
          </cell>
          <cell r="P1345">
            <v>0</v>
          </cell>
        </row>
        <row r="1346">
          <cell r="A1346" t="str">
            <v>LU1880401523</v>
          </cell>
          <cell r="B1346" t="str">
            <v>AMUNDI FUNDS US BOND</v>
          </cell>
          <cell r="C1346" t="str">
            <v>Class A USD (C)</v>
          </cell>
          <cell r="D1346" t="str">
            <v>USD</v>
          </cell>
          <cell r="E1346" t="str">
            <v>01-Dec-2025</v>
          </cell>
          <cell r="F1346">
            <v>52085678.200000003</v>
          </cell>
          <cell r="G1346">
            <v>955980.56200000003</v>
          </cell>
          <cell r="H1346">
            <v>54.48</v>
          </cell>
          <cell r="I1346">
            <v>0</v>
          </cell>
          <cell r="J1346">
            <v>56.11</v>
          </cell>
          <cell r="K1346">
            <v>-0.22</v>
          </cell>
          <cell r="P1346">
            <v>0</v>
          </cell>
        </row>
        <row r="1347">
          <cell r="A1347" t="str">
            <v>LU1883849439</v>
          </cell>
          <cell r="B1347" t="str">
            <v>AMUNDI FUNDS US BOND</v>
          </cell>
          <cell r="C1347" t="str">
            <v>Class A2 GBP Hgd QD (D)</v>
          </cell>
          <cell r="D1347" t="str">
            <v>GBP</v>
          </cell>
          <cell r="E1347" t="str">
            <v>01-Dec-2025</v>
          </cell>
          <cell r="F1347">
            <v>26452.92</v>
          </cell>
          <cell r="G1347">
            <v>620</v>
          </cell>
          <cell r="H1347">
            <v>42.67</v>
          </cell>
          <cell r="I1347">
            <v>0</v>
          </cell>
          <cell r="J1347">
            <v>43.95</v>
          </cell>
          <cell r="K1347">
            <v>-0.16</v>
          </cell>
          <cell r="P1347">
            <v>0</v>
          </cell>
        </row>
        <row r="1348">
          <cell r="A1348" t="str">
            <v>LU2070305201</v>
          </cell>
          <cell r="B1348" t="str">
            <v>AMUNDI FUNDS US BOND</v>
          </cell>
          <cell r="C1348" t="str">
            <v>Class B AUD Hgd MTD3 (D)</v>
          </cell>
          <cell r="D1348" t="str">
            <v>AUD</v>
          </cell>
          <cell r="E1348" t="str">
            <v>01-Dec-2025</v>
          </cell>
          <cell r="F1348">
            <v>10360084.880000001</v>
          </cell>
          <cell r="G1348">
            <v>311364.14</v>
          </cell>
          <cell r="H1348">
            <v>33.270000000000003</v>
          </cell>
          <cell r="I1348">
            <v>0.19539999999999999</v>
          </cell>
          <cell r="J1348">
            <v>33.270000000000003</v>
          </cell>
          <cell r="K1348">
            <v>-0.33</v>
          </cell>
          <cell r="P1348">
            <v>0</v>
          </cell>
        </row>
        <row r="1349">
          <cell r="A1349" t="str">
            <v>LU2070305383</v>
          </cell>
          <cell r="B1349" t="str">
            <v>AMUNDI FUNDS US BOND</v>
          </cell>
          <cell r="C1349" t="str">
            <v>Class B ZAR Hgd MTD3 (D)</v>
          </cell>
          <cell r="D1349" t="str">
            <v>ZAR</v>
          </cell>
          <cell r="E1349" t="str">
            <v>01-Dec-2025</v>
          </cell>
          <cell r="F1349">
            <v>91930423.400000006</v>
          </cell>
          <cell r="G1349">
            <v>3245038.9589999998</v>
          </cell>
          <cell r="H1349">
            <v>28.33</v>
          </cell>
          <cell r="I1349">
            <v>0.31490000000000001</v>
          </cell>
          <cell r="J1349">
            <v>28.33</v>
          </cell>
          <cell r="K1349">
            <v>-0.43</v>
          </cell>
          <cell r="P1349">
            <v>0</v>
          </cell>
        </row>
        <row r="1350">
          <cell r="A1350" t="str">
            <v>LU1883850791</v>
          </cell>
          <cell r="B1350" t="str">
            <v>AMUNDI FUNDS US BOND</v>
          </cell>
          <cell r="C1350" t="str">
            <v>Class B USD MGI (D)</v>
          </cell>
          <cell r="D1350" t="str">
            <v>USD</v>
          </cell>
          <cell r="E1350" t="str">
            <v>01-Dec-2025</v>
          </cell>
          <cell r="F1350">
            <v>27061708.25</v>
          </cell>
          <cell r="G1350">
            <v>598008.06799999997</v>
          </cell>
          <cell r="H1350">
            <v>45.25</v>
          </cell>
          <cell r="I1350">
            <v>0.16352800000000001</v>
          </cell>
          <cell r="J1350">
            <v>45.25</v>
          </cell>
          <cell r="K1350">
            <v>-0.35</v>
          </cell>
          <cell r="P1350">
            <v>0</v>
          </cell>
        </row>
        <row r="1351">
          <cell r="A1351" t="str">
            <v>LU1883850528</v>
          </cell>
          <cell r="B1351" t="str">
            <v>AMUNDI FUNDS US BOND</v>
          </cell>
          <cell r="C1351" t="str">
            <v>Class B USD MTD3 (D)</v>
          </cell>
          <cell r="D1351" t="str">
            <v>USD</v>
          </cell>
          <cell r="E1351" t="str">
            <v>01-Dec-2025</v>
          </cell>
          <cell r="F1351">
            <v>131582521.44</v>
          </cell>
          <cell r="G1351">
            <v>3991838.173</v>
          </cell>
          <cell r="H1351">
            <v>32.96</v>
          </cell>
          <cell r="I1351">
            <v>0.2341</v>
          </cell>
          <cell r="J1351">
            <v>32.96</v>
          </cell>
          <cell r="K1351">
            <v>-0.37</v>
          </cell>
          <cell r="P1351">
            <v>0</v>
          </cell>
        </row>
        <row r="1352">
          <cell r="A1352" t="str">
            <v>LU1883851922</v>
          </cell>
          <cell r="B1352" t="str">
            <v>AMUNDI FUNDS US BOND</v>
          </cell>
          <cell r="C1352" t="str">
            <v>Class M2 EUR (C)</v>
          </cell>
          <cell r="D1352" t="str">
            <v>EUR</v>
          </cell>
          <cell r="E1352" t="str">
            <v>01-Dec-2025</v>
          </cell>
          <cell r="F1352">
            <v>52715368.729999997</v>
          </cell>
          <cell r="G1352">
            <v>21264.241999999998</v>
          </cell>
          <cell r="H1352">
            <v>2479.06</v>
          </cell>
          <cell r="I1352">
            <v>0</v>
          </cell>
          <cell r="J1352">
            <v>2479.06</v>
          </cell>
          <cell r="K1352">
            <v>-14.84</v>
          </cell>
          <cell r="P1352">
            <v>0</v>
          </cell>
        </row>
        <row r="1353">
          <cell r="A1353" t="str">
            <v>LU1883850361</v>
          </cell>
          <cell r="B1353" t="str">
            <v>AMUNDI FUNDS US BOND</v>
          </cell>
          <cell r="C1353" t="str">
            <v>Class B USD (C)</v>
          </cell>
          <cell r="D1353" t="str">
            <v>USD</v>
          </cell>
          <cell r="E1353" t="str">
            <v>01-Dec-2025</v>
          </cell>
          <cell r="F1353">
            <v>13224873.439999999</v>
          </cell>
          <cell r="G1353">
            <v>159903.55499999999</v>
          </cell>
          <cell r="H1353">
            <v>82.71</v>
          </cell>
          <cell r="I1353">
            <v>0</v>
          </cell>
          <cell r="J1353">
            <v>82.71</v>
          </cell>
          <cell r="K1353">
            <v>-0.33</v>
          </cell>
          <cell r="P1353">
            <v>0</v>
          </cell>
        </row>
        <row r="1354">
          <cell r="A1354" t="str">
            <v>LU1883849512</v>
          </cell>
          <cell r="B1354" t="str">
            <v>AMUNDI FUNDS US BOND</v>
          </cell>
          <cell r="C1354" t="str">
            <v>Class A2 SGD Hgd (C)</v>
          </cell>
          <cell r="D1354" t="str">
            <v>SGD</v>
          </cell>
          <cell r="E1354" t="str">
            <v>01-Dec-2025</v>
          </cell>
          <cell r="F1354">
            <v>1185972.1499999999</v>
          </cell>
          <cell r="G1354">
            <v>20201.471000000001</v>
          </cell>
          <cell r="H1354">
            <v>58.71</v>
          </cell>
          <cell r="I1354">
            <v>0</v>
          </cell>
          <cell r="J1354">
            <v>60.47</v>
          </cell>
          <cell r="K1354">
            <v>-0.23</v>
          </cell>
          <cell r="P1354">
            <v>0</v>
          </cell>
        </row>
        <row r="1355">
          <cell r="A1355" t="str">
            <v>LU1883849868</v>
          </cell>
          <cell r="B1355" t="str">
            <v>AMUNDI FUNDS US BOND</v>
          </cell>
          <cell r="C1355" t="str">
            <v>Class A2 USD MTD (D)</v>
          </cell>
          <cell r="D1355" t="str">
            <v>USD</v>
          </cell>
          <cell r="E1355" t="str">
            <v>01-Dec-2025</v>
          </cell>
          <cell r="F1355">
            <v>6622903.2300000004</v>
          </cell>
          <cell r="G1355">
            <v>118157.25</v>
          </cell>
          <cell r="H1355">
            <v>56.05</v>
          </cell>
          <cell r="I1355">
            <v>0.18690000000000001</v>
          </cell>
          <cell r="J1355">
            <v>57.73</v>
          </cell>
          <cell r="K1355">
            <v>-0.41</v>
          </cell>
          <cell r="P1355">
            <v>0</v>
          </cell>
        </row>
        <row r="1356">
          <cell r="A1356" t="str">
            <v>LU1883848977</v>
          </cell>
          <cell r="B1356" t="str">
            <v>AMUNDI FUNDS US BOND</v>
          </cell>
          <cell r="C1356" t="str">
            <v>Class A2 EUR (C)</v>
          </cell>
          <cell r="D1356" t="str">
            <v>EUR</v>
          </cell>
          <cell r="E1356" t="str">
            <v>01-Dec-2025</v>
          </cell>
          <cell r="F1356">
            <v>8065829.8399999999</v>
          </cell>
          <cell r="G1356">
            <v>84173.625</v>
          </cell>
          <cell r="H1356">
            <v>95.82</v>
          </cell>
          <cell r="I1356">
            <v>0</v>
          </cell>
          <cell r="J1356">
            <v>98.69</v>
          </cell>
          <cell r="K1356">
            <v>-0.57999999999999996</v>
          </cell>
          <cell r="P1356">
            <v>0</v>
          </cell>
        </row>
        <row r="1357">
          <cell r="A1357" t="str">
            <v>LU1883849355</v>
          </cell>
          <cell r="B1357" t="str">
            <v>AMUNDI FUNDS US BOND</v>
          </cell>
          <cell r="C1357" t="str">
            <v>Class A2 EUR QD (D)</v>
          </cell>
          <cell r="D1357" t="str">
            <v>EUR</v>
          </cell>
          <cell r="E1357" t="str">
            <v>01-Dec-2025</v>
          </cell>
          <cell r="F1357">
            <v>59188.68</v>
          </cell>
          <cell r="G1357">
            <v>1204.3009999999999</v>
          </cell>
          <cell r="H1357">
            <v>49.15</v>
          </cell>
          <cell r="I1357">
            <v>0</v>
          </cell>
          <cell r="J1357">
            <v>50.62</v>
          </cell>
          <cell r="K1357">
            <v>-0.28999999999999998</v>
          </cell>
          <cell r="P1357">
            <v>0</v>
          </cell>
        </row>
        <row r="1358">
          <cell r="A1358" t="str">
            <v>LU1883851179</v>
          </cell>
          <cell r="B1358" t="str">
            <v>AMUNDI FUNDS US BOND</v>
          </cell>
          <cell r="C1358" t="str">
            <v>Class E2 EUR (C)</v>
          </cell>
          <cell r="D1358" t="str">
            <v>EUR</v>
          </cell>
          <cell r="E1358" t="str">
            <v>01-Dec-2025</v>
          </cell>
          <cell r="F1358">
            <v>68058362.549999997</v>
          </cell>
          <cell r="G1358">
            <v>6971790.5690000001</v>
          </cell>
          <cell r="H1358">
            <v>9.7620000000000005</v>
          </cell>
          <cell r="I1358">
            <v>0</v>
          </cell>
          <cell r="J1358">
            <v>9.7620000000000005</v>
          </cell>
          <cell r="K1358">
            <v>-5.8999999999999997E-2</v>
          </cell>
          <cell r="P1358">
            <v>0</v>
          </cell>
        </row>
        <row r="1359">
          <cell r="A1359" t="str">
            <v>LU1883851336</v>
          </cell>
          <cell r="B1359" t="str">
            <v>AMUNDI FUNDS US BOND</v>
          </cell>
          <cell r="C1359" t="str">
            <v>Class E2 USD (C)</v>
          </cell>
          <cell r="D1359" t="str">
            <v>USD</v>
          </cell>
          <cell r="E1359" t="str">
            <v>01-Dec-2025</v>
          </cell>
          <cell r="F1359">
            <v>1492476.5</v>
          </cell>
          <cell r="G1359">
            <v>131492.10999999999</v>
          </cell>
          <cell r="H1359">
            <v>11.35</v>
          </cell>
          <cell r="I1359">
            <v>0</v>
          </cell>
          <cell r="J1359">
            <v>11.35</v>
          </cell>
          <cell r="K1359">
            <v>-4.4999999999999998E-2</v>
          </cell>
          <cell r="P1359">
            <v>0</v>
          </cell>
        </row>
        <row r="1360">
          <cell r="A1360" t="str">
            <v>LU1883851096</v>
          </cell>
          <cell r="B1360" t="str">
            <v>AMUNDI FUNDS US BOND</v>
          </cell>
          <cell r="C1360" t="str">
            <v>Class E2 CHF Hgd (C)</v>
          </cell>
          <cell r="D1360" t="str">
            <v>CHF</v>
          </cell>
          <cell r="E1360" t="str">
            <v>01-Dec-2025</v>
          </cell>
          <cell r="F1360">
            <v>441924.61</v>
          </cell>
          <cell r="G1360">
            <v>98474.074999999997</v>
          </cell>
          <cell r="H1360">
            <v>4.4880000000000004</v>
          </cell>
          <cell r="I1360">
            <v>0</v>
          </cell>
          <cell r="J1360">
            <v>4.4880000000000004</v>
          </cell>
          <cell r="K1360">
            <v>-1.7999999999999999E-2</v>
          </cell>
          <cell r="P1360">
            <v>0</v>
          </cell>
        </row>
        <row r="1361">
          <cell r="A1361" t="str">
            <v>LU1883851252</v>
          </cell>
          <cell r="B1361" t="str">
            <v>AMUNDI FUNDS US BOND</v>
          </cell>
          <cell r="C1361" t="str">
            <v>Class E2 EUR Hgd (C)</v>
          </cell>
          <cell r="D1361" t="str">
            <v>EUR</v>
          </cell>
          <cell r="E1361" t="str">
            <v>01-Dec-2025</v>
          </cell>
          <cell r="F1361">
            <v>4933846.74</v>
          </cell>
          <cell r="G1361">
            <v>979104.48400000005</v>
          </cell>
          <cell r="H1361">
            <v>5.0389999999999997</v>
          </cell>
          <cell r="I1361">
            <v>0</v>
          </cell>
          <cell r="J1361">
            <v>5.0389999999999997</v>
          </cell>
          <cell r="K1361">
            <v>-0.02</v>
          </cell>
          <cell r="P1361">
            <v>0</v>
          </cell>
        </row>
        <row r="1362">
          <cell r="A1362" t="str">
            <v>LU2018722947</v>
          </cell>
          <cell r="B1362" t="str">
            <v>AMUNDI FUNDS US BOND</v>
          </cell>
          <cell r="C1362" t="str">
            <v>Class F EUR Hgd QTD (D)</v>
          </cell>
          <cell r="D1362" t="str">
            <v>EUR</v>
          </cell>
          <cell r="E1362" t="str">
            <v>01-Dec-2025</v>
          </cell>
          <cell r="F1362">
            <v>77998.36</v>
          </cell>
          <cell r="G1362">
            <v>20423.740000000002</v>
          </cell>
          <cell r="H1362">
            <v>3.819</v>
          </cell>
          <cell r="I1362">
            <v>0</v>
          </cell>
          <cell r="J1362">
            <v>3.819</v>
          </cell>
          <cell r="K1362">
            <v>-1.4999999999999999E-2</v>
          </cell>
          <cell r="P1362">
            <v>0</v>
          </cell>
        </row>
        <row r="1363">
          <cell r="A1363" t="str">
            <v>LU1883851419</v>
          </cell>
          <cell r="B1363" t="str">
            <v>AMUNDI FUNDS US BOND</v>
          </cell>
          <cell r="C1363" t="str">
            <v>Class F EUR (C)</v>
          </cell>
          <cell r="D1363" t="str">
            <v>EUR</v>
          </cell>
          <cell r="E1363" t="str">
            <v>01-Dec-2025</v>
          </cell>
          <cell r="F1363">
            <v>6987449.3399999999</v>
          </cell>
          <cell r="G1363">
            <v>795598.56599999999</v>
          </cell>
          <cell r="H1363">
            <v>8.7829999999999995</v>
          </cell>
          <cell r="I1363">
            <v>0</v>
          </cell>
          <cell r="J1363">
            <v>8.7829999999999995</v>
          </cell>
          <cell r="K1363">
            <v>-5.2999999999999999E-2</v>
          </cell>
          <cell r="P1363">
            <v>0</v>
          </cell>
        </row>
        <row r="1364">
          <cell r="A1364" t="str">
            <v>LU1880402257</v>
          </cell>
          <cell r="B1364" t="str">
            <v>AMUNDI FUNDS US BOND</v>
          </cell>
          <cell r="C1364" t="str">
            <v>Class F2 USD (C)</v>
          </cell>
          <cell r="D1364" t="str">
            <v>USD</v>
          </cell>
          <cell r="E1364" t="str">
            <v>01-Dec-2025</v>
          </cell>
          <cell r="F1364">
            <v>1029520.23</v>
          </cell>
          <cell r="G1364">
            <v>196428.27</v>
          </cell>
          <cell r="H1364">
            <v>5.2409999999999997</v>
          </cell>
          <cell r="I1364">
            <v>0</v>
          </cell>
          <cell r="J1364">
            <v>5.2409999999999997</v>
          </cell>
          <cell r="K1364">
            <v>-2.1000000000000001E-2</v>
          </cell>
          <cell r="P1364">
            <v>0</v>
          </cell>
        </row>
        <row r="1365">
          <cell r="A1365" t="str">
            <v>LU2208987094</v>
          </cell>
          <cell r="B1365" t="str">
            <v>AMUNDI FUNDS US BOND</v>
          </cell>
          <cell r="C1365" t="str">
            <v>Class F USD (C)</v>
          </cell>
          <cell r="D1365" t="str">
            <v>USD</v>
          </cell>
          <cell r="E1365" t="str">
            <v>01-Dec-2025</v>
          </cell>
          <cell r="F1365">
            <v>437994.51</v>
          </cell>
          <cell r="G1365">
            <v>89873.308000000005</v>
          </cell>
          <cell r="H1365">
            <v>4.8730000000000002</v>
          </cell>
          <cell r="I1365">
            <v>0</v>
          </cell>
          <cell r="J1365">
            <v>4.8730000000000002</v>
          </cell>
          <cell r="K1365">
            <v>-0.02</v>
          </cell>
          <cell r="P1365">
            <v>0</v>
          </cell>
        </row>
        <row r="1366">
          <cell r="A1366" t="str">
            <v>LU1880402091</v>
          </cell>
          <cell r="B1366" t="str">
            <v>AMUNDI FUNDS US BOND</v>
          </cell>
          <cell r="C1366" t="str">
            <v>Class F2 EUR Hgd (C)</v>
          </cell>
          <cell r="D1366" t="str">
            <v>EUR</v>
          </cell>
          <cell r="E1366" t="str">
            <v>01-Dec-2025</v>
          </cell>
          <cell r="F1366">
            <v>991334.29</v>
          </cell>
          <cell r="G1366">
            <v>213120.18</v>
          </cell>
          <cell r="H1366">
            <v>4.6520000000000001</v>
          </cell>
          <cell r="I1366">
            <v>0</v>
          </cell>
          <cell r="J1366">
            <v>4.6520000000000001</v>
          </cell>
          <cell r="K1366">
            <v>-1.7999999999999999E-2</v>
          </cell>
          <cell r="P1366">
            <v>0</v>
          </cell>
        </row>
        <row r="1367">
          <cell r="A1367" t="str">
            <v>LU1880402174</v>
          </cell>
          <cell r="B1367" t="str">
            <v>AMUNDI FUNDS US BOND</v>
          </cell>
          <cell r="C1367" t="str">
            <v>Class F2 EUR Hgd QTD (D)</v>
          </cell>
          <cell r="D1367" t="str">
            <v>EUR</v>
          </cell>
          <cell r="E1367" t="str">
            <v>01-Dec-2025</v>
          </cell>
          <cell r="F1367">
            <v>114068</v>
          </cell>
          <cell r="G1367">
            <v>29991.83</v>
          </cell>
          <cell r="H1367">
            <v>3.8029999999999999</v>
          </cell>
          <cell r="I1367">
            <v>0</v>
          </cell>
          <cell r="J1367">
            <v>3.8029999999999999</v>
          </cell>
          <cell r="K1367">
            <v>-1.6E-2</v>
          </cell>
          <cell r="P1367">
            <v>0</v>
          </cell>
        </row>
        <row r="1368">
          <cell r="A1368" t="str">
            <v>LU1883850288</v>
          </cell>
          <cell r="B1368" t="str">
            <v>AMUNDI FUNDS US BOND</v>
          </cell>
          <cell r="C1368" t="str">
            <v>Class A2 ZAR Hgd MTD3 (D)</v>
          </cell>
          <cell r="D1368" t="str">
            <v>ZAR</v>
          </cell>
          <cell r="E1368" t="str">
            <v>01-Dec-2025</v>
          </cell>
          <cell r="F1368">
            <v>1006050667.88</v>
          </cell>
          <cell r="G1368">
            <v>1846263.5889999999</v>
          </cell>
          <cell r="H1368">
            <v>544.91</v>
          </cell>
          <cell r="I1368">
            <v>5.9282000000000004</v>
          </cell>
          <cell r="J1368">
            <v>561.26</v>
          </cell>
          <cell r="K1368">
            <v>-8.06</v>
          </cell>
          <cell r="P1368">
            <v>0</v>
          </cell>
        </row>
        <row r="1369">
          <cell r="A1369" t="str">
            <v>LU1897310782</v>
          </cell>
          <cell r="B1369" t="str">
            <v>AMUNDI FUNDS US BOND</v>
          </cell>
          <cell r="C1369" t="str">
            <v>Class I2 GBP (C)</v>
          </cell>
          <cell r="D1369" t="str">
            <v>GBP</v>
          </cell>
          <cell r="E1369" t="str">
            <v>01-Dec-2025</v>
          </cell>
          <cell r="F1369">
            <v>5070.9399999999996</v>
          </cell>
          <cell r="G1369">
            <v>5</v>
          </cell>
          <cell r="H1369">
            <v>1014.19</v>
          </cell>
          <cell r="I1369">
            <v>0</v>
          </cell>
          <cell r="J1369">
            <v>1014.19</v>
          </cell>
          <cell r="K1369">
            <v>-4.09</v>
          </cell>
          <cell r="P1369">
            <v>0</v>
          </cell>
        </row>
        <row r="1370">
          <cell r="A1370" t="str">
            <v>LU1883851765</v>
          </cell>
          <cell r="B1370" t="str">
            <v>AMUNDI FUNDS US BOND</v>
          </cell>
          <cell r="C1370" t="str">
            <v>Class I2 USD (C)</v>
          </cell>
          <cell r="D1370" t="str">
            <v>USD</v>
          </cell>
          <cell r="E1370" t="str">
            <v>01-Dec-2025</v>
          </cell>
          <cell r="F1370">
            <v>307342924.56999999</v>
          </cell>
          <cell r="G1370">
            <v>106500.428</v>
          </cell>
          <cell r="H1370">
            <v>2885.84</v>
          </cell>
          <cell r="I1370">
            <v>0</v>
          </cell>
          <cell r="J1370">
            <v>2885.84</v>
          </cell>
          <cell r="K1370">
            <v>-11.14</v>
          </cell>
          <cell r="P1370">
            <v>0</v>
          </cell>
        </row>
        <row r="1371">
          <cell r="A1371" t="str">
            <v>LU1883851849</v>
          </cell>
          <cell r="B1371" t="str">
            <v>AMUNDI FUNDS US BOND</v>
          </cell>
          <cell r="C1371" t="str">
            <v>Class I2 USD AD (D)</v>
          </cell>
          <cell r="D1371" t="str">
            <v>USD</v>
          </cell>
          <cell r="E1371" t="str">
            <v>01-Dec-2025</v>
          </cell>
          <cell r="F1371">
            <v>29854569.75</v>
          </cell>
          <cell r="G1371">
            <v>23101.545999999998</v>
          </cell>
          <cell r="H1371">
            <v>1292.32</v>
          </cell>
          <cell r="I1371">
            <v>0</v>
          </cell>
          <cell r="J1371">
            <v>1292.32</v>
          </cell>
          <cell r="K1371">
            <v>-4.99</v>
          </cell>
          <cell r="P1371">
            <v>0</v>
          </cell>
        </row>
        <row r="1372">
          <cell r="A1372" t="str">
            <v>LU2031984185</v>
          </cell>
          <cell r="B1372" t="str">
            <v>AMUNDI FUNDS US BOND</v>
          </cell>
          <cell r="C1372" t="str">
            <v>Class I2 GBP QD (D)</v>
          </cell>
          <cell r="D1372" t="str">
            <v>GBP</v>
          </cell>
          <cell r="E1372" t="str">
            <v>01-Dec-2025</v>
          </cell>
          <cell r="F1372">
            <v>4224.75</v>
          </cell>
          <cell r="G1372">
            <v>5</v>
          </cell>
          <cell r="H1372">
            <v>844.95</v>
          </cell>
          <cell r="I1372">
            <v>0</v>
          </cell>
          <cell r="J1372">
            <v>844.95</v>
          </cell>
          <cell r="K1372">
            <v>-3.41</v>
          </cell>
          <cell r="P1372">
            <v>0</v>
          </cell>
        </row>
        <row r="1373">
          <cell r="A1373" t="str">
            <v>LU1883851682</v>
          </cell>
          <cell r="B1373" t="str">
            <v>AMUNDI FUNDS US BOND</v>
          </cell>
          <cell r="C1373" t="str">
            <v>Class I2 EUR Hgd (C)</v>
          </cell>
          <cell r="D1373" t="str">
            <v>EUR</v>
          </cell>
          <cell r="E1373" t="str">
            <v>01-Dec-2025</v>
          </cell>
          <cell r="F1373">
            <v>51425371.210000001</v>
          </cell>
          <cell r="G1373">
            <v>47666.008000000002</v>
          </cell>
          <cell r="H1373">
            <v>1078.8699999999999</v>
          </cell>
          <cell r="I1373">
            <v>0</v>
          </cell>
          <cell r="J1373">
            <v>1078.8699999999999</v>
          </cell>
          <cell r="K1373">
            <v>-4.22</v>
          </cell>
          <cell r="P1373">
            <v>0</v>
          </cell>
        </row>
        <row r="1374">
          <cell r="A1374" t="str">
            <v>LU1883851500</v>
          </cell>
          <cell r="B1374" t="str">
            <v>AMUNDI FUNDS US BOND</v>
          </cell>
          <cell r="C1374" t="str">
            <v>Class I2 EUR (C)</v>
          </cell>
          <cell r="D1374" t="str">
            <v>EUR</v>
          </cell>
          <cell r="E1374" t="str">
            <v>01-Dec-2025</v>
          </cell>
          <cell r="F1374">
            <v>12034975.33</v>
          </cell>
          <cell r="G1374">
            <v>4850</v>
          </cell>
          <cell r="H1374">
            <v>2481.44</v>
          </cell>
          <cell r="I1374">
            <v>0</v>
          </cell>
          <cell r="J1374">
            <v>2481.44</v>
          </cell>
          <cell r="K1374">
            <v>-14.84</v>
          </cell>
          <cell r="P1374">
            <v>0</v>
          </cell>
        </row>
        <row r="1375">
          <cell r="A1375" t="str">
            <v>LU2176990534</v>
          </cell>
          <cell r="B1375" t="str">
            <v>AMUNDI FUNDS US BOND</v>
          </cell>
          <cell r="C1375" t="str">
            <v>Class J2 USD (C)</v>
          </cell>
          <cell r="D1375" t="str">
            <v>USD</v>
          </cell>
          <cell r="E1375" t="str">
            <v>01-Dec-2025</v>
          </cell>
          <cell r="F1375">
            <v>300896942.37</v>
          </cell>
          <cell r="G1375">
            <v>288878.255</v>
          </cell>
          <cell r="H1375">
            <v>1041.5999999999999</v>
          </cell>
          <cell r="I1375">
            <v>0</v>
          </cell>
          <cell r="J1375">
            <v>1041.5999999999999</v>
          </cell>
          <cell r="K1375">
            <v>-4.0199999999999996</v>
          </cell>
          <cell r="P1375">
            <v>0</v>
          </cell>
        </row>
        <row r="1376">
          <cell r="A1376" t="str">
            <v>LU3208814478</v>
          </cell>
          <cell r="B1376" t="str">
            <v>AMUNDI FUNDS US BOND</v>
          </cell>
          <cell r="C1376" t="str">
            <v>Class J2 EUR Hgd (C)</v>
          </cell>
          <cell r="D1376" t="str">
            <v>EUR</v>
          </cell>
          <cell r="E1376" t="str">
            <v>01-Dec-2025</v>
          </cell>
          <cell r="F1376">
            <v>99733.72</v>
          </cell>
          <cell r="G1376">
            <v>100</v>
          </cell>
          <cell r="H1376">
            <v>997.34</v>
          </cell>
          <cell r="I1376">
            <v>0</v>
          </cell>
          <cell r="J1376">
            <v>997.34</v>
          </cell>
          <cell r="K1376">
            <v>-3.9</v>
          </cell>
          <cell r="P1376">
            <v>0</v>
          </cell>
        </row>
        <row r="1377">
          <cell r="A1377" t="str">
            <v>LU1880402687</v>
          </cell>
          <cell r="B1377" t="str">
            <v>AMUNDI FUNDS US BOND</v>
          </cell>
          <cell r="C1377" t="str">
            <v>Class G USD (C)</v>
          </cell>
          <cell r="D1377" t="str">
            <v>USD</v>
          </cell>
          <cell r="E1377" t="str">
            <v>01-Dec-2025</v>
          </cell>
          <cell r="F1377">
            <v>15150321.58</v>
          </cell>
          <cell r="G1377">
            <v>2819946.0639999998</v>
          </cell>
          <cell r="H1377">
            <v>5.3730000000000002</v>
          </cell>
          <cell r="I1377">
            <v>0</v>
          </cell>
          <cell r="J1377">
            <v>5.5339999999999998</v>
          </cell>
          <cell r="K1377">
            <v>-2.1000000000000001E-2</v>
          </cell>
          <cell r="P1377">
            <v>0</v>
          </cell>
        </row>
        <row r="1378">
          <cell r="A1378" t="str">
            <v>LU1880402505</v>
          </cell>
          <cell r="B1378" t="str">
            <v>AMUNDI FUNDS US BOND</v>
          </cell>
          <cell r="C1378" t="str">
            <v>Class G EUR Hgd QTD (D)</v>
          </cell>
          <cell r="D1378" t="str">
            <v>EUR</v>
          </cell>
          <cell r="E1378" t="str">
            <v>01-Dec-2025</v>
          </cell>
          <cell r="F1378">
            <v>23877271.539999999</v>
          </cell>
          <cell r="G1378">
            <v>6114481.301</v>
          </cell>
          <cell r="H1378">
            <v>3.9049999999999998</v>
          </cell>
          <cell r="I1378">
            <v>0</v>
          </cell>
          <cell r="J1378">
            <v>4.0220000000000002</v>
          </cell>
          <cell r="K1378">
            <v>-1.6E-2</v>
          </cell>
          <cell r="P1378">
            <v>0</v>
          </cell>
        </row>
        <row r="1379">
          <cell r="A1379" t="str">
            <v>LU1880402331</v>
          </cell>
          <cell r="B1379" t="str">
            <v>AMUNDI FUNDS US BOND</v>
          </cell>
          <cell r="C1379" t="str">
            <v>Class G EUR Hgd (C)</v>
          </cell>
          <cell r="D1379" t="str">
            <v>EUR</v>
          </cell>
          <cell r="E1379" t="str">
            <v>01-Dec-2025</v>
          </cell>
          <cell r="F1379">
            <v>11223794.59</v>
          </cell>
          <cell r="G1379">
            <v>2356741.2370000002</v>
          </cell>
          <cell r="H1379">
            <v>4.7619999999999996</v>
          </cell>
          <cell r="I1379">
            <v>0</v>
          </cell>
          <cell r="J1379">
            <v>4.9050000000000002</v>
          </cell>
          <cell r="K1379">
            <v>-1.9E-2</v>
          </cell>
          <cell r="P1379">
            <v>0</v>
          </cell>
        </row>
        <row r="1380">
          <cell r="A1380" t="str">
            <v>LU1880402414</v>
          </cell>
          <cell r="B1380" t="str">
            <v>AMUNDI FUNDS US BOND</v>
          </cell>
          <cell r="C1380" t="str">
            <v>Class G EUR Hgd MTD (D)</v>
          </cell>
          <cell r="D1380" t="str">
            <v>EUR</v>
          </cell>
          <cell r="E1380" t="str">
            <v>01-Dec-2025</v>
          </cell>
          <cell r="F1380">
            <v>404984.3</v>
          </cell>
          <cell r="G1380">
            <v>103598.261</v>
          </cell>
          <cell r="H1380">
            <v>3.9089999999999998</v>
          </cell>
          <cell r="I1380">
            <v>1.3299999999999999E-2</v>
          </cell>
          <cell r="J1380">
            <v>3.9089999999999998</v>
          </cell>
          <cell r="K1380">
            <v>-2.9000000000000001E-2</v>
          </cell>
          <cell r="P1380">
            <v>0</v>
          </cell>
        </row>
        <row r="1381">
          <cell r="A1381" t="str">
            <v>LU1883853209</v>
          </cell>
          <cell r="B1381" t="str">
            <v>AMUNDI FUNDS US BOND</v>
          </cell>
          <cell r="C1381" t="str">
            <v>Class T USD MTD3 (D)</v>
          </cell>
          <cell r="D1381" t="str">
            <v>USD</v>
          </cell>
          <cell r="E1381" t="str">
            <v>01-Dec-2025</v>
          </cell>
          <cell r="F1381">
            <v>2312155.65</v>
          </cell>
          <cell r="G1381">
            <v>71542.36</v>
          </cell>
          <cell r="H1381">
            <v>32.32</v>
          </cell>
          <cell r="I1381">
            <v>0.22950000000000001</v>
          </cell>
          <cell r="J1381">
            <v>32.32</v>
          </cell>
          <cell r="K1381">
            <v>-0.36</v>
          </cell>
          <cell r="P1381">
            <v>0</v>
          </cell>
        </row>
        <row r="1382">
          <cell r="A1382" t="str">
            <v>LU1883853118</v>
          </cell>
          <cell r="B1382" t="str">
            <v>AMUNDI FUNDS US BOND</v>
          </cell>
          <cell r="C1382" t="str">
            <v>Class T USD (C)</v>
          </cell>
          <cell r="D1382" t="str">
            <v>USD</v>
          </cell>
          <cell r="E1382" t="str">
            <v>01-Dec-2025</v>
          </cell>
          <cell r="F1382">
            <v>1033793.51</v>
          </cell>
          <cell r="G1382">
            <v>19215.929</v>
          </cell>
          <cell r="H1382">
            <v>53.8</v>
          </cell>
          <cell r="I1382">
            <v>0</v>
          </cell>
          <cell r="J1382">
            <v>53.8</v>
          </cell>
          <cell r="K1382">
            <v>-0.21</v>
          </cell>
          <cell r="P1382">
            <v>0</v>
          </cell>
        </row>
        <row r="1383">
          <cell r="A1383" t="str">
            <v>LU1883853381</v>
          </cell>
          <cell r="B1383" t="str">
            <v>AMUNDI FUNDS US BOND</v>
          </cell>
          <cell r="C1383" t="str">
            <v>Class T USD MGI (D)</v>
          </cell>
          <cell r="D1383" t="str">
            <v>USD</v>
          </cell>
          <cell r="E1383" t="str">
            <v>01-Dec-2025</v>
          </cell>
          <cell r="F1383">
            <v>1839924.91</v>
          </cell>
          <cell r="G1383">
            <v>51035.31</v>
          </cell>
          <cell r="H1383">
            <v>36.049999999999997</v>
          </cell>
          <cell r="I1383">
            <v>0.130277</v>
          </cell>
          <cell r="J1383">
            <v>36.049999999999997</v>
          </cell>
          <cell r="K1383">
            <v>-0.28000000000000003</v>
          </cell>
          <cell r="P1383">
            <v>0</v>
          </cell>
        </row>
        <row r="1384">
          <cell r="A1384" t="str">
            <v>LU1883853464</v>
          </cell>
          <cell r="B1384" t="str">
            <v>AMUNDI FUNDS US BOND</v>
          </cell>
          <cell r="C1384" t="str">
            <v>Class T ZAR Hgd MTD3 (D)</v>
          </cell>
          <cell r="D1384" t="str">
            <v>ZAR</v>
          </cell>
          <cell r="E1384" t="str">
            <v>01-Dec-2025</v>
          </cell>
          <cell r="F1384">
            <v>7769829.21</v>
          </cell>
          <cell r="G1384">
            <v>15553.842000000001</v>
          </cell>
          <cell r="H1384">
            <v>499.54</v>
          </cell>
          <cell r="I1384">
            <v>5.5598999999999998</v>
          </cell>
          <cell r="J1384">
            <v>499.54</v>
          </cell>
          <cell r="K1384">
            <v>-7.56</v>
          </cell>
          <cell r="P1384">
            <v>0</v>
          </cell>
        </row>
        <row r="1385">
          <cell r="A1385" t="str">
            <v>LU1880403065</v>
          </cell>
          <cell r="B1385" t="str">
            <v>AMUNDI FUNDS US BOND</v>
          </cell>
          <cell r="C1385" t="str">
            <v>Class M EUR Hgd (C)</v>
          </cell>
          <cell r="D1385" t="str">
            <v>EUR</v>
          </cell>
          <cell r="E1385" t="str">
            <v>01-Dec-2025</v>
          </cell>
          <cell r="F1385">
            <v>21783530.75</v>
          </cell>
          <cell r="G1385">
            <v>22041.944</v>
          </cell>
          <cell r="H1385">
            <v>988.28</v>
          </cell>
          <cell r="I1385">
            <v>0</v>
          </cell>
          <cell r="J1385">
            <v>988.28</v>
          </cell>
          <cell r="K1385">
            <v>-3.92</v>
          </cell>
          <cell r="P1385">
            <v>0</v>
          </cell>
        </row>
        <row r="1386">
          <cell r="A1386" t="str">
            <v>LU1883852573</v>
          </cell>
          <cell r="B1386" t="str">
            <v>AMUNDI FUNDS US BOND</v>
          </cell>
          <cell r="C1386" t="str">
            <v>Class R2 EUR (C)</v>
          </cell>
          <cell r="D1386" t="str">
            <v>EUR</v>
          </cell>
          <cell r="E1386" t="str">
            <v>01-Dec-2025</v>
          </cell>
          <cell r="F1386">
            <v>14888207.25</v>
          </cell>
          <cell r="G1386">
            <v>198363.815</v>
          </cell>
          <cell r="H1386">
            <v>75.06</v>
          </cell>
          <cell r="I1386">
            <v>0</v>
          </cell>
          <cell r="J1386">
            <v>75.06</v>
          </cell>
          <cell r="K1386">
            <v>-0.44</v>
          </cell>
          <cell r="P1386">
            <v>0</v>
          </cell>
        </row>
        <row r="1387">
          <cell r="A1387" t="str">
            <v>LU1883852656</v>
          </cell>
          <cell r="B1387" t="str">
            <v>AMUNDI FUNDS US BOND</v>
          </cell>
          <cell r="C1387" t="str">
            <v>Class R2 EUR Hgd (C)</v>
          </cell>
          <cell r="D1387" t="str">
            <v>EUR</v>
          </cell>
          <cell r="E1387" t="str">
            <v>01-Dec-2025</v>
          </cell>
          <cell r="F1387">
            <v>60586458.560000002</v>
          </cell>
          <cell r="G1387">
            <v>1149389.314</v>
          </cell>
          <cell r="H1387">
            <v>52.71</v>
          </cell>
          <cell r="I1387">
            <v>0</v>
          </cell>
          <cell r="J1387">
            <v>52.71</v>
          </cell>
          <cell r="K1387">
            <v>-0.21</v>
          </cell>
          <cell r="P1387">
            <v>0</v>
          </cell>
        </row>
        <row r="1388">
          <cell r="A1388" t="str">
            <v>LU1880403222</v>
          </cell>
          <cell r="B1388" t="str">
            <v>AMUNDI FUNDS US BOND</v>
          </cell>
          <cell r="C1388" t="str">
            <v>Class O USD (C)</v>
          </cell>
          <cell r="D1388" t="str">
            <v>USD</v>
          </cell>
          <cell r="E1388" t="str">
            <v>01-Dec-2025</v>
          </cell>
          <cell r="F1388">
            <v>2267744.98</v>
          </cell>
          <cell r="G1388">
            <v>1948.0930000000001</v>
          </cell>
          <cell r="H1388">
            <v>1164.08</v>
          </cell>
          <cell r="I1388">
            <v>0</v>
          </cell>
          <cell r="J1388">
            <v>1164.08</v>
          </cell>
          <cell r="K1388">
            <v>-4.46</v>
          </cell>
          <cell r="P1388">
            <v>0</v>
          </cell>
        </row>
        <row r="1389">
          <cell r="A1389" t="str">
            <v>LU1883849603</v>
          </cell>
          <cell r="B1389" t="str">
            <v>AMUNDI FUNDS US BOND</v>
          </cell>
          <cell r="C1389" t="str">
            <v>Class A2 USD (C)</v>
          </cell>
          <cell r="D1389" t="str">
            <v>USD</v>
          </cell>
          <cell r="E1389" t="str">
            <v>01-Dec-2025</v>
          </cell>
          <cell r="F1389">
            <v>166099748.78</v>
          </cell>
          <cell r="G1389">
            <v>1490416.879</v>
          </cell>
          <cell r="H1389">
            <v>111.45</v>
          </cell>
          <cell r="I1389">
            <v>0</v>
          </cell>
          <cell r="J1389">
            <v>114.79</v>
          </cell>
          <cell r="K1389">
            <v>-0.43</v>
          </cell>
          <cell r="P1389">
            <v>0</v>
          </cell>
        </row>
        <row r="1390">
          <cell r="A1390" t="str">
            <v>LU1883849785</v>
          </cell>
          <cell r="B1390" t="str">
            <v>AMUNDI FUNDS US BOND</v>
          </cell>
          <cell r="C1390" t="str">
            <v>Class A2 USD AD (D)</v>
          </cell>
          <cell r="D1390" t="str">
            <v>USD</v>
          </cell>
          <cell r="E1390" t="str">
            <v>01-Dec-2025</v>
          </cell>
          <cell r="F1390">
            <v>12170500.779999999</v>
          </cell>
          <cell r="G1390">
            <v>176184.071</v>
          </cell>
          <cell r="H1390">
            <v>69.08</v>
          </cell>
          <cell r="I1390">
            <v>0</v>
          </cell>
          <cell r="J1390">
            <v>71.150000000000006</v>
          </cell>
          <cell r="K1390">
            <v>-0.27</v>
          </cell>
          <cell r="P1390">
            <v>0</v>
          </cell>
        </row>
        <row r="1391">
          <cell r="A1391" t="str">
            <v>LU1883852060</v>
          </cell>
          <cell r="B1391" t="str">
            <v>AMUNDI FUNDS US BOND</v>
          </cell>
          <cell r="C1391" t="str">
            <v>Class P2 USD (C)</v>
          </cell>
          <cell r="D1391" t="str">
            <v>USD</v>
          </cell>
          <cell r="E1391" t="str">
            <v>01-Dec-2025</v>
          </cell>
          <cell r="F1391">
            <v>9018995.8399999999</v>
          </cell>
          <cell r="G1391">
            <v>149900.73699999999</v>
          </cell>
          <cell r="H1391">
            <v>60.17</v>
          </cell>
          <cell r="I1391">
            <v>0</v>
          </cell>
          <cell r="J1391">
            <v>60.17</v>
          </cell>
          <cell r="K1391">
            <v>-0.23</v>
          </cell>
          <cell r="P1391">
            <v>0</v>
          </cell>
        </row>
        <row r="1392">
          <cell r="A1392" t="str">
            <v>LU1883852144</v>
          </cell>
          <cell r="B1392" t="str">
            <v>AMUNDI FUNDS US BOND</v>
          </cell>
          <cell r="C1392" t="str">
            <v>Class P2 USD MTD (D)</v>
          </cell>
          <cell r="D1392" t="str">
            <v>USD</v>
          </cell>
          <cell r="E1392" t="str">
            <v>01-Dec-2025</v>
          </cell>
          <cell r="F1392">
            <v>313271.3</v>
          </cell>
          <cell r="G1392">
            <v>6780.2430000000004</v>
          </cell>
          <cell r="H1392">
            <v>46.2</v>
          </cell>
          <cell r="I1392">
            <v>0.15329999999999999</v>
          </cell>
          <cell r="J1392">
            <v>46.2</v>
          </cell>
          <cell r="K1392">
            <v>-0.34</v>
          </cell>
          <cell r="P1392">
            <v>0</v>
          </cell>
        </row>
        <row r="1393">
          <cell r="A1393" t="str">
            <v>LU1883852227</v>
          </cell>
          <cell r="B1393" t="str">
            <v>AMUNDI FUNDS US BOND</v>
          </cell>
          <cell r="C1393" t="str">
            <v>Class Q-D USD MTD (D)</v>
          </cell>
          <cell r="D1393" t="str">
            <v>USD</v>
          </cell>
          <cell r="E1393" t="str">
            <v>01-Dec-2025</v>
          </cell>
          <cell r="F1393">
            <v>2873863.53</v>
          </cell>
          <cell r="G1393">
            <v>49739.987000000001</v>
          </cell>
          <cell r="H1393">
            <v>57.78</v>
          </cell>
          <cell r="I1393">
            <v>0.1943</v>
          </cell>
          <cell r="J1393">
            <v>59.51</v>
          </cell>
          <cell r="K1393">
            <v>-0.42</v>
          </cell>
          <cell r="P1393">
            <v>0</v>
          </cell>
        </row>
        <row r="1394">
          <cell r="A1394" t="str">
            <v>LU1883853548</v>
          </cell>
          <cell r="B1394" t="str">
            <v>AMUNDI FUNDS US BOND</v>
          </cell>
          <cell r="C1394" t="str">
            <v>Class U USD (C)</v>
          </cell>
          <cell r="D1394" t="str">
            <v>USD</v>
          </cell>
          <cell r="E1394" t="str">
            <v>01-Dec-2025</v>
          </cell>
          <cell r="F1394">
            <v>5570621.9800000004</v>
          </cell>
          <cell r="G1394">
            <v>104241.05499999999</v>
          </cell>
          <cell r="H1394">
            <v>53.44</v>
          </cell>
          <cell r="I1394">
            <v>0</v>
          </cell>
          <cell r="J1394">
            <v>53.44</v>
          </cell>
          <cell r="K1394">
            <v>-0.21</v>
          </cell>
          <cell r="P1394">
            <v>0</v>
          </cell>
        </row>
        <row r="1395">
          <cell r="A1395" t="str">
            <v>LU1883853894</v>
          </cell>
          <cell r="B1395" t="str">
            <v>AMUNDI FUNDS US BOND</v>
          </cell>
          <cell r="C1395" t="str">
            <v>Class U USD MGI (D)</v>
          </cell>
          <cell r="D1395" t="str">
            <v>USD</v>
          </cell>
          <cell r="E1395" t="str">
            <v>01-Dec-2025</v>
          </cell>
          <cell r="F1395">
            <v>7949968.5199999996</v>
          </cell>
          <cell r="G1395">
            <v>222169.845</v>
          </cell>
          <cell r="H1395">
            <v>35.78</v>
          </cell>
          <cell r="I1395">
            <v>0.12930800000000001</v>
          </cell>
          <cell r="J1395">
            <v>35.78</v>
          </cell>
          <cell r="K1395">
            <v>-0.28000000000000003</v>
          </cell>
          <cell r="P1395">
            <v>0</v>
          </cell>
        </row>
        <row r="1396">
          <cell r="A1396" t="str">
            <v>LU1883853977</v>
          </cell>
          <cell r="B1396" t="str">
            <v>AMUNDI FUNDS US BOND</v>
          </cell>
          <cell r="C1396" t="str">
            <v>Class U ZAR Hgd MTD3 (D)</v>
          </cell>
          <cell r="D1396" t="str">
            <v>ZAR</v>
          </cell>
          <cell r="E1396" t="str">
            <v>01-Dec-2025</v>
          </cell>
          <cell r="F1396">
            <v>114501909.77</v>
          </cell>
          <cell r="G1396">
            <v>230103.571</v>
          </cell>
          <cell r="H1396">
            <v>497.61</v>
          </cell>
          <cell r="I1396">
            <v>5.5228999999999999</v>
          </cell>
          <cell r="J1396">
            <v>497.61</v>
          </cell>
          <cell r="K1396">
            <v>-7.51</v>
          </cell>
          <cell r="P1396">
            <v>0</v>
          </cell>
        </row>
        <row r="1397">
          <cell r="A1397" t="str">
            <v>LU1883853621</v>
          </cell>
          <cell r="B1397" t="str">
            <v>AMUNDI FUNDS US BOND</v>
          </cell>
          <cell r="C1397" t="str">
            <v>Class U USD MTD3 (D)</v>
          </cell>
          <cell r="D1397" t="str">
            <v>USD</v>
          </cell>
          <cell r="E1397" t="str">
            <v>01-Dec-2025</v>
          </cell>
          <cell r="F1397">
            <v>36037780.899999999</v>
          </cell>
          <cell r="G1397">
            <v>1120461.3319999999</v>
          </cell>
          <cell r="H1397">
            <v>32.159999999999997</v>
          </cell>
          <cell r="I1397">
            <v>0.22839999999999999</v>
          </cell>
          <cell r="J1397">
            <v>32.159999999999997</v>
          </cell>
          <cell r="K1397">
            <v>-0.36</v>
          </cell>
          <cell r="P1397">
            <v>0</v>
          </cell>
        </row>
        <row r="1398">
          <cell r="A1398" t="str">
            <v>LU2070305466</v>
          </cell>
          <cell r="B1398" t="str">
            <v>AMUNDI FUNDS US BOND</v>
          </cell>
          <cell r="C1398" t="str">
            <v>Class U AUD Hgd MTD3 (D)</v>
          </cell>
          <cell r="D1398" t="str">
            <v>AUD</v>
          </cell>
          <cell r="E1398" t="str">
            <v>01-Dec-2025</v>
          </cell>
          <cell r="F1398">
            <v>1973481.36</v>
          </cell>
          <cell r="G1398">
            <v>59377.148000000001</v>
          </cell>
          <cell r="H1398">
            <v>33.24</v>
          </cell>
          <cell r="I1398">
            <v>0.19539999999999999</v>
          </cell>
          <cell r="J1398">
            <v>33.24</v>
          </cell>
          <cell r="K1398">
            <v>-0.33</v>
          </cell>
          <cell r="P1398">
            <v>0</v>
          </cell>
        </row>
        <row r="1399">
          <cell r="A1399" t="str">
            <v>LU2183144067</v>
          </cell>
          <cell r="B1399" t="str">
            <v>AMUNDI FUNDS US BOND</v>
          </cell>
          <cell r="C1399" t="str">
            <v>Class R EUR (C)</v>
          </cell>
          <cell r="D1399" t="str">
            <v>EUR</v>
          </cell>
          <cell r="E1399" t="str">
            <v>01-Dec-2025</v>
          </cell>
          <cell r="F1399">
            <v>737052.15</v>
          </cell>
          <cell r="G1399">
            <v>14676.605</v>
          </cell>
          <cell r="H1399">
            <v>50.22</v>
          </cell>
          <cell r="I1399">
            <v>0</v>
          </cell>
          <cell r="J1399">
            <v>50.22</v>
          </cell>
          <cell r="K1399">
            <v>-0.3</v>
          </cell>
          <cell r="P1399">
            <v>0</v>
          </cell>
        </row>
        <row r="1400">
          <cell r="A1400" t="str">
            <v>LU1880405276</v>
          </cell>
          <cell r="B1400" t="str">
            <v>AMUNDI FUNDS US BOND</v>
          </cell>
          <cell r="C1400" t="str">
            <v>Class R USD (C)</v>
          </cell>
          <cell r="D1400" t="str">
            <v>USD</v>
          </cell>
          <cell r="E1400" t="str">
            <v>01-Dec-2025</v>
          </cell>
          <cell r="F1400">
            <v>7362823.8399999999</v>
          </cell>
          <cell r="G1400">
            <v>132420.166</v>
          </cell>
          <cell r="H1400">
            <v>55.6</v>
          </cell>
          <cell r="I1400">
            <v>0</v>
          </cell>
          <cell r="J1400">
            <v>55.6</v>
          </cell>
          <cell r="K1400">
            <v>-0.22</v>
          </cell>
          <cell r="P1400">
            <v>0</v>
          </cell>
        </row>
        <row r="1401">
          <cell r="A1401" t="str">
            <v>LU1880404626</v>
          </cell>
          <cell r="B1401" t="str">
            <v>AMUNDI FUNDS US BOND</v>
          </cell>
          <cell r="C1401" t="str">
            <v>Class R EUR Hgd (C)</v>
          </cell>
          <cell r="D1401" t="str">
            <v>EUR</v>
          </cell>
          <cell r="E1401" t="str">
            <v>01-Dec-2025</v>
          </cell>
          <cell r="F1401">
            <v>2066216.07</v>
          </cell>
          <cell r="G1401">
            <v>44794.756999999998</v>
          </cell>
          <cell r="H1401">
            <v>46.13</v>
          </cell>
          <cell r="I1401">
            <v>0</v>
          </cell>
          <cell r="J1401">
            <v>46.13</v>
          </cell>
          <cell r="K1401">
            <v>-0.18</v>
          </cell>
          <cell r="P1401">
            <v>0</v>
          </cell>
        </row>
        <row r="1402">
          <cell r="A1402" t="str">
            <v>LU1883852904</v>
          </cell>
          <cell r="B1402" t="str">
            <v>AMUNDI FUNDS US BOND</v>
          </cell>
          <cell r="C1402" t="str">
            <v>Class R2 USD (C)</v>
          </cell>
          <cell r="D1402" t="str">
            <v>USD</v>
          </cell>
          <cell r="E1402" t="str">
            <v>01-Dec-2025</v>
          </cell>
          <cell r="F1402">
            <v>21148677.52</v>
          </cell>
          <cell r="G1402">
            <v>242400.995</v>
          </cell>
          <cell r="H1402">
            <v>87.25</v>
          </cell>
          <cell r="I1402">
            <v>0</v>
          </cell>
          <cell r="J1402">
            <v>87.25</v>
          </cell>
          <cell r="K1402">
            <v>-0.33</v>
          </cell>
          <cell r="P1402">
            <v>0</v>
          </cell>
        </row>
        <row r="1403">
          <cell r="A1403" t="str">
            <v>LU1880404204</v>
          </cell>
          <cell r="B1403" t="str">
            <v>AMUNDI FUNDS US BOND</v>
          </cell>
          <cell r="C1403" t="str">
            <v>Class Q-OF EUR (C)</v>
          </cell>
          <cell r="D1403" t="str">
            <v>EUR</v>
          </cell>
          <cell r="E1403" t="str">
            <v>01-Dec-2025</v>
          </cell>
          <cell r="F1403">
            <v>4373776.3</v>
          </cell>
          <cell r="G1403">
            <v>3890.9380000000001</v>
          </cell>
          <cell r="H1403">
            <v>1124.0899999999999</v>
          </cell>
          <cell r="I1403">
            <v>0</v>
          </cell>
          <cell r="J1403">
            <v>1124.0899999999999</v>
          </cell>
          <cell r="K1403">
            <v>-6.69</v>
          </cell>
          <cell r="P1403">
            <v>0</v>
          </cell>
        </row>
        <row r="1404">
          <cell r="A1404" t="str">
            <v>LU1883850015</v>
          </cell>
          <cell r="B1404" t="str">
            <v>AMUNDI FUNDS US BOND</v>
          </cell>
          <cell r="C1404" t="str">
            <v>Class A2 USD MGI (D)</v>
          </cell>
          <cell r="D1404" t="str">
            <v>USD</v>
          </cell>
          <cell r="E1404" t="str">
            <v>01-Dec-2025</v>
          </cell>
          <cell r="F1404">
            <v>29637259.43</v>
          </cell>
          <cell r="G1404">
            <v>547385.42599999998</v>
          </cell>
          <cell r="H1404">
            <v>54.14</v>
          </cell>
          <cell r="I1404">
            <v>0.19555900000000001</v>
          </cell>
          <cell r="J1404">
            <v>55.76</v>
          </cell>
          <cell r="K1404">
            <v>-0.41</v>
          </cell>
          <cell r="P1404">
            <v>0</v>
          </cell>
        </row>
        <row r="1405">
          <cell r="A1405" t="str">
            <v>LU1883849942</v>
          </cell>
          <cell r="B1405" t="str">
            <v>AMUNDI FUNDS US BOND</v>
          </cell>
          <cell r="C1405" t="str">
            <v>Class A2 USD MTD3 (D)</v>
          </cell>
          <cell r="D1405" t="str">
            <v>USD</v>
          </cell>
          <cell r="E1405" t="str">
            <v>01-Dec-2025</v>
          </cell>
          <cell r="F1405">
            <v>79689003.420000002</v>
          </cell>
          <cell r="G1405">
            <v>2264683.1779999998</v>
          </cell>
          <cell r="H1405">
            <v>35.19</v>
          </cell>
          <cell r="I1405">
            <v>0.24460000000000001</v>
          </cell>
          <cell r="J1405">
            <v>36.25</v>
          </cell>
          <cell r="K1405">
            <v>-0.38</v>
          </cell>
          <cell r="P1405">
            <v>0</v>
          </cell>
        </row>
        <row r="1406">
          <cell r="A1406" t="str">
            <v>LU1998917311</v>
          </cell>
          <cell r="B1406" t="str">
            <v>AMUNDI FUNDS US BOND</v>
          </cell>
          <cell r="C1406" t="str">
            <v>Class X USD (C)</v>
          </cell>
          <cell r="D1406" t="str">
            <v>USD</v>
          </cell>
          <cell r="E1406" t="str">
            <v>01-Dec-2025</v>
          </cell>
          <cell r="F1406">
            <v>9004999.5600000005</v>
          </cell>
          <cell r="G1406">
            <v>8000</v>
          </cell>
          <cell r="H1406">
            <v>1125.6199999999999</v>
          </cell>
          <cell r="I1406">
            <v>0</v>
          </cell>
          <cell r="J1406">
            <v>1125.6199999999999</v>
          </cell>
          <cell r="K1406">
            <v>-4.3099999999999996</v>
          </cell>
          <cell r="P1406">
            <v>0</v>
          </cell>
        </row>
        <row r="1407">
          <cell r="A1407" t="str">
            <v>LU1880402760</v>
          </cell>
          <cell r="B1407" t="str">
            <v>AMUNDI FUNDS US BOND</v>
          </cell>
          <cell r="C1407" t="str">
            <v>Class I EUR Hgd (C)</v>
          </cell>
          <cell r="D1407" t="str">
            <v>EUR</v>
          </cell>
          <cell r="E1407" t="str">
            <v>01-Dec-2025</v>
          </cell>
          <cell r="F1407">
            <v>261885367.41</v>
          </cell>
          <cell r="G1407">
            <v>263043.20699999999</v>
          </cell>
          <cell r="H1407">
            <v>995.6</v>
          </cell>
          <cell r="I1407">
            <v>0</v>
          </cell>
          <cell r="J1407">
            <v>995.6</v>
          </cell>
          <cell r="K1407">
            <v>-3.94</v>
          </cell>
          <cell r="P1407">
            <v>0</v>
          </cell>
        </row>
        <row r="1408">
          <cell r="A1408" t="str">
            <v>LU1880402844</v>
          </cell>
          <cell r="B1408" t="str">
            <v>AMUNDI FUNDS US BOND</v>
          </cell>
          <cell r="C1408" t="str">
            <v>Class I USD (C)</v>
          </cell>
          <cell r="D1408" t="str">
            <v>USD</v>
          </cell>
          <cell r="E1408" t="str">
            <v>01-Dec-2025</v>
          </cell>
          <cell r="F1408">
            <v>216026927.47999999</v>
          </cell>
          <cell r="G1408">
            <v>192311.13500000001</v>
          </cell>
          <cell r="H1408">
            <v>1123.32</v>
          </cell>
          <cell r="I1408">
            <v>0</v>
          </cell>
          <cell r="J1408">
            <v>1123.32</v>
          </cell>
          <cell r="K1408">
            <v>-4.37</v>
          </cell>
          <cell r="P1408">
            <v>0</v>
          </cell>
        </row>
        <row r="1409">
          <cell r="A1409" t="str">
            <v>LU1880402927</v>
          </cell>
          <cell r="B1409" t="str">
            <v>AMUNDI FUNDS US BOND</v>
          </cell>
          <cell r="C1409" t="str">
            <v>Class I USD AD (D)</v>
          </cell>
          <cell r="D1409" t="str">
            <v>USD</v>
          </cell>
          <cell r="E1409" t="str">
            <v>01-Dec-2025</v>
          </cell>
          <cell r="F1409">
            <v>1964604.32</v>
          </cell>
          <cell r="G1409">
            <v>2230.3409999999999</v>
          </cell>
          <cell r="H1409">
            <v>880.85</v>
          </cell>
          <cell r="I1409">
            <v>0</v>
          </cell>
          <cell r="J1409">
            <v>880.85</v>
          </cell>
          <cell r="K1409">
            <v>-3.43</v>
          </cell>
          <cell r="P1409">
            <v>0</v>
          </cell>
        </row>
        <row r="1410">
          <cell r="A1410" t="str">
            <v>LU2596443726</v>
          </cell>
          <cell r="B1410" t="str">
            <v>AMUNDI FUNDS GLOBAL EQUITY INCOME SELECT</v>
          </cell>
          <cell r="C1410" t="str">
            <v>Class A2 USD MTD3 (D)</v>
          </cell>
          <cell r="D1410" t="str">
            <v>USD</v>
          </cell>
          <cell r="E1410" t="str">
            <v>01-Dec-2025</v>
          </cell>
          <cell r="F1410">
            <v>8024775.2000000002</v>
          </cell>
          <cell r="G1410">
            <v>145119.204</v>
          </cell>
          <cell r="H1410">
            <v>55.3</v>
          </cell>
          <cell r="I1410">
            <v>0.39389999999999997</v>
          </cell>
          <cell r="J1410">
            <v>55.3</v>
          </cell>
          <cell r="K1410">
            <v>-0.84</v>
          </cell>
          <cell r="P1410">
            <v>0</v>
          </cell>
        </row>
        <row r="1411">
          <cell r="A1411" t="str">
            <v>LU1883321454</v>
          </cell>
          <cell r="B1411" t="str">
            <v>AMUNDI FUNDS GLOBAL EQUITY INCOME SELECT</v>
          </cell>
          <cell r="C1411" t="str">
            <v>Class A2 USD MTI (D)</v>
          </cell>
          <cell r="D1411" t="str">
            <v>USD</v>
          </cell>
          <cell r="E1411" t="str">
            <v>01-Dec-2025</v>
          </cell>
          <cell r="F1411">
            <v>11188.55</v>
          </cell>
          <cell r="G1411">
            <v>158</v>
          </cell>
          <cell r="H1411">
            <v>70.81</v>
          </cell>
          <cell r="I1411">
            <v>0</v>
          </cell>
          <cell r="J1411">
            <v>74</v>
          </cell>
          <cell r="K1411">
            <v>-0.57999999999999996</v>
          </cell>
          <cell r="P1411">
            <v>0</v>
          </cell>
        </row>
        <row r="1412">
          <cell r="A1412" t="str">
            <v>LU1883320720</v>
          </cell>
          <cell r="B1412" t="str">
            <v>AMUNDI FUNDS GLOBAL EQUITY INCOME SELECT</v>
          </cell>
          <cell r="C1412" t="str">
            <v>Class A2 CZK Hgd QTI (D)</v>
          </cell>
          <cell r="D1412" t="str">
            <v>CZK</v>
          </cell>
          <cell r="E1412" t="str">
            <v>01-Dec-2025</v>
          </cell>
          <cell r="F1412">
            <v>1573962998.6099999</v>
          </cell>
          <cell r="G1412">
            <v>1055489.5260000001</v>
          </cell>
          <cell r="H1412">
            <v>1491.22</v>
          </cell>
          <cell r="I1412">
            <v>0</v>
          </cell>
          <cell r="J1412">
            <v>1558.32</v>
          </cell>
          <cell r="K1412">
            <v>-13.45</v>
          </cell>
          <cell r="P1412">
            <v>0</v>
          </cell>
        </row>
        <row r="1413">
          <cell r="A1413" t="str">
            <v>LU1883321538</v>
          </cell>
          <cell r="B1413" t="str">
            <v>AMUNDI FUNDS GLOBAL EQUITY INCOME SELECT</v>
          </cell>
          <cell r="C1413" t="str">
            <v>Class A2 USD QTI (D)</v>
          </cell>
          <cell r="D1413" t="str">
            <v>USD</v>
          </cell>
          <cell r="E1413" t="str">
            <v>01-Dec-2025</v>
          </cell>
          <cell r="F1413">
            <v>45495249.960000001</v>
          </cell>
          <cell r="G1413">
            <v>516082.68300000002</v>
          </cell>
          <cell r="H1413">
            <v>88.15</v>
          </cell>
          <cell r="I1413">
            <v>0</v>
          </cell>
          <cell r="J1413">
            <v>92.12</v>
          </cell>
          <cell r="K1413">
            <v>-0.72</v>
          </cell>
          <cell r="P1413">
            <v>0</v>
          </cell>
        </row>
        <row r="1414">
          <cell r="A1414" t="str">
            <v>LU2002722341</v>
          </cell>
          <cell r="B1414" t="str">
            <v>AMUNDI FUNDS GLOBAL EQUITY INCOME SELECT</v>
          </cell>
          <cell r="C1414" t="str">
            <v>Class M2 EUR ( C )</v>
          </cell>
          <cell r="D1414" t="str">
            <v>EUR</v>
          </cell>
          <cell r="E1414" t="str">
            <v>01-Dec-2025</v>
          </cell>
          <cell r="F1414">
            <v>204400470.21000001</v>
          </cell>
          <cell r="G1414">
            <v>99484.994999999995</v>
          </cell>
          <cell r="H1414">
            <v>2054.59</v>
          </cell>
          <cell r="I1414">
            <v>0</v>
          </cell>
          <cell r="J1414">
            <v>2054.59</v>
          </cell>
          <cell r="K1414">
            <v>-20.93</v>
          </cell>
          <cell r="P1414">
            <v>0</v>
          </cell>
        </row>
        <row r="1415">
          <cell r="A1415" t="str">
            <v>LU1883323310</v>
          </cell>
          <cell r="B1415" t="str">
            <v>AMUNDI FUNDS GLOBAL EQUITY INCOME SELECT</v>
          </cell>
          <cell r="C1415" t="str">
            <v>Class M2 EUR Hgd QTI (D)</v>
          </cell>
          <cell r="D1415" t="str">
            <v>EUR</v>
          </cell>
          <cell r="E1415" t="str">
            <v>01-Dec-2025</v>
          </cell>
          <cell r="F1415">
            <v>2210569.14</v>
          </cell>
          <cell r="G1415">
            <v>1829.664</v>
          </cell>
          <cell r="H1415">
            <v>1208.18</v>
          </cell>
          <cell r="I1415">
            <v>0</v>
          </cell>
          <cell r="J1415">
            <v>1208.18</v>
          </cell>
          <cell r="K1415">
            <v>-10.88</v>
          </cell>
          <cell r="P1415">
            <v>0</v>
          </cell>
        </row>
        <row r="1416">
          <cell r="A1416" t="str">
            <v>LU1883320993</v>
          </cell>
          <cell r="B1416" t="str">
            <v>AMUNDI FUNDS GLOBAL EQUITY INCOME SELECT</v>
          </cell>
          <cell r="C1416" t="str">
            <v>Class A2 EUR (C)</v>
          </cell>
          <cell r="D1416" t="str">
            <v>EUR</v>
          </cell>
          <cell r="E1416" t="str">
            <v>01-Dec-2025</v>
          </cell>
          <cell r="F1416">
            <v>345172527.19999999</v>
          </cell>
          <cell r="G1416">
            <v>2149811.4879999999</v>
          </cell>
          <cell r="H1416">
            <v>160.56</v>
          </cell>
          <cell r="I1416">
            <v>0</v>
          </cell>
          <cell r="J1416">
            <v>167.79</v>
          </cell>
          <cell r="K1416">
            <v>-1.65</v>
          </cell>
          <cell r="P1416">
            <v>0</v>
          </cell>
        </row>
        <row r="1417">
          <cell r="A1417" t="str">
            <v>LU1883321025</v>
          </cell>
          <cell r="B1417" t="str">
            <v>AMUNDI FUNDS GLOBAL EQUITY INCOME SELECT</v>
          </cell>
          <cell r="C1417" t="str">
            <v>Class A2 EUR MTI (D)</v>
          </cell>
          <cell r="D1417" t="str">
            <v>EUR</v>
          </cell>
          <cell r="E1417" t="str">
            <v>01-Dec-2025</v>
          </cell>
          <cell r="F1417">
            <v>35944095.039999999</v>
          </cell>
          <cell r="G1417">
            <v>488833.29</v>
          </cell>
          <cell r="H1417">
            <v>73.53</v>
          </cell>
          <cell r="I1417">
            <v>0</v>
          </cell>
          <cell r="J1417">
            <v>76.84</v>
          </cell>
          <cell r="K1417">
            <v>-0.76</v>
          </cell>
          <cell r="P1417">
            <v>0</v>
          </cell>
        </row>
        <row r="1418">
          <cell r="A1418" t="str">
            <v>LU1883321884</v>
          </cell>
          <cell r="B1418" t="str">
            <v>AMUNDI FUNDS GLOBAL EQUITY INCOME SELECT</v>
          </cell>
          <cell r="C1418" t="str">
            <v>Class E2 EUR (C)</v>
          </cell>
          <cell r="D1418" t="str">
            <v>EUR</v>
          </cell>
          <cell r="E1418" t="str">
            <v>01-Dec-2025</v>
          </cell>
          <cell r="F1418">
            <v>733374736.33000004</v>
          </cell>
          <cell r="G1418">
            <v>45694815.784000002</v>
          </cell>
          <cell r="H1418">
            <v>16.048999999999999</v>
          </cell>
          <cell r="I1418">
            <v>0</v>
          </cell>
          <cell r="J1418">
            <v>16.048999999999999</v>
          </cell>
          <cell r="K1418">
            <v>-0.16500000000000001</v>
          </cell>
          <cell r="P1418">
            <v>0</v>
          </cell>
        </row>
        <row r="1419">
          <cell r="A1419" t="str">
            <v>LU1883321967</v>
          </cell>
          <cell r="B1419" t="str">
            <v>AMUNDI FUNDS GLOBAL EQUITY INCOME SELECT</v>
          </cell>
          <cell r="C1419" t="str">
            <v>Class E2 EUR QTI (D)</v>
          </cell>
          <cell r="D1419" t="str">
            <v>EUR</v>
          </cell>
          <cell r="E1419" t="str">
            <v>01-Dec-2025</v>
          </cell>
          <cell r="F1419">
            <v>84380948.069999993</v>
          </cell>
          <cell r="G1419">
            <v>13928125.710000001</v>
          </cell>
          <cell r="H1419">
            <v>6.0579999999999998</v>
          </cell>
          <cell r="I1419">
            <v>0</v>
          </cell>
          <cell r="J1419">
            <v>6.0579999999999998</v>
          </cell>
          <cell r="K1419">
            <v>-6.2E-2</v>
          </cell>
          <cell r="P1419">
            <v>0</v>
          </cell>
        </row>
        <row r="1420">
          <cell r="A1420" t="str">
            <v>LU1883322007</v>
          </cell>
          <cell r="B1420" t="str">
            <v>AMUNDI FUNDS GLOBAL EQUITY INCOME SELECT</v>
          </cell>
          <cell r="C1420" t="str">
            <v>Class E2 EUR SATI (D)</v>
          </cell>
          <cell r="D1420" t="str">
            <v>EUR</v>
          </cell>
          <cell r="E1420" t="str">
            <v>01-Dec-2025</v>
          </cell>
          <cell r="F1420">
            <v>55318771.359999999</v>
          </cell>
          <cell r="G1420">
            <v>8115935.0889999997</v>
          </cell>
          <cell r="H1420">
            <v>6.8159999999999998</v>
          </cell>
          <cell r="I1420">
            <v>0</v>
          </cell>
          <cell r="J1420">
            <v>6.8159999999999998</v>
          </cell>
          <cell r="K1420">
            <v>-7.0000000000000007E-2</v>
          </cell>
          <cell r="P1420">
            <v>0</v>
          </cell>
        </row>
        <row r="1421">
          <cell r="A1421" t="str">
            <v>LU1883322429</v>
          </cell>
          <cell r="B1421" t="str">
            <v>AMUNDI FUNDS GLOBAL EQUITY INCOME SELECT</v>
          </cell>
          <cell r="C1421" t="str">
            <v>Class F2 EUR (C)</v>
          </cell>
          <cell r="D1421" t="str">
            <v>EUR</v>
          </cell>
          <cell r="E1421" t="str">
            <v>01-Dec-2025</v>
          </cell>
          <cell r="F1421">
            <v>4767162.34</v>
          </cell>
          <cell r="G1421">
            <v>340662.08399999997</v>
          </cell>
          <cell r="H1421">
            <v>13.994</v>
          </cell>
          <cell r="I1421">
            <v>0</v>
          </cell>
          <cell r="J1421">
            <v>13.994</v>
          </cell>
          <cell r="K1421">
            <v>-0.14399999999999999</v>
          </cell>
          <cell r="P1421">
            <v>0</v>
          </cell>
        </row>
        <row r="1422">
          <cell r="A1422" t="str">
            <v>LU3015123501</v>
          </cell>
          <cell r="B1422" t="str">
            <v>AMUNDI FUNDS GLOBAL EQUITY INCOME SELECT</v>
          </cell>
          <cell r="C1422" t="str">
            <v>Class F EUR SATI (D)</v>
          </cell>
          <cell r="D1422" t="str">
            <v>EUR</v>
          </cell>
          <cell r="E1422" t="str">
            <v>01-Dec-2025</v>
          </cell>
          <cell r="F1422">
            <v>167492.13</v>
          </cell>
          <cell r="G1422">
            <v>31580.669000000002</v>
          </cell>
          <cell r="H1422">
            <v>5.3040000000000003</v>
          </cell>
          <cell r="I1422">
            <v>0</v>
          </cell>
          <cell r="J1422">
            <v>5.3040000000000003</v>
          </cell>
          <cell r="K1422">
            <v>-5.3999999999999999E-2</v>
          </cell>
          <cell r="P1422">
            <v>0</v>
          </cell>
        </row>
        <row r="1423">
          <cell r="A1423" t="str">
            <v>LU2002722424</v>
          </cell>
          <cell r="B1423" t="str">
            <v>AMUNDI FUNDS GLOBAL EQUITY INCOME SELECT</v>
          </cell>
          <cell r="C1423" t="str">
            <v>Class M2 EUR SATI ( D )</v>
          </cell>
          <cell r="D1423" t="str">
            <v>EUR</v>
          </cell>
          <cell r="E1423" t="str">
            <v>01-Dec-2025</v>
          </cell>
          <cell r="F1423">
            <v>20976225.289999999</v>
          </cell>
          <cell r="G1423">
            <v>12687.14</v>
          </cell>
          <cell r="H1423">
            <v>1653.35</v>
          </cell>
          <cell r="I1423">
            <v>0</v>
          </cell>
          <cell r="J1423">
            <v>1653.35</v>
          </cell>
          <cell r="K1423">
            <v>-16.84</v>
          </cell>
          <cell r="P1423">
            <v>0</v>
          </cell>
        </row>
        <row r="1424">
          <cell r="A1424" t="str">
            <v>LU1883323153</v>
          </cell>
          <cell r="B1424" t="str">
            <v>AMUNDI FUNDS GLOBAL EQUITY INCOME SELECT</v>
          </cell>
          <cell r="C1424" t="str">
            <v>Class I2 USD (C)</v>
          </cell>
          <cell r="D1424" t="str">
            <v>USD</v>
          </cell>
          <cell r="E1424" t="str">
            <v>01-Dec-2025</v>
          </cell>
          <cell r="F1424">
            <v>6325278.5599999996</v>
          </cell>
          <cell r="G1424">
            <v>1409.1859999999999</v>
          </cell>
          <cell r="H1424">
            <v>4488.6000000000004</v>
          </cell>
          <cell r="I1424">
            <v>0</v>
          </cell>
          <cell r="J1424">
            <v>4488.6000000000004</v>
          </cell>
          <cell r="K1424">
            <v>-36.14</v>
          </cell>
          <cell r="P1424">
            <v>0</v>
          </cell>
        </row>
        <row r="1425">
          <cell r="A1425" t="str">
            <v>LU1883323070</v>
          </cell>
          <cell r="B1425" t="str">
            <v>AMUNDI FUNDS GLOBAL EQUITY INCOME SELECT</v>
          </cell>
          <cell r="C1425" t="str">
            <v>Class I2 EUR QTI (D)</v>
          </cell>
          <cell r="D1425" t="str">
            <v>EUR</v>
          </cell>
          <cell r="E1425" t="str">
            <v>01-Dec-2025</v>
          </cell>
          <cell r="F1425">
            <v>16228499.18</v>
          </cell>
          <cell r="G1425">
            <v>10469.862999999999</v>
          </cell>
          <cell r="H1425">
            <v>1550.02</v>
          </cell>
          <cell r="I1425">
            <v>0</v>
          </cell>
          <cell r="J1425">
            <v>1550.02</v>
          </cell>
          <cell r="K1425">
            <v>-15.78</v>
          </cell>
          <cell r="P1425">
            <v>0</v>
          </cell>
        </row>
        <row r="1426">
          <cell r="A1426" t="str">
            <v>LU2696143077</v>
          </cell>
          <cell r="B1426" t="str">
            <v>AMUNDI FUNDS GLOBAL EQUITY INCOME SELECT</v>
          </cell>
          <cell r="C1426" t="str">
            <v>Class I19 EUR (C)</v>
          </cell>
          <cell r="D1426" t="str">
            <v>EUR</v>
          </cell>
          <cell r="E1426" t="str">
            <v>01-Dec-2025</v>
          </cell>
          <cell r="F1426">
            <v>72457482.780000001</v>
          </cell>
          <cell r="G1426">
            <v>53426.408000000003</v>
          </cell>
          <cell r="H1426">
            <v>1356.21</v>
          </cell>
          <cell r="I1426">
            <v>0</v>
          </cell>
          <cell r="J1426">
            <v>1356.21</v>
          </cell>
          <cell r="K1426">
            <v>-13.78</v>
          </cell>
          <cell r="P1426">
            <v>0</v>
          </cell>
        </row>
        <row r="1427">
          <cell r="A1427" t="str">
            <v>LU2574252743</v>
          </cell>
          <cell r="B1427" t="str">
            <v>AMUNDI FUNDS GLOBAL EQUITY INCOME SELECT</v>
          </cell>
          <cell r="C1427" t="str">
            <v>Class I2 GBP (C)</v>
          </cell>
          <cell r="D1427" t="str">
            <v>GBP</v>
          </cell>
          <cell r="E1427" t="str">
            <v>01-Dec-2025</v>
          </cell>
          <cell r="F1427">
            <v>7391.64</v>
          </cell>
          <cell r="G1427">
            <v>5</v>
          </cell>
          <cell r="H1427">
            <v>1478.33</v>
          </cell>
          <cell r="I1427">
            <v>0</v>
          </cell>
          <cell r="J1427">
            <v>1478.33</v>
          </cell>
          <cell r="K1427">
            <v>-12.15</v>
          </cell>
          <cell r="P1427">
            <v>0</v>
          </cell>
        </row>
        <row r="1428">
          <cell r="A1428" t="str">
            <v>LU1883322932</v>
          </cell>
          <cell r="B1428" t="str">
            <v>AMUNDI FUNDS GLOBAL EQUITY INCOME SELECT</v>
          </cell>
          <cell r="C1428" t="str">
            <v>Class I2 EUR (C)</v>
          </cell>
          <cell r="D1428" t="str">
            <v>EUR</v>
          </cell>
          <cell r="E1428" t="str">
            <v>01-Dec-2025</v>
          </cell>
          <cell r="F1428">
            <v>243604489.28999999</v>
          </cell>
          <cell r="G1428">
            <v>63100.43</v>
          </cell>
          <cell r="H1428">
            <v>3860.58</v>
          </cell>
          <cell r="I1428">
            <v>0</v>
          </cell>
          <cell r="J1428">
            <v>3860.58</v>
          </cell>
          <cell r="K1428">
            <v>-39.299999999999997</v>
          </cell>
          <cell r="P1428">
            <v>0</v>
          </cell>
        </row>
        <row r="1429">
          <cell r="A1429" t="str">
            <v>LU1883322775</v>
          </cell>
          <cell r="B1429" t="str">
            <v>AMUNDI FUNDS GLOBAL EQUITY INCOME SELECT</v>
          </cell>
          <cell r="C1429" t="str">
            <v>Class G2 EUR SATI (D)</v>
          </cell>
          <cell r="D1429" t="str">
            <v>EUR</v>
          </cell>
          <cell r="E1429" t="str">
            <v>01-Dec-2025</v>
          </cell>
          <cell r="F1429">
            <v>102961268.45999999</v>
          </cell>
          <cell r="G1429">
            <v>14942930.707</v>
          </cell>
          <cell r="H1429">
            <v>6.89</v>
          </cell>
          <cell r="I1429">
            <v>0</v>
          </cell>
          <cell r="J1429">
            <v>6.89</v>
          </cell>
          <cell r="K1429">
            <v>-7.0999999999999994E-2</v>
          </cell>
          <cell r="P1429">
            <v>0</v>
          </cell>
        </row>
        <row r="1430">
          <cell r="A1430" t="str">
            <v>LU1883324631</v>
          </cell>
          <cell r="B1430" t="str">
            <v>AMUNDI FUNDS GLOBAL EQUITY INCOME SELECT</v>
          </cell>
          <cell r="C1430" t="str">
            <v>Class R2 USD MTI (D)</v>
          </cell>
          <cell r="D1430" t="str">
            <v>USD</v>
          </cell>
          <cell r="E1430" t="str">
            <v>01-Dec-2025</v>
          </cell>
          <cell r="F1430">
            <v>709914.56</v>
          </cell>
          <cell r="G1430">
            <v>7706.9</v>
          </cell>
          <cell r="H1430">
            <v>92.11</v>
          </cell>
          <cell r="I1430">
            <v>0</v>
          </cell>
          <cell r="J1430">
            <v>92.11</v>
          </cell>
          <cell r="K1430">
            <v>-0.75</v>
          </cell>
          <cell r="P1430">
            <v>0</v>
          </cell>
        </row>
        <row r="1431">
          <cell r="A1431" t="str">
            <v>LU1883324714</v>
          </cell>
          <cell r="B1431" t="str">
            <v>AMUNDI FUNDS GLOBAL EQUITY INCOME SELECT</v>
          </cell>
          <cell r="C1431" t="str">
            <v>Class R2 USD QTI (D)</v>
          </cell>
          <cell r="D1431" t="str">
            <v>USD</v>
          </cell>
          <cell r="E1431" t="str">
            <v>01-Dec-2025</v>
          </cell>
          <cell r="F1431">
            <v>7986.35</v>
          </cell>
          <cell r="G1431">
            <v>100.002</v>
          </cell>
          <cell r="H1431">
            <v>79.86</v>
          </cell>
          <cell r="I1431">
            <v>0</v>
          </cell>
          <cell r="J1431">
            <v>79.86</v>
          </cell>
          <cell r="K1431">
            <v>-0.65</v>
          </cell>
          <cell r="P1431">
            <v>0</v>
          </cell>
        </row>
        <row r="1432">
          <cell r="A1432" t="str">
            <v>LU1883324474</v>
          </cell>
          <cell r="B1432" t="str">
            <v>AMUNDI FUNDS GLOBAL EQUITY INCOME SELECT</v>
          </cell>
          <cell r="C1432" t="str">
            <v>Class R2 EUR QTI (D)</v>
          </cell>
          <cell r="D1432" t="str">
            <v>EUR</v>
          </cell>
          <cell r="E1432" t="str">
            <v>01-Dec-2025</v>
          </cell>
          <cell r="F1432">
            <v>1756172.61</v>
          </cell>
          <cell r="G1432">
            <v>23349.303</v>
          </cell>
          <cell r="H1432">
            <v>75.209999999999994</v>
          </cell>
          <cell r="I1432">
            <v>0</v>
          </cell>
          <cell r="J1432">
            <v>75.209999999999994</v>
          </cell>
          <cell r="K1432">
            <v>-0.77</v>
          </cell>
          <cell r="P1432">
            <v>0</v>
          </cell>
        </row>
        <row r="1433">
          <cell r="A1433" t="str">
            <v>LU1883324128</v>
          </cell>
          <cell r="B1433" t="str">
            <v>AMUNDI FUNDS GLOBAL EQUITY INCOME SELECT</v>
          </cell>
          <cell r="C1433" t="str">
            <v>Class R2 EUR (C)</v>
          </cell>
          <cell r="D1433" t="str">
            <v>EUR</v>
          </cell>
          <cell r="E1433" t="str">
            <v>01-Dec-2025</v>
          </cell>
          <cell r="F1433">
            <v>41353748.990000002</v>
          </cell>
          <cell r="G1433">
            <v>398761.06900000002</v>
          </cell>
          <cell r="H1433">
            <v>103.71</v>
          </cell>
          <cell r="I1433">
            <v>0</v>
          </cell>
          <cell r="J1433">
            <v>103.71</v>
          </cell>
          <cell r="K1433">
            <v>-1.05</v>
          </cell>
          <cell r="P1433">
            <v>0</v>
          </cell>
        </row>
        <row r="1434">
          <cell r="A1434" t="str">
            <v>LU1883324391</v>
          </cell>
          <cell r="B1434" t="str">
            <v>AMUNDI FUNDS GLOBAL EQUITY INCOME SELECT</v>
          </cell>
          <cell r="C1434" t="str">
            <v>Class R2 EUR MTI (D)</v>
          </cell>
          <cell r="D1434" t="str">
            <v>EUR</v>
          </cell>
          <cell r="E1434" t="str">
            <v>01-Dec-2025</v>
          </cell>
          <cell r="F1434">
            <v>734474.49</v>
          </cell>
          <cell r="G1434">
            <v>9258.1219999999994</v>
          </cell>
          <cell r="H1434">
            <v>79.33</v>
          </cell>
          <cell r="I1434">
            <v>0</v>
          </cell>
          <cell r="J1434">
            <v>79.33</v>
          </cell>
          <cell r="K1434">
            <v>-0.81</v>
          </cell>
          <cell r="P1434">
            <v>0</v>
          </cell>
        </row>
        <row r="1435">
          <cell r="A1435" t="str">
            <v>LU2995469348</v>
          </cell>
          <cell r="B1435" t="str">
            <v>AMUNDI FUNDS GLOBAL EQUITY INCOME SELECT</v>
          </cell>
          <cell r="C1435" t="str">
            <v>Class OR EUR (C)</v>
          </cell>
          <cell r="D1435" t="str">
            <v>EUR</v>
          </cell>
          <cell r="E1435" t="str">
            <v>01-Dec-2025</v>
          </cell>
          <cell r="F1435">
            <v>179732537.96000001</v>
          </cell>
          <cell r="G1435">
            <v>173820.22200000001</v>
          </cell>
          <cell r="H1435">
            <v>1034.01</v>
          </cell>
          <cell r="I1435">
            <v>0</v>
          </cell>
          <cell r="J1435">
            <v>1034.01</v>
          </cell>
          <cell r="K1435">
            <v>-10.49</v>
          </cell>
          <cell r="P1435">
            <v>0</v>
          </cell>
        </row>
        <row r="1436">
          <cell r="A1436" t="str">
            <v>LU1883321298</v>
          </cell>
          <cell r="B1436" t="str">
            <v>AMUNDI FUNDS GLOBAL EQUITY INCOME SELECT</v>
          </cell>
          <cell r="C1436" t="str">
            <v>Class A2 EUR QTI (D)</v>
          </cell>
          <cell r="D1436" t="str">
            <v>EUR</v>
          </cell>
          <cell r="E1436" t="str">
            <v>01-Dec-2025</v>
          </cell>
          <cell r="F1436">
            <v>625650093.66999996</v>
          </cell>
          <cell r="G1436">
            <v>8249999.1610000003</v>
          </cell>
          <cell r="H1436">
            <v>75.84</v>
          </cell>
          <cell r="I1436">
            <v>0</v>
          </cell>
          <cell r="J1436">
            <v>79.25</v>
          </cell>
          <cell r="K1436">
            <v>-0.77</v>
          </cell>
          <cell r="P1436">
            <v>0</v>
          </cell>
        </row>
        <row r="1437">
          <cell r="A1437" t="str">
            <v>LU1883321371</v>
          </cell>
          <cell r="B1437" t="str">
            <v>AMUNDI FUNDS GLOBAL EQUITY INCOME SELECT</v>
          </cell>
          <cell r="C1437" t="str">
            <v>Class A2 USD (C)</v>
          </cell>
          <cell r="D1437" t="str">
            <v>USD</v>
          </cell>
          <cell r="E1437" t="str">
            <v>01-Dec-2025</v>
          </cell>
          <cell r="F1437">
            <v>22337614.449999999</v>
          </cell>
          <cell r="G1437">
            <v>119627.838</v>
          </cell>
          <cell r="H1437">
            <v>186.73</v>
          </cell>
          <cell r="I1437">
            <v>0</v>
          </cell>
          <cell r="J1437">
            <v>195.13</v>
          </cell>
          <cell r="K1437">
            <v>-1.52</v>
          </cell>
          <cell r="P1437">
            <v>0</v>
          </cell>
        </row>
        <row r="1438">
          <cell r="A1438" t="str">
            <v>LU1883323666</v>
          </cell>
          <cell r="B1438" t="str">
            <v>AMUNDI FUNDS GLOBAL EQUITY INCOME SELECT</v>
          </cell>
          <cell r="C1438" t="str">
            <v>Class P2 USD (C)</v>
          </cell>
          <cell r="D1438" t="str">
            <v>USD</v>
          </cell>
          <cell r="E1438" t="str">
            <v>01-Dec-2025</v>
          </cell>
          <cell r="F1438">
            <v>1661742.61</v>
          </cell>
          <cell r="G1438">
            <v>13822.703</v>
          </cell>
          <cell r="H1438">
            <v>120.22</v>
          </cell>
          <cell r="I1438">
            <v>0</v>
          </cell>
          <cell r="J1438">
            <v>120.22</v>
          </cell>
          <cell r="K1438">
            <v>-0.97</v>
          </cell>
          <cell r="P1438">
            <v>0</v>
          </cell>
        </row>
        <row r="1439">
          <cell r="A1439" t="str">
            <v>LU2870883613</v>
          </cell>
          <cell r="B1439" t="str">
            <v>AMUNDI FUNDS GLOBAL EQUITY INCOME SELECT</v>
          </cell>
          <cell r="C1439" t="str">
            <v>Class R13 EUR (C)</v>
          </cell>
          <cell r="D1439" t="str">
            <v>EUR</v>
          </cell>
          <cell r="E1439" t="str">
            <v>01-Dec-2025</v>
          </cell>
          <cell r="F1439">
            <v>3053663.24</v>
          </cell>
          <cell r="G1439">
            <v>58853.231</v>
          </cell>
          <cell r="H1439">
            <v>51.89</v>
          </cell>
          <cell r="I1439">
            <v>0</v>
          </cell>
          <cell r="J1439">
            <v>51.89</v>
          </cell>
          <cell r="K1439">
            <v>-0.53</v>
          </cell>
          <cell r="P1439">
            <v>0</v>
          </cell>
        </row>
        <row r="1440">
          <cell r="A1440" t="str">
            <v>LU2870883704</v>
          </cell>
          <cell r="B1440" t="str">
            <v>AMUNDI FUNDS GLOBAL EQUITY INCOME SELECT</v>
          </cell>
          <cell r="C1440" t="str">
            <v>Class R13 EUR AD (D)</v>
          </cell>
          <cell r="D1440" t="str">
            <v>EUR</v>
          </cell>
          <cell r="E1440" t="str">
            <v>01-Dec-2025</v>
          </cell>
          <cell r="F1440">
            <v>53136.08</v>
          </cell>
          <cell r="G1440">
            <v>1023.327</v>
          </cell>
          <cell r="H1440">
            <v>51.92</v>
          </cell>
          <cell r="I1440">
            <v>0</v>
          </cell>
          <cell r="J1440">
            <v>51.92</v>
          </cell>
          <cell r="K1440">
            <v>-0.53</v>
          </cell>
          <cell r="P1440">
            <v>0</v>
          </cell>
        </row>
        <row r="1441">
          <cell r="A1441" t="str">
            <v>LU2596443569</v>
          </cell>
          <cell r="B1441" t="str">
            <v>AMUNDI FUNDS GLOBAL EQUITY INCOME SELECT</v>
          </cell>
          <cell r="C1441" t="str">
            <v>Class U USD MTD3 (D)</v>
          </cell>
          <cell r="D1441" t="str">
            <v>USD</v>
          </cell>
          <cell r="E1441" t="str">
            <v>01-Dec-2025</v>
          </cell>
          <cell r="F1441">
            <v>5165.42</v>
          </cell>
          <cell r="G1441">
            <v>100</v>
          </cell>
          <cell r="H1441">
            <v>51.65</v>
          </cell>
          <cell r="I1441">
            <v>0.36980000000000002</v>
          </cell>
          <cell r="J1441">
            <v>51.65</v>
          </cell>
          <cell r="K1441">
            <v>-0.8</v>
          </cell>
          <cell r="P1441">
            <v>0</v>
          </cell>
        </row>
        <row r="1442">
          <cell r="A1442" t="str">
            <v>LU1883324557</v>
          </cell>
          <cell r="B1442" t="str">
            <v>AMUNDI FUNDS GLOBAL EQUITY INCOME SELECT</v>
          </cell>
          <cell r="C1442" t="str">
            <v>Class R2 GBP MTI (D)</v>
          </cell>
          <cell r="D1442" t="str">
            <v>GBP</v>
          </cell>
          <cell r="E1442" t="str">
            <v>01-Dec-2025</v>
          </cell>
          <cell r="F1442">
            <v>10204640.810000001</v>
          </cell>
          <cell r="G1442">
            <v>146408.68900000001</v>
          </cell>
          <cell r="H1442">
            <v>69.7</v>
          </cell>
          <cell r="I1442">
            <v>0</v>
          </cell>
          <cell r="J1442">
            <v>69.7</v>
          </cell>
          <cell r="K1442">
            <v>-0.57999999999999996</v>
          </cell>
          <cell r="P1442">
            <v>0</v>
          </cell>
        </row>
        <row r="1443">
          <cell r="A1443" t="str">
            <v>LU2538405528</v>
          </cell>
          <cell r="B1443" t="str">
            <v>AMUNDI FUNDS GLOBAL EQUITY INCOME SELECT</v>
          </cell>
          <cell r="C1443" t="str">
            <v>Class G2 EUR (C)</v>
          </cell>
          <cell r="D1443" t="str">
            <v>EUR</v>
          </cell>
          <cell r="E1443" t="str">
            <v>01-Dec-2025</v>
          </cell>
          <cell r="F1443">
            <v>41147.69</v>
          </cell>
          <cell r="G1443">
            <v>5666.34</v>
          </cell>
          <cell r="H1443">
            <v>7.2619999999999996</v>
          </cell>
          <cell r="I1443">
            <v>0</v>
          </cell>
          <cell r="J1443">
            <v>7.2619999999999996</v>
          </cell>
          <cell r="K1443">
            <v>-7.3999999999999996E-2</v>
          </cell>
          <cell r="P1443">
            <v>0</v>
          </cell>
        </row>
        <row r="1444">
          <cell r="A1444" t="str">
            <v>LU1883324045</v>
          </cell>
          <cell r="B1444" t="str">
            <v>AMUNDI FUNDS GLOBAL EQUITY INCOME SELECT</v>
          </cell>
          <cell r="C1444" t="str">
            <v>Class Q-D USD QTI (D)</v>
          </cell>
          <cell r="D1444" t="str">
            <v>USD</v>
          </cell>
          <cell r="E1444" t="str">
            <v>01-Dec-2025</v>
          </cell>
          <cell r="F1444">
            <v>566471.13</v>
          </cell>
          <cell r="G1444">
            <v>7972.8519999999999</v>
          </cell>
          <cell r="H1444">
            <v>71.05</v>
          </cell>
          <cell r="I1444">
            <v>0</v>
          </cell>
          <cell r="J1444">
            <v>71.05</v>
          </cell>
          <cell r="K1444">
            <v>-0.57999999999999996</v>
          </cell>
          <cell r="P1444">
            <v>0</v>
          </cell>
        </row>
        <row r="1445">
          <cell r="A1445" t="str">
            <v>LU3208796121</v>
          </cell>
          <cell r="B1445" t="str">
            <v>AMUNDI FUNDS GLOBAL EQUITY INCOME SELECT</v>
          </cell>
          <cell r="C1445" t="str">
            <v>Class X2 EUR (C)</v>
          </cell>
          <cell r="D1445" t="str">
            <v>EUR</v>
          </cell>
          <cell r="E1445" t="str">
            <v>01-Dec-2025</v>
          </cell>
          <cell r="F1445">
            <v>5079.6099999999997</v>
          </cell>
          <cell r="G1445">
            <v>5</v>
          </cell>
          <cell r="H1445">
            <v>1015.92</v>
          </cell>
          <cell r="I1445">
            <v>0</v>
          </cell>
          <cell r="J1445">
            <v>1015.92</v>
          </cell>
          <cell r="K1445">
            <v>-10.29</v>
          </cell>
          <cell r="P1445">
            <v>0</v>
          </cell>
        </row>
        <row r="1446">
          <cell r="A1446" t="str">
            <v>LU2538405791</v>
          </cell>
          <cell r="B1446" t="str">
            <v>AMUNDI FUNDS GLOBAL EQUITY INCOME SELECT</v>
          </cell>
          <cell r="C1446" t="str">
            <v>Class X3 EUR QD (D)</v>
          </cell>
          <cell r="D1446" t="str">
            <v>EUR</v>
          </cell>
          <cell r="E1446" t="str">
            <v>01-Dec-2025</v>
          </cell>
          <cell r="F1446">
            <v>120822468.72</v>
          </cell>
          <cell r="G1446">
            <v>88119.051000000007</v>
          </cell>
          <cell r="H1446">
            <v>1371.13</v>
          </cell>
          <cell r="I1446">
            <v>0</v>
          </cell>
          <cell r="J1446">
            <v>1371.13</v>
          </cell>
          <cell r="K1446">
            <v>-13.89</v>
          </cell>
          <cell r="P1446">
            <v>0</v>
          </cell>
        </row>
        <row r="1447">
          <cell r="A1447" t="str">
            <v>LU1883314327</v>
          </cell>
          <cell r="B1447" t="str">
            <v>AMUNDI FUNDS EUROPEAN EQUITY VALUE</v>
          </cell>
          <cell r="C1447" t="str">
            <v>Class A EUR AD (D)</v>
          </cell>
          <cell r="D1447" t="str">
            <v>EUR</v>
          </cell>
          <cell r="E1447" t="str">
            <v>01-Dec-2025</v>
          </cell>
          <cell r="F1447">
            <v>22688200.07</v>
          </cell>
          <cell r="G1447">
            <v>267260.65299999999</v>
          </cell>
          <cell r="H1447">
            <v>84.89</v>
          </cell>
          <cell r="I1447">
            <v>0</v>
          </cell>
          <cell r="J1447">
            <v>88.71</v>
          </cell>
          <cell r="K1447">
            <v>0.04</v>
          </cell>
          <cell r="P1447">
            <v>0</v>
          </cell>
        </row>
        <row r="1448">
          <cell r="A1448" t="str">
            <v>LU1883314244</v>
          </cell>
          <cell r="B1448" t="str">
            <v>AMUNDI FUNDS EUROPEAN EQUITY VALUE</v>
          </cell>
          <cell r="C1448" t="str">
            <v>Class A EUR (C)</v>
          </cell>
          <cell r="D1448" t="str">
            <v>EUR</v>
          </cell>
          <cell r="E1448" t="str">
            <v>01-Dec-2025</v>
          </cell>
          <cell r="F1448">
            <v>660758535.74000001</v>
          </cell>
          <cell r="G1448">
            <v>3419811.0219999999</v>
          </cell>
          <cell r="H1448">
            <v>193.21</v>
          </cell>
          <cell r="I1448">
            <v>0</v>
          </cell>
          <cell r="J1448">
            <v>201.9</v>
          </cell>
          <cell r="K1448">
            <v>0.08</v>
          </cell>
          <cell r="P1448">
            <v>0</v>
          </cell>
        </row>
        <row r="1449">
          <cell r="A1449" t="str">
            <v>LU2339089836</v>
          </cell>
          <cell r="B1449" t="str">
            <v>AMUNDI FUNDS EUROPEAN EQUITY VALUE</v>
          </cell>
          <cell r="C1449" t="str">
            <v>Class A2 EUR (C)</v>
          </cell>
          <cell r="D1449" t="str">
            <v>EUR</v>
          </cell>
          <cell r="E1449" t="str">
            <v>01-Dec-2025</v>
          </cell>
          <cell r="F1449">
            <v>14508690.1</v>
          </cell>
          <cell r="G1449">
            <v>201742.54699999999</v>
          </cell>
          <cell r="H1449">
            <v>71.92</v>
          </cell>
          <cell r="I1449">
            <v>0</v>
          </cell>
          <cell r="J1449">
            <v>75.16</v>
          </cell>
          <cell r="K1449">
            <v>0.03</v>
          </cell>
          <cell r="P1449">
            <v>0</v>
          </cell>
        </row>
        <row r="1450">
          <cell r="A1450" t="str">
            <v>LU2032056272</v>
          </cell>
          <cell r="B1450" t="str">
            <v>AMUNDI FUNDS EUROPEAN EQUITY VALUE</v>
          </cell>
          <cell r="C1450" t="str">
            <v>Class A5 EUR (C)</v>
          </cell>
          <cell r="D1450" t="str">
            <v>EUR</v>
          </cell>
          <cell r="E1450" t="str">
            <v>01-Dec-2025</v>
          </cell>
          <cell r="F1450">
            <v>387889.63</v>
          </cell>
          <cell r="G1450">
            <v>4697.5050000000001</v>
          </cell>
          <cell r="H1450">
            <v>82.57</v>
          </cell>
          <cell r="I1450">
            <v>0</v>
          </cell>
          <cell r="J1450">
            <v>82.57</v>
          </cell>
          <cell r="K1450">
            <v>0.04</v>
          </cell>
          <cell r="P1450">
            <v>0</v>
          </cell>
        </row>
        <row r="1451">
          <cell r="A1451" t="str">
            <v>LU1883314673</v>
          </cell>
          <cell r="B1451" t="str">
            <v>AMUNDI FUNDS EUROPEAN EQUITY VALUE</v>
          </cell>
          <cell r="C1451" t="str">
            <v>Class A EUR QD (D)</v>
          </cell>
          <cell r="D1451" t="str">
            <v>EUR</v>
          </cell>
          <cell r="E1451" t="str">
            <v>01-Dec-2025</v>
          </cell>
          <cell r="F1451">
            <v>6013359.9100000001</v>
          </cell>
          <cell r="G1451">
            <v>89748.726999999999</v>
          </cell>
          <cell r="H1451">
            <v>67</v>
          </cell>
          <cell r="I1451">
            <v>0</v>
          </cell>
          <cell r="J1451">
            <v>70.02</v>
          </cell>
          <cell r="K1451">
            <v>0.03</v>
          </cell>
          <cell r="P1451">
            <v>0</v>
          </cell>
        </row>
        <row r="1452">
          <cell r="A1452" t="str">
            <v>LU2032056199</v>
          </cell>
          <cell r="B1452" t="str">
            <v>AMUNDI FUNDS EUROPEAN EQUITY VALUE</v>
          </cell>
          <cell r="C1452" t="str">
            <v>Class A6 EUR (C)</v>
          </cell>
          <cell r="D1452" t="str">
            <v>EUR</v>
          </cell>
          <cell r="E1452" t="str">
            <v>01-Dec-2025</v>
          </cell>
          <cell r="F1452">
            <v>1304867.48</v>
          </cell>
          <cell r="G1452">
            <v>16065.616</v>
          </cell>
          <cell r="H1452">
            <v>81.22</v>
          </cell>
          <cell r="I1452">
            <v>0</v>
          </cell>
          <cell r="J1452">
            <v>81.22</v>
          </cell>
          <cell r="K1452">
            <v>0.04</v>
          </cell>
          <cell r="P1452">
            <v>0</v>
          </cell>
        </row>
        <row r="1453">
          <cell r="A1453" t="str">
            <v>LU1883314830</v>
          </cell>
          <cell r="B1453" t="str">
            <v>AMUNDI FUNDS EUROPEAN EQUITY VALUE</v>
          </cell>
          <cell r="C1453" t="str">
            <v>Class A USD Hgd (C)</v>
          </cell>
          <cell r="D1453" t="str">
            <v>USD</v>
          </cell>
          <cell r="E1453" t="str">
            <v>01-Dec-2025</v>
          </cell>
          <cell r="F1453">
            <v>1225630.1399999999</v>
          </cell>
          <cell r="G1453">
            <v>14063.023999999999</v>
          </cell>
          <cell r="H1453">
            <v>87.15</v>
          </cell>
          <cell r="I1453">
            <v>0</v>
          </cell>
          <cell r="J1453">
            <v>91.07</v>
          </cell>
          <cell r="K1453">
            <v>0.1</v>
          </cell>
          <cell r="P1453">
            <v>0</v>
          </cell>
        </row>
        <row r="1454">
          <cell r="A1454" t="str">
            <v>LU2176991771</v>
          </cell>
          <cell r="B1454" t="str">
            <v>AMUNDI FUNDS EUROPEAN EQUITY VALUE</v>
          </cell>
          <cell r="C1454" t="str">
            <v>Class A CZK Hgd (C)</v>
          </cell>
          <cell r="D1454" t="str">
            <v>CZK</v>
          </cell>
          <cell r="E1454" t="str">
            <v>01-Dec-2025</v>
          </cell>
          <cell r="F1454">
            <v>73277254.420000002</v>
          </cell>
          <cell r="G1454">
            <v>34621.654999999999</v>
          </cell>
          <cell r="H1454">
            <v>2116.52</v>
          </cell>
          <cell r="I1454">
            <v>0</v>
          </cell>
          <cell r="J1454">
            <v>2116.52</v>
          </cell>
          <cell r="K1454">
            <v>2.4700000000000002</v>
          </cell>
          <cell r="P1454">
            <v>0</v>
          </cell>
        </row>
        <row r="1455">
          <cell r="A1455" t="str">
            <v>LU1883314756</v>
          </cell>
          <cell r="B1455" t="str">
            <v>AMUNDI FUNDS EUROPEAN EQUITY VALUE</v>
          </cell>
          <cell r="C1455" t="str">
            <v>Class A USD (C)</v>
          </cell>
          <cell r="D1455" t="str">
            <v>USD</v>
          </cell>
          <cell r="E1455" t="str">
            <v>01-Dec-2025</v>
          </cell>
          <cell r="F1455">
            <v>4909319.8099999996</v>
          </cell>
          <cell r="G1455">
            <v>21817.142</v>
          </cell>
          <cell r="H1455">
            <v>225.02</v>
          </cell>
          <cell r="I1455">
            <v>0</v>
          </cell>
          <cell r="J1455">
            <v>235.15</v>
          </cell>
          <cell r="K1455">
            <v>0.56999999999999995</v>
          </cell>
          <cell r="P1455">
            <v>0</v>
          </cell>
        </row>
        <row r="1456">
          <cell r="A1456" t="str">
            <v>LU1883315993</v>
          </cell>
          <cell r="B1456" t="str">
            <v>AMUNDI FUNDS EUROPEAN EQUITY VALUE</v>
          </cell>
          <cell r="C1456" t="str">
            <v>Class M2 EUR (C)</v>
          </cell>
          <cell r="D1456" t="str">
            <v>EUR</v>
          </cell>
          <cell r="E1456" t="str">
            <v>01-Dec-2025</v>
          </cell>
          <cell r="F1456">
            <v>190590847.09999999</v>
          </cell>
          <cell r="G1456">
            <v>65800.213000000003</v>
          </cell>
          <cell r="H1456">
            <v>2896.51</v>
          </cell>
          <cell r="I1456">
            <v>0</v>
          </cell>
          <cell r="J1456">
            <v>2896.51</v>
          </cell>
          <cell r="K1456">
            <v>1.52</v>
          </cell>
          <cell r="P1456">
            <v>0</v>
          </cell>
        </row>
        <row r="1457">
          <cell r="A1457" t="str">
            <v>LU1883315134</v>
          </cell>
          <cell r="B1457" t="str">
            <v>AMUNDI FUNDS EUROPEAN EQUITY VALUE</v>
          </cell>
          <cell r="C1457" t="str">
            <v>Class E2 EUR (C)</v>
          </cell>
          <cell r="D1457" t="str">
            <v>EUR</v>
          </cell>
          <cell r="E1457" t="str">
            <v>01-Dec-2025</v>
          </cell>
          <cell r="F1457">
            <v>66057370.869999997</v>
          </cell>
          <cell r="G1457">
            <v>5223182.6969999997</v>
          </cell>
          <cell r="H1457">
            <v>12.647</v>
          </cell>
          <cell r="I1457">
            <v>0</v>
          </cell>
          <cell r="J1457">
            <v>12.647</v>
          </cell>
          <cell r="K1457">
            <v>6.0000000000000001E-3</v>
          </cell>
          <cell r="P1457">
            <v>0</v>
          </cell>
        </row>
        <row r="1458">
          <cell r="A1458" t="str">
            <v>LU1883315217</v>
          </cell>
          <cell r="B1458" t="str">
            <v>AMUNDI FUNDS EUROPEAN EQUITY VALUE</v>
          </cell>
          <cell r="C1458" t="str">
            <v>Class F EUR (C)</v>
          </cell>
          <cell r="D1458" t="str">
            <v>EUR</v>
          </cell>
          <cell r="E1458" t="str">
            <v>01-Dec-2025</v>
          </cell>
          <cell r="F1458">
            <v>11789104.960000001</v>
          </cell>
          <cell r="G1458">
            <v>674813.14800000004</v>
          </cell>
          <cell r="H1458">
            <v>17.47</v>
          </cell>
          <cell r="I1458">
            <v>0</v>
          </cell>
          <cell r="J1458">
            <v>17.47</v>
          </cell>
          <cell r="K1458">
            <v>7.0000000000000001E-3</v>
          </cell>
          <cell r="P1458">
            <v>0</v>
          </cell>
        </row>
        <row r="1459">
          <cell r="A1459" t="str">
            <v>LU1998915455</v>
          </cell>
          <cell r="B1459" t="str">
            <v>AMUNDI FUNDS EUROPEAN EQUITY VALUE</v>
          </cell>
          <cell r="C1459" t="str">
            <v>Class H EUR (C)</v>
          </cell>
          <cell r="D1459" t="str">
            <v>EUR</v>
          </cell>
          <cell r="E1459" t="str">
            <v>01-Dec-2025</v>
          </cell>
          <cell r="F1459">
            <v>2716300.15</v>
          </cell>
          <cell r="G1459">
            <v>1426.325</v>
          </cell>
          <cell r="H1459">
            <v>1904.4</v>
          </cell>
          <cell r="I1459">
            <v>0</v>
          </cell>
          <cell r="J1459">
            <v>1904.4</v>
          </cell>
          <cell r="K1459">
            <v>1.06</v>
          </cell>
          <cell r="P1459">
            <v>0</v>
          </cell>
        </row>
        <row r="1460">
          <cell r="A1460" t="str">
            <v>LU1897305436</v>
          </cell>
          <cell r="B1460" t="str">
            <v>AMUNDI FUNDS EUROPEAN EQUITY VALUE</v>
          </cell>
          <cell r="C1460" t="str">
            <v>Class I2 GBP (C)</v>
          </cell>
          <cell r="D1460" t="str">
            <v>GBP</v>
          </cell>
          <cell r="E1460" t="str">
            <v>01-Dec-2025</v>
          </cell>
          <cell r="F1460">
            <v>71759.41</v>
          </cell>
          <cell r="G1460">
            <v>41.097999999999999</v>
          </cell>
          <cell r="H1460">
            <v>1746.06</v>
          </cell>
          <cell r="I1460">
            <v>0</v>
          </cell>
          <cell r="J1460">
            <v>1746.06</v>
          </cell>
          <cell r="K1460">
            <v>4.3</v>
          </cell>
          <cell r="P1460">
            <v>0</v>
          </cell>
        </row>
        <row r="1461">
          <cell r="A1461" t="str">
            <v>LU2359308116</v>
          </cell>
          <cell r="B1461" t="str">
            <v>AMUNDI FUNDS EUROPEAN EQUITY VALUE</v>
          </cell>
          <cell r="C1461" t="str">
            <v>Class I2 USD (C)</v>
          </cell>
          <cell r="D1461" t="str">
            <v>USD</v>
          </cell>
          <cell r="E1461" t="str">
            <v>01-Dec-2025</v>
          </cell>
          <cell r="F1461">
            <v>93029959.25</v>
          </cell>
          <cell r="G1461">
            <v>63401.813000000002</v>
          </cell>
          <cell r="H1461">
            <v>1467.31</v>
          </cell>
          <cell r="I1461">
            <v>0</v>
          </cell>
          <cell r="J1461">
            <v>1467.31</v>
          </cell>
          <cell r="K1461">
            <v>3.86</v>
          </cell>
          <cell r="P1461">
            <v>0</v>
          </cell>
        </row>
        <row r="1462">
          <cell r="A1462" t="str">
            <v>LU2490079600</v>
          </cell>
          <cell r="B1462" t="str">
            <v>AMUNDI FUNDS EUROPEAN EQUITY VALUE</v>
          </cell>
          <cell r="C1462" t="str">
            <v>Class I2 EUR AD (D)</v>
          </cell>
          <cell r="D1462" t="str">
            <v>EUR</v>
          </cell>
          <cell r="E1462" t="str">
            <v>01-Dec-2025</v>
          </cell>
          <cell r="F1462">
            <v>7356.75</v>
          </cell>
          <cell r="G1462">
            <v>5</v>
          </cell>
          <cell r="H1462">
            <v>1471.35</v>
          </cell>
          <cell r="I1462">
            <v>0</v>
          </cell>
          <cell r="J1462">
            <v>1471.35</v>
          </cell>
          <cell r="K1462">
            <v>0.77</v>
          </cell>
          <cell r="P1462">
            <v>0</v>
          </cell>
        </row>
        <row r="1463">
          <cell r="A1463" t="str">
            <v>LU1883315480</v>
          </cell>
          <cell r="B1463" t="str">
            <v>AMUNDI FUNDS EUROPEAN EQUITY VALUE</v>
          </cell>
          <cell r="C1463" t="str">
            <v>Class I2 EUR (C)</v>
          </cell>
          <cell r="D1463" t="str">
            <v>EUR</v>
          </cell>
          <cell r="E1463" t="str">
            <v>01-Dec-2025</v>
          </cell>
          <cell r="F1463">
            <v>803804204.24000001</v>
          </cell>
          <cell r="G1463">
            <v>237998.87299999999</v>
          </cell>
          <cell r="H1463">
            <v>3377.34</v>
          </cell>
          <cell r="I1463">
            <v>0</v>
          </cell>
          <cell r="J1463">
            <v>3377.34</v>
          </cell>
          <cell r="K1463">
            <v>1.77</v>
          </cell>
          <cell r="P1463">
            <v>0</v>
          </cell>
        </row>
        <row r="1464">
          <cell r="A1464" t="str">
            <v>LU1883315647</v>
          </cell>
          <cell r="B1464" t="str">
            <v>AMUNDI FUNDS EUROPEAN EQUITY VALUE</v>
          </cell>
          <cell r="C1464" t="str">
            <v>Class J2 EUR (C)</v>
          </cell>
          <cell r="D1464" t="str">
            <v>EUR</v>
          </cell>
          <cell r="E1464" t="str">
            <v>01-Dec-2025</v>
          </cell>
          <cell r="F1464">
            <v>255036398.00999999</v>
          </cell>
          <cell r="G1464">
            <v>153058.05600000001</v>
          </cell>
          <cell r="H1464">
            <v>1666.27</v>
          </cell>
          <cell r="I1464">
            <v>0</v>
          </cell>
          <cell r="J1464">
            <v>1666.27</v>
          </cell>
          <cell r="K1464">
            <v>0.9</v>
          </cell>
          <cell r="P1464">
            <v>0</v>
          </cell>
        </row>
        <row r="1465">
          <cell r="A1465" t="str">
            <v>LU2819203832</v>
          </cell>
          <cell r="B1465" t="str">
            <v>AMUNDI FUNDS EUROPEAN EQUITY VALUE</v>
          </cell>
          <cell r="C1465" t="str">
            <v>Class J2 USD (C)</v>
          </cell>
          <cell r="D1465" t="str">
            <v>USD</v>
          </cell>
          <cell r="E1465" t="str">
            <v>01-Dec-2025</v>
          </cell>
          <cell r="F1465">
            <v>62742167.960000001</v>
          </cell>
          <cell r="G1465">
            <v>48909.415000000001</v>
          </cell>
          <cell r="H1465">
            <v>1282.82</v>
          </cell>
          <cell r="I1465">
            <v>0</v>
          </cell>
          <cell r="J1465">
            <v>1282.82</v>
          </cell>
          <cell r="K1465">
            <v>3.39</v>
          </cell>
          <cell r="P1465">
            <v>0</v>
          </cell>
        </row>
        <row r="1466">
          <cell r="A1466" t="str">
            <v>LU1883315720</v>
          </cell>
          <cell r="B1466" t="str">
            <v>AMUNDI FUNDS EUROPEAN EQUITY VALUE</v>
          </cell>
          <cell r="C1466" t="str">
            <v>Class J2 EUR AD (D)</v>
          </cell>
          <cell r="D1466" t="str">
            <v>EUR</v>
          </cell>
          <cell r="E1466" t="str">
            <v>01-Dec-2025</v>
          </cell>
          <cell r="F1466">
            <v>1090156.99</v>
          </cell>
          <cell r="G1466">
            <v>796.49300000000005</v>
          </cell>
          <cell r="H1466">
            <v>1368.7</v>
          </cell>
          <cell r="I1466">
            <v>0</v>
          </cell>
          <cell r="J1466">
            <v>1368.7</v>
          </cell>
          <cell r="K1466">
            <v>0.75</v>
          </cell>
          <cell r="P1466">
            <v>0</v>
          </cell>
        </row>
        <row r="1467">
          <cell r="A1467" t="str">
            <v>LU2052286916</v>
          </cell>
          <cell r="B1467" t="str">
            <v>AMUNDI FUNDS EUROPEAN EQUITY VALUE</v>
          </cell>
          <cell r="C1467" t="str">
            <v>Class J3 GBP (C)</v>
          </cell>
          <cell r="D1467" t="str">
            <v>GBP</v>
          </cell>
          <cell r="E1467" t="str">
            <v>01-Dec-2025</v>
          </cell>
          <cell r="F1467">
            <v>27799.91</v>
          </cell>
          <cell r="G1467">
            <v>16.414999999999999</v>
          </cell>
          <cell r="H1467">
            <v>1693.57</v>
          </cell>
          <cell r="I1467">
            <v>0</v>
          </cell>
          <cell r="J1467">
            <v>1693.57</v>
          </cell>
          <cell r="K1467">
            <v>4.18</v>
          </cell>
          <cell r="P1467">
            <v>0</v>
          </cell>
        </row>
        <row r="1468">
          <cell r="A1468" t="str">
            <v>LU2052287054</v>
          </cell>
          <cell r="B1468" t="str">
            <v>AMUNDI FUNDS EUROPEAN EQUITY VALUE</v>
          </cell>
          <cell r="C1468" t="str">
            <v>Class J3 GBP AD (D)</v>
          </cell>
          <cell r="D1468" t="str">
            <v>GBP</v>
          </cell>
          <cell r="E1468" t="str">
            <v>01-Dec-2025</v>
          </cell>
          <cell r="F1468">
            <v>7210.49</v>
          </cell>
          <cell r="G1468">
            <v>5</v>
          </cell>
          <cell r="H1468">
            <v>1442.1</v>
          </cell>
          <cell r="I1468">
            <v>0</v>
          </cell>
          <cell r="J1468">
            <v>1442.1</v>
          </cell>
          <cell r="K1468">
            <v>3.56</v>
          </cell>
          <cell r="P1468">
            <v>0</v>
          </cell>
        </row>
        <row r="1469">
          <cell r="A1469" t="str">
            <v>LU2819203915</v>
          </cell>
          <cell r="B1469" t="str">
            <v>AMUNDI FUNDS EUROPEAN EQUITY VALUE</v>
          </cell>
          <cell r="C1469" t="str">
            <v>Class J2 USD QD (D)</v>
          </cell>
          <cell r="D1469" t="str">
            <v>USD</v>
          </cell>
          <cell r="E1469" t="str">
            <v>01-Dec-2025</v>
          </cell>
          <cell r="F1469">
            <v>9583703.2200000007</v>
          </cell>
          <cell r="G1469">
            <v>7729.1670000000004</v>
          </cell>
          <cell r="H1469">
            <v>1239.94</v>
          </cell>
          <cell r="I1469">
            <v>0</v>
          </cell>
          <cell r="J1469">
            <v>1239.94</v>
          </cell>
          <cell r="K1469">
            <v>3.28</v>
          </cell>
          <cell r="P1469">
            <v>0</v>
          </cell>
        </row>
        <row r="1470">
          <cell r="A1470" t="str">
            <v>LU1883315308</v>
          </cell>
          <cell r="B1470" t="str">
            <v>AMUNDI FUNDS EUROPEAN EQUITY VALUE</v>
          </cell>
          <cell r="C1470" t="str">
            <v>Class G EUR (C)</v>
          </cell>
          <cell r="D1470" t="str">
            <v>EUR</v>
          </cell>
          <cell r="E1470" t="str">
            <v>01-Dec-2025</v>
          </cell>
          <cell r="F1470">
            <v>21862416.050000001</v>
          </cell>
          <cell r="G1470">
            <v>2965428.969</v>
          </cell>
          <cell r="H1470">
            <v>7.3719999999999999</v>
          </cell>
          <cell r="I1470">
            <v>0</v>
          </cell>
          <cell r="J1470">
            <v>7.3719999999999999</v>
          </cell>
          <cell r="K1470">
            <v>3.0000000000000001E-3</v>
          </cell>
          <cell r="P1470">
            <v>0</v>
          </cell>
        </row>
        <row r="1471">
          <cell r="A1471" t="str">
            <v>LU1883316298</v>
          </cell>
          <cell r="B1471" t="str">
            <v>AMUNDI FUNDS EUROPEAN EQUITY VALUE</v>
          </cell>
          <cell r="C1471" t="str">
            <v>Class R2 EUR (C)</v>
          </cell>
          <cell r="D1471" t="str">
            <v>EUR</v>
          </cell>
          <cell r="E1471" t="str">
            <v>01-Dec-2025</v>
          </cell>
          <cell r="F1471">
            <v>167774705.61000001</v>
          </cell>
          <cell r="G1471">
            <v>1871589.453</v>
          </cell>
          <cell r="H1471">
            <v>89.64</v>
          </cell>
          <cell r="I1471">
            <v>0</v>
          </cell>
          <cell r="J1471">
            <v>89.64</v>
          </cell>
          <cell r="K1471">
            <v>0.04</v>
          </cell>
          <cell r="P1471">
            <v>0</v>
          </cell>
        </row>
        <row r="1472">
          <cell r="A1472" t="str">
            <v>LU1883316025</v>
          </cell>
          <cell r="B1472" t="str">
            <v>AMUNDI FUNDS EUROPEAN EQUITY VALUE</v>
          </cell>
          <cell r="C1472" t="str">
            <v>Class P2 USD (C)</v>
          </cell>
          <cell r="D1472" t="str">
            <v>USD</v>
          </cell>
          <cell r="E1472" t="str">
            <v>01-Dec-2025</v>
          </cell>
          <cell r="F1472">
            <v>7625.07</v>
          </cell>
          <cell r="G1472">
            <v>100</v>
          </cell>
          <cell r="H1472">
            <v>76.25</v>
          </cell>
          <cell r="I1472">
            <v>0</v>
          </cell>
          <cell r="J1472">
            <v>76.25</v>
          </cell>
          <cell r="K1472">
            <v>0.2</v>
          </cell>
          <cell r="P1472">
            <v>0</v>
          </cell>
        </row>
        <row r="1473">
          <cell r="A1473" t="str">
            <v>LU2259108558</v>
          </cell>
          <cell r="B1473" t="str">
            <v>AMUNDI FUNDS EUROPEAN EQUITY VALUE</v>
          </cell>
          <cell r="C1473" t="str">
            <v>Class R3 GBP AD (D)</v>
          </cell>
          <cell r="D1473" t="str">
            <v>GBP</v>
          </cell>
          <cell r="E1473" t="str">
            <v>01-Dec-2025</v>
          </cell>
          <cell r="F1473">
            <v>449051.36</v>
          </cell>
          <cell r="G1473">
            <v>30280</v>
          </cell>
          <cell r="H1473">
            <v>14.83</v>
          </cell>
          <cell r="I1473">
            <v>0</v>
          </cell>
          <cell r="J1473">
            <v>14.83</v>
          </cell>
          <cell r="K1473">
            <v>0.04</v>
          </cell>
          <cell r="P1473">
            <v>0</v>
          </cell>
        </row>
        <row r="1474">
          <cell r="A1474" t="str">
            <v>LU2183143846</v>
          </cell>
          <cell r="B1474" t="str">
            <v>AMUNDI FUNDS EUROPEAN EQUITY VALUE</v>
          </cell>
          <cell r="C1474" t="str">
            <v>Class R EUR (C)</v>
          </cell>
          <cell r="D1474" t="str">
            <v>EUR</v>
          </cell>
          <cell r="E1474" t="str">
            <v>01-Dec-2025</v>
          </cell>
          <cell r="F1474">
            <v>94008347.040000007</v>
          </cell>
          <cell r="G1474">
            <v>943469.59299999999</v>
          </cell>
          <cell r="H1474">
            <v>99.64</v>
          </cell>
          <cell r="I1474">
            <v>0</v>
          </cell>
          <cell r="J1474">
            <v>99.64</v>
          </cell>
          <cell r="K1474">
            <v>0.05</v>
          </cell>
          <cell r="P1474">
            <v>0</v>
          </cell>
        </row>
        <row r="1475">
          <cell r="A1475" t="str">
            <v>LU2259108475</v>
          </cell>
          <cell r="B1475" t="str">
            <v>AMUNDI FUNDS EUROPEAN EQUITY VALUE</v>
          </cell>
          <cell r="C1475" t="str">
            <v>Class R3 GBP (C)</v>
          </cell>
          <cell r="D1475" t="str">
            <v>GBP</v>
          </cell>
          <cell r="E1475" t="str">
            <v>01-Dec-2025</v>
          </cell>
          <cell r="F1475">
            <v>380863.18</v>
          </cell>
          <cell r="G1475">
            <v>22205.697</v>
          </cell>
          <cell r="H1475">
            <v>17.149999999999999</v>
          </cell>
          <cell r="I1475">
            <v>0</v>
          </cell>
          <cell r="J1475">
            <v>17.149999999999999</v>
          </cell>
          <cell r="K1475">
            <v>0.04</v>
          </cell>
          <cell r="P1475">
            <v>0</v>
          </cell>
        </row>
        <row r="1476">
          <cell r="A1476" t="str">
            <v>LU2040440310</v>
          </cell>
          <cell r="B1476" t="str">
            <v>AMUNDI FUNDS EUROPEAN EQUITY VALUE</v>
          </cell>
          <cell r="C1476" t="str">
            <v>Class Z EUR (C)</v>
          </cell>
          <cell r="D1476" t="str">
            <v>EUR</v>
          </cell>
          <cell r="E1476" t="str">
            <v>01-Dec-2025</v>
          </cell>
          <cell r="F1476">
            <v>5278135.6500000004</v>
          </cell>
          <cell r="G1476">
            <v>3061.4110000000001</v>
          </cell>
          <cell r="H1476">
            <v>1724.09</v>
          </cell>
          <cell r="I1476">
            <v>0</v>
          </cell>
          <cell r="J1476">
            <v>1724.09</v>
          </cell>
          <cell r="K1476">
            <v>0.94</v>
          </cell>
          <cell r="P1476">
            <v>0</v>
          </cell>
        </row>
        <row r="1477">
          <cell r="A1477" t="str">
            <v>LU1883335249</v>
          </cell>
          <cell r="B1477" t="str">
            <v>AMUNDI FUNDS MULTI-STRATEGY GROWTH</v>
          </cell>
          <cell r="C1477" t="str">
            <v>Class A EUR AD (D)</v>
          </cell>
          <cell r="D1477" t="str">
            <v>EUR</v>
          </cell>
          <cell r="E1477" t="str">
            <v>01-Dec-2025</v>
          </cell>
          <cell r="F1477">
            <v>6493551.4100000001</v>
          </cell>
          <cell r="G1477">
            <v>134774.41099999999</v>
          </cell>
          <cell r="H1477">
            <v>48.18</v>
          </cell>
          <cell r="I1477">
            <v>0</v>
          </cell>
          <cell r="J1477">
            <v>50.35</v>
          </cell>
          <cell r="K1477">
            <v>-0.22</v>
          </cell>
          <cell r="P1477">
            <v>0</v>
          </cell>
        </row>
        <row r="1478">
          <cell r="A1478" t="str">
            <v>LU1883335165</v>
          </cell>
          <cell r="B1478" t="str">
            <v>AMUNDI FUNDS MULTI-STRATEGY GROWTH</v>
          </cell>
          <cell r="C1478" t="str">
            <v>Class A EUR (C)</v>
          </cell>
          <cell r="D1478" t="str">
            <v>EUR</v>
          </cell>
          <cell r="E1478" t="str">
            <v>01-Dec-2025</v>
          </cell>
          <cell r="F1478">
            <v>5846750.0700000003</v>
          </cell>
          <cell r="G1478">
            <v>80224.808000000005</v>
          </cell>
          <cell r="H1478">
            <v>72.88</v>
          </cell>
          <cell r="I1478">
            <v>0</v>
          </cell>
          <cell r="J1478">
            <v>76.16</v>
          </cell>
          <cell r="K1478">
            <v>-0.33</v>
          </cell>
          <cell r="P1478">
            <v>0</v>
          </cell>
        </row>
        <row r="1479">
          <cell r="A1479" t="str">
            <v>LU1883335322</v>
          </cell>
          <cell r="B1479" t="str">
            <v>AMUNDI FUNDS MULTI-STRATEGY GROWTH</v>
          </cell>
          <cell r="C1479" t="str">
            <v>Class A USD Hgd (C)</v>
          </cell>
          <cell r="D1479" t="str">
            <v>USD</v>
          </cell>
          <cell r="E1479" t="str">
            <v>01-Dec-2025</v>
          </cell>
          <cell r="F1479">
            <v>1139148.1599999999</v>
          </cell>
          <cell r="G1479">
            <v>16963.691999999999</v>
          </cell>
          <cell r="H1479">
            <v>67.150000000000006</v>
          </cell>
          <cell r="I1479">
            <v>0</v>
          </cell>
          <cell r="J1479">
            <v>70.17</v>
          </cell>
          <cell r="K1479">
            <v>-0.3</v>
          </cell>
          <cell r="P1479">
            <v>0</v>
          </cell>
        </row>
        <row r="1480">
          <cell r="A1480" t="str">
            <v>LU1883336213</v>
          </cell>
          <cell r="B1480" t="str">
            <v>AMUNDI FUNDS MULTI-STRATEGY GROWTH</v>
          </cell>
          <cell r="C1480" t="str">
            <v>Class M2 EUR (C)</v>
          </cell>
          <cell r="D1480" t="str">
            <v>EUR</v>
          </cell>
          <cell r="E1480" t="str">
            <v>01-Dec-2025</v>
          </cell>
          <cell r="F1480">
            <v>95265994.329999998</v>
          </cell>
          <cell r="G1480">
            <v>53268.139000000003</v>
          </cell>
          <cell r="H1480">
            <v>1788.42</v>
          </cell>
          <cell r="I1480">
            <v>0</v>
          </cell>
          <cell r="J1480">
            <v>1788.42</v>
          </cell>
          <cell r="K1480">
            <v>-7.91</v>
          </cell>
          <cell r="P1480">
            <v>0</v>
          </cell>
        </row>
        <row r="1481">
          <cell r="A1481" t="str">
            <v>LU1883336304</v>
          </cell>
          <cell r="B1481" t="str">
            <v>AMUNDI FUNDS MULTI-STRATEGY GROWTH</v>
          </cell>
          <cell r="C1481" t="str">
            <v>Class M2 EUR AD (D)</v>
          </cell>
          <cell r="D1481" t="str">
            <v>EUR</v>
          </cell>
          <cell r="E1481" t="str">
            <v>01-Dec-2025</v>
          </cell>
          <cell r="F1481">
            <v>57212.63</v>
          </cell>
          <cell r="G1481">
            <v>40.92</v>
          </cell>
          <cell r="H1481">
            <v>1398.16</v>
          </cell>
          <cell r="I1481">
            <v>0</v>
          </cell>
          <cell r="J1481">
            <v>1398.16</v>
          </cell>
          <cell r="K1481">
            <v>-6.18</v>
          </cell>
          <cell r="P1481">
            <v>0</v>
          </cell>
        </row>
        <row r="1482">
          <cell r="A1482" t="str">
            <v>LU1883335678</v>
          </cell>
          <cell r="B1482" t="str">
            <v>AMUNDI FUNDS MULTI-STRATEGY GROWTH</v>
          </cell>
          <cell r="C1482" t="str">
            <v>Class E2 EUR (C)</v>
          </cell>
          <cell r="D1482" t="str">
            <v>EUR</v>
          </cell>
          <cell r="E1482" t="str">
            <v>01-Dec-2025</v>
          </cell>
          <cell r="F1482">
            <v>14470418.949999999</v>
          </cell>
          <cell r="G1482">
            <v>1885468.9369999999</v>
          </cell>
          <cell r="H1482">
            <v>7.6749999999999998</v>
          </cell>
          <cell r="I1482">
            <v>0</v>
          </cell>
          <cell r="J1482">
            <v>7.6749999999999998</v>
          </cell>
          <cell r="K1482">
            <v>-3.4000000000000002E-2</v>
          </cell>
          <cell r="P1482">
            <v>0</v>
          </cell>
        </row>
        <row r="1483">
          <cell r="A1483" t="str">
            <v>LU1998915968</v>
          </cell>
          <cell r="B1483" t="str">
            <v>AMUNDI FUNDS MULTI-STRATEGY GROWTH</v>
          </cell>
          <cell r="C1483" t="str">
            <v>Class H EUR (C)</v>
          </cell>
          <cell r="D1483" t="str">
            <v>EUR</v>
          </cell>
          <cell r="E1483" t="str">
            <v>01-Dec-2025</v>
          </cell>
          <cell r="F1483">
            <v>22090720.079999998</v>
          </cell>
          <cell r="G1483">
            <v>17779.472000000002</v>
          </cell>
          <cell r="H1483">
            <v>1242.48</v>
          </cell>
          <cell r="I1483">
            <v>0</v>
          </cell>
          <cell r="J1483">
            <v>1242.48</v>
          </cell>
          <cell r="K1483">
            <v>-5.45</v>
          </cell>
          <cell r="P1483">
            <v>0</v>
          </cell>
        </row>
        <row r="1484">
          <cell r="A1484" t="str">
            <v>LU1897309008</v>
          </cell>
          <cell r="B1484" t="str">
            <v>AMUNDI FUNDS MULTI-STRATEGY GROWTH</v>
          </cell>
          <cell r="C1484" t="str">
            <v>Class I2 GBP (C)</v>
          </cell>
          <cell r="D1484" t="str">
            <v>GBP</v>
          </cell>
          <cell r="E1484" t="str">
            <v>01-Dec-2025</v>
          </cell>
          <cell r="F1484">
            <v>5776.31</v>
          </cell>
          <cell r="G1484">
            <v>5</v>
          </cell>
          <cell r="H1484">
            <v>1155.26</v>
          </cell>
          <cell r="I1484">
            <v>0</v>
          </cell>
          <cell r="J1484">
            <v>1155.26</v>
          </cell>
          <cell r="K1484">
            <v>-2.87</v>
          </cell>
          <cell r="P1484">
            <v>0</v>
          </cell>
        </row>
        <row r="1485">
          <cell r="A1485" t="str">
            <v>LU2049412971</v>
          </cell>
          <cell r="B1485" t="str">
            <v>AMUNDI FUNDS MULTI-STRATEGY GROWTH</v>
          </cell>
          <cell r="C1485" t="str">
            <v>Class I2 GBP Hgd (C)</v>
          </cell>
          <cell r="D1485" t="str">
            <v>GBP</v>
          </cell>
          <cell r="E1485" t="str">
            <v>01-Dec-2025</v>
          </cell>
          <cell r="F1485">
            <v>48006606.520000003</v>
          </cell>
          <cell r="G1485">
            <v>38206.192999999999</v>
          </cell>
          <cell r="H1485">
            <v>1256.51</v>
          </cell>
          <cell r="I1485">
            <v>0</v>
          </cell>
          <cell r="J1485">
            <v>1256.51</v>
          </cell>
          <cell r="K1485">
            <v>-5.5</v>
          </cell>
          <cell r="P1485">
            <v>0</v>
          </cell>
        </row>
        <row r="1486">
          <cell r="A1486" t="str">
            <v>LU1894679742</v>
          </cell>
          <cell r="B1486" t="str">
            <v>AMUNDI FUNDS MULTI-STRATEGY GROWTH</v>
          </cell>
          <cell r="C1486" t="str">
            <v>Class I2 NOK Hgd (C)</v>
          </cell>
          <cell r="D1486" t="str">
            <v>NOK</v>
          </cell>
          <cell r="E1486" t="str">
            <v>01-Dec-2025</v>
          </cell>
          <cell r="F1486">
            <v>595627496.25</v>
          </cell>
          <cell r="G1486">
            <v>47045.637999999999</v>
          </cell>
          <cell r="H1486">
            <v>12660.63</v>
          </cell>
          <cell r="I1486">
            <v>0</v>
          </cell>
          <cell r="J1486">
            <v>12660.63</v>
          </cell>
          <cell r="K1486">
            <v>-55.31</v>
          </cell>
          <cell r="P1486">
            <v>0</v>
          </cell>
        </row>
        <row r="1487">
          <cell r="A1487" t="str">
            <v>LU1883336130</v>
          </cell>
          <cell r="B1487" t="str">
            <v>AMUNDI FUNDS MULTI-STRATEGY GROWTH</v>
          </cell>
          <cell r="C1487" t="str">
            <v>Class I2 EUR (C)</v>
          </cell>
          <cell r="D1487" t="str">
            <v>EUR</v>
          </cell>
          <cell r="E1487" t="str">
            <v>01-Dec-2025</v>
          </cell>
          <cell r="F1487">
            <v>217835856.87</v>
          </cell>
          <cell r="G1487">
            <v>172789.15299999999</v>
          </cell>
          <cell r="H1487">
            <v>1260.7</v>
          </cell>
          <cell r="I1487">
            <v>0</v>
          </cell>
          <cell r="J1487">
            <v>1260.7</v>
          </cell>
          <cell r="K1487">
            <v>-5.59</v>
          </cell>
          <cell r="P1487">
            <v>0</v>
          </cell>
        </row>
        <row r="1488">
          <cell r="A1488" t="str">
            <v>LU2359308207</v>
          </cell>
          <cell r="B1488" t="str">
            <v>AMUNDI FUNDS MULTI-STRATEGY GROWTH</v>
          </cell>
          <cell r="C1488" t="str">
            <v>Class I2 CHF Hgd (C)</v>
          </cell>
          <cell r="D1488" t="str">
            <v>CHF</v>
          </cell>
          <cell r="E1488" t="str">
            <v>01-Dec-2025</v>
          </cell>
          <cell r="F1488">
            <v>17938.12</v>
          </cell>
          <cell r="G1488">
            <v>19.809999999999999</v>
          </cell>
          <cell r="H1488">
            <v>905.51</v>
          </cell>
          <cell r="I1488">
            <v>0</v>
          </cell>
          <cell r="J1488">
            <v>905.51</v>
          </cell>
          <cell r="K1488">
            <v>-4.08</v>
          </cell>
          <cell r="P1488">
            <v>0</v>
          </cell>
        </row>
        <row r="1489">
          <cell r="A1489" t="str">
            <v>LU2052287302</v>
          </cell>
          <cell r="B1489" t="str">
            <v>AMUNDI FUNDS MULTI-STRATEGY GROWTH</v>
          </cell>
          <cell r="C1489" t="str">
            <v>Class J3 GBP (C)</v>
          </cell>
          <cell r="D1489" t="str">
            <v>GBP</v>
          </cell>
          <cell r="E1489" t="str">
            <v>01-Dec-2025</v>
          </cell>
          <cell r="F1489">
            <v>5896</v>
          </cell>
          <cell r="G1489">
            <v>5</v>
          </cell>
          <cell r="H1489">
            <v>1179.2</v>
          </cell>
          <cell r="I1489">
            <v>0</v>
          </cell>
          <cell r="J1489">
            <v>1179.2</v>
          </cell>
          <cell r="K1489">
            <v>-2.91</v>
          </cell>
          <cell r="P1489">
            <v>0</v>
          </cell>
        </row>
        <row r="1490">
          <cell r="A1490" t="str">
            <v>LU1883335751</v>
          </cell>
          <cell r="B1490" t="str">
            <v>AMUNDI FUNDS MULTI-STRATEGY GROWTH</v>
          </cell>
          <cell r="C1490" t="str">
            <v>Class G EUR (C)</v>
          </cell>
          <cell r="D1490" t="str">
            <v>EUR</v>
          </cell>
          <cell r="E1490" t="str">
            <v>01-Dec-2025</v>
          </cell>
          <cell r="F1490">
            <v>2101042.27</v>
          </cell>
          <cell r="G1490">
            <v>403886.049</v>
          </cell>
          <cell r="H1490">
            <v>5.202</v>
          </cell>
          <cell r="I1490">
            <v>0</v>
          </cell>
          <cell r="J1490">
            <v>5.202</v>
          </cell>
          <cell r="K1490">
            <v>-2.4E-2</v>
          </cell>
          <cell r="P1490">
            <v>0</v>
          </cell>
        </row>
        <row r="1491">
          <cell r="A1491" t="str">
            <v>LU1837136479</v>
          </cell>
          <cell r="B1491" t="str">
            <v>AMUNDI FUNDS MULTI-STRATEGY GROWTH</v>
          </cell>
          <cell r="C1491" t="str">
            <v>Class R EUR (C)</v>
          </cell>
          <cell r="D1491" t="str">
            <v>EUR</v>
          </cell>
          <cell r="E1491" t="str">
            <v>01-Dec-2025</v>
          </cell>
          <cell r="F1491">
            <v>334473.15000000002</v>
          </cell>
          <cell r="G1491">
            <v>5976.3</v>
          </cell>
          <cell r="H1491">
            <v>55.97</v>
          </cell>
          <cell r="I1491">
            <v>0</v>
          </cell>
          <cell r="J1491">
            <v>55.97</v>
          </cell>
          <cell r="K1491">
            <v>-0.25</v>
          </cell>
          <cell r="P1491">
            <v>0</v>
          </cell>
        </row>
        <row r="1492">
          <cell r="A1492" t="str">
            <v>LU2330498242</v>
          </cell>
          <cell r="B1492" t="str">
            <v>AMUNDI FUNDS MULTI-STRATEGY GROWTH</v>
          </cell>
          <cell r="C1492" t="str">
            <v>Class R3 GBP Hgd (C)</v>
          </cell>
          <cell r="D1492" t="str">
            <v>GBP</v>
          </cell>
          <cell r="E1492" t="str">
            <v>01-Dec-2025</v>
          </cell>
          <cell r="F1492">
            <v>753825.91</v>
          </cell>
          <cell r="G1492">
            <v>70884.796000000002</v>
          </cell>
          <cell r="H1492">
            <v>10.63</v>
          </cell>
          <cell r="I1492">
            <v>0</v>
          </cell>
          <cell r="J1492">
            <v>10.63</v>
          </cell>
          <cell r="K1492">
            <v>-0.05</v>
          </cell>
          <cell r="P1492">
            <v>0</v>
          </cell>
        </row>
        <row r="1493">
          <cell r="A1493" t="str">
            <v>LU2224462288</v>
          </cell>
          <cell r="B1493" t="str">
            <v>AMUNDI FUNDS MULTI-STRATEGY GROWTH</v>
          </cell>
          <cell r="C1493" t="str">
            <v>Class X USD Hgd (C)</v>
          </cell>
          <cell r="D1493" t="str">
            <v>USD</v>
          </cell>
          <cell r="E1493" t="str">
            <v>01-Dec-2025</v>
          </cell>
          <cell r="F1493">
            <v>32386971.609999999</v>
          </cell>
          <cell r="G1493">
            <v>30000</v>
          </cell>
          <cell r="H1493">
            <v>1079.57</v>
          </cell>
          <cell r="I1493">
            <v>0</v>
          </cell>
          <cell r="J1493">
            <v>1079.57</v>
          </cell>
          <cell r="K1493">
            <v>-4.6500000000000004</v>
          </cell>
          <cell r="P1493">
            <v>0</v>
          </cell>
        </row>
        <row r="1494">
          <cell r="A1494" t="str">
            <v>LU1883335835</v>
          </cell>
          <cell r="B1494" t="str">
            <v>AMUNDI FUNDS MULTI-STRATEGY GROWTH</v>
          </cell>
          <cell r="C1494" t="str">
            <v>Class I EUR (C)</v>
          </cell>
          <cell r="D1494" t="str">
            <v>EUR</v>
          </cell>
          <cell r="E1494" t="str">
            <v>01-Dec-2025</v>
          </cell>
          <cell r="F1494">
            <v>2880029.25</v>
          </cell>
          <cell r="G1494">
            <v>1705.442</v>
          </cell>
          <cell r="H1494">
            <v>1688.73</v>
          </cell>
          <cell r="I1494">
            <v>0</v>
          </cell>
          <cell r="J1494">
            <v>1688.73</v>
          </cell>
          <cell r="K1494">
            <v>-7.47</v>
          </cell>
          <cell r="P1494">
            <v>0</v>
          </cell>
        </row>
        <row r="1495">
          <cell r="A1495" t="str">
            <v>LU1883335918</v>
          </cell>
          <cell r="B1495" t="str">
            <v>AMUNDI FUNDS MULTI-STRATEGY GROWTH</v>
          </cell>
          <cell r="C1495" t="str">
            <v>Class I EUR AD (D)</v>
          </cell>
          <cell r="D1495" t="str">
            <v>EUR</v>
          </cell>
          <cell r="E1495" t="str">
            <v>01-Dec-2025</v>
          </cell>
          <cell r="F1495">
            <v>9182915.6500000004</v>
          </cell>
          <cell r="G1495">
            <v>6599.3789999999999</v>
          </cell>
          <cell r="H1495">
            <v>1391.48</v>
          </cell>
          <cell r="I1495">
            <v>0</v>
          </cell>
          <cell r="J1495">
            <v>1391.48</v>
          </cell>
          <cell r="K1495">
            <v>-6.15</v>
          </cell>
          <cell r="P1495">
            <v>0</v>
          </cell>
        </row>
        <row r="1496">
          <cell r="A1496" t="str">
            <v>LU1882439323</v>
          </cell>
          <cell r="B1496" t="str">
            <v>AMUNDI FUNDS ABSOLUTE RETURN MULTI-STRATEGY</v>
          </cell>
          <cell r="C1496" t="str">
            <v>Class A EUR (C)</v>
          </cell>
          <cell r="D1496" t="str">
            <v>EUR</v>
          </cell>
          <cell r="E1496" t="str">
            <v>01-Dec-2025</v>
          </cell>
          <cell r="F1496">
            <v>31546434.510000002</v>
          </cell>
          <cell r="G1496">
            <v>492089.53899999999</v>
          </cell>
          <cell r="H1496">
            <v>64.11</v>
          </cell>
          <cell r="I1496">
            <v>0</v>
          </cell>
          <cell r="J1496">
            <v>66.989999999999995</v>
          </cell>
          <cell r="K1496">
            <v>-0.17</v>
          </cell>
          <cell r="P1496">
            <v>0</v>
          </cell>
        </row>
        <row r="1497">
          <cell r="A1497" t="str">
            <v>LU2070310201</v>
          </cell>
          <cell r="B1497" t="str">
            <v>AMUNDI FUNDS ABSOLUTE RETURN MULTI-STRATEGY</v>
          </cell>
          <cell r="C1497" t="str">
            <v>Class A2 EUR (C)</v>
          </cell>
          <cell r="D1497" t="str">
            <v>EUR</v>
          </cell>
          <cell r="E1497" t="str">
            <v>01-Dec-2025</v>
          </cell>
          <cell r="F1497">
            <v>5337</v>
          </cell>
          <cell r="G1497">
            <v>100</v>
          </cell>
          <cell r="H1497">
            <v>53.37</v>
          </cell>
          <cell r="I1497">
            <v>0</v>
          </cell>
          <cell r="J1497">
            <v>55.77</v>
          </cell>
          <cell r="K1497">
            <v>-0.15</v>
          </cell>
          <cell r="P1497">
            <v>0</v>
          </cell>
        </row>
        <row r="1498">
          <cell r="A1498" t="str">
            <v>LU2032054905</v>
          </cell>
          <cell r="B1498" t="str">
            <v>AMUNDI FUNDS ABSOLUTE RETURN MULTI-STRATEGY</v>
          </cell>
          <cell r="C1498" t="str">
            <v>Class A5 EUR (C)</v>
          </cell>
          <cell r="D1498" t="str">
            <v>EUR</v>
          </cell>
          <cell r="E1498" t="str">
            <v>01-Dec-2025</v>
          </cell>
          <cell r="F1498">
            <v>298553.95</v>
          </cell>
          <cell r="G1498">
            <v>5562.6189999999997</v>
          </cell>
          <cell r="H1498">
            <v>53.67</v>
          </cell>
          <cell r="I1498">
            <v>0</v>
          </cell>
          <cell r="J1498">
            <v>53.67</v>
          </cell>
          <cell r="K1498">
            <v>-0.15</v>
          </cell>
          <cell r="P1498">
            <v>0</v>
          </cell>
        </row>
        <row r="1499">
          <cell r="A1499" t="str">
            <v>LU1882439679</v>
          </cell>
          <cell r="B1499" t="str">
            <v>AMUNDI FUNDS ABSOLUTE RETURN MULTI-STRATEGY</v>
          </cell>
          <cell r="C1499" t="str">
            <v>Class A USD Hgd (C)</v>
          </cell>
          <cell r="D1499" t="str">
            <v>USD</v>
          </cell>
          <cell r="E1499" t="str">
            <v>01-Dec-2025</v>
          </cell>
          <cell r="F1499">
            <v>384796.87</v>
          </cell>
          <cell r="G1499">
            <v>6134.2160000000003</v>
          </cell>
          <cell r="H1499">
            <v>62.73</v>
          </cell>
          <cell r="I1499">
            <v>0</v>
          </cell>
          <cell r="J1499">
            <v>65.55</v>
          </cell>
          <cell r="K1499">
            <v>-0.17</v>
          </cell>
          <cell r="P1499">
            <v>0</v>
          </cell>
        </row>
        <row r="1500">
          <cell r="A1500" t="str">
            <v>LU1882439240</v>
          </cell>
          <cell r="B1500" t="str">
            <v>AMUNDI FUNDS ABSOLUTE RETURN MULTI-STRATEGY</v>
          </cell>
          <cell r="C1500" t="str">
            <v>Class A CZK Hgd (C)</v>
          </cell>
          <cell r="D1500" t="str">
            <v>CZK</v>
          </cell>
          <cell r="E1500" t="str">
            <v>01-Dec-2025</v>
          </cell>
          <cell r="F1500">
            <v>627303214.72000003</v>
          </cell>
          <cell r="G1500">
            <v>509288.60399999999</v>
          </cell>
          <cell r="H1500">
            <v>1231.72</v>
          </cell>
          <cell r="I1500">
            <v>0</v>
          </cell>
          <cell r="J1500">
            <v>1280.99</v>
          </cell>
          <cell r="K1500">
            <v>-3.31</v>
          </cell>
          <cell r="P1500">
            <v>0</v>
          </cell>
        </row>
        <row r="1501">
          <cell r="A1501" t="str">
            <v>LU1882441147</v>
          </cell>
          <cell r="B1501" t="str">
            <v>AMUNDI FUNDS ABSOLUTE RETURN MULTI-STRATEGY</v>
          </cell>
          <cell r="C1501" t="str">
            <v>Class M2 EUR (C)</v>
          </cell>
          <cell r="D1501" t="str">
            <v>EUR</v>
          </cell>
          <cell r="E1501" t="str">
            <v>01-Dec-2025</v>
          </cell>
          <cell r="F1501">
            <v>89798703.810000002</v>
          </cell>
          <cell r="G1501">
            <v>59044.572999999997</v>
          </cell>
          <cell r="H1501">
            <v>1520.86</v>
          </cell>
          <cell r="I1501">
            <v>0</v>
          </cell>
          <cell r="J1501">
            <v>1520.86</v>
          </cell>
          <cell r="K1501">
            <v>-4.03</v>
          </cell>
          <cell r="P1501">
            <v>0</v>
          </cell>
        </row>
        <row r="1502">
          <cell r="A1502" t="str">
            <v>LU1882440099</v>
          </cell>
          <cell r="B1502" t="str">
            <v>AMUNDI FUNDS ABSOLUTE RETURN MULTI-STRATEGY</v>
          </cell>
          <cell r="C1502" t="str">
            <v>Class E2 EUR (C)</v>
          </cell>
          <cell r="D1502" t="str">
            <v>EUR</v>
          </cell>
          <cell r="E1502" t="str">
            <v>01-Dec-2025</v>
          </cell>
          <cell r="F1502">
            <v>121691656.81999999</v>
          </cell>
          <cell r="G1502">
            <v>18245957.511999998</v>
          </cell>
          <cell r="H1502">
            <v>6.67</v>
          </cell>
          <cell r="I1502">
            <v>0</v>
          </cell>
          <cell r="J1502">
            <v>6.67</v>
          </cell>
          <cell r="K1502">
            <v>-1.7999999999999999E-2</v>
          </cell>
          <cell r="P1502">
            <v>0</v>
          </cell>
        </row>
        <row r="1503">
          <cell r="A1503" t="str">
            <v>LU1882440255</v>
          </cell>
          <cell r="B1503" t="str">
            <v>AMUNDI FUNDS ABSOLUTE RETURN MULTI-STRATEGY</v>
          </cell>
          <cell r="C1503" t="str">
            <v>Class F EUR (C)</v>
          </cell>
          <cell r="D1503" t="str">
            <v>EUR</v>
          </cell>
          <cell r="E1503" t="str">
            <v>01-Dec-2025</v>
          </cell>
          <cell r="F1503">
            <v>7057067.0300000003</v>
          </cell>
          <cell r="G1503">
            <v>1285186.0730000001</v>
          </cell>
          <cell r="H1503">
            <v>5.4909999999999997</v>
          </cell>
          <cell r="I1503">
            <v>0</v>
          </cell>
          <cell r="J1503">
            <v>5.4909999999999997</v>
          </cell>
          <cell r="K1503">
            <v>-1.4999999999999999E-2</v>
          </cell>
          <cell r="P1503">
            <v>0</v>
          </cell>
        </row>
        <row r="1504">
          <cell r="A1504" t="str">
            <v>LU1998913914</v>
          </cell>
          <cell r="B1504" t="str">
            <v>AMUNDI FUNDS ABSOLUTE RETURN MULTI-STRATEGY</v>
          </cell>
          <cell r="C1504" t="str">
            <v>Class H EUR (C)</v>
          </cell>
          <cell r="D1504" t="str">
            <v>EUR</v>
          </cell>
          <cell r="E1504" t="str">
            <v>01-Dec-2025</v>
          </cell>
          <cell r="F1504">
            <v>108121.84</v>
          </cell>
          <cell r="G1504">
            <v>100</v>
          </cell>
          <cell r="H1504">
            <v>1081.22</v>
          </cell>
          <cell r="I1504">
            <v>0</v>
          </cell>
          <cell r="J1504">
            <v>1081.22</v>
          </cell>
          <cell r="K1504">
            <v>-2.83</v>
          </cell>
          <cell r="P1504">
            <v>0</v>
          </cell>
        </row>
        <row r="1505">
          <cell r="A1505" t="str">
            <v>LU2047618173</v>
          </cell>
          <cell r="B1505" t="str">
            <v>AMUNDI FUNDS ABSOLUTE RETURN MULTI-STRATEGY</v>
          </cell>
          <cell r="C1505" t="str">
            <v>Class I2 GBP Hgd (C)</v>
          </cell>
          <cell r="D1505" t="str">
            <v>GBP</v>
          </cell>
          <cell r="E1505" t="str">
            <v>01-Dec-2025</v>
          </cell>
          <cell r="F1505">
            <v>120872.57</v>
          </cell>
          <cell r="G1505">
            <v>100</v>
          </cell>
          <cell r="H1505">
            <v>1208.73</v>
          </cell>
          <cell r="I1505">
            <v>0</v>
          </cell>
          <cell r="J1505">
            <v>1208.73</v>
          </cell>
          <cell r="K1505">
            <v>-3.13</v>
          </cell>
          <cell r="P1505">
            <v>0</v>
          </cell>
        </row>
        <row r="1506">
          <cell r="A1506" t="str">
            <v>LU1897298045</v>
          </cell>
          <cell r="B1506" t="str">
            <v>AMUNDI FUNDS ABSOLUTE RETURN MULTI-STRATEGY</v>
          </cell>
          <cell r="C1506" t="str">
            <v>Class I2 GBP (C)</v>
          </cell>
          <cell r="D1506" t="str">
            <v>GBP</v>
          </cell>
          <cell r="E1506" t="str">
            <v>01-Dec-2025</v>
          </cell>
          <cell r="F1506">
            <v>5465.25</v>
          </cell>
          <cell r="G1506">
            <v>5</v>
          </cell>
          <cell r="H1506">
            <v>1093.05</v>
          </cell>
          <cell r="I1506">
            <v>0</v>
          </cell>
          <cell r="J1506">
            <v>1093.05</v>
          </cell>
          <cell r="K1506">
            <v>-0.78</v>
          </cell>
          <cell r="P1506">
            <v>0</v>
          </cell>
        </row>
        <row r="1507">
          <cell r="A1507" t="str">
            <v>LU1894676565</v>
          </cell>
          <cell r="B1507" t="str">
            <v>AMUNDI FUNDS ABSOLUTE RETURN MULTI-STRATEGY</v>
          </cell>
          <cell r="C1507" t="str">
            <v>Class Q-I22 EUR QTD (D)</v>
          </cell>
          <cell r="D1507" t="str">
            <v>EUR</v>
          </cell>
          <cell r="E1507" t="str">
            <v>01-Dec-2025</v>
          </cell>
          <cell r="F1507">
            <v>88263889.590000004</v>
          </cell>
          <cell r="G1507">
            <v>77223.357999999993</v>
          </cell>
          <cell r="H1507">
            <v>1142.97</v>
          </cell>
          <cell r="I1507">
            <v>0</v>
          </cell>
          <cell r="J1507">
            <v>1142.97</v>
          </cell>
          <cell r="K1507">
            <v>-3.01</v>
          </cell>
          <cell r="P1507">
            <v>0</v>
          </cell>
        </row>
        <row r="1508">
          <cell r="A1508" t="str">
            <v>LU1882440685</v>
          </cell>
          <cell r="B1508" t="str">
            <v>AMUNDI FUNDS ABSOLUTE RETURN MULTI-STRATEGY</v>
          </cell>
          <cell r="C1508" t="str">
            <v>Class I2 EUR (C)</v>
          </cell>
          <cell r="D1508" t="str">
            <v>EUR</v>
          </cell>
          <cell r="E1508" t="str">
            <v>01-Dec-2025</v>
          </cell>
          <cell r="F1508">
            <v>35468778.780000001</v>
          </cell>
          <cell r="G1508">
            <v>30581.151000000002</v>
          </cell>
          <cell r="H1508">
            <v>1159.82</v>
          </cell>
          <cell r="I1508">
            <v>0</v>
          </cell>
          <cell r="J1508">
            <v>1159.82</v>
          </cell>
          <cell r="K1508">
            <v>-3.08</v>
          </cell>
          <cell r="P1508">
            <v>0</v>
          </cell>
        </row>
        <row r="1509">
          <cell r="A1509" t="str">
            <v>LU2052286833</v>
          </cell>
          <cell r="B1509" t="str">
            <v>AMUNDI FUNDS ABSOLUTE RETURN MULTI-STRATEGY</v>
          </cell>
          <cell r="C1509" t="str">
            <v>Class J3 GBP (C)</v>
          </cell>
          <cell r="D1509" t="str">
            <v>GBP</v>
          </cell>
          <cell r="E1509" t="str">
            <v>01-Dec-2025</v>
          </cell>
          <cell r="F1509">
            <v>5610.83</v>
          </cell>
          <cell r="G1509">
            <v>5</v>
          </cell>
          <cell r="H1509">
            <v>1122.17</v>
          </cell>
          <cell r="I1509">
            <v>0</v>
          </cell>
          <cell r="J1509">
            <v>1122.17</v>
          </cell>
          <cell r="K1509">
            <v>-0.78</v>
          </cell>
          <cell r="P1509">
            <v>0</v>
          </cell>
        </row>
        <row r="1510">
          <cell r="A1510" t="str">
            <v>LU1882440925</v>
          </cell>
          <cell r="B1510" t="str">
            <v>AMUNDI FUNDS ABSOLUTE RETURN MULTI-STRATEGY</v>
          </cell>
          <cell r="C1510" t="str">
            <v>Class J EUR (C)</v>
          </cell>
          <cell r="D1510" t="str">
            <v>EUR</v>
          </cell>
          <cell r="E1510" t="str">
            <v>01-Dec-2025</v>
          </cell>
          <cell r="F1510">
            <v>49458173.009999998</v>
          </cell>
          <cell r="G1510">
            <v>45255.995000000003</v>
          </cell>
          <cell r="H1510">
            <v>1092.8499999999999</v>
          </cell>
          <cell r="I1510">
            <v>0</v>
          </cell>
          <cell r="J1510">
            <v>1092.8499999999999</v>
          </cell>
          <cell r="K1510">
            <v>-2.89</v>
          </cell>
          <cell r="P1510">
            <v>0</v>
          </cell>
        </row>
        <row r="1511">
          <cell r="A1511" t="str">
            <v>LU2713448723</v>
          </cell>
          <cell r="B1511" t="str">
            <v>AMUNDI FUNDS ABSOLUTE RETURN MULTI-STRATEGY</v>
          </cell>
          <cell r="C1511" t="str">
            <v>Class J6 JPY Hgd (C)</v>
          </cell>
          <cell r="D1511" t="str">
            <v>JPY</v>
          </cell>
          <cell r="E1511" t="str">
            <v>01-Dec-2025</v>
          </cell>
          <cell r="F1511">
            <v>8408869653</v>
          </cell>
          <cell r="G1511">
            <v>80626.337</v>
          </cell>
          <cell r="H1511">
            <v>104294</v>
          </cell>
          <cell r="I1511">
            <v>0</v>
          </cell>
          <cell r="J1511">
            <v>104294</v>
          </cell>
          <cell r="K1511">
            <v>-282</v>
          </cell>
          <cell r="P1511">
            <v>0</v>
          </cell>
        </row>
        <row r="1512">
          <cell r="A1512" t="str">
            <v>LU1882440339</v>
          </cell>
          <cell r="B1512" t="str">
            <v>AMUNDI FUNDS ABSOLUTE RETURN MULTI-STRATEGY</v>
          </cell>
          <cell r="C1512" t="str">
            <v>Class G EUR (C)</v>
          </cell>
          <cell r="D1512" t="str">
            <v>EUR</v>
          </cell>
          <cell r="E1512" t="str">
            <v>01-Dec-2025</v>
          </cell>
          <cell r="F1512">
            <v>6362414.6799999997</v>
          </cell>
          <cell r="G1512">
            <v>1254315.612</v>
          </cell>
          <cell r="H1512">
            <v>5.0720000000000001</v>
          </cell>
          <cell r="I1512">
            <v>0</v>
          </cell>
          <cell r="J1512">
            <v>5.0720000000000001</v>
          </cell>
          <cell r="K1512">
            <v>-1.4E-2</v>
          </cell>
          <cell r="P1512">
            <v>0</v>
          </cell>
        </row>
        <row r="1513">
          <cell r="A1513" t="str">
            <v>LU2259108392</v>
          </cell>
          <cell r="B1513" t="str">
            <v>AMUNDI FUNDS ABSOLUTE RETURN MULTI-STRATEGY</v>
          </cell>
          <cell r="C1513" t="str">
            <v>Class R3 GBP (C)</v>
          </cell>
          <cell r="D1513" t="str">
            <v>GBP</v>
          </cell>
          <cell r="E1513" t="str">
            <v>01-Dec-2025</v>
          </cell>
          <cell r="F1513">
            <v>5069.29</v>
          </cell>
          <cell r="G1513">
            <v>500</v>
          </cell>
          <cell r="H1513">
            <v>10.14</v>
          </cell>
          <cell r="I1513">
            <v>0</v>
          </cell>
          <cell r="J1513">
            <v>10.14</v>
          </cell>
          <cell r="K1513">
            <v>-0.01</v>
          </cell>
          <cell r="P1513">
            <v>0</v>
          </cell>
        </row>
        <row r="1514">
          <cell r="A1514" t="str">
            <v>LU1882441220</v>
          </cell>
          <cell r="B1514" t="str">
            <v>AMUNDI FUNDS ABSOLUTE RETURN MULTI-STRATEGY</v>
          </cell>
          <cell r="C1514" t="str">
            <v>Class R EUR (C)</v>
          </cell>
          <cell r="D1514" t="str">
            <v>EUR</v>
          </cell>
          <cell r="E1514" t="str">
            <v>01-Dec-2025</v>
          </cell>
          <cell r="F1514">
            <v>9971.17</v>
          </cell>
          <cell r="G1514">
            <v>185.268</v>
          </cell>
          <cell r="H1514">
            <v>53.82</v>
          </cell>
          <cell r="I1514">
            <v>0</v>
          </cell>
          <cell r="J1514">
            <v>53.82</v>
          </cell>
          <cell r="K1514">
            <v>-0.16</v>
          </cell>
          <cell r="P1514">
            <v>0</v>
          </cell>
        </row>
        <row r="1515">
          <cell r="A1515" t="str">
            <v>LU1882441576</v>
          </cell>
          <cell r="B1515" t="str">
            <v>AMUNDI FUNDS ABSOLUTE RETURN MULTI-STRATEGY</v>
          </cell>
          <cell r="C1515" t="str">
            <v>Class R GBP Hgd (C)</v>
          </cell>
          <cell r="D1515" t="str">
            <v>GBP</v>
          </cell>
          <cell r="E1515" t="str">
            <v>01-Dec-2025</v>
          </cell>
          <cell r="F1515">
            <v>102051.02</v>
          </cell>
          <cell r="G1515">
            <v>1708.4639999999999</v>
          </cell>
          <cell r="H1515">
            <v>59.73</v>
          </cell>
          <cell r="I1515">
            <v>0</v>
          </cell>
          <cell r="J1515">
            <v>59.73</v>
          </cell>
          <cell r="K1515">
            <v>-0.16</v>
          </cell>
          <cell r="P1515">
            <v>0</v>
          </cell>
        </row>
        <row r="1516">
          <cell r="A1516" t="str">
            <v>LU1882441659</v>
          </cell>
          <cell r="B1516" t="str">
            <v>AMUNDI FUNDS ABSOLUTE RETURN MULTI-STRATEGY</v>
          </cell>
          <cell r="C1516" t="str">
            <v>Class R USD Hgd (C)</v>
          </cell>
          <cell r="D1516" t="str">
            <v>USD</v>
          </cell>
          <cell r="E1516" t="str">
            <v>01-Dec-2025</v>
          </cell>
          <cell r="F1516">
            <v>411716.63</v>
          </cell>
          <cell r="G1516">
            <v>6575</v>
          </cell>
          <cell r="H1516">
            <v>62.62</v>
          </cell>
          <cell r="I1516">
            <v>0</v>
          </cell>
          <cell r="J1516">
            <v>62.62</v>
          </cell>
          <cell r="K1516">
            <v>-0.16</v>
          </cell>
          <cell r="P1516">
            <v>0</v>
          </cell>
        </row>
        <row r="1517">
          <cell r="A1517" t="str">
            <v>LU1882440503</v>
          </cell>
          <cell r="B1517" t="str">
            <v>AMUNDI FUNDS ABSOLUTE RETURN MULTI-STRATEGY</v>
          </cell>
          <cell r="C1517" t="str">
            <v>Class I EUR (C)</v>
          </cell>
          <cell r="D1517" t="str">
            <v>EUR</v>
          </cell>
          <cell r="E1517" t="str">
            <v>01-Dec-2025</v>
          </cell>
          <cell r="F1517">
            <v>153607777.77000001</v>
          </cell>
          <cell r="G1517">
            <v>100547.399</v>
          </cell>
          <cell r="H1517">
            <v>1527.72</v>
          </cell>
          <cell r="I1517">
            <v>0</v>
          </cell>
          <cell r="J1517">
            <v>1527.72</v>
          </cell>
          <cell r="K1517">
            <v>-4.04</v>
          </cell>
          <cell r="P1517">
            <v>0</v>
          </cell>
        </row>
        <row r="1518">
          <cell r="A1518" t="str">
            <v>LU1894676482</v>
          </cell>
          <cell r="B1518" t="str">
            <v>AMUNDI FUNDS ABSOLUTE RETURN MULTI-STRATEGY</v>
          </cell>
          <cell r="C1518" t="str">
            <v>Class I GBP Hgd (C)</v>
          </cell>
          <cell r="D1518" t="str">
            <v>GBP</v>
          </cell>
          <cell r="E1518" t="str">
            <v>01-Dec-2025</v>
          </cell>
          <cell r="F1518">
            <v>118923</v>
          </cell>
          <cell r="G1518">
            <v>99.998999999999995</v>
          </cell>
          <cell r="H1518">
            <v>1189.24</v>
          </cell>
          <cell r="I1518">
            <v>0</v>
          </cell>
          <cell r="J1518">
            <v>1189.24</v>
          </cell>
          <cell r="K1518">
            <v>-3.08</v>
          </cell>
          <cell r="P1518">
            <v>0</v>
          </cell>
        </row>
        <row r="1519">
          <cell r="A1519" t="str">
            <v>LU1894676300</v>
          </cell>
          <cell r="B1519" t="str">
            <v>AMUNDI FUNDS ABSOLUTE RETURN MULTI-STRATEGY</v>
          </cell>
          <cell r="C1519" t="str">
            <v>Class I GBP (C)</v>
          </cell>
          <cell r="D1519" t="str">
            <v>GBP</v>
          </cell>
          <cell r="E1519" t="str">
            <v>01-Dec-2025</v>
          </cell>
          <cell r="F1519">
            <v>5719.12</v>
          </cell>
          <cell r="G1519">
            <v>4.2649999999999997</v>
          </cell>
          <cell r="H1519">
            <v>1340.94</v>
          </cell>
          <cell r="I1519">
            <v>0</v>
          </cell>
          <cell r="J1519">
            <v>1340.94</v>
          </cell>
          <cell r="K1519">
            <v>-0.94</v>
          </cell>
          <cell r="P1519">
            <v>0</v>
          </cell>
        </row>
        <row r="1520">
          <cell r="A1520" t="str">
            <v>LU1894682886</v>
          </cell>
          <cell r="B1520" t="str">
            <v>AMUNDI FUNDS US EQUITY RESEARCH VALUE</v>
          </cell>
          <cell r="C1520" t="str">
            <v>Class A EUR AD (D)</v>
          </cell>
          <cell r="D1520" t="str">
            <v>EUR</v>
          </cell>
          <cell r="E1520" t="str">
            <v>01-Dec-2025</v>
          </cell>
          <cell r="F1520">
            <v>3420894.13</v>
          </cell>
          <cell r="G1520">
            <v>41839.127999999997</v>
          </cell>
          <cell r="H1520">
            <v>81.760000000000005</v>
          </cell>
          <cell r="I1520">
            <v>0</v>
          </cell>
          <cell r="J1520">
            <v>85.44</v>
          </cell>
          <cell r="K1520">
            <v>-0.71</v>
          </cell>
          <cell r="P1520">
            <v>0</v>
          </cell>
        </row>
        <row r="1521">
          <cell r="A1521" t="str">
            <v>LU1894682704</v>
          </cell>
          <cell r="B1521" t="str">
            <v>AMUNDI FUNDS US EQUITY RESEARCH VALUE</v>
          </cell>
          <cell r="C1521" t="str">
            <v>Class A EUR (C)</v>
          </cell>
          <cell r="D1521" t="str">
            <v>EUR</v>
          </cell>
          <cell r="E1521" t="str">
            <v>01-Dec-2025</v>
          </cell>
          <cell r="F1521">
            <v>216472250.13</v>
          </cell>
          <cell r="G1521">
            <v>826189.08400000003</v>
          </cell>
          <cell r="H1521">
            <v>262.01</v>
          </cell>
          <cell r="I1521">
            <v>0</v>
          </cell>
          <cell r="J1521">
            <v>273.8</v>
          </cell>
          <cell r="K1521">
            <v>-2.2599999999999998</v>
          </cell>
          <cell r="P1521">
            <v>0</v>
          </cell>
        </row>
        <row r="1522">
          <cell r="A1522" t="str">
            <v>LU1894683264</v>
          </cell>
          <cell r="B1522" t="str">
            <v>AMUNDI FUNDS US EQUITY RESEARCH VALUE</v>
          </cell>
          <cell r="C1522" t="str">
            <v>Class A2 USD (C)</v>
          </cell>
          <cell r="D1522" t="str">
            <v>USD</v>
          </cell>
          <cell r="E1522" t="str">
            <v>01-Dec-2025</v>
          </cell>
          <cell r="F1522">
            <v>6687463.7699999996</v>
          </cell>
          <cell r="G1522">
            <v>78208.103000000003</v>
          </cell>
          <cell r="H1522">
            <v>85.51</v>
          </cell>
          <cell r="I1522">
            <v>0</v>
          </cell>
          <cell r="J1522">
            <v>85.51</v>
          </cell>
          <cell r="K1522">
            <v>-0.56000000000000005</v>
          </cell>
          <cell r="P1522">
            <v>0</v>
          </cell>
        </row>
        <row r="1523">
          <cell r="A1523" t="str">
            <v>LU1894683181</v>
          </cell>
          <cell r="B1523" t="str">
            <v>AMUNDI FUNDS US EQUITY RESEARCH VALUE</v>
          </cell>
          <cell r="C1523" t="str">
            <v>Class A USD AD (D)</v>
          </cell>
          <cell r="D1523" t="str">
            <v>USD</v>
          </cell>
          <cell r="E1523" t="str">
            <v>01-Dec-2025</v>
          </cell>
          <cell r="F1523">
            <v>1810120.7</v>
          </cell>
          <cell r="G1523">
            <v>21459.481</v>
          </cell>
          <cell r="H1523">
            <v>84.35</v>
          </cell>
          <cell r="I1523">
            <v>0</v>
          </cell>
          <cell r="J1523">
            <v>88.15</v>
          </cell>
          <cell r="K1523">
            <v>-0.55000000000000004</v>
          </cell>
          <cell r="P1523">
            <v>0</v>
          </cell>
        </row>
        <row r="1524">
          <cell r="A1524" t="str">
            <v>LU1894682969</v>
          </cell>
          <cell r="B1524" t="str">
            <v>AMUNDI FUNDS US EQUITY RESEARCH VALUE</v>
          </cell>
          <cell r="C1524" t="str">
            <v>Class A EUR Hgd (C)</v>
          </cell>
          <cell r="D1524" t="str">
            <v>EUR</v>
          </cell>
          <cell r="E1524" t="str">
            <v>01-Dec-2025</v>
          </cell>
          <cell r="F1524">
            <v>43950984.039999999</v>
          </cell>
          <cell r="G1524">
            <v>592702.49899999995</v>
          </cell>
          <cell r="H1524">
            <v>74.150000000000006</v>
          </cell>
          <cell r="I1524">
            <v>0</v>
          </cell>
          <cell r="J1524">
            <v>77.489999999999995</v>
          </cell>
          <cell r="K1524">
            <v>-0.49</v>
          </cell>
          <cell r="P1524">
            <v>0</v>
          </cell>
        </row>
        <row r="1525">
          <cell r="A1525" t="str">
            <v>LU1894682613</v>
          </cell>
          <cell r="B1525" t="str">
            <v>AMUNDI FUNDS US EQUITY RESEARCH VALUE</v>
          </cell>
          <cell r="C1525" t="str">
            <v>Class A CZK Hgd (C)</v>
          </cell>
          <cell r="D1525" t="str">
            <v>CZK</v>
          </cell>
          <cell r="E1525" t="str">
            <v>01-Dec-2025</v>
          </cell>
          <cell r="F1525">
            <v>489050405.50999999</v>
          </cell>
          <cell r="G1525">
            <v>291413.31900000002</v>
          </cell>
          <cell r="H1525">
            <v>1678.2</v>
          </cell>
          <cell r="I1525">
            <v>0</v>
          </cell>
          <cell r="J1525">
            <v>1753.72</v>
          </cell>
          <cell r="K1525">
            <v>-10.97</v>
          </cell>
          <cell r="P1525">
            <v>0</v>
          </cell>
        </row>
        <row r="1526">
          <cell r="A1526" t="str">
            <v>LU3081004726</v>
          </cell>
          <cell r="B1526" t="str">
            <v>AMUNDI FUNDS US EQUITY RESEARCH VALUE</v>
          </cell>
          <cell r="C1526" t="str">
            <v>Class A2 EUR (C)</v>
          </cell>
          <cell r="D1526" t="str">
            <v>EUR</v>
          </cell>
          <cell r="E1526" t="str">
            <v>01-Dec-2025</v>
          </cell>
          <cell r="F1526">
            <v>404057.71</v>
          </cell>
          <cell r="G1526">
            <v>8151.3879999999999</v>
          </cell>
          <cell r="H1526">
            <v>49.57</v>
          </cell>
          <cell r="I1526">
            <v>0</v>
          </cell>
          <cell r="J1526">
            <v>51.8</v>
          </cell>
          <cell r="K1526">
            <v>0</v>
          </cell>
          <cell r="P1526">
            <v>0</v>
          </cell>
        </row>
        <row r="1527">
          <cell r="A1527" t="str">
            <v>LU1894683009</v>
          </cell>
          <cell r="B1527" t="str">
            <v>AMUNDI FUNDS US EQUITY RESEARCH VALUE</v>
          </cell>
          <cell r="C1527" t="str">
            <v>Class A USD (C)</v>
          </cell>
          <cell r="D1527" t="str">
            <v>USD</v>
          </cell>
          <cell r="E1527" t="str">
            <v>01-Dec-2025</v>
          </cell>
          <cell r="F1527">
            <v>81826239.599999994</v>
          </cell>
          <cell r="G1527">
            <v>267598.86200000002</v>
          </cell>
          <cell r="H1527">
            <v>305.77999999999997</v>
          </cell>
          <cell r="I1527">
            <v>0</v>
          </cell>
          <cell r="J1527">
            <v>319.54000000000002</v>
          </cell>
          <cell r="K1527">
            <v>-1.98</v>
          </cell>
          <cell r="P1527">
            <v>0</v>
          </cell>
        </row>
        <row r="1528">
          <cell r="A1528" t="str">
            <v>LU1894685558</v>
          </cell>
          <cell r="B1528" t="str">
            <v>AMUNDI FUNDS US EQUITY RESEARCH VALUE</v>
          </cell>
          <cell r="C1528" t="str">
            <v>Class M2 EUR (C)</v>
          </cell>
          <cell r="D1528" t="str">
            <v>EUR</v>
          </cell>
          <cell r="E1528" t="str">
            <v>01-Dec-2025</v>
          </cell>
          <cell r="F1528">
            <v>58749339.100000001</v>
          </cell>
          <cell r="G1528">
            <v>32988.898999999998</v>
          </cell>
          <cell r="H1528">
            <v>1780.88</v>
          </cell>
          <cell r="I1528">
            <v>0</v>
          </cell>
          <cell r="J1528">
            <v>1780.88</v>
          </cell>
          <cell r="K1528">
            <v>-15.18</v>
          </cell>
          <cell r="P1528">
            <v>0</v>
          </cell>
        </row>
        <row r="1529">
          <cell r="A1529" t="str">
            <v>LU1894683850</v>
          </cell>
          <cell r="B1529" t="str">
            <v>AMUNDI FUNDS US EQUITY RESEARCH VALUE</v>
          </cell>
          <cell r="C1529" t="str">
            <v>Class E2 EUR (C)</v>
          </cell>
          <cell r="D1529" t="str">
            <v>EUR</v>
          </cell>
          <cell r="E1529" t="str">
            <v>01-Dec-2025</v>
          </cell>
          <cell r="F1529">
            <v>7148007.9199999999</v>
          </cell>
          <cell r="G1529">
            <v>310135.71500000003</v>
          </cell>
          <cell r="H1529">
            <v>23.047999999999998</v>
          </cell>
          <cell r="I1529">
            <v>0</v>
          </cell>
          <cell r="J1529">
            <v>23.047999999999998</v>
          </cell>
          <cell r="K1529">
            <v>-0.19800000000000001</v>
          </cell>
          <cell r="P1529">
            <v>0</v>
          </cell>
        </row>
        <row r="1530">
          <cell r="A1530" t="str">
            <v>LU1894683934</v>
          </cell>
          <cell r="B1530" t="str">
            <v>AMUNDI FUNDS US EQUITY RESEARCH VALUE</v>
          </cell>
          <cell r="C1530" t="str">
            <v>Class E2 EUR Hgd (C)</v>
          </cell>
          <cell r="D1530" t="str">
            <v>EUR</v>
          </cell>
          <cell r="E1530" t="str">
            <v>01-Dec-2025</v>
          </cell>
          <cell r="F1530">
            <v>2107128.0299999998</v>
          </cell>
          <cell r="G1530">
            <v>281092.87599999999</v>
          </cell>
          <cell r="H1530">
            <v>7.4960000000000004</v>
          </cell>
          <cell r="I1530">
            <v>0</v>
          </cell>
          <cell r="J1530">
            <v>7.4960000000000004</v>
          </cell>
          <cell r="K1530">
            <v>-4.9000000000000002E-2</v>
          </cell>
          <cell r="P1530">
            <v>0</v>
          </cell>
        </row>
        <row r="1531">
          <cell r="A1531" t="str">
            <v>LU1894684072</v>
          </cell>
          <cell r="B1531" t="str">
            <v>AMUNDI FUNDS US EQUITY RESEARCH VALUE</v>
          </cell>
          <cell r="C1531" t="str">
            <v>Class F EUR (C)</v>
          </cell>
          <cell r="D1531" t="str">
            <v>EUR</v>
          </cell>
          <cell r="E1531" t="str">
            <v>01-Dec-2025</v>
          </cell>
          <cell r="F1531">
            <v>3651143</v>
          </cell>
          <cell r="G1531">
            <v>156015.329</v>
          </cell>
          <cell r="H1531">
            <v>23.402000000000001</v>
          </cell>
          <cell r="I1531">
            <v>0</v>
          </cell>
          <cell r="J1531">
            <v>23.402000000000001</v>
          </cell>
          <cell r="K1531">
            <v>-0.20300000000000001</v>
          </cell>
          <cell r="P1531">
            <v>0</v>
          </cell>
        </row>
        <row r="1532">
          <cell r="A1532" t="str">
            <v>LU1894684239</v>
          </cell>
          <cell r="B1532" t="str">
            <v>AMUNDI FUNDS US EQUITY RESEARCH VALUE</v>
          </cell>
          <cell r="C1532" t="str">
            <v>Class F2 USD (C)</v>
          </cell>
          <cell r="D1532" t="str">
            <v>USD</v>
          </cell>
          <cell r="E1532" t="str">
            <v>01-Dec-2025</v>
          </cell>
          <cell r="F1532">
            <v>906823.89</v>
          </cell>
          <cell r="G1532">
            <v>111559.126</v>
          </cell>
          <cell r="H1532">
            <v>8.1289999999999996</v>
          </cell>
          <cell r="I1532">
            <v>0</v>
          </cell>
          <cell r="J1532">
            <v>8.1289999999999996</v>
          </cell>
          <cell r="K1532">
            <v>-5.2999999999999999E-2</v>
          </cell>
          <cell r="P1532">
            <v>0</v>
          </cell>
        </row>
        <row r="1533">
          <cell r="A1533" t="str">
            <v>LU1894684155</v>
          </cell>
          <cell r="B1533" t="str">
            <v>AMUNDI FUNDS US EQUITY RESEARCH VALUE</v>
          </cell>
          <cell r="C1533" t="str">
            <v>Class F2 EUR Hgd (C)</v>
          </cell>
          <cell r="D1533" t="str">
            <v>EUR</v>
          </cell>
          <cell r="E1533" t="str">
            <v>01-Dec-2025</v>
          </cell>
          <cell r="F1533">
            <v>253277.12</v>
          </cell>
          <cell r="G1533">
            <v>35786.936999999998</v>
          </cell>
          <cell r="H1533">
            <v>7.077</v>
          </cell>
          <cell r="I1533">
            <v>0</v>
          </cell>
          <cell r="J1533">
            <v>7.077</v>
          </cell>
          <cell r="K1533">
            <v>-4.7E-2</v>
          </cell>
          <cell r="P1533">
            <v>0</v>
          </cell>
        </row>
        <row r="1534">
          <cell r="A1534" t="str">
            <v>LU1894685129</v>
          </cell>
          <cell r="B1534" t="str">
            <v>AMUNDI FUNDS US EQUITY RESEARCH VALUE</v>
          </cell>
          <cell r="C1534" t="str">
            <v>Class I2 USD (C)</v>
          </cell>
          <cell r="D1534" t="str">
            <v>USD</v>
          </cell>
          <cell r="E1534" t="str">
            <v>01-Dec-2025</v>
          </cell>
          <cell r="F1534">
            <v>36962502.799999997</v>
          </cell>
          <cell r="G1534">
            <v>5077.5439999999999</v>
          </cell>
          <cell r="H1534">
            <v>7279.6</v>
          </cell>
          <cell r="I1534">
            <v>0</v>
          </cell>
          <cell r="J1534">
            <v>7279.6</v>
          </cell>
          <cell r="K1534">
            <v>-46.57</v>
          </cell>
          <cell r="P1534">
            <v>0</v>
          </cell>
        </row>
        <row r="1535">
          <cell r="A1535" t="str">
            <v>LU1894685046</v>
          </cell>
          <cell r="B1535" t="str">
            <v>AMUNDI FUNDS US EQUITY RESEARCH VALUE</v>
          </cell>
          <cell r="C1535" t="str">
            <v>Class I2 EUR (C)</v>
          </cell>
          <cell r="D1535" t="str">
            <v>EUR</v>
          </cell>
          <cell r="E1535" t="str">
            <v>01-Dec-2025</v>
          </cell>
          <cell r="F1535">
            <v>42517010.82</v>
          </cell>
          <cell r="G1535">
            <v>6792.5060000000003</v>
          </cell>
          <cell r="H1535">
            <v>6259.4</v>
          </cell>
          <cell r="I1535">
            <v>0</v>
          </cell>
          <cell r="J1535">
            <v>6259.4</v>
          </cell>
          <cell r="K1535">
            <v>-53.34</v>
          </cell>
          <cell r="P1535">
            <v>0</v>
          </cell>
        </row>
        <row r="1536">
          <cell r="A1536" t="str">
            <v>LU2931223932</v>
          </cell>
          <cell r="B1536" t="str">
            <v>AMUNDI FUNDS US EQUITY RESEARCH VALUE</v>
          </cell>
          <cell r="C1536" t="str">
            <v>Class J21 EUR (C)</v>
          </cell>
          <cell r="D1536" t="str">
            <v>EUR</v>
          </cell>
          <cell r="E1536" t="str">
            <v>01-Dec-2025</v>
          </cell>
          <cell r="F1536">
            <v>26269482.739999998</v>
          </cell>
          <cell r="G1536">
            <v>27526.073</v>
          </cell>
          <cell r="H1536">
            <v>954.35</v>
          </cell>
          <cell r="I1536">
            <v>0</v>
          </cell>
          <cell r="J1536">
            <v>954.35</v>
          </cell>
          <cell r="K1536">
            <v>-8.1300000000000008</v>
          </cell>
          <cell r="P1536">
            <v>0</v>
          </cell>
        </row>
        <row r="1537">
          <cell r="A1537" t="str">
            <v>LU1894684585</v>
          </cell>
          <cell r="B1537" t="str">
            <v>AMUNDI FUNDS US EQUITY RESEARCH VALUE</v>
          </cell>
          <cell r="C1537" t="str">
            <v>Class G USD (C)</v>
          </cell>
          <cell r="D1537" t="str">
            <v>USD</v>
          </cell>
          <cell r="E1537" t="str">
            <v>01-Dec-2025</v>
          </cell>
          <cell r="F1537">
            <v>3909663.62</v>
          </cell>
          <cell r="G1537">
            <v>466610.76299999998</v>
          </cell>
          <cell r="H1537">
            <v>8.3789999999999996</v>
          </cell>
          <cell r="I1537">
            <v>0</v>
          </cell>
          <cell r="J1537">
            <v>8.6300000000000008</v>
          </cell>
          <cell r="K1537">
            <v>-5.3999999999999999E-2</v>
          </cell>
          <cell r="P1537">
            <v>0</v>
          </cell>
        </row>
        <row r="1538">
          <cell r="A1538" t="str">
            <v>LU1894684312</v>
          </cell>
          <cell r="B1538" t="str">
            <v>AMUNDI FUNDS US EQUITY RESEARCH VALUE</v>
          </cell>
          <cell r="C1538" t="str">
            <v>Class G EUR (C)</v>
          </cell>
          <cell r="D1538" t="str">
            <v>EUR</v>
          </cell>
          <cell r="E1538" t="str">
            <v>01-Dec-2025</v>
          </cell>
          <cell r="F1538">
            <v>793997.64</v>
          </cell>
          <cell r="G1538">
            <v>95549.380999999994</v>
          </cell>
          <cell r="H1538">
            <v>8.31</v>
          </cell>
          <cell r="I1538">
            <v>0</v>
          </cell>
          <cell r="J1538">
            <v>8.31</v>
          </cell>
          <cell r="K1538">
            <v>-7.0999999999999994E-2</v>
          </cell>
          <cell r="P1538">
            <v>0</v>
          </cell>
        </row>
        <row r="1539">
          <cell r="A1539" t="str">
            <v>LU1894684403</v>
          </cell>
          <cell r="B1539" t="str">
            <v>AMUNDI FUNDS US EQUITY RESEARCH VALUE</v>
          </cell>
          <cell r="C1539" t="str">
            <v>Class G EUR Hgd (C)</v>
          </cell>
          <cell r="D1539" t="str">
            <v>EUR</v>
          </cell>
          <cell r="E1539" t="str">
            <v>01-Dec-2025</v>
          </cell>
          <cell r="F1539">
            <v>2711270.54</v>
          </cell>
          <cell r="G1539">
            <v>371254.88099999999</v>
          </cell>
          <cell r="H1539">
            <v>7.3029999999999999</v>
          </cell>
          <cell r="I1539">
            <v>0</v>
          </cell>
          <cell r="J1539">
            <v>7.5220000000000002</v>
          </cell>
          <cell r="K1539">
            <v>-4.8000000000000001E-2</v>
          </cell>
          <cell r="P1539">
            <v>0</v>
          </cell>
        </row>
        <row r="1540">
          <cell r="A1540" t="str">
            <v>LU1894685392</v>
          </cell>
          <cell r="B1540" t="str">
            <v>AMUNDI FUNDS US EQUITY RESEARCH VALUE</v>
          </cell>
          <cell r="C1540" t="str">
            <v>Class M EUR Hgd (C)</v>
          </cell>
          <cell r="D1540" t="str">
            <v>EUR</v>
          </cell>
          <cell r="E1540" t="str">
            <v>01-Dec-2025</v>
          </cell>
          <cell r="F1540">
            <v>2284236.02</v>
          </cell>
          <cell r="G1540">
            <v>1455.614</v>
          </cell>
          <cell r="H1540">
            <v>1569.26</v>
          </cell>
          <cell r="I1540">
            <v>0</v>
          </cell>
          <cell r="J1540">
            <v>1569.26</v>
          </cell>
          <cell r="K1540">
            <v>-10.16</v>
          </cell>
          <cell r="P1540">
            <v>0</v>
          </cell>
        </row>
        <row r="1541">
          <cell r="A1541" t="str">
            <v>LU1894685475</v>
          </cell>
          <cell r="B1541" t="str">
            <v>AMUNDI FUNDS US EQUITY RESEARCH VALUE</v>
          </cell>
          <cell r="C1541" t="str">
            <v>Class M USD (C)</v>
          </cell>
          <cell r="D1541" t="str">
            <v>USD</v>
          </cell>
          <cell r="E1541" t="str">
            <v>01-Dec-2025</v>
          </cell>
          <cell r="F1541">
            <v>1994145.6</v>
          </cell>
          <cell r="G1541">
            <v>1105.578</v>
          </cell>
          <cell r="H1541">
            <v>1803.71</v>
          </cell>
          <cell r="I1541">
            <v>0</v>
          </cell>
          <cell r="J1541">
            <v>1803.71</v>
          </cell>
          <cell r="K1541">
            <v>-11.53</v>
          </cell>
          <cell r="P1541">
            <v>0</v>
          </cell>
        </row>
        <row r="1542">
          <cell r="A1542" t="str">
            <v>LU1894686523</v>
          </cell>
          <cell r="B1542" t="str">
            <v>AMUNDI FUNDS US EQUITY RESEARCH VALUE</v>
          </cell>
          <cell r="C1542" t="str">
            <v>Class R2 EUR (C)</v>
          </cell>
          <cell r="D1542" t="str">
            <v>EUR</v>
          </cell>
          <cell r="E1542" t="str">
            <v>01-Dec-2025</v>
          </cell>
          <cell r="F1542">
            <v>2276328.6800000002</v>
          </cell>
          <cell r="G1542">
            <v>24384.656999999999</v>
          </cell>
          <cell r="H1542">
            <v>93.35</v>
          </cell>
          <cell r="I1542">
            <v>0</v>
          </cell>
          <cell r="J1542">
            <v>93.35</v>
          </cell>
          <cell r="K1542">
            <v>-0.8</v>
          </cell>
          <cell r="P1542">
            <v>0</v>
          </cell>
        </row>
        <row r="1543">
          <cell r="A1543" t="str">
            <v>LU1894686796</v>
          </cell>
          <cell r="B1543" t="str">
            <v>AMUNDI FUNDS US EQUITY RESEARCH VALUE</v>
          </cell>
          <cell r="C1543" t="str">
            <v>Class R2 EUR Hgd (C)</v>
          </cell>
          <cell r="D1543" t="str">
            <v>EUR</v>
          </cell>
          <cell r="E1543" t="str">
            <v>01-Dec-2025</v>
          </cell>
          <cell r="F1543">
            <v>1597499.62</v>
          </cell>
          <cell r="G1543">
            <v>20549.800999999999</v>
          </cell>
          <cell r="H1543">
            <v>77.739999999999995</v>
          </cell>
          <cell r="I1543">
            <v>0</v>
          </cell>
          <cell r="J1543">
            <v>77.739999999999995</v>
          </cell>
          <cell r="K1543">
            <v>-0.5</v>
          </cell>
          <cell r="P1543">
            <v>0</v>
          </cell>
        </row>
        <row r="1544">
          <cell r="A1544" t="str">
            <v>LU1894685632</v>
          </cell>
          <cell r="B1544" t="str">
            <v>AMUNDI FUNDS US EQUITY RESEARCH VALUE</v>
          </cell>
          <cell r="C1544" t="str">
            <v>Class P2 USD (C)</v>
          </cell>
          <cell r="D1544" t="str">
            <v>USD</v>
          </cell>
          <cell r="E1544" t="str">
            <v>01-Dec-2025</v>
          </cell>
          <cell r="F1544">
            <v>648642.15</v>
          </cell>
          <cell r="G1544">
            <v>7268.6719999999996</v>
          </cell>
          <cell r="H1544">
            <v>89.24</v>
          </cell>
          <cell r="I1544">
            <v>0</v>
          </cell>
          <cell r="J1544">
            <v>89.24</v>
          </cell>
          <cell r="K1544">
            <v>-0.56999999999999995</v>
          </cell>
          <cell r="P1544">
            <v>0</v>
          </cell>
        </row>
        <row r="1545">
          <cell r="A1545" t="str">
            <v>LU1894685715</v>
          </cell>
          <cell r="B1545" t="str">
            <v>AMUNDI FUNDS US EQUITY RESEARCH VALUE</v>
          </cell>
          <cell r="C1545" t="str">
            <v>Class Q-D USD (C)</v>
          </cell>
          <cell r="D1545" t="str">
            <v>USD</v>
          </cell>
          <cell r="E1545" t="str">
            <v>01-Dec-2025</v>
          </cell>
          <cell r="F1545">
            <v>650994.91</v>
          </cell>
          <cell r="G1545">
            <v>7630.223</v>
          </cell>
          <cell r="H1545">
            <v>85.32</v>
          </cell>
          <cell r="I1545">
            <v>0</v>
          </cell>
          <cell r="J1545">
            <v>87.88</v>
          </cell>
          <cell r="K1545">
            <v>-0.56000000000000005</v>
          </cell>
          <cell r="P1545">
            <v>0</v>
          </cell>
        </row>
        <row r="1546">
          <cell r="A1546" t="str">
            <v>LU1894686366</v>
          </cell>
          <cell r="B1546" t="str">
            <v>AMUNDI FUNDS US EQUITY RESEARCH VALUE</v>
          </cell>
          <cell r="C1546" t="str">
            <v>Class R USD (C)</v>
          </cell>
          <cell r="D1546" t="str">
            <v>USD</v>
          </cell>
          <cell r="E1546" t="str">
            <v>01-Dec-2025</v>
          </cell>
          <cell r="F1546">
            <v>2619585.4900000002</v>
          </cell>
          <cell r="G1546">
            <v>29353.365000000002</v>
          </cell>
          <cell r="H1546">
            <v>89.24</v>
          </cell>
          <cell r="I1546">
            <v>0</v>
          </cell>
          <cell r="J1546">
            <v>89.24</v>
          </cell>
          <cell r="K1546">
            <v>-0.56999999999999995</v>
          </cell>
          <cell r="P1546">
            <v>0</v>
          </cell>
        </row>
        <row r="1547">
          <cell r="A1547" t="str">
            <v>LU1894686440</v>
          </cell>
          <cell r="B1547" t="str">
            <v>AMUNDI FUNDS US EQUITY RESEARCH VALUE</v>
          </cell>
          <cell r="C1547" t="str">
            <v>Class R USD AD (D)</v>
          </cell>
          <cell r="D1547" t="str">
            <v>USD</v>
          </cell>
          <cell r="E1547" t="str">
            <v>01-Dec-2025</v>
          </cell>
          <cell r="F1547">
            <v>879808.13</v>
          </cell>
          <cell r="G1547">
            <v>10474.481</v>
          </cell>
          <cell r="H1547">
            <v>84</v>
          </cell>
          <cell r="I1547">
            <v>0</v>
          </cell>
          <cell r="J1547">
            <v>84</v>
          </cell>
          <cell r="K1547">
            <v>-0.53</v>
          </cell>
          <cell r="P1547">
            <v>0</v>
          </cell>
        </row>
        <row r="1548">
          <cell r="A1548" t="str">
            <v>LU1894686879</v>
          </cell>
          <cell r="B1548" t="str">
            <v>AMUNDI FUNDS US EQUITY RESEARCH VALUE</v>
          </cell>
          <cell r="C1548" t="str">
            <v>Class R2 USD (C)</v>
          </cell>
          <cell r="D1548" t="str">
            <v>USD</v>
          </cell>
          <cell r="E1548" t="str">
            <v>01-Dec-2025</v>
          </cell>
          <cell r="F1548">
            <v>53161.02</v>
          </cell>
          <cell r="G1548">
            <v>489.69200000000001</v>
          </cell>
          <cell r="H1548">
            <v>108.56</v>
          </cell>
          <cell r="I1548">
            <v>0</v>
          </cell>
          <cell r="J1548">
            <v>108.56</v>
          </cell>
          <cell r="K1548">
            <v>-0.7</v>
          </cell>
          <cell r="P1548">
            <v>0</v>
          </cell>
        </row>
        <row r="1549">
          <cell r="A1549" t="str">
            <v>LU3208846678</v>
          </cell>
          <cell r="B1549" t="str">
            <v>AMUNDI FUNDS US EQUITY RESEARCH VALUE</v>
          </cell>
          <cell r="C1549" t="str">
            <v>Class X2 EUR (C)</v>
          </cell>
          <cell r="D1549" t="str">
            <v>EUR</v>
          </cell>
          <cell r="E1549" t="str">
            <v>01-Dec-2025</v>
          </cell>
          <cell r="F1549">
            <v>2338989.8199999998</v>
          </cell>
          <cell r="G1549">
            <v>2341.576</v>
          </cell>
          <cell r="H1549">
            <v>998.9</v>
          </cell>
          <cell r="I1549">
            <v>0</v>
          </cell>
          <cell r="J1549">
            <v>998.9</v>
          </cell>
          <cell r="K1549">
            <v>-8.44</v>
          </cell>
          <cell r="P1549">
            <v>0</v>
          </cell>
        </row>
        <row r="1550">
          <cell r="A1550" t="str">
            <v>LU1894684668</v>
          </cell>
          <cell r="B1550" t="str">
            <v>AMUNDI FUNDS US EQUITY RESEARCH VALUE</v>
          </cell>
          <cell r="C1550" t="str">
            <v>Class I EUR Hgd (C)</v>
          </cell>
          <cell r="D1550" t="str">
            <v>EUR</v>
          </cell>
          <cell r="E1550" t="str">
            <v>01-Dec-2025</v>
          </cell>
          <cell r="F1550">
            <v>131809.37</v>
          </cell>
          <cell r="G1550">
            <v>83.777000000000001</v>
          </cell>
          <cell r="H1550">
            <v>1573.34</v>
          </cell>
          <cell r="I1550">
            <v>0</v>
          </cell>
          <cell r="J1550">
            <v>1573.34</v>
          </cell>
          <cell r="K1550">
            <v>-10.18</v>
          </cell>
          <cell r="P1550">
            <v>0</v>
          </cell>
        </row>
        <row r="1551">
          <cell r="A1551" t="str">
            <v>LU1894684742</v>
          </cell>
          <cell r="B1551" t="str">
            <v>AMUNDI FUNDS US EQUITY RESEARCH VALUE</v>
          </cell>
          <cell r="C1551" t="str">
            <v>Class I USD (C)</v>
          </cell>
          <cell r="D1551" t="str">
            <v>USD</v>
          </cell>
          <cell r="E1551" t="str">
            <v>01-Dec-2025</v>
          </cell>
          <cell r="F1551">
            <v>2429934.37</v>
          </cell>
          <cell r="G1551">
            <v>1347.231</v>
          </cell>
          <cell r="H1551">
            <v>1803.65</v>
          </cell>
          <cell r="I1551">
            <v>0</v>
          </cell>
          <cell r="J1551">
            <v>1803.65</v>
          </cell>
          <cell r="K1551">
            <v>-11.52</v>
          </cell>
          <cell r="P1551">
            <v>0</v>
          </cell>
        </row>
        <row r="1552">
          <cell r="A1552" t="str">
            <v>LU1894684825</v>
          </cell>
          <cell r="B1552" t="str">
            <v>AMUNDI FUNDS US EQUITY RESEARCH VALUE</v>
          </cell>
          <cell r="C1552" t="str">
            <v>Class I USD AD (D)</v>
          </cell>
          <cell r="D1552" t="str">
            <v>USD</v>
          </cell>
          <cell r="E1552" t="str">
            <v>01-Dec-2025</v>
          </cell>
          <cell r="F1552">
            <v>369989.96</v>
          </cell>
          <cell r="G1552">
            <v>220.87100000000001</v>
          </cell>
          <cell r="H1552">
            <v>1675.14</v>
          </cell>
          <cell r="I1552">
            <v>0</v>
          </cell>
          <cell r="J1552">
            <v>1675.14</v>
          </cell>
          <cell r="K1552">
            <v>-10.7</v>
          </cell>
          <cell r="P1552">
            <v>0</v>
          </cell>
        </row>
        <row r="1553">
          <cell r="A1553" t="str">
            <v>LU1883854199</v>
          </cell>
          <cell r="B1553" t="str">
            <v>AMUNDI FUNDS US EQUITY FUNDAMENTAL GROWTH</v>
          </cell>
          <cell r="C1553" t="str">
            <v>Class A EUR (C)</v>
          </cell>
          <cell r="D1553" t="str">
            <v>EUR</v>
          </cell>
          <cell r="E1553" t="str">
            <v>01-Dec-2025</v>
          </cell>
          <cell r="F1553">
            <v>488843759.25999999</v>
          </cell>
          <cell r="G1553">
            <v>822380.103</v>
          </cell>
          <cell r="H1553">
            <v>594.42999999999995</v>
          </cell>
          <cell r="I1553">
            <v>0</v>
          </cell>
          <cell r="J1553">
            <v>621.17999999999995</v>
          </cell>
          <cell r="K1553">
            <v>-1.04</v>
          </cell>
          <cell r="P1553">
            <v>0</v>
          </cell>
        </row>
        <row r="1554">
          <cell r="A1554" t="str">
            <v>LU2819204210</v>
          </cell>
          <cell r="B1554" t="str">
            <v>AMUNDI FUNDS US EQUITY FUNDAMENTAL GROWTH</v>
          </cell>
          <cell r="C1554" t="str">
            <v>Class A2 USD (C)</v>
          </cell>
          <cell r="D1554" t="str">
            <v>USD</v>
          </cell>
          <cell r="E1554" t="str">
            <v>01-Dec-2025</v>
          </cell>
          <cell r="F1554">
            <v>101867260.56999999</v>
          </cell>
          <cell r="G1554">
            <v>1729933.0819999999</v>
          </cell>
          <cell r="H1554">
            <v>58.89</v>
          </cell>
          <cell r="I1554">
            <v>0</v>
          </cell>
          <cell r="J1554">
            <v>58.89</v>
          </cell>
          <cell r="K1554">
            <v>0.02</v>
          </cell>
          <cell r="P1554">
            <v>0</v>
          </cell>
        </row>
        <row r="1555">
          <cell r="A1555" t="str">
            <v>LU3081004486</v>
          </cell>
          <cell r="B1555" t="str">
            <v>AMUNDI FUNDS US EQUITY FUNDAMENTAL GROWTH</v>
          </cell>
          <cell r="C1555" t="str">
            <v>Class A2 EUR (C)</v>
          </cell>
          <cell r="D1555" t="str">
            <v>EUR</v>
          </cell>
          <cell r="E1555" t="str">
            <v>01-Dec-2025</v>
          </cell>
          <cell r="F1555">
            <v>19557535.460000001</v>
          </cell>
          <cell r="G1555">
            <v>390859.79</v>
          </cell>
          <cell r="H1555">
            <v>50.04</v>
          </cell>
          <cell r="I1555">
            <v>0</v>
          </cell>
          <cell r="J1555">
            <v>52.29</v>
          </cell>
          <cell r="K1555">
            <v>-0.09</v>
          </cell>
          <cell r="P1555">
            <v>0</v>
          </cell>
        </row>
        <row r="1556">
          <cell r="A1556" t="str">
            <v>LU2032056603</v>
          </cell>
          <cell r="B1556" t="str">
            <v>AMUNDI FUNDS US EQUITY FUNDAMENTAL GROWTH</v>
          </cell>
          <cell r="C1556" t="str">
            <v>Class A5 EUR (C)</v>
          </cell>
          <cell r="D1556" t="str">
            <v>EUR</v>
          </cell>
          <cell r="E1556" t="str">
            <v>01-Dec-2025</v>
          </cell>
          <cell r="F1556">
            <v>275720.5</v>
          </cell>
          <cell r="G1556">
            <v>2576.087</v>
          </cell>
          <cell r="H1556">
            <v>107.03</v>
          </cell>
          <cell r="I1556">
            <v>0</v>
          </cell>
          <cell r="J1556">
            <v>107.03</v>
          </cell>
          <cell r="K1556">
            <v>-0.19</v>
          </cell>
          <cell r="P1556">
            <v>0</v>
          </cell>
        </row>
        <row r="1557">
          <cell r="A1557" t="str">
            <v>LU1883854439</v>
          </cell>
          <cell r="B1557" t="str">
            <v>AMUNDI FUNDS US EQUITY FUNDAMENTAL GROWTH</v>
          </cell>
          <cell r="C1557" t="str">
            <v>Class A USD AD (D)</v>
          </cell>
          <cell r="D1557" t="str">
            <v>USD</v>
          </cell>
          <cell r="E1557" t="str">
            <v>01-Dec-2025</v>
          </cell>
          <cell r="F1557">
            <v>3805285.11</v>
          </cell>
          <cell r="G1557">
            <v>22323.192999999999</v>
          </cell>
          <cell r="H1557">
            <v>170.46</v>
          </cell>
          <cell r="I1557">
            <v>0</v>
          </cell>
          <cell r="J1557">
            <v>178.13</v>
          </cell>
          <cell r="K1557">
            <v>0.06</v>
          </cell>
          <cell r="P1557">
            <v>0</v>
          </cell>
        </row>
        <row r="1558">
          <cell r="A1558" t="str">
            <v>LU1883854272</v>
          </cell>
          <cell r="B1558" t="str">
            <v>AMUNDI FUNDS US EQUITY FUNDAMENTAL GROWTH</v>
          </cell>
          <cell r="C1558" t="str">
            <v>Class A EUR Hgd (C)</v>
          </cell>
          <cell r="D1558" t="str">
            <v>EUR</v>
          </cell>
          <cell r="E1558" t="str">
            <v>01-Dec-2025</v>
          </cell>
          <cell r="F1558">
            <v>51188617.969999999</v>
          </cell>
          <cell r="G1558">
            <v>231392.07399999999</v>
          </cell>
          <cell r="H1558">
            <v>221.22</v>
          </cell>
          <cell r="I1558">
            <v>0</v>
          </cell>
          <cell r="J1558">
            <v>231.17</v>
          </cell>
          <cell r="K1558">
            <v>0.06</v>
          </cell>
          <cell r="P1558">
            <v>0</v>
          </cell>
        </row>
        <row r="1559">
          <cell r="A1559" t="str">
            <v>LU1883854355</v>
          </cell>
          <cell r="B1559" t="str">
            <v>AMUNDI FUNDS US EQUITY FUNDAMENTAL GROWTH</v>
          </cell>
          <cell r="C1559" t="str">
            <v>Class A USD (C)</v>
          </cell>
          <cell r="D1559" t="str">
            <v>USD</v>
          </cell>
          <cell r="E1559" t="str">
            <v>01-Dec-2025</v>
          </cell>
          <cell r="F1559">
            <v>502755996.70999998</v>
          </cell>
          <cell r="G1559">
            <v>726566.41700000002</v>
          </cell>
          <cell r="H1559">
            <v>691.96</v>
          </cell>
          <cell r="I1559">
            <v>0</v>
          </cell>
          <cell r="J1559">
            <v>723.1</v>
          </cell>
          <cell r="K1559">
            <v>0.24</v>
          </cell>
          <cell r="P1559">
            <v>0</v>
          </cell>
        </row>
        <row r="1560">
          <cell r="A1560" t="str">
            <v>LU1883856053</v>
          </cell>
          <cell r="B1560" t="str">
            <v>AMUNDI FUNDS US EQUITY FUNDAMENTAL GROWTH</v>
          </cell>
          <cell r="C1560" t="str">
            <v>Class M2 EUR (C)</v>
          </cell>
          <cell r="D1560" t="str">
            <v>EUR</v>
          </cell>
          <cell r="E1560" t="str">
            <v>01-Dec-2025</v>
          </cell>
          <cell r="F1560">
            <v>107797399.95999999</v>
          </cell>
          <cell r="G1560">
            <v>9741.6830000000009</v>
          </cell>
          <cell r="H1560">
            <v>11065.58</v>
          </cell>
          <cell r="I1560">
            <v>0</v>
          </cell>
          <cell r="J1560">
            <v>11065.58</v>
          </cell>
          <cell r="K1560">
            <v>-18.649999999999999</v>
          </cell>
          <cell r="P1560">
            <v>0</v>
          </cell>
        </row>
        <row r="1561">
          <cell r="A1561" t="str">
            <v>LU2002723661</v>
          </cell>
          <cell r="B1561" t="str">
            <v>AMUNDI FUNDS US EQUITY FUNDAMENTAL GROWTH</v>
          </cell>
          <cell r="C1561" t="str">
            <v>Class M2 EUR Hgd (C)</v>
          </cell>
          <cell r="D1561" t="str">
            <v>EUR</v>
          </cell>
          <cell r="E1561" t="str">
            <v>01-Dec-2025</v>
          </cell>
          <cell r="F1561">
            <v>434462.53</v>
          </cell>
          <cell r="G1561">
            <v>200.119</v>
          </cell>
          <cell r="H1561">
            <v>2171.02</v>
          </cell>
          <cell r="I1561">
            <v>0</v>
          </cell>
          <cell r="J1561">
            <v>2171.02</v>
          </cell>
          <cell r="K1561">
            <v>0.76</v>
          </cell>
          <cell r="P1561">
            <v>0</v>
          </cell>
        </row>
        <row r="1562">
          <cell r="A1562" t="str">
            <v>LU1883854868</v>
          </cell>
          <cell r="B1562" t="str">
            <v>AMUNDI FUNDS US EQUITY FUNDAMENTAL GROWTH</v>
          </cell>
          <cell r="C1562" t="str">
            <v>Class E2 EUR (C)</v>
          </cell>
          <cell r="D1562" t="str">
            <v>EUR</v>
          </cell>
          <cell r="E1562" t="str">
            <v>01-Dec-2025</v>
          </cell>
          <cell r="F1562">
            <v>614230683.87</v>
          </cell>
          <cell r="G1562">
            <v>12809569.488</v>
          </cell>
          <cell r="H1562">
            <v>47.951000000000001</v>
          </cell>
          <cell r="I1562">
            <v>0</v>
          </cell>
          <cell r="J1562">
            <v>47.951000000000001</v>
          </cell>
          <cell r="K1562">
            <v>-8.4000000000000005E-2</v>
          </cell>
          <cell r="P1562">
            <v>0</v>
          </cell>
        </row>
        <row r="1563">
          <cell r="A1563" t="str">
            <v>LU1883854942</v>
          </cell>
          <cell r="B1563" t="str">
            <v>AMUNDI FUNDS US EQUITY FUNDAMENTAL GROWTH</v>
          </cell>
          <cell r="C1563" t="str">
            <v>Class E2 EUR Hgd (C)</v>
          </cell>
          <cell r="D1563" t="str">
            <v>EUR</v>
          </cell>
          <cell r="E1563" t="str">
            <v>01-Dec-2025</v>
          </cell>
          <cell r="F1563">
            <v>57364729.049999997</v>
          </cell>
          <cell r="G1563">
            <v>141279.79999999999</v>
          </cell>
          <cell r="H1563">
            <v>406.036</v>
          </cell>
          <cell r="I1563">
            <v>0</v>
          </cell>
          <cell r="J1563">
            <v>406.036</v>
          </cell>
          <cell r="K1563">
            <v>0.107</v>
          </cell>
          <cell r="P1563">
            <v>0</v>
          </cell>
        </row>
        <row r="1564">
          <cell r="A1564" t="str">
            <v>LU1883855089</v>
          </cell>
          <cell r="B1564" t="str">
            <v>AMUNDI FUNDS US EQUITY FUNDAMENTAL GROWTH</v>
          </cell>
          <cell r="C1564" t="str">
            <v>Class F EUR (C)</v>
          </cell>
          <cell r="D1564" t="str">
            <v>EUR</v>
          </cell>
          <cell r="E1564" t="str">
            <v>01-Dec-2025</v>
          </cell>
          <cell r="F1564">
            <v>48258998.340000004</v>
          </cell>
          <cell r="G1564">
            <v>910378.28500000003</v>
          </cell>
          <cell r="H1564">
            <v>53.01</v>
          </cell>
          <cell r="I1564">
            <v>0</v>
          </cell>
          <cell r="J1564">
            <v>53.01</v>
          </cell>
          <cell r="K1564">
            <v>-9.6000000000000002E-2</v>
          </cell>
          <cell r="P1564">
            <v>0</v>
          </cell>
        </row>
        <row r="1565">
          <cell r="A1565" t="str">
            <v>LU1897311590</v>
          </cell>
          <cell r="B1565" t="str">
            <v>AMUNDI FUNDS US EQUITY FUNDAMENTAL GROWTH</v>
          </cell>
          <cell r="C1565" t="str">
            <v>Class I2 GBP (C)</v>
          </cell>
          <cell r="D1565" t="str">
            <v>GBP</v>
          </cell>
          <cell r="E1565" t="str">
            <v>01-Dec-2025</v>
          </cell>
          <cell r="F1565">
            <v>36318.949999999997</v>
          </cell>
          <cell r="G1565">
            <v>16.297999999999998</v>
          </cell>
          <cell r="H1565">
            <v>2228.4299999999998</v>
          </cell>
          <cell r="I1565">
            <v>0</v>
          </cell>
          <cell r="J1565">
            <v>2228.4299999999998</v>
          </cell>
          <cell r="K1565">
            <v>0.56999999999999995</v>
          </cell>
          <cell r="P1565">
            <v>0</v>
          </cell>
        </row>
        <row r="1566">
          <cell r="A1566" t="str">
            <v>LU2361678019</v>
          </cell>
          <cell r="B1566" t="str">
            <v>AMUNDI FUNDS US EQUITY FUNDAMENTAL GROWTH</v>
          </cell>
          <cell r="C1566" t="str">
            <v>Class I EUR (C)</v>
          </cell>
          <cell r="D1566" t="str">
            <v>EUR</v>
          </cell>
          <cell r="E1566" t="str">
            <v>01-Dec-2025</v>
          </cell>
          <cell r="F1566">
            <v>7841.04</v>
          </cell>
          <cell r="G1566">
            <v>5</v>
          </cell>
          <cell r="H1566">
            <v>1568.21</v>
          </cell>
          <cell r="I1566">
            <v>0</v>
          </cell>
          <cell r="J1566">
            <v>1568.21</v>
          </cell>
          <cell r="K1566">
            <v>-2.63</v>
          </cell>
          <cell r="P1566">
            <v>0</v>
          </cell>
        </row>
        <row r="1567">
          <cell r="A1567" t="str">
            <v>LU1883855675</v>
          </cell>
          <cell r="B1567" t="str">
            <v>AMUNDI FUNDS US EQUITY FUNDAMENTAL GROWTH</v>
          </cell>
          <cell r="C1567" t="str">
            <v>Class I2 USD (C)</v>
          </cell>
          <cell r="D1567" t="str">
            <v>USD</v>
          </cell>
          <cell r="E1567" t="str">
            <v>01-Dec-2025</v>
          </cell>
          <cell r="F1567">
            <v>180774525.49000001</v>
          </cell>
          <cell r="G1567">
            <v>11083.003000000001</v>
          </cell>
          <cell r="H1567">
            <v>16310.97</v>
          </cell>
          <cell r="I1567">
            <v>0</v>
          </cell>
          <cell r="J1567">
            <v>16310.97</v>
          </cell>
          <cell r="K1567">
            <v>6.93</v>
          </cell>
          <cell r="P1567">
            <v>0</v>
          </cell>
        </row>
        <row r="1568">
          <cell r="A1568" t="str">
            <v>LU1883855758</v>
          </cell>
          <cell r="B1568" t="str">
            <v>AMUNDI FUNDS US EQUITY FUNDAMENTAL GROWTH</v>
          </cell>
          <cell r="C1568" t="str">
            <v>Class I2 USD AD (D)</v>
          </cell>
          <cell r="D1568" t="str">
            <v>USD</v>
          </cell>
          <cell r="E1568" t="str">
            <v>01-Dec-2025</v>
          </cell>
          <cell r="F1568">
            <v>1328106.1299999999</v>
          </cell>
          <cell r="G1568">
            <v>366.78399999999999</v>
          </cell>
          <cell r="H1568">
            <v>3620.95</v>
          </cell>
          <cell r="I1568">
            <v>0</v>
          </cell>
          <cell r="J1568">
            <v>3620.95</v>
          </cell>
          <cell r="K1568">
            <v>1.54</v>
          </cell>
          <cell r="P1568">
            <v>0</v>
          </cell>
        </row>
        <row r="1569">
          <cell r="A1569" t="str">
            <v>LU1883855592</v>
          </cell>
          <cell r="B1569" t="str">
            <v>AMUNDI FUNDS US EQUITY FUNDAMENTAL GROWTH</v>
          </cell>
          <cell r="C1569" t="str">
            <v>Class I2 EUR Hgd AD (D)</v>
          </cell>
          <cell r="D1569" t="str">
            <v>EUR</v>
          </cell>
          <cell r="E1569" t="str">
            <v>01-Dec-2025</v>
          </cell>
          <cell r="F1569">
            <v>9246226.9000000004</v>
          </cell>
          <cell r="G1569">
            <v>2976</v>
          </cell>
          <cell r="H1569">
            <v>3106.93</v>
          </cell>
          <cell r="I1569">
            <v>0</v>
          </cell>
          <cell r="J1569">
            <v>3106.93</v>
          </cell>
          <cell r="K1569">
            <v>1.08</v>
          </cell>
          <cell r="P1569">
            <v>0</v>
          </cell>
        </row>
        <row r="1570">
          <cell r="A1570" t="str">
            <v>LU1883855329</v>
          </cell>
          <cell r="B1570" t="str">
            <v>AMUNDI FUNDS US EQUITY FUNDAMENTAL GROWTH</v>
          </cell>
          <cell r="C1570" t="str">
            <v>Class I2 EUR Hgd (C)</v>
          </cell>
          <cell r="D1570" t="str">
            <v>EUR</v>
          </cell>
          <cell r="E1570" t="str">
            <v>01-Dec-2025</v>
          </cell>
          <cell r="F1570">
            <v>15341844.779999999</v>
          </cell>
          <cell r="G1570">
            <v>5127.241</v>
          </cell>
          <cell r="H1570">
            <v>2992.22</v>
          </cell>
          <cell r="I1570">
            <v>0</v>
          </cell>
          <cell r="J1570">
            <v>2992.22</v>
          </cell>
          <cell r="K1570">
            <v>1.05</v>
          </cell>
          <cell r="P1570">
            <v>0</v>
          </cell>
        </row>
        <row r="1571">
          <cell r="A1571" t="str">
            <v>LU1883855246</v>
          </cell>
          <cell r="B1571" t="str">
            <v>AMUNDI FUNDS US EQUITY FUNDAMENTAL GROWTH</v>
          </cell>
          <cell r="C1571" t="str">
            <v>Class I2 EUR (C)</v>
          </cell>
          <cell r="D1571" t="str">
            <v>EUR</v>
          </cell>
          <cell r="E1571" t="str">
            <v>01-Dec-2025</v>
          </cell>
          <cell r="F1571">
            <v>101894846.84999999</v>
          </cell>
          <cell r="G1571">
            <v>7265.2939999999999</v>
          </cell>
          <cell r="H1571">
            <v>14024.88</v>
          </cell>
          <cell r="I1571">
            <v>0</v>
          </cell>
          <cell r="J1571">
            <v>14024.88</v>
          </cell>
          <cell r="K1571">
            <v>-23.63</v>
          </cell>
          <cell r="P1571">
            <v>0</v>
          </cell>
        </row>
        <row r="1572">
          <cell r="A1572" t="str">
            <v>LU2052287567</v>
          </cell>
          <cell r="B1572" t="str">
            <v>AMUNDI FUNDS US EQUITY FUNDAMENTAL GROWTH</v>
          </cell>
          <cell r="C1572" t="str">
            <v>Class J3 GBP AD (D)</v>
          </cell>
          <cell r="D1572" t="str">
            <v>GBP</v>
          </cell>
          <cell r="E1572" t="str">
            <v>01-Dec-2025</v>
          </cell>
          <cell r="F1572">
            <v>11305.17</v>
          </cell>
          <cell r="G1572">
            <v>5</v>
          </cell>
          <cell r="H1572">
            <v>2261.0300000000002</v>
          </cell>
          <cell r="I1572">
            <v>0</v>
          </cell>
          <cell r="J1572">
            <v>2261.0300000000002</v>
          </cell>
          <cell r="K1572">
            <v>0.6</v>
          </cell>
          <cell r="P1572">
            <v>0</v>
          </cell>
        </row>
        <row r="1573">
          <cell r="A1573" t="str">
            <v>LU2732984955</v>
          </cell>
          <cell r="B1573" t="str">
            <v>AMUNDI FUNDS US EQUITY FUNDAMENTAL GROWTH</v>
          </cell>
          <cell r="C1573" t="str">
            <v>Class J2 EUR (C)</v>
          </cell>
          <cell r="D1573" t="str">
            <v>EUR</v>
          </cell>
          <cell r="E1573" t="str">
            <v>01-Dec-2025</v>
          </cell>
          <cell r="F1573">
            <v>208577332.37</v>
          </cell>
          <cell r="G1573">
            <v>179678.06099999999</v>
          </cell>
          <cell r="H1573">
            <v>1160.8399999999999</v>
          </cell>
          <cell r="I1573">
            <v>0</v>
          </cell>
          <cell r="J1573">
            <v>1160.8399999999999</v>
          </cell>
          <cell r="K1573">
            <v>-1.94</v>
          </cell>
          <cell r="P1573">
            <v>0</v>
          </cell>
        </row>
        <row r="1574">
          <cell r="A1574" t="str">
            <v>LU2052287484</v>
          </cell>
          <cell r="B1574" t="str">
            <v>AMUNDI FUNDS US EQUITY FUNDAMENTAL GROWTH</v>
          </cell>
          <cell r="C1574" t="str">
            <v>Class J3 GBP (C)</v>
          </cell>
          <cell r="D1574" t="str">
            <v>GBP</v>
          </cell>
          <cell r="E1574" t="str">
            <v>01-Dec-2025</v>
          </cell>
          <cell r="F1574">
            <v>11318.45</v>
          </cell>
          <cell r="G1574">
            <v>5</v>
          </cell>
          <cell r="H1574">
            <v>2263.69</v>
          </cell>
          <cell r="I1574">
            <v>0</v>
          </cell>
          <cell r="J1574">
            <v>2263.69</v>
          </cell>
          <cell r="K1574">
            <v>0.61</v>
          </cell>
          <cell r="P1574">
            <v>0</v>
          </cell>
        </row>
        <row r="1575">
          <cell r="A1575" t="str">
            <v>LU1883855832</v>
          </cell>
          <cell r="B1575" t="str">
            <v>AMUNDI FUNDS US EQUITY FUNDAMENTAL GROWTH</v>
          </cell>
          <cell r="C1575" t="str">
            <v>Class J2 GBP (C)</v>
          </cell>
          <cell r="D1575" t="str">
            <v>GBP</v>
          </cell>
          <cell r="E1575" t="str">
            <v>01-Dec-2025</v>
          </cell>
          <cell r="F1575">
            <v>28438124.710000001</v>
          </cell>
          <cell r="G1575">
            <v>9901.6020000000008</v>
          </cell>
          <cell r="H1575">
            <v>2872.07</v>
          </cell>
          <cell r="I1575">
            <v>0</v>
          </cell>
          <cell r="J1575">
            <v>2872.07</v>
          </cell>
          <cell r="K1575">
            <v>0.79</v>
          </cell>
          <cell r="P1575">
            <v>0</v>
          </cell>
        </row>
        <row r="1576">
          <cell r="A1576" t="str">
            <v>LU1883855915</v>
          </cell>
          <cell r="B1576" t="str">
            <v>AMUNDI FUNDS US EQUITY FUNDAMENTAL GROWTH</v>
          </cell>
          <cell r="C1576" t="str">
            <v>Class J2 USD (C)</v>
          </cell>
          <cell r="D1576" t="str">
            <v>USD</v>
          </cell>
          <cell r="E1576" t="str">
            <v>01-Dec-2025</v>
          </cell>
          <cell r="F1576">
            <v>511198352.26999998</v>
          </cell>
          <cell r="G1576">
            <v>134441.34899999999</v>
          </cell>
          <cell r="H1576">
            <v>3802.39</v>
          </cell>
          <cell r="I1576">
            <v>0</v>
          </cell>
          <cell r="J1576">
            <v>3802.39</v>
          </cell>
          <cell r="K1576">
            <v>1.68</v>
          </cell>
          <cell r="P1576">
            <v>0</v>
          </cell>
        </row>
        <row r="1577">
          <cell r="A1577" t="str">
            <v>LU1883855162</v>
          </cell>
          <cell r="B1577" t="str">
            <v>AMUNDI FUNDS US EQUITY FUNDAMENTAL GROWTH</v>
          </cell>
          <cell r="C1577" t="str">
            <v>Class G EUR (C)</v>
          </cell>
          <cell r="D1577" t="str">
            <v>EUR</v>
          </cell>
          <cell r="E1577" t="str">
            <v>01-Dec-2025</v>
          </cell>
          <cell r="F1577">
            <v>100053144.79000001</v>
          </cell>
          <cell r="G1577">
            <v>7649332.9409999996</v>
          </cell>
          <cell r="H1577">
            <v>13.08</v>
          </cell>
          <cell r="I1577">
            <v>0</v>
          </cell>
          <cell r="J1577">
            <v>13.08</v>
          </cell>
          <cell r="K1577">
            <v>-2.3E-2</v>
          </cell>
          <cell r="P1577">
            <v>0</v>
          </cell>
        </row>
        <row r="1578">
          <cell r="A1578" t="str">
            <v>LU1883856301</v>
          </cell>
          <cell r="B1578" t="str">
            <v>AMUNDI FUNDS US EQUITY FUNDAMENTAL GROWTH</v>
          </cell>
          <cell r="C1578" t="str">
            <v>Class R2 EUR (C)</v>
          </cell>
          <cell r="D1578" t="str">
            <v>EUR</v>
          </cell>
          <cell r="E1578" t="str">
            <v>01-Dec-2025</v>
          </cell>
          <cell r="F1578">
            <v>37046854.060000002</v>
          </cell>
          <cell r="G1578">
            <v>143348.09099999999</v>
          </cell>
          <cell r="H1578">
            <v>258.44</v>
          </cell>
          <cell r="I1578">
            <v>0</v>
          </cell>
          <cell r="J1578">
            <v>258.44</v>
          </cell>
          <cell r="K1578">
            <v>-0.44</v>
          </cell>
          <cell r="P1578">
            <v>0</v>
          </cell>
        </row>
        <row r="1579">
          <cell r="A1579" t="str">
            <v>LU1883856566</v>
          </cell>
          <cell r="B1579" t="str">
            <v>AMUNDI FUNDS US EQUITY FUNDAMENTAL GROWTH</v>
          </cell>
          <cell r="C1579" t="str">
            <v>Class R2 GBP (C)</v>
          </cell>
          <cell r="D1579" t="str">
            <v>GBP</v>
          </cell>
          <cell r="E1579" t="str">
            <v>01-Dec-2025</v>
          </cell>
          <cell r="F1579">
            <v>2219620.14</v>
          </cell>
          <cell r="G1579">
            <v>6541.3180000000002</v>
          </cell>
          <cell r="H1579">
            <v>339.32</v>
          </cell>
          <cell r="I1579">
            <v>0</v>
          </cell>
          <cell r="J1579">
            <v>339.32</v>
          </cell>
          <cell r="K1579">
            <v>7.0000000000000007E-2</v>
          </cell>
          <cell r="P1579">
            <v>0</v>
          </cell>
        </row>
        <row r="1580">
          <cell r="A1580" t="str">
            <v>LU1883856483</v>
          </cell>
          <cell r="B1580" t="str">
            <v>AMUNDI FUNDS US EQUITY FUNDAMENTAL GROWTH</v>
          </cell>
          <cell r="C1580" t="str">
            <v>Class R2 EUR Hgd (C)</v>
          </cell>
          <cell r="D1580" t="str">
            <v>EUR</v>
          </cell>
          <cell r="E1580" t="str">
            <v>01-Dec-2025</v>
          </cell>
          <cell r="F1580">
            <v>17334306.600000001</v>
          </cell>
          <cell r="G1580">
            <v>141336.53899999999</v>
          </cell>
          <cell r="H1580">
            <v>122.65</v>
          </cell>
          <cell r="I1580">
            <v>0</v>
          </cell>
          <cell r="J1580">
            <v>122.65</v>
          </cell>
          <cell r="K1580">
            <v>0.05</v>
          </cell>
          <cell r="P1580">
            <v>0</v>
          </cell>
        </row>
        <row r="1581">
          <cell r="A1581" t="str">
            <v>LU1883856137</v>
          </cell>
          <cell r="B1581" t="str">
            <v>AMUNDI FUNDS US EQUITY FUNDAMENTAL GROWTH</v>
          </cell>
          <cell r="C1581" t="str">
            <v>Class P2 USD (C)</v>
          </cell>
          <cell r="D1581" t="str">
            <v>USD</v>
          </cell>
          <cell r="E1581" t="str">
            <v>01-Dec-2025</v>
          </cell>
          <cell r="F1581">
            <v>28589425.120000001</v>
          </cell>
          <cell r="G1581">
            <v>161931.304</v>
          </cell>
          <cell r="H1581">
            <v>176.55</v>
          </cell>
          <cell r="I1581">
            <v>0</v>
          </cell>
          <cell r="J1581">
            <v>176.55</v>
          </cell>
          <cell r="K1581">
            <v>7.0000000000000007E-2</v>
          </cell>
          <cell r="P1581">
            <v>0</v>
          </cell>
        </row>
        <row r="1582">
          <cell r="A1582" t="str">
            <v>LU1883856210</v>
          </cell>
          <cell r="B1582" t="str">
            <v>AMUNDI FUNDS US EQUITY FUNDAMENTAL GROWTH</v>
          </cell>
          <cell r="C1582" t="str">
            <v>Class Q-D USD (C)</v>
          </cell>
          <cell r="D1582" t="str">
            <v>USD</v>
          </cell>
          <cell r="E1582" t="str">
            <v>01-Dec-2025</v>
          </cell>
          <cell r="F1582">
            <v>12915298.880000001</v>
          </cell>
          <cell r="G1582">
            <v>47284.451999999997</v>
          </cell>
          <cell r="H1582">
            <v>273.14</v>
          </cell>
          <cell r="I1582">
            <v>0</v>
          </cell>
          <cell r="J1582">
            <v>281.33</v>
          </cell>
          <cell r="K1582">
            <v>7.0000000000000007E-2</v>
          </cell>
          <cell r="P1582">
            <v>0</v>
          </cell>
        </row>
        <row r="1583">
          <cell r="A1583" t="str">
            <v>LU2259109366</v>
          </cell>
          <cell r="B1583" t="str">
            <v>AMUNDI FUNDS US EQUITY FUNDAMENTAL GROWTH</v>
          </cell>
          <cell r="C1583" t="str">
            <v>Class R3 GBP AD (D)</v>
          </cell>
          <cell r="D1583" t="str">
            <v>GBP</v>
          </cell>
          <cell r="E1583" t="str">
            <v>01-Dec-2025</v>
          </cell>
          <cell r="F1583">
            <v>9150.64</v>
          </cell>
          <cell r="G1583">
            <v>500</v>
          </cell>
          <cell r="H1583">
            <v>18.3</v>
          </cell>
          <cell r="I1583">
            <v>0</v>
          </cell>
          <cell r="J1583">
            <v>18.3</v>
          </cell>
          <cell r="K1583">
            <v>0</v>
          </cell>
          <cell r="P1583">
            <v>0</v>
          </cell>
        </row>
        <row r="1584">
          <cell r="A1584" t="str">
            <v>LU2778930532</v>
          </cell>
          <cell r="B1584" t="str">
            <v>AMUNDI FUNDS US EQUITY FUNDAMENTAL GROWTH</v>
          </cell>
          <cell r="C1584" t="str">
            <v>Class R12 EUR (C)</v>
          </cell>
          <cell r="D1584" t="str">
            <v>EUR</v>
          </cell>
          <cell r="E1584" t="str">
            <v>01-Dec-2025</v>
          </cell>
          <cell r="F1584">
            <v>1414649.99</v>
          </cell>
          <cell r="G1584">
            <v>24864</v>
          </cell>
          <cell r="H1584">
            <v>56.9</v>
          </cell>
          <cell r="I1584">
            <v>0</v>
          </cell>
          <cell r="J1584">
            <v>56.9</v>
          </cell>
          <cell r="K1584">
            <v>-0.09</v>
          </cell>
          <cell r="P1584">
            <v>0</v>
          </cell>
        </row>
        <row r="1585">
          <cell r="A1585" t="str">
            <v>LU2259109283</v>
          </cell>
          <cell r="B1585" t="str">
            <v>AMUNDI FUNDS US EQUITY FUNDAMENTAL GROWTH</v>
          </cell>
          <cell r="C1585" t="str">
            <v>Class R3 GBP (C)</v>
          </cell>
          <cell r="D1585" t="str">
            <v>GBP</v>
          </cell>
          <cell r="E1585" t="str">
            <v>01-Dec-2025</v>
          </cell>
          <cell r="F1585">
            <v>9153.86</v>
          </cell>
          <cell r="G1585">
            <v>500</v>
          </cell>
          <cell r="H1585">
            <v>18.309999999999999</v>
          </cell>
          <cell r="I1585">
            <v>0</v>
          </cell>
          <cell r="J1585">
            <v>18.309999999999999</v>
          </cell>
          <cell r="K1585">
            <v>0.01</v>
          </cell>
          <cell r="P1585">
            <v>0</v>
          </cell>
        </row>
        <row r="1586">
          <cell r="A1586" t="str">
            <v>LU1883856640</v>
          </cell>
          <cell r="B1586" t="str">
            <v>AMUNDI FUNDS US EQUITY FUNDAMENTAL GROWTH</v>
          </cell>
          <cell r="C1586" t="str">
            <v>Class R2 USD (C)</v>
          </cell>
          <cell r="D1586" t="str">
            <v>USD</v>
          </cell>
          <cell r="E1586" t="str">
            <v>01-Dec-2025</v>
          </cell>
          <cell r="F1586">
            <v>23389853</v>
          </cell>
          <cell r="G1586">
            <v>77811.025999999998</v>
          </cell>
          <cell r="H1586">
            <v>300.60000000000002</v>
          </cell>
          <cell r="I1586">
            <v>0</v>
          </cell>
          <cell r="J1586">
            <v>300.60000000000002</v>
          </cell>
          <cell r="K1586">
            <v>0.12</v>
          </cell>
          <cell r="P1586">
            <v>0</v>
          </cell>
        </row>
        <row r="1587">
          <cell r="A1587" t="str">
            <v>LU2036673700</v>
          </cell>
          <cell r="B1587" t="str">
            <v>AMUNDI FUNDS US EQUITY FUNDAMENTAL GROWTH</v>
          </cell>
          <cell r="C1587" t="str">
            <v>Class G EUR Hgd (C)</v>
          </cell>
          <cell r="D1587" t="str">
            <v>EUR</v>
          </cell>
          <cell r="E1587" t="str">
            <v>01-Dec-2025</v>
          </cell>
          <cell r="F1587">
            <v>13785848.75</v>
          </cell>
          <cell r="G1587">
            <v>1410907.1310000001</v>
          </cell>
          <cell r="H1587">
            <v>9.7710000000000008</v>
          </cell>
          <cell r="I1587">
            <v>0</v>
          </cell>
          <cell r="J1587">
            <v>9.7710000000000008</v>
          </cell>
          <cell r="K1587">
            <v>3.0000000000000001E-3</v>
          </cell>
          <cell r="P1587">
            <v>0</v>
          </cell>
        </row>
        <row r="1588">
          <cell r="A1588" t="str">
            <v>LU2034727813</v>
          </cell>
          <cell r="B1588" t="str">
            <v>AMUNDI FUNDS US EQUITY FUNDAMENTAL GROWTH</v>
          </cell>
          <cell r="C1588" t="str">
            <v>Class X USD (C)</v>
          </cell>
          <cell r="D1588" t="str">
            <v>USD</v>
          </cell>
          <cell r="E1588" t="str">
            <v>01-Dec-2025</v>
          </cell>
          <cell r="F1588">
            <v>13051.67</v>
          </cell>
          <cell r="G1588">
            <v>5</v>
          </cell>
          <cell r="H1588">
            <v>2610.33</v>
          </cell>
          <cell r="I1588">
            <v>0</v>
          </cell>
          <cell r="J1588">
            <v>2610.33</v>
          </cell>
          <cell r="K1588">
            <v>1.27</v>
          </cell>
          <cell r="P1588">
            <v>0</v>
          </cell>
        </row>
        <row r="1589">
          <cell r="A1589" t="str">
            <v>LU3208818032</v>
          </cell>
          <cell r="B1589" t="str">
            <v>AMUNDI FUNDS US EQUITY FUNDAMENTAL GROWTH</v>
          </cell>
          <cell r="C1589" t="str">
            <v>Class X2 EUR (C)</v>
          </cell>
          <cell r="D1589" t="str">
            <v>EUR</v>
          </cell>
          <cell r="E1589" t="str">
            <v>01-Dec-2025</v>
          </cell>
          <cell r="F1589">
            <v>5063.43</v>
          </cell>
          <cell r="G1589">
            <v>5</v>
          </cell>
          <cell r="H1589">
            <v>1012.69</v>
          </cell>
          <cell r="I1589">
            <v>0</v>
          </cell>
          <cell r="J1589">
            <v>1012.69</v>
          </cell>
          <cell r="K1589">
            <v>-1.64</v>
          </cell>
          <cell r="P1589">
            <v>0</v>
          </cell>
        </row>
        <row r="1590">
          <cell r="A1590" t="str">
            <v>LU2040440740</v>
          </cell>
          <cell r="B1590" t="str">
            <v>AMUNDI FUNDS US EQUITY FUNDAMENTAL GROWTH</v>
          </cell>
          <cell r="C1590" t="str">
            <v>Class Z USD (C)</v>
          </cell>
          <cell r="D1590" t="str">
            <v>USD</v>
          </cell>
          <cell r="E1590" t="str">
            <v>01-Dec-2025</v>
          </cell>
          <cell r="F1590">
            <v>1254931.3</v>
          </cell>
          <cell r="G1590">
            <v>519.89599999999996</v>
          </cell>
          <cell r="H1590">
            <v>2413.81</v>
          </cell>
          <cell r="I1590">
            <v>0</v>
          </cell>
          <cell r="J1590">
            <v>2413.81</v>
          </cell>
          <cell r="K1590">
            <v>1.07</v>
          </cell>
          <cell r="P1590">
            <v>0</v>
          </cell>
        </row>
        <row r="1591">
          <cell r="A1591" t="str">
            <v>LU2183143762</v>
          </cell>
          <cell r="B1591" t="str">
            <v>AMUNDI FUNDS GLOBAL MULTI-ASSET</v>
          </cell>
          <cell r="C1591" t="str">
            <v>Class A2 USD (C)</v>
          </cell>
          <cell r="D1591" t="str">
            <v>USD</v>
          </cell>
          <cell r="E1591" t="str">
            <v>01-Dec-2025</v>
          </cell>
          <cell r="F1591">
            <v>1888285.35</v>
          </cell>
          <cell r="G1591">
            <v>26349.847000000002</v>
          </cell>
          <cell r="H1591">
            <v>71.66</v>
          </cell>
          <cell r="I1591">
            <v>0</v>
          </cell>
          <cell r="J1591">
            <v>71.66</v>
          </cell>
          <cell r="K1591">
            <v>-0.12</v>
          </cell>
          <cell r="P1591">
            <v>0</v>
          </cell>
        </row>
        <row r="1592">
          <cell r="A1592" t="str">
            <v>LU1883327816</v>
          </cell>
          <cell r="B1592" t="str">
            <v>AMUNDI FUNDS GLOBAL MULTI-ASSET</v>
          </cell>
          <cell r="C1592" t="str">
            <v>Class A EUR (C)</v>
          </cell>
          <cell r="D1592" t="str">
            <v>EUR</v>
          </cell>
          <cell r="E1592" t="str">
            <v>01-Dec-2025</v>
          </cell>
          <cell r="F1592">
            <v>40530326.299999997</v>
          </cell>
          <cell r="G1592">
            <v>294573.39299999998</v>
          </cell>
          <cell r="H1592">
            <v>137.59</v>
          </cell>
          <cell r="I1592">
            <v>0</v>
          </cell>
          <cell r="J1592">
            <v>143.78</v>
          </cell>
          <cell r="K1592">
            <v>-0.5</v>
          </cell>
          <cell r="P1592">
            <v>0</v>
          </cell>
        </row>
        <row r="1593">
          <cell r="A1593" t="str">
            <v>LU2183143689</v>
          </cell>
          <cell r="B1593" t="str">
            <v>AMUNDI FUNDS GLOBAL MULTI-ASSET</v>
          </cell>
          <cell r="C1593" t="str">
            <v>Class A2 EUR (C)</v>
          </cell>
          <cell r="D1593" t="str">
            <v>EUR</v>
          </cell>
          <cell r="E1593" t="str">
            <v>01-Dec-2025</v>
          </cell>
          <cell r="F1593">
            <v>45262946.850000001</v>
          </cell>
          <cell r="G1593">
            <v>657036.53599999996</v>
          </cell>
          <cell r="H1593">
            <v>68.89</v>
          </cell>
          <cell r="I1593">
            <v>0</v>
          </cell>
          <cell r="J1593">
            <v>68.89</v>
          </cell>
          <cell r="K1593">
            <v>-0.25</v>
          </cell>
          <cell r="P1593">
            <v>0</v>
          </cell>
        </row>
        <row r="1594">
          <cell r="A1594" t="str">
            <v>LU1883327907</v>
          </cell>
          <cell r="B1594" t="str">
            <v>AMUNDI FUNDS GLOBAL MULTI-ASSET</v>
          </cell>
          <cell r="C1594" t="str">
            <v>Class A USD (C)</v>
          </cell>
          <cell r="D1594" t="str">
            <v>USD</v>
          </cell>
          <cell r="E1594" t="str">
            <v>01-Dec-2025</v>
          </cell>
          <cell r="F1594">
            <v>3439106.73</v>
          </cell>
          <cell r="G1594">
            <v>21488.665000000001</v>
          </cell>
          <cell r="H1594">
            <v>160.04</v>
          </cell>
          <cell r="I1594">
            <v>0</v>
          </cell>
          <cell r="J1594">
            <v>167.24</v>
          </cell>
          <cell r="K1594">
            <v>-0.25</v>
          </cell>
          <cell r="P1594">
            <v>0</v>
          </cell>
        </row>
        <row r="1595">
          <cell r="A1595" t="str">
            <v>LU1883328970</v>
          </cell>
          <cell r="B1595" t="str">
            <v>AMUNDI FUNDS GLOBAL MULTI-ASSET</v>
          </cell>
          <cell r="C1595" t="str">
            <v>Class M2 EUR (C)</v>
          </cell>
          <cell r="D1595" t="str">
            <v>EUR</v>
          </cell>
          <cell r="E1595" t="str">
            <v>01-Dec-2025</v>
          </cell>
          <cell r="F1595">
            <v>117102654.23</v>
          </cell>
          <cell r="G1595">
            <v>64046.811000000002</v>
          </cell>
          <cell r="H1595">
            <v>1828.39</v>
          </cell>
          <cell r="I1595">
            <v>0</v>
          </cell>
          <cell r="J1595">
            <v>1828.39</v>
          </cell>
          <cell r="K1595">
            <v>-6.57</v>
          </cell>
          <cell r="P1595">
            <v>0</v>
          </cell>
        </row>
        <row r="1596">
          <cell r="A1596" t="str">
            <v>LU2199618633</v>
          </cell>
          <cell r="B1596" t="str">
            <v>AMUNDI FUNDS GLOBAL MULTI-ASSET</v>
          </cell>
          <cell r="C1596" t="str">
            <v>Class I2 CZK Hgd (C)</v>
          </cell>
          <cell r="D1596" t="str">
            <v>CZK</v>
          </cell>
          <cell r="E1596" t="str">
            <v>01-Dec-2025</v>
          </cell>
          <cell r="F1596">
            <v>76023823.170000002</v>
          </cell>
          <cell r="G1596">
            <v>5481.8810000000003</v>
          </cell>
          <cell r="H1596">
            <v>13868.2</v>
          </cell>
          <cell r="I1596">
            <v>0</v>
          </cell>
          <cell r="J1596">
            <v>13868.2</v>
          </cell>
          <cell r="K1596">
            <v>-49.24</v>
          </cell>
          <cell r="P1596">
            <v>0</v>
          </cell>
        </row>
        <row r="1597">
          <cell r="A1597" t="str">
            <v>LU1883328202</v>
          </cell>
          <cell r="B1597" t="str">
            <v>AMUNDI FUNDS GLOBAL MULTI-ASSET</v>
          </cell>
          <cell r="C1597" t="str">
            <v>Class E2 EUR (C)</v>
          </cell>
          <cell r="D1597" t="str">
            <v>EUR</v>
          </cell>
          <cell r="E1597" t="str">
            <v>01-Dec-2025</v>
          </cell>
          <cell r="F1597">
            <v>97796342.430000007</v>
          </cell>
          <cell r="G1597">
            <v>7008205.818</v>
          </cell>
          <cell r="H1597">
            <v>13.955</v>
          </cell>
          <cell r="I1597">
            <v>0</v>
          </cell>
          <cell r="J1597">
            <v>13.955</v>
          </cell>
          <cell r="K1597">
            <v>-5.0999999999999997E-2</v>
          </cell>
          <cell r="P1597">
            <v>0</v>
          </cell>
        </row>
        <row r="1598">
          <cell r="A1598" t="str">
            <v>LU1883328384</v>
          </cell>
          <cell r="B1598" t="str">
            <v>AMUNDI FUNDS GLOBAL MULTI-ASSET</v>
          </cell>
          <cell r="C1598" t="str">
            <v>Class F EUR (C)</v>
          </cell>
          <cell r="D1598" t="str">
            <v>EUR</v>
          </cell>
          <cell r="E1598" t="str">
            <v>01-Dec-2025</v>
          </cell>
          <cell r="F1598">
            <v>16704486.210000001</v>
          </cell>
          <cell r="G1598">
            <v>1350034.8230000001</v>
          </cell>
          <cell r="H1598">
            <v>12.372999999999999</v>
          </cell>
          <cell r="I1598">
            <v>0</v>
          </cell>
          <cell r="J1598">
            <v>12.372999999999999</v>
          </cell>
          <cell r="K1598">
            <v>-4.5999999999999999E-2</v>
          </cell>
          <cell r="P1598">
            <v>0</v>
          </cell>
        </row>
        <row r="1599">
          <cell r="A1599" t="str">
            <v>LU1897306830</v>
          </cell>
          <cell r="B1599" t="str">
            <v>AMUNDI FUNDS GLOBAL MULTI-ASSET</v>
          </cell>
          <cell r="C1599" t="str">
            <v>Class I2 GBP (C)</v>
          </cell>
          <cell r="D1599" t="str">
            <v>GBP</v>
          </cell>
          <cell r="E1599" t="str">
            <v>01-Dec-2025</v>
          </cell>
          <cell r="F1599">
            <v>7034.74</v>
          </cell>
          <cell r="G1599">
            <v>5</v>
          </cell>
          <cell r="H1599">
            <v>1406.95</v>
          </cell>
          <cell r="I1599">
            <v>0</v>
          </cell>
          <cell r="J1599">
            <v>1406.95</v>
          </cell>
          <cell r="K1599">
            <v>-2.31</v>
          </cell>
          <cell r="P1599">
            <v>0</v>
          </cell>
        </row>
        <row r="1600">
          <cell r="A1600" t="str">
            <v>LU1883328624</v>
          </cell>
          <cell r="B1600" t="str">
            <v>AMUNDI FUNDS GLOBAL MULTI-ASSET</v>
          </cell>
          <cell r="C1600" t="str">
            <v>Class I2 USD (C)</v>
          </cell>
          <cell r="D1600" t="str">
            <v>USD</v>
          </cell>
          <cell r="E1600" t="str">
            <v>01-Dec-2025</v>
          </cell>
          <cell r="F1600">
            <v>2628669.39</v>
          </cell>
          <cell r="G1600">
            <v>1215.383</v>
          </cell>
          <cell r="H1600">
            <v>2162.83</v>
          </cell>
          <cell r="I1600">
            <v>0</v>
          </cell>
          <cell r="J1600">
            <v>2162.83</v>
          </cell>
          <cell r="K1600">
            <v>-3.18</v>
          </cell>
          <cell r="P1600">
            <v>0</v>
          </cell>
        </row>
        <row r="1601">
          <cell r="A1601" t="str">
            <v>LU1883328541</v>
          </cell>
          <cell r="B1601" t="str">
            <v>AMUNDI FUNDS GLOBAL MULTI-ASSET</v>
          </cell>
          <cell r="C1601" t="str">
            <v>Class I2 EUR (C)</v>
          </cell>
          <cell r="D1601" t="str">
            <v>EUR</v>
          </cell>
          <cell r="E1601" t="str">
            <v>01-Dec-2025</v>
          </cell>
          <cell r="F1601">
            <v>55885022.43</v>
          </cell>
          <cell r="G1601">
            <v>30046.264999999999</v>
          </cell>
          <cell r="H1601">
            <v>1859.97</v>
          </cell>
          <cell r="I1601">
            <v>0</v>
          </cell>
          <cell r="J1601">
            <v>1859.97</v>
          </cell>
          <cell r="K1601">
            <v>-6.66</v>
          </cell>
          <cell r="P1601">
            <v>0</v>
          </cell>
        </row>
        <row r="1602">
          <cell r="A1602" t="str">
            <v>LU1883328467</v>
          </cell>
          <cell r="B1602" t="str">
            <v>AMUNDI FUNDS GLOBAL MULTI-ASSET</v>
          </cell>
          <cell r="C1602" t="str">
            <v>Class G EUR (C)</v>
          </cell>
          <cell r="D1602" t="str">
            <v>EUR</v>
          </cell>
          <cell r="E1602" t="str">
            <v>01-Dec-2025</v>
          </cell>
          <cell r="F1602">
            <v>90785610.489999995</v>
          </cell>
          <cell r="G1602">
            <v>13578530.311000001</v>
          </cell>
          <cell r="H1602">
            <v>6.6859999999999999</v>
          </cell>
          <cell r="I1602">
            <v>0</v>
          </cell>
          <cell r="J1602">
            <v>6.6859999999999999</v>
          </cell>
          <cell r="K1602">
            <v>-2.5000000000000001E-2</v>
          </cell>
          <cell r="P1602">
            <v>0</v>
          </cell>
        </row>
        <row r="1603">
          <cell r="A1603" t="str">
            <v>LU1883329192</v>
          </cell>
          <cell r="B1603" t="str">
            <v>AMUNDI FUNDS GLOBAL MULTI-ASSET</v>
          </cell>
          <cell r="C1603" t="str">
            <v>Class R2 EUR (C)</v>
          </cell>
          <cell r="D1603" t="str">
            <v>EUR</v>
          </cell>
          <cell r="E1603" t="str">
            <v>01-Dec-2025</v>
          </cell>
          <cell r="F1603">
            <v>22269.68</v>
          </cell>
          <cell r="G1603">
            <v>300</v>
          </cell>
          <cell r="H1603">
            <v>74.23</v>
          </cell>
          <cell r="I1603">
            <v>0</v>
          </cell>
          <cell r="J1603">
            <v>74.23</v>
          </cell>
          <cell r="K1603">
            <v>-0.27</v>
          </cell>
          <cell r="P1603">
            <v>0</v>
          </cell>
        </row>
        <row r="1604">
          <cell r="A1604" t="str">
            <v>LU2070307595</v>
          </cell>
          <cell r="B1604" t="str">
            <v>AMUNDI FUNDS EUROPE EQUITY INCOME SELECT</v>
          </cell>
          <cell r="C1604" t="str">
            <v>Class A5 EUR (C)</v>
          </cell>
          <cell r="D1604" t="str">
            <v>EUR</v>
          </cell>
          <cell r="E1604" t="str">
            <v>01-Dec-2025</v>
          </cell>
          <cell r="F1604">
            <v>6628906.6900000004</v>
          </cell>
          <cell r="G1604">
            <v>58568.775999999998</v>
          </cell>
          <cell r="H1604">
            <v>113.18</v>
          </cell>
          <cell r="I1604">
            <v>0</v>
          </cell>
          <cell r="J1604">
            <v>113.18</v>
          </cell>
          <cell r="K1604">
            <v>-0.21</v>
          </cell>
          <cell r="P1604">
            <v>0</v>
          </cell>
        </row>
        <row r="1605">
          <cell r="A1605" t="str">
            <v>LU1883310846</v>
          </cell>
          <cell r="B1605" t="str">
            <v>AMUNDI FUNDS EUROPE EQUITY INCOME SELECT</v>
          </cell>
          <cell r="C1605" t="str">
            <v>Class A2 AUD Hgd QTI (D)</v>
          </cell>
          <cell r="D1605" t="str">
            <v>AUD</v>
          </cell>
          <cell r="E1605" t="str">
            <v>01-Dec-2025</v>
          </cell>
          <cell r="F1605">
            <v>223421.56</v>
          </cell>
          <cell r="G1605">
            <v>4259.4809999999998</v>
          </cell>
          <cell r="H1605">
            <v>52.45</v>
          </cell>
          <cell r="I1605">
            <v>0</v>
          </cell>
          <cell r="J1605">
            <v>54.81</v>
          </cell>
          <cell r="K1605">
            <v>-7.0000000000000007E-2</v>
          </cell>
          <cell r="P1605">
            <v>0</v>
          </cell>
        </row>
        <row r="1606">
          <cell r="A1606" t="str">
            <v>LU1883310929</v>
          </cell>
          <cell r="B1606" t="str">
            <v>AMUNDI FUNDS EUROPE EQUITY INCOME SELECT</v>
          </cell>
          <cell r="C1606" t="str">
            <v>Class A2 CHF Hgd SATI (D)</v>
          </cell>
          <cell r="D1606" t="str">
            <v>CHF</v>
          </cell>
          <cell r="E1606" t="str">
            <v>01-Dec-2025</v>
          </cell>
          <cell r="F1606">
            <v>4320192.57</v>
          </cell>
          <cell r="G1606">
            <v>112249.724</v>
          </cell>
          <cell r="H1606">
            <v>38.49</v>
          </cell>
          <cell r="I1606">
            <v>0</v>
          </cell>
          <cell r="J1606">
            <v>40.22</v>
          </cell>
          <cell r="K1606">
            <v>-0.05</v>
          </cell>
          <cell r="P1606">
            <v>0</v>
          </cell>
        </row>
        <row r="1607">
          <cell r="A1607" t="str">
            <v>LU1883311067</v>
          </cell>
          <cell r="B1607" t="str">
            <v>AMUNDI FUNDS EUROPE EQUITY INCOME SELECT</v>
          </cell>
          <cell r="C1607" t="str">
            <v>Class A2 CZK Hgd (C)</v>
          </cell>
          <cell r="D1607" t="str">
            <v>CZK</v>
          </cell>
          <cell r="E1607" t="str">
            <v>01-Dec-2025</v>
          </cell>
          <cell r="F1607">
            <v>395596192.69</v>
          </cell>
          <cell r="G1607">
            <v>218203.42199999999</v>
          </cell>
          <cell r="H1607">
            <v>1812.97</v>
          </cell>
          <cell r="I1607">
            <v>0</v>
          </cell>
          <cell r="J1607">
            <v>1894.55</v>
          </cell>
          <cell r="K1607">
            <v>-2.5</v>
          </cell>
          <cell r="P1607">
            <v>0</v>
          </cell>
        </row>
        <row r="1608">
          <cell r="A1608" t="str">
            <v>LU1883311141</v>
          </cell>
          <cell r="B1608" t="str">
            <v>AMUNDI FUNDS EUROPE EQUITY INCOME SELECT</v>
          </cell>
          <cell r="C1608" t="str">
            <v>Class A2 CZK Hgd SATI (D)</v>
          </cell>
          <cell r="D1608" t="str">
            <v>CZK</v>
          </cell>
          <cell r="E1608" t="str">
            <v>01-Dec-2025</v>
          </cell>
          <cell r="F1608">
            <v>1038814344.98</v>
          </cell>
          <cell r="G1608">
            <v>744074.45299999998</v>
          </cell>
          <cell r="H1608">
            <v>1396.12</v>
          </cell>
          <cell r="I1608">
            <v>0</v>
          </cell>
          <cell r="J1608">
            <v>1458.95</v>
          </cell>
          <cell r="K1608">
            <v>-1.92</v>
          </cell>
          <cell r="P1608">
            <v>0</v>
          </cell>
        </row>
        <row r="1609">
          <cell r="A1609" t="str">
            <v>LU1883313279</v>
          </cell>
          <cell r="B1609" t="str">
            <v>AMUNDI FUNDS EUROPE EQUITY INCOME SELECT</v>
          </cell>
          <cell r="C1609" t="str">
            <v>Class M2 EUR (C)</v>
          </cell>
          <cell r="D1609" t="str">
            <v>EUR</v>
          </cell>
          <cell r="E1609" t="str">
            <v>01-Dec-2025</v>
          </cell>
          <cell r="F1609">
            <v>2707690.22</v>
          </cell>
          <cell r="G1609">
            <v>930.30700000000002</v>
          </cell>
          <cell r="H1609">
            <v>2910.53</v>
          </cell>
          <cell r="I1609">
            <v>0</v>
          </cell>
          <cell r="J1609">
            <v>2910.53</v>
          </cell>
          <cell r="K1609">
            <v>-5.2</v>
          </cell>
          <cell r="P1609">
            <v>0</v>
          </cell>
        </row>
        <row r="1610">
          <cell r="A1610" t="str">
            <v>LU1883311737</v>
          </cell>
          <cell r="B1610" t="str">
            <v>AMUNDI FUNDS EUROPE EQUITY INCOME SELECT</v>
          </cell>
          <cell r="C1610" t="str">
            <v>Class A2 SGD Hgd QTI (D)</v>
          </cell>
          <cell r="D1610" t="str">
            <v>SGD</v>
          </cell>
          <cell r="E1610" t="str">
            <v>01-Dec-2025</v>
          </cell>
          <cell r="F1610">
            <v>231818.82</v>
          </cell>
          <cell r="G1610">
            <v>4504.9669999999996</v>
          </cell>
          <cell r="H1610">
            <v>51.46</v>
          </cell>
          <cell r="I1610">
            <v>0</v>
          </cell>
          <cell r="J1610">
            <v>53.78</v>
          </cell>
          <cell r="K1610">
            <v>-7.0000000000000007E-2</v>
          </cell>
          <cell r="P1610">
            <v>0</v>
          </cell>
        </row>
        <row r="1611">
          <cell r="A1611" t="str">
            <v>LU1883311810</v>
          </cell>
          <cell r="B1611" t="str">
            <v>AMUNDI FUNDS EUROPE EQUITY INCOME SELECT</v>
          </cell>
          <cell r="C1611" t="str">
            <v>Class A2 USD Hgd QTI (D)</v>
          </cell>
          <cell r="D1611" t="str">
            <v>USD</v>
          </cell>
          <cell r="E1611" t="str">
            <v>01-Dec-2025</v>
          </cell>
          <cell r="F1611">
            <v>4732917.9800000004</v>
          </cell>
          <cell r="G1611">
            <v>85715.61</v>
          </cell>
          <cell r="H1611">
            <v>55.22</v>
          </cell>
          <cell r="I1611">
            <v>0</v>
          </cell>
          <cell r="J1611">
            <v>57.7</v>
          </cell>
          <cell r="K1611">
            <v>-7.0000000000000007E-2</v>
          </cell>
          <cell r="P1611">
            <v>0</v>
          </cell>
        </row>
        <row r="1612">
          <cell r="A1612" t="str">
            <v>LU1883311224</v>
          </cell>
          <cell r="B1612" t="str">
            <v>AMUNDI FUNDS EUROPE EQUITY INCOME SELECT</v>
          </cell>
          <cell r="C1612" t="str">
            <v>Class A2 EUR (C)</v>
          </cell>
          <cell r="D1612" t="str">
            <v>EUR</v>
          </cell>
          <cell r="E1612" t="str">
            <v>01-Dec-2025</v>
          </cell>
          <cell r="F1612">
            <v>123668226.65000001</v>
          </cell>
          <cell r="G1612">
            <v>1320432.7250000001</v>
          </cell>
          <cell r="H1612">
            <v>93.66</v>
          </cell>
          <cell r="I1612">
            <v>0</v>
          </cell>
          <cell r="J1612">
            <v>97.87</v>
          </cell>
          <cell r="K1612">
            <v>-0.17</v>
          </cell>
          <cell r="P1612">
            <v>0</v>
          </cell>
        </row>
        <row r="1613">
          <cell r="A1613" t="str">
            <v>LU1883311570</v>
          </cell>
          <cell r="B1613" t="str">
            <v>AMUNDI FUNDS EUROPE EQUITY INCOME SELECT</v>
          </cell>
          <cell r="C1613" t="str">
            <v>Class A2 EUR MTI (D)</v>
          </cell>
          <cell r="D1613" t="str">
            <v>EUR</v>
          </cell>
          <cell r="E1613" t="str">
            <v>01-Dec-2025</v>
          </cell>
          <cell r="F1613">
            <v>188565.07</v>
          </cell>
          <cell r="G1613">
            <v>3408.9479999999999</v>
          </cell>
          <cell r="H1613">
            <v>55.31</v>
          </cell>
          <cell r="I1613">
            <v>0</v>
          </cell>
          <cell r="J1613">
            <v>57.8</v>
          </cell>
          <cell r="K1613">
            <v>-0.11</v>
          </cell>
          <cell r="P1613">
            <v>0</v>
          </cell>
        </row>
        <row r="1614">
          <cell r="A1614" t="str">
            <v>LU1883312206</v>
          </cell>
          <cell r="B1614" t="str">
            <v>AMUNDI FUNDS EUROPE EQUITY INCOME SELECT</v>
          </cell>
          <cell r="C1614" t="str">
            <v>Class E2 EUR (C)</v>
          </cell>
          <cell r="D1614" t="str">
            <v>EUR</v>
          </cell>
          <cell r="E1614" t="str">
            <v>01-Dec-2025</v>
          </cell>
          <cell r="F1614">
            <v>1202457.77</v>
          </cell>
          <cell r="G1614">
            <v>97969.338000000003</v>
          </cell>
          <cell r="H1614">
            <v>12.273999999999999</v>
          </cell>
          <cell r="I1614">
            <v>0</v>
          </cell>
          <cell r="J1614">
            <v>12.273999999999999</v>
          </cell>
          <cell r="K1614">
            <v>-2.3E-2</v>
          </cell>
          <cell r="P1614">
            <v>0</v>
          </cell>
        </row>
        <row r="1615">
          <cell r="A1615" t="str">
            <v>LU1883312388</v>
          </cell>
          <cell r="B1615" t="str">
            <v>AMUNDI FUNDS EUROPE EQUITY INCOME SELECT</v>
          </cell>
          <cell r="C1615" t="str">
            <v>Class E2 EUR SATI (D)</v>
          </cell>
          <cell r="D1615" t="str">
            <v>EUR</v>
          </cell>
          <cell r="E1615" t="str">
            <v>01-Dec-2025</v>
          </cell>
          <cell r="F1615">
            <v>53047005.390000001</v>
          </cell>
          <cell r="G1615">
            <v>8795579.5739999991</v>
          </cell>
          <cell r="H1615">
            <v>6.0309999999999997</v>
          </cell>
          <cell r="I1615">
            <v>0</v>
          </cell>
          <cell r="J1615">
            <v>6.0309999999999997</v>
          </cell>
          <cell r="K1615">
            <v>-1.0999999999999999E-2</v>
          </cell>
          <cell r="P1615">
            <v>0</v>
          </cell>
        </row>
        <row r="1616">
          <cell r="A1616" t="str">
            <v>LU1883313436</v>
          </cell>
          <cell r="B1616" t="str">
            <v>AMUNDI FUNDS EUROPE EQUITY INCOME SELECT</v>
          </cell>
          <cell r="C1616" t="str">
            <v>Class M2 EUR SATI (D)</v>
          </cell>
          <cell r="D1616" t="str">
            <v>EUR</v>
          </cell>
          <cell r="E1616" t="str">
            <v>01-Dec-2025</v>
          </cell>
          <cell r="F1616">
            <v>7891629.71</v>
          </cell>
          <cell r="G1616">
            <v>6689.7820000000002</v>
          </cell>
          <cell r="H1616">
            <v>1179.6500000000001</v>
          </cell>
          <cell r="I1616">
            <v>0</v>
          </cell>
          <cell r="J1616">
            <v>1179.6500000000001</v>
          </cell>
          <cell r="K1616">
            <v>-2.11</v>
          </cell>
          <cell r="P1616">
            <v>0</v>
          </cell>
        </row>
        <row r="1617">
          <cell r="A1617" t="str">
            <v>LU1883312891</v>
          </cell>
          <cell r="B1617" t="str">
            <v>AMUNDI FUNDS EUROPE EQUITY INCOME SELECT</v>
          </cell>
          <cell r="C1617" t="str">
            <v>Class I2 EUR SATI (D)</v>
          </cell>
          <cell r="D1617" t="str">
            <v>EUR</v>
          </cell>
          <cell r="E1617" t="str">
            <v>01-Dec-2025</v>
          </cell>
          <cell r="F1617">
            <v>33676792.079999998</v>
          </cell>
          <cell r="G1617">
            <v>23985.962</v>
          </cell>
          <cell r="H1617">
            <v>1404.02</v>
          </cell>
          <cell r="I1617">
            <v>0</v>
          </cell>
          <cell r="J1617">
            <v>1404.02</v>
          </cell>
          <cell r="K1617">
            <v>-2.4900000000000002</v>
          </cell>
          <cell r="P1617">
            <v>0</v>
          </cell>
        </row>
        <row r="1618">
          <cell r="A1618" t="str">
            <v>LU1883312545</v>
          </cell>
          <cell r="B1618" t="str">
            <v>AMUNDI FUNDS EUROPE EQUITY INCOME SELECT</v>
          </cell>
          <cell r="C1618" t="str">
            <v>Class I2 EUR (C)</v>
          </cell>
          <cell r="D1618" t="str">
            <v>EUR</v>
          </cell>
          <cell r="E1618" t="str">
            <v>01-Dec-2025</v>
          </cell>
          <cell r="F1618">
            <v>27417616.84</v>
          </cell>
          <cell r="G1618">
            <v>12676.12</v>
          </cell>
          <cell r="H1618">
            <v>2162.9299999999998</v>
          </cell>
          <cell r="I1618">
            <v>0</v>
          </cell>
          <cell r="J1618">
            <v>2162.9299999999998</v>
          </cell>
          <cell r="K1618">
            <v>-3.84</v>
          </cell>
          <cell r="P1618">
            <v>0</v>
          </cell>
        </row>
        <row r="1619">
          <cell r="A1619" t="str">
            <v>LU1883312628</v>
          </cell>
          <cell r="B1619" t="str">
            <v>AMUNDI FUNDS EUROPE EQUITY INCOME SELECT</v>
          </cell>
          <cell r="C1619" t="str">
            <v>Class I2 EUR Hgd SATI (D)</v>
          </cell>
          <cell r="D1619" t="str">
            <v>EUR</v>
          </cell>
          <cell r="E1619" t="str">
            <v>01-Dec-2025</v>
          </cell>
          <cell r="F1619">
            <v>4711.8599999999997</v>
          </cell>
          <cell r="G1619">
            <v>4</v>
          </cell>
          <cell r="H1619">
            <v>1177.97</v>
          </cell>
          <cell r="I1619">
            <v>0</v>
          </cell>
          <cell r="J1619">
            <v>1177.97</v>
          </cell>
          <cell r="K1619">
            <v>-1.68</v>
          </cell>
          <cell r="P1619">
            <v>0</v>
          </cell>
        </row>
        <row r="1620">
          <cell r="A1620" t="str">
            <v>LU1883312461</v>
          </cell>
          <cell r="B1620" t="str">
            <v>AMUNDI FUNDS EUROPE EQUITY INCOME SELECT</v>
          </cell>
          <cell r="C1620" t="str">
            <v>Class G2 EUR SATI (D)</v>
          </cell>
          <cell r="D1620" t="str">
            <v>EUR</v>
          </cell>
          <cell r="E1620" t="str">
            <v>01-Dec-2025</v>
          </cell>
          <cell r="F1620">
            <v>3030295.26</v>
          </cell>
          <cell r="G1620">
            <v>585684.15700000001</v>
          </cell>
          <cell r="H1620">
            <v>5.1740000000000004</v>
          </cell>
          <cell r="I1620">
            <v>0</v>
          </cell>
          <cell r="J1620">
            <v>5.1740000000000004</v>
          </cell>
          <cell r="K1620">
            <v>-0.01</v>
          </cell>
          <cell r="P1620">
            <v>0</v>
          </cell>
        </row>
        <row r="1621">
          <cell r="A1621" t="str">
            <v>LU1883313519</v>
          </cell>
          <cell r="B1621" t="str">
            <v>AMUNDI FUNDS EUROPE EQUITY INCOME SELECT</v>
          </cell>
          <cell r="C1621" t="str">
            <v>Class R2 EUR (C)</v>
          </cell>
          <cell r="D1621" t="str">
            <v>EUR</v>
          </cell>
          <cell r="E1621" t="str">
            <v>01-Dec-2025</v>
          </cell>
          <cell r="F1621">
            <v>20150613.100000001</v>
          </cell>
          <cell r="G1621">
            <v>217799.54800000001</v>
          </cell>
          <cell r="H1621">
            <v>92.52</v>
          </cell>
          <cell r="I1621">
            <v>0</v>
          </cell>
          <cell r="J1621">
            <v>92.52</v>
          </cell>
          <cell r="K1621">
            <v>-0.17</v>
          </cell>
          <cell r="P1621">
            <v>0</v>
          </cell>
        </row>
        <row r="1622">
          <cell r="A1622" t="str">
            <v>LU1883313600</v>
          </cell>
          <cell r="B1622" t="str">
            <v>AMUNDI FUNDS EUROPE EQUITY INCOME SELECT</v>
          </cell>
          <cell r="C1622" t="str">
            <v>Class R2 EUR SATI (D)</v>
          </cell>
          <cell r="D1622" t="str">
            <v>EUR</v>
          </cell>
          <cell r="E1622" t="str">
            <v>01-Dec-2025</v>
          </cell>
          <cell r="F1622">
            <v>1617559.86</v>
          </cell>
          <cell r="G1622">
            <v>31308.816999999999</v>
          </cell>
          <cell r="H1622">
            <v>51.66</v>
          </cell>
          <cell r="I1622">
            <v>0</v>
          </cell>
          <cell r="J1622">
            <v>51.66</v>
          </cell>
          <cell r="K1622">
            <v>-0.1</v>
          </cell>
          <cell r="P1622">
            <v>0</v>
          </cell>
        </row>
        <row r="1623">
          <cell r="A1623" t="str">
            <v>LU1883313949</v>
          </cell>
          <cell r="B1623" t="str">
            <v>AMUNDI FUNDS EUROPE EQUITY INCOME SELECT</v>
          </cell>
          <cell r="C1623" t="str">
            <v>Class R2 USD Hgd SATI (D)</v>
          </cell>
          <cell r="D1623" t="str">
            <v>USD</v>
          </cell>
          <cell r="E1623" t="str">
            <v>01-Dec-2025</v>
          </cell>
          <cell r="F1623">
            <v>1278159.31</v>
          </cell>
          <cell r="G1623">
            <v>22709.792000000001</v>
          </cell>
          <cell r="H1623">
            <v>56.28</v>
          </cell>
          <cell r="I1623">
            <v>0</v>
          </cell>
          <cell r="J1623">
            <v>56.28</v>
          </cell>
          <cell r="K1623">
            <v>-0.08</v>
          </cell>
          <cell r="P1623">
            <v>0</v>
          </cell>
        </row>
        <row r="1624">
          <cell r="A1624" t="str">
            <v>LU1883311653</v>
          </cell>
          <cell r="B1624" t="str">
            <v>AMUNDI FUNDS EUROPE EQUITY INCOME SELECT</v>
          </cell>
          <cell r="C1624" t="str">
            <v>Class A2 EUR SATI (D)</v>
          </cell>
          <cell r="D1624" t="str">
            <v>EUR</v>
          </cell>
          <cell r="E1624" t="str">
            <v>01-Dec-2025</v>
          </cell>
          <cell r="F1624">
            <v>484198967.37</v>
          </cell>
          <cell r="G1624">
            <v>8015863.7790000001</v>
          </cell>
          <cell r="H1624">
            <v>60.41</v>
          </cell>
          <cell r="I1624">
            <v>0</v>
          </cell>
          <cell r="J1624">
            <v>63.13</v>
          </cell>
          <cell r="K1624">
            <v>-0.11</v>
          </cell>
          <cell r="P1624">
            <v>0</v>
          </cell>
        </row>
        <row r="1625">
          <cell r="A1625" t="str">
            <v>LU1883313782</v>
          </cell>
          <cell r="B1625" t="str">
            <v>AMUNDI FUNDS EUROPE EQUITY INCOME SELECT</v>
          </cell>
          <cell r="C1625" t="str">
            <v>Class R2 GBP SATI (D)</v>
          </cell>
          <cell r="D1625" t="str">
            <v>GBP</v>
          </cell>
          <cell r="E1625" t="str">
            <v>01-Dec-2025</v>
          </cell>
          <cell r="F1625">
            <v>51.33</v>
          </cell>
          <cell r="G1625">
            <v>1.1539999999999999</v>
          </cell>
          <cell r="H1625">
            <v>44.48</v>
          </cell>
          <cell r="I1625">
            <v>0</v>
          </cell>
          <cell r="J1625">
            <v>44.48</v>
          </cell>
          <cell r="K1625">
            <v>0.01</v>
          </cell>
          <cell r="P1625">
            <v>0</v>
          </cell>
        </row>
        <row r="1626">
          <cell r="A1626" t="str">
            <v>LU1883314087</v>
          </cell>
          <cell r="B1626" t="str">
            <v>AMUNDI FUNDS EUROPE EQUITY INCOME SELECT</v>
          </cell>
          <cell r="C1626" t="str">
            <v>Class R2 USD SATI (D)</v>
          </cell>
          <cell r="D1626" t="str">
            <v>USD</v>
          </cell>
          <cell r="E1626" t="str">
            <v>01-Dec-2025</v>
          </cell>
          <cell r="F1626">
            <v>135364.19</v>
          </cell>
          <cell r="G1626">
            <v>2311.0070000000001</v>
          </cell>
          <cell r="H1626">
            <v>58.57</v>
          </cell>
          <cell r="I1626">
            <v>0</v>
          </cell>
          <cell r="J1626">
            <v>58.57</v>
          </cell>
          <cell r="K1626">
            <v>0.01</v>
          </cell>
          <cell r="P1626">
            <v>0</v>
          </cell>
        </row>
        <row r="1627">
          <cell r="A1627" t="str">
            <v>LU3208781289</v>
          </cell>
          <cell r="B1627" t="str">
            <v>AMUNDI FUNDS EUROPE EQUITY INCOME SELECT</v>
          </cell>
          <cell r="C1627" t="str">
            <v>Class X2 EUR (C)</v>
          </cell>
          <cell r="D1627" t="str">
            <v>EUR</v>
          </cell>
          <cell r="E1627" t="str">
            <v>01-Dec-2025</v>
          </cell>
          <cell r="F1627">
            <v>5138.78</v>
          </cell>
          <cell r="G1627">
            <v>5</v>
          </cell>
          <cell r="H1627">
            <v>1027.76</v>
          </cell>
          <cell r="I1627">
            <v>0</v>
          </cell>
          <cell r="J1627">
            <v>1027.76</v>
          </cell>
          <cell r="K1627">
            <v>-1.77</v>
          </cell>
          <cell r="P1627">
            <v>0</v>
          </cell>
        </row>
        <row r="1628">
          <cell r="A1628" t="str">
            <v>LU1882459602</v>
          </cell>
          <cell r="B1628" t="str">
            <v>AMUNDI FUNDS EMERGING MARKETS LOCAL CURRENCY BOND</v>
          </cell>
          <cell r="C1628" t="str">
            <v>Class A EUR AD (D)</v>
          </cell>
          <cell r="D1628" t="str">
            <v>EUR</v>
          </cell>
          <cell r="E1628" t="str">
            <v>01-Dec-2025</v>
          </cell>
          <cell r="F1628">
            <v>4531435.2699999996</v>
          </cell>
          <cell r="G1628">
            <v>125136.442</v>
          </cell>
          <cell r="H1628">
            <v>36.21</v>
          </cell>
          <cell r="I1628">
            <v>0</v>
          </cell>
          <cell r="J1628">
            <v>37.659999999999997</v>
          </cell>
          <cell r="K1628">
            <v>-0.06</v>
          </cell>
          <cell r="P1628">
            <v>0</v>
          </cell>
        </row>
        <row r="1629">
          <cell r="A1629" t="str">
            <v>LU1882459511</v>
          </cell>
          <cell r="B1629" t="str">
            <v>AMUNDI FUNDS EMERGING MARKETS LOCAL CURRENCY BOND</v>
          </cell>
          <cell r="C1629" t="str">
            <v>Class A EUR (C)</v>
          </cell>
          <cell r="D1629" t="str">
            <v>EUR</v>
          </cell>
          <cell r="E1629" t="str">
            <v>01-Dec-2025</v>
          </cell>
          <cell r="F1629">
            <v>6941352.1699999999</v>
          </cell>
          <cell r="G1629">
            <v>93855.085000000006</v>
          </cell>
          <cell r="H1629">
            <v>73.959999999999994</v>
          </cell>
          <cell r="I1629">
            <v>0</v>
          </cell>
          <cell r="J1629">
            <v>76.92</v>
          </cell>
          <cell r="K1629">
            <v>-0.11</v>
          </cell>
          <cell r="P1629">
            <v>0</v>
          </cell>
        </row>
        <row r="1630">
          <cell r="A1630" t="str">
            <v>LU1882459867</v>
          </cell>
          <cell r="B1630" t="str">
            <v>AMUNDI FUNDS EMERGING MARKETS LOCAL CURRENCY BOND</v>
          </cell>
          <cell r="C1630" t="str">
            <v>Class A USD AD (D)</v>
          </cell>
          <cell r="D1630" t="str">
            <v>USD</v>
          </cell>
          <cell r="E1630" t="str">
            <v>01-Dec-2025</v>
          </cell>
          <cell r="F1630">
            <v>265583.55</v>
          </cell>
          <cell r="G1630">
            <v>6311.3149999999996</v>
          </cell>
          <cell r="H1630">
            <v>42.08</v>
          </cell>
          <cell r="I1630">
            <v>0</v>
          </cell>
          <cell r="J1630">
            <v>43.76</v>
          </cell>
          <cell r="K1630">
            <v>0.03</v>
          </cell>
          <cell r="P1630">
            <v>0</v>
          </cell>
        </row>
        <row r="1631">
          <cell r="A1631" t="str">
            <v>LU1882459941</v>
          </cell>
          <cell r="B1631" t="str">
            <v>AMUNDI FUNDS EMERGING MARKETS LOCAL CURRENCY BOND</v>
          </cell>
          <cell r="C1631" t="str">
            <v>Class A USD MTD3 (D)</v>
          </cell>
          <cell r="D1631" t="str">
            <v>USD</v>
          </cell>
          <cell r="E1631" t="str">
            <v>01-Dec-2025</v>
          </cell>
          <cell r="F1631">
            <v>41972558.030000001</v>
          </cell>
          <cell r="G1631">
            <v>2394576.4190000002</v>
          </cell>
          <cell r="H1631">
            <v>17.53</v>
          </cell>
          <cell r="I1631">
            <v>0.2041</v>
          </cell>
          <cell r="J1631">
            <v>18.059999999999999</v>
          </cell>
          <cell r="K1631">
            <v>-0.19</v>
          </cell>
          <cell r="P1631">
            <v>0</v>
          </cell>
        </row>
        <row r="1632">
          <cell r="A1632" t="str">
            <v>LU1882460014</v>
          </cell>
          <cell r="B1632" t="str">
            <v>AMUNDI FUNDS EMERGING MARKETS LOCAL CURRENCY BOND</v>
          </cell>
          <cell r="C1632" t="str">
            <v>Class A USD MGI (D)</v>
          </cell>
          <cell r="D1632" t="str">
            <v>USD</v>
          </cell>
          <cell r="E1632" t="str">
            <v>01-Dec-2025</v>
          </cell>
          <cell r="F1632">
            <v>2790471.65</v>
          </cell>
          <cell r="G1632">
            <v>102515.68399999999</v>
          </cell>
          <cell r="H1632">
            <v>27.22</v>
          </cell>
          <cell r="I1632">
            <v>0.167966</v>
          </cell>
          <cell r="J1632">
            <v>28.31</v>
          </cell>
          <cell r="K1632">
            <v>-0.15</v>
          </cell>
          <cell r="P1632">
            <v>0</v>
          </cell>
        </row>
        <row r="1633">
          <cell r="A1633" t="str">
            <v>LU1880385494</v>
          </cell>
          <cell r="B1633" t="str">
            <v>AMUNDI FUNDS EMERGING MARKETS LOCAL CURRENCY BOND</v>
          </cell>
          <cell r="C1633" t="str">
            <v>Class A CZK Hgd (C)</v>
          </cell>
          <cell r="D1633" t="str">
            <v>CZK</v>
          </cell>
          <cell r="E1633" t="str">
            <v>01-Dec-2025</v>
          </cell>
          <cell r="F1633">
            <v>59745789.880000003</v>
          </cell>
          <cell r="G1633">
            <v>57557.966999999997</v>
          </cell>
          <cell r="H1633">
            <v>1038.01</v>
          </cell>
          <cell r="I1633">
            <v>0</v>
          </cell>
          <cell r="J1633">
            <v>1038.01</v>
          </cell>
          <cell r="K1633">
            <v>0.41</v>
          </cell>
          <cell r="P1633">
            <v>0</v>
          </cell>
        </row>
        <row r="1634">
          <cell r="A1634" t="str">
            <v>LU1882459784</v>
          </cell>
          <cell r="B1634" t="str">
            <v>AMUNDI FUNDS EMERGING MARKETS LOCAL CURRENCY BOND</v>
          </cell>
          <cell r="C1634" t="str">
            <v>Class A USD (C)</v>
          </cell>
          <cell r="D1634" t="str">
            <v>USD</v>
          </cell>
          <cell r="E1634" t="str">
            <v>01-Dec-2025</v>
          </cell>
          <cell r="F1634">
            <v>2949710.6</v>
          </cell>
          <cell r="G1634">
            <v>34186.963000000003</v>
          </cell>
          <cell r="H1634">
            <v>86.28</v>
          </cell>
          <cell r="I1634">
            <v>0</v>
          </cell>
          <cell r="J1634">
            <v>89.73</v>
          </cell>
          <cell r="K1634">
            <v>0.05</v>
          </cell>
          <cell r="P1634">
            <v>0</v>
          </cell>
        </row>
        <row r="1635">
          <cell r="A1635" t="str">
            <v>LU1882460287</v>
          </cell>
          <cell r="B1635" t="str">
            <v>AMUNDI FUNDS EMERGING MARKETS LOCAL CURRENCY BOND</v>
          </cell>
          <cell r="C1635" t="str">
            <v>Class B USD MGI (D)</v>
          </cell>
          <cell r="D1635" t="str">
            <v>USD</v>
          </cell>
          <cell r="E1635" t="str">
            <v>01-Dec-2025</v>
          </cell>
          <cell r="F1635">
            <v>477828.78</v>
          </cell>
          <cell r="G1635">
            <v>20061.219000000001</v>
          </cell>
          <cell r="H1635">
            <v>23.82</v>
          </cell>
          <cell r="I1635">
            <v>0.147034</v>
          </cell>
          <cell r="J1635">
            <v>23.82</v>
          </cell>
          <cell r="K1635">
            <v>-0.13</v>
          </cell>
          <cell r="P1635">
            <v>0</v>
          </cell>
        </row>
        <row r="1636">
          <cell r="A1636" t="str">
            <v>LU1882460105</v>
          </cell>
          <cell r="B1636" t="str">
            <v>AMUNDI FUNDS EMERGING MARKETS LOCAL CURRENCY BOND</v>
          </cell>
          <cell r="C1636" t="str">
            <v>Class B USD MTD3 (D)</v>
          </cell>
          <cell r="D1636" t="str">
            <v>USD</v>
          </cell>
          <cell r="E1636" t="str">
            <v>01-Dec-2025</v>
          </cell>
          <cell r="F1636">
            <v>3603251.79</v>
          </cell>
          <cell r="G1636">
            <v>224208.174</v>
          </cell>
          <cell r="H1636">
            <v>16.07</v>
          </cell>
          <cell r="I1636">
            <v>0.19189999999999999</v>
          </cell>
          <cell r="J1636">
            <v>16.07</v>
          </cell>
          <cell r="K1636">
            <v>-0.18</v>
          </cell>
          <cell r="P1636">
            <v>0</v>
          </cell>
        </row>
        <row r="1637">
          <cell r="A1637" t="str">
            <v>LU1882461681</v>
          </cell>
          <cell r="B1637" t="str">
            <v>AMUNDI FUNDS EMERGING MARKETS LOCAL CURRENCY BOND</v>
          </cell>
          <cell r="C1637" t="str">
            <v>Class M2 EUR (C)</v>
          </cell>
          <cell r="D1637" t="str">
            <v>EUR</v>
          </cell>
          <cell r="E1637" t="str">
            <v>01-Dec-2025</v>
          </cell>
          <cell r="F1637">
            <v>19950028.07</v>
          </cell>
          <cell r="G1637">
            <v>11833.994000000001</v>
          </cell>
          <cell r="H1637">
            <v>1685.82</v>
          </cell>
          <cell r="I1637">
            <v>0</v>
          </cell>
          <cell r="J1637">
            <v>1685.82</v>
          </cell>
          <cell r="K1637">
            <v>-2.38</v>
          </cell>
          <cell r="P1637">
            <v>0</v>
          </cell>
        </row>
        <row r="1638">
          <cell r="A1638" t="str">
            <v>LU1882461764</v>
          </cell>
          <cell r="B1638" t="str">
            <v>AMUNDI FUNDS EMERGING MARKETS LOCAL CURRENCY BOND</v>
          </cell>
          <cell r="C1638" t="str">
            <v>Class M2 EUR AD (D)</v>
          </cell>
          <cell r="D1638" t="str">
            <v>EUR</v>
          </cell>
          <cell r="E1638" t="str">
            <v>01-Dec-2025</v>
          </cell>
          <cell r="F1638">
            <v>162198.43</v>
          </cell>
          <cell r="G1638">
            <v>223.43700000000001</v>
          </cell>
          <cell r="H1638">
            <v>725.92</v>
          </cell>
          <cell r="I1638">
            <v>0</v>
          </cell>
          <cell r="J1638">
            <v>725.92</v>
          </cell>
          <cell r="K1638">
            <v>-1.03</v>
          </cell>
          <cell r="P1638">
            <v>0</v>
          </cell>
        </row>
        <row r="1639">
          <cell r="A1639" t="str">
            <v>LU2070309708</v>
          </cell>
          <cell r="B1639" t="str">
            <v>AMUNDI FUNDS EMERGING MARKETS LOCAL CURRENCY BOND</v>
          </cell>
          <cell r="C1639" t="str">
            <v>Class A2 EUR AD (D)</v>
          </cell>
          <cell r="D1639" t="str">
            <v>EUR</v>
          </cell>
          <cell r="E1639" t="str">
            <v>01-Dec-2025</v>
          </cell>
          <cell r="F1639">
            <v>600344.78</v>
          </cell>
          <cell r="G1639">
            <v>16207</v>
          </cell>
          <cell r="H1639">
            <v>37.04</v>
          </cell>
          <cell r="I1639">
            <v>0</v>
          </cell>
          <cell r="J1639">
            <v>38.15</v>
          </cell>
          <cell r="K1639">
            <v>-0.06</v>
          </cell>
          <cell r="P1639">
            <v>0</v>
          </cell>
        </row>
        <row r="1640">
          <cell r="A1640" t="str">
            <v>LU1882460444</v>
          </cell>
          <cell r="B1640" t="str">
            <v>AMUNDI FUNDS EMERGING MARKETS LOCAL CURRENCY BOND</v>
          </cell>
          <cell r="C1640" t="str">
            <v>Class E2 EUR (C)</v>
          </cell>
          <cell r="D1640" t="str">
            <v>EUR</v>
          </cell>
          <cell r="E1640" t="str">
            <v>01-Dec-2025</v>
          </cell>
          <cell r="F1640">
            <v>33305591.539999999</v>
          </cell>
          <cell r="G1640">
            <v>4421402.2929999996</v>
          </cell>
          <cell r="H1640">
            <v>7.5330000000000004</v>
          </cell>
          <cell r="I1640">
            <v>0</v>
          </cell>
          <cell r="J1640">
            <v>7.5330000000000004</v>
          </cell>
          <cell r="K1640">
            <v>-1.0999999999999999E-2</v>
          </cell>
          <cell r="P1640">
            <v>0</v>
          </cell>
        </row>
        <row r="1641">
          <cell r="A1641" t="str">
            <v>LU1882460527</v>
          </cell>
          <cell r="B1641" t="str">
            <v>AMUNDI FUNDS EMERGING MARKETS LOCAL CURRENCY BOND</v>
          </cell>
          <cell r="C1641" t="str">
            <v>Class E2 EUR AD (D)</v>
          </cell>
          <cell r="D1641" t="str">
            <v>EUR</v>
          </cell>
          <cell r="E1641" t="str">
            <v>01-Dec-2025</v>
          </cell>
          <cell r="F1641">
            <v>4047649.32</v>
          </cell>
          <cell r="G1641">
            <v>1290437.2849999999</v>
          </cell>
          <cell r="H1641">
            <v>3.137</v>
          </cell>
          <cell r="I1641">
            <v>0</v>
          </cell>
          <cell r="J1641">
            <v>3.137</v>
          </cell>
          <cell r="K1641">
            <v>-4.0000000000000001E-3</v>
          </cell>
          <cell r="P1641">
            <v>0</v>
          </cell>
        </row>
        <row r="1642">
          <cell r="A1642" t="str">
            <v>LU1882460956</v>
          </cell>
          <cell r="B1642" t="str">
            <v>AMUNDI FUNDS EMERGING MARKETS LOCAL CURRENCY BOND</v>
          </cell>
          <cell r="C1642" t="str">
            <v>Class F EUR AD (D)</v>
          </cell>
          <cell r="D1642" t="str">
            <v>EUR</v>
          </cell>
          <cell r="E1642" t="str">
            <v>01-Dec-2025</v>
          </cell>
          <cell r="F1642">
            <v>1241595.52</v>
          </cell>
          <cell r="G1642">
            <v>398667.09399999998</v>
          </cell>
          <cell r="H1642">
            <v>3.1139999999999999</v>
          </cell>
          <cell r="I1642">
            <v>0</v>
          </cell>
          <cell r="J1642">
            <v>3.1139999999999999</v>
          </cell>
          <cell r="K1642">
            <v>-5.0000000000000001E-3</v>
          </cell>
          <cell r="P1642">
            <v>0</v>
          </cell>
        </row>
        <row r="1643">
          <cell r="A1643" t="str">
            <v>LU1882460873</v>
          </cell>
          <cell r="B1643" t="str">
            <v>AMUNDI FUNDS EMERGING MARKETS LOCAL CURRENCY BOND</v>
          </cell>
          <cell r="C1643" t="str">
            <v>Class F EUR (C)</v>
          </cell>
          <cell r="D1643" t="str">
            <v>EUR</v>
          </cell>
          <cell r="E1643" t="str">
            <v>01-Dec-2025</v>
          </cell>
          <cell r="F1643">
            <v>10473222.75</v>
          </cell>
          <cell r="G1643">
            <v>1521382.649</v>
          </cell>
          <cell r="H1643">
            <v>6.8840000000000003</v>
          </cell>
          <cell r="I1643">
            <v>0</v>
          </cell>
          <cell r="J1643">
            <v>6.8840000000000003</v>
          </cell>
          <cell r="K1643">
            <v>-1.0999999999999999E-2</v>
          </cell>
          <cell r="P1643">
            <v>0</v>
          </cell>
        </row>
        <row r="1644">
          <cell r="A1644" t="str">
            <v>LU1880386203</v>
          </cell>
          <cell r="B1644" t="str">
            <v>AMUNDI FUNDS EMERGING MARKETS LOCAL CURRENCY BOND</v>
          </cell>
          <cell r="C1644" t="str">
            <v>Class F2 USD (C)</v>
          </cell>
          <cell r="D1644" t="str">
            <v>USD</v>
          </cell>
          <cell r="E1644" t="str">
            <v>01-Dec-2025</v>
          </cell>
          <cell r="F1644">
            <v>169015.79</v>
          </cell>
          <cell r="G1644">
            <v>32615.553</v>
          </cell>
          <cell r="H1644">
            <v>5.1820000000000004</v>
          </cell>
          <cell r="I1644">
            <v>0</v>
          </cell>
          <cell r="J1644">
            <v>5.1820000000000004</v>
          </cell>
          <cell r="K1644">
            <v>3.0000000000000001E-3</v>
          </cell>
          <cell r="P1644">
            <v>0</v>
          </cell>
        </row>
        <row r="1645">
          <cell r="A1645" t="str">
            <v>LU1882461178</v>
          </cell>
          <cell r="B1645" t="str">
            <v>AMUNDI FUNDS EMERGING MARKETS LOCAL CURRENCY BOND</v>
          </cell>
          <cell r="C1645" t="str">
            <v>Class F EUR QTD (D)</v>
          </cell>
          <cell r="D1645" t="str">
            <v>EUR</v>
          </cell>
          <cell r="E1645" t="str">
            <v>01-Dec-2025</v>
          </cell>
          <cell r="F1645">
            <v>399829.12</v>
          </cell>
          <cell r="G1645">
            <v>108099.821</v>
          </cell>
          <cell r="H1645">
            <v>3.6989999999999998</v>
          </cell>
          <cell r="I1645">
            <v>0</v>
          </cell>
          <cell r="J1645">
            <v>3.6989999999999998</v>
          </cell>
          <cell r="K1645">
            <v>-5.0000000000000001E-3</v>
          </cell>
          <cell r="P1645">
            <v>0</v>
          </cell>
        </row>
        <row r="1646">
          <cell r="A1646" t="str">
            <v>LU1880386039</v>
          </cell>
          <cell r="B1646" t="str">
            <v>AMUNDI FUNDS EMERGING MARKETS LOCAL CURRENCY BOND</v>
          </cell>
          <cell r="C1646" t="str">
            <v>Class F2 EUR Hgd (C)</v>
          </cell>
          <cell r="D1646" t="str">
            <v>EUR</v>
          </cell>
          <cell r="E1646" t="str">
            <v>01-Dec-2025</v>
          </cell>
          <cell r="F1646">
            <v>123092.29</v>
          </cell>
          <cell r="G1646">
            <v>27227.89</v>
          </cell>
          <cell r="H1646">
            <v>4.5209999999999999</v>
          </cell>
          <cell r="I1646">
            <v>0</v>
          </cell>
          <cell r="J1646">
            <v>4.5209999999999999</v>
          </cell>
          <cell r="K1646">
            <v>2E-3</v>
          </cell>
          <cell r="P1646">
            <v>0</v>
          </cell>
        </row>
        <row r="1647">
          <cell r="A1647" t="str">
            <v>LU1880386112</v>
          </cell>
          <cell r="B1647" t="str">
            <v>AMUNDI FUNDS EMERGING MARKETS LOCAL CURRENCY BOND</v>
          </cell>
          <cell r="C1647" t="str">
            <v>Class F2 EUR Hgd MTD (D)</v>
          </cell>
          <cell r="D1647" t="str">
            <v>EUR</v>
          </cell>
          <cell r="E1647" t="str">
            <v>01-Dec-2025</v>
          </cell>
          <cell r="F1647">
            <v>317868.96000000002</v>
          </cell>
          <cell r="G1647">
            <v>90070.048999999999</v>
          </cell>
          <cell r="H1647">
            <v>3.5289999999999999</v>
          </cell>
          <cell r="I1647">
            <v>1.37E-2</v>
          </cell>
          <cell r="J1647">
            <v>3.5289999999999999</v>
          </cell>
          <cell r="K1647">
            <v>-1.2E-2</v>
          </cell>
          <cell r="P1647">
            <v>0</v>
          </cell>
        </row>
        <row r="1648">
          <cell r="A1648" t="str">
            <v>LU1998914300</v>
          </cell>
          <cell r="B1648" t="str">
            <v>AMUNDI FUNDS EMERGING MARKETS LOCAL CURRENCY BOND</v>
          </cell>
          <cell r="C1648" t="str">
            <v>Class H EUR ( C )</v>
          </cell>
          <cell r="D1648" t="str">
            <v>EUR</v>
          </cell>
          <cell r="E1648" t="str">
            <v>01-Dec-2025</v>
          </cell>
          <cell r="F1648">
            <v>1064324.68</v>
          </cell>
          <cell r="G1648">
            <v>952</v>
          </cell>
          <cell r="H1648">
            <v>1117.99</v>
          </cell>
          <cell r="I1648">
            <v>0</v>
          </cell>
          <cell r="J1648">
            <v>1117.99</v>
          </cell>
          <cell r="K1648">
            <v>-1.55</v>
          </cell>
          <cell r="P1648">
            <v>0</v>
          </cell>
        </row>
        <row r="1649">
          <cell r="A1649" t="str">
            <v>LU2031984425</v>
          </cell>
          <cell r="B1649" t="str">
            <v>AMUNDI FUNDS EMERGING MARKETS LOCAL CURRENCY BOND</v>
          </cell>
          <cell r="C1649" t="str">
            <v>Class I2 GBP QD (D)</v>
          </cell>
          <cell r="D1649" t="str">
            <v>GBP</v>
          </cell>
          <cell r="E1649" t="str">
            <v>01-Dec-2025</v>
          </cell>
          <cell r="F1649">
            <v>114423.49</v>
          </cell>
          <cell r="G1649">
            <v>158.11500000000001</v>
          </cell>
          <cell r="H1649">
            <v>723.67</v>
          </cell>
          <cell r="I1649">
            <v>0</v>
          </cell>
          <cell r="J1649">
            <v>723.67</v>
          </cell>
          <cell r="K1649">
            <v>0.39</v>
          </cell>
          <cell r="P1649">
            <v>0</v>
          </cell>
        </row>
        <row r="1650">
          <cell r="A1650" t="str">
            <v>LU1882461509</v>
          </cell>
          <cell r="B1650" t="str">
            <v>AMUNDI FUNDS EMERGING MARKETS LOCAL CURRENCY BOND</v>
          </cell>
          <cell r="C1650" t="str">
            <v>Class I2 USD (C)</v>
          </cell>
          <cell r="D1650" t="str">
            <v>USD</v>
          </cell>
          <cell r="E1650" t="str">
            <v>01-Dec-2025</v>
          </cell>
          <cell r="F1650">
            <v>20518579.57</v>
          </cell>
          <cell r="G1650">
            <v>10148.716</v>
          </cell>
          <cell r="H1650">
            <v>2021.79</v>
          </cell>
          <cell r="I1650">
            <v>0</v>
          </cell>
          <cell r="J1650">
            <v>2021.79</v>
          </cell>
          <cell r="K1650">
            <v>1.43</v>
          </cell>
          <cell r="P1650">
            <v>0</v>
          </cell>
        </row>
        <row r="1651">
          <cell r="A1651" t="str">
            <v>LU1882461335</v>
          </cell>
          <cell r="B1651" t="str">
            <v>AMUNDI FUNDS EMERGING MARKETS LOCAL CURRENCY BOND</v>
          </cell>
          <cell r="C1651" t="str">
            <v>Class I2 EUR AD (D)</v>
          </cell>
          <cell r="D1651" t="str">
            <v>EUR</v>
          </cell>
          <cell r="E1651" t="str">
            <v>01-Dec-2025</v>
          </cell>
          <cell r="F1651">
            <v>2903.73</v>
          </cell>
          <cell r="G1651">
            <v>4</v>
          </cell>
          <cell r="H1651">
            <v>725.93</v>
          </cell>
          <cell r="I1651">
            <v>0</v>
          </cell>
          <cell r="J1651">
            <v>725.93</v>
          </cell>
          <cell r="K1651">
            <v>-1.02</v>
          </cell>
          <cell r="P1651">
            <v>0</v>
          </cell>
        </row>
        <row r="1652">
          <cell r="A1652" t="str">
            <v>LU1882460790</v>
          </cell>
          <cell r="B1652" t="str">
            <v>AMUNDI FUNDS EMERGING MARKETS LOCAL CURRENCY BOND</v>
          </cell>
          <cell r="C1652" t="str">
            <v>Class E2 EUR QTD (D)</v>
          </cell>
          <cell r="D1652" t="str">
            <v>EUR</v>
          </cell>
          <cell r="E1652" t="str">
            <v>01-Dec-2025</v>
          </cell>
          <cell r="F1652">
            <v>4208535.24</v>
          </cell>
          <cell r="G1652">
            <v>1103538.7290000001</v>
          </cell>
          <cell r="H1652">
            <v>3.8140000000000001</v>
          </cell>
          <cell r="I1652">
            <v>0</v>
          </cell>
          <cell r="J1652">
            <v>3.8140000000000001</v>
          </cell>
          <cell r="K1652">
            <v>-5.0000000000000001E-3</v>
          </cell>
          <cell r="P1652">
            <v>0</v>
          </cell>
        </row>
        <row r="1653">
          <cell r="A1653" t="str">
            <v>LU2297685658</v>
          </cell>
          <cell r="B1653" t="str">
            <v>AMUNDI FUNDS EMERGING MARKETS LOCAL CURRENCY BOND</v>
          </cell>
          <cell r="C1653" t="str">
            <v>Class I11 EUR Hgd (C)</v>
          </cell>
          <cell r="D1653" t="str">
            <v>EUR</v>
          </cell>
          <cell r="E1653" t="str">
            <v>01-Dec-2025</v>
          </cell>
          <cell r="F1653">
            <v>141470.07</v>
          </cell>
          <cell r="G1653">
            <v>2980</v>
          </cell>
          <cell r="H1653">
            <v>47.47</v>
          </cell>
          <cell r="I1653">
            <v>0</v>
          </cell>
          <cell r="J1653">
            <v>47.47</v>
          </cell>
          <cell r="K1653">
            <v>0.03</v>
          </cell>
          <cell r="P1653">
            <v>0</v>
          </cell>
        </row>
        <row r="1654">
          <cell r="A1654" t="str">
            <v>LU1882461251</v>
          </cell>
          <cell r="B1654" t="str">
            <v>AMUNDI FUNDS EMERGING MARKETS LOCAL CURRENCY BOND</v>
          </cell>
          <cell r="C1654" t="str">
            <v>Class I2 EUR (C)</v>
          </cell>
          <cell r="D1654" t="str">
            <v>EUR</v>
          </cell>
          <cell r="E1654" t="str">
            <v>01-Dec-2025</v>
          </cell>
          <cell r="F1654">
            <v>11329106.220000001</v>
          </cell>
          <cell r="G1654">
            <v>6516.6419999999998</v>
          </cell>
          <cell r="H1654">
            <v>1738.49</v>
          </cell>
          <cell r="I1654">
            <v>0</v>
          </cell>
          <cell r="J1654">
            <v>1738.49</v>
          </cell>
          <cell r="K1654">
            <v>-2.44</v>
          </cell>
          <cell r="P1654">
            <v>0</v>
          </cell>
        </row>
        <row r="1655">
          <cell r="A1655" t="str">
            <v>LU1895000252</v>
          </cell>
          <cell r="B1655" t="str">
            <v>AMUNDI FUNDS EMERGING MARKETS LOCAL CURRENCY BOND</v>
          </cell>
          <cell r="C1655" t="str">
            <v>Class J2 EUR (C)</v>
          </cell>
          <cell r="D1655" t="str">
            <v>EUR</v>
          </cell>
          <cell r="E1655" t="str">
            <v>01-Dec-2025</v>
          </cell>
          <cell r="F1655">
            <v>117968345.64</v>
          </cell>
          <cell r="G1655">
            <v>90096.201000000001</v>
          </cell>
          <cell r="H1655">
            <v>1309.3599999999999</v>
          </cell>
          <cell r="I1655">
            <v>0</v>
          </cell>
          <cell r="J1655">
            <v>1309.3599999999999</v>
          </cell>
          <cell r="K1655">
            <v>-1.83</v>
          </cell>
          <cell r="P1655">
            <v>0</v>
          </cell>
        </row>
        <row r="1656">
          <cell r="A1656" t="str">
            <v>LU2176989957</v>
          </cell>
          <cell r="B1656" t="str">
            <v>AMUNDI FUNDS EMERGING MARKETS LOCAL CURRENCY BOND</v>
          </cell>
          <cell r="C1656" t="str">
            <v>Class J2 USD (C)</v>
          </cell>
          <cell r="D1656" t="str">
            <v>USD</v>
          </cell>
          <cell r="E1656" t="str">
            <v>01-Dec-2025</v>
          </cell>
          <cell r="F1656">
            <v>73323448.760000005</v>
          </cell>
          <cell r="G1656">
            <v>66382.812999999995</v>
          </cell>
          <cell r="H1656">
            <v>1104.55</v>
          </cell>
          <cell r="I1656">
            <v>0</v>
          </cell>
          <cell r="J1656">
            <v>1104.55</v>
          </cell>
          <cell r="K1656">
            <v>0.79</v>
          </cell>
          <cell r="P1656">
            <v>0</v>
          </cell>
        </row>
        <row r="1657">
          <cell r="A1657" t="str">
            <v>LU2428739804</v>
          </cell>
          <cell r="B1657" t="str">
            <v>AMUNDI FUNDS EMERGING MARKETS LOCAL CURRENCY BOND</v>
          </cell>
          <cell r="C1657" t="str">
            <v>Class J2 EUR AD (D)</v>
          </cell>
          <cell r="D1657" t="str">
            <v>EUR</v>
          </cell>
          <cell r="E1657" t="str">
            <v>01-Dec-2025</v>
          </cell>
          <cell r="F1657">
            <v>10368688.67</v>
          </cell>
          <cell r="G1657">
            <v>11956.989</v>
          </cell>
          <cell r="H1657">
            <v>867.17</v>
          </cell>
          <cell r="I1657">
            <v>0</v>
          </cell>
          <cell r="J1657">
            <v>867.17</v>
          </cell>
          <cell r="K1657">
            <v>-1.2</v>
          </cell>
          <cell r="P1657">
            <v>0</v>
          </cell>
        </row>
        <row r="1658">
          <cell r="A1658" t="str">
            <v>LU1880386542</v>
          </cell>
          <cell r="B1658" t="str">
            <v>AMUNDI FUNDS EMERGING MARKETS LOCAL CURRENCY BOND</v>
          </cell>
          <cell r="C1658" t="str">
            <v>Class G USD (C)</v>
          </cell>
          <cell r="D1658" t="str">
            <v>USD</v>
          </cell>
          <cell r="E1658" t="str">
            <v>01-Dec-2025</v>
          </cell>
          <cell r="F1658">
            <v>3579644.22</v>
          </cell>
          <cell r="G1658">
            <v>671038.42299999995</v>
          </cell>
          <cell r="H1658">
            <v>5.3339999999999996</v>
          </cell>
          <cell r="I1658">
            <v>0</v>
          </cell>
          <cell r="J1658">
            <v>5.4939999999999998</v>
          </cell>
          <cell r="K1658">
            <v>3.0000000000000001E-3</v>
          </cell>
          <cell r="P1658">
            <v>0</v>
          </cell>
        </row>
        <row r="1659">
          <cell r="A1659" t="str">
            <v>LU1880386385</v>
          </cell>
          <cell r="B1659" t="str">
            <v>AMUNDI FUNDS EMERGING MARKETS LOCAL CURRENCY BOND</v>
          </cell>
          <cell r="C1659" t="str">
            <v>Class G EUR Hgd (C)</v>
          </cell>
          <cell r="D1659" t="str">
            <v>EUR</v>
          </cell>
          <cell r="E1659" t="str">
            <v>01-Dec-2025</v>
          </cell>
          <cell r="F1659">
            <v>992132.7</v>
          </cell>
          <cell r="G1659">
            <v>216109.83499999999</v>
          </cell>
          <cell r="H1659">
            <v>4.5910000000000002</v>
          </cell>
          <cell r="I1659">
            <v>0</v>
          </cell>
          <cell r="J1659">
            <v>4.7290000000000001</v>
          </cell>
          <cell r="K1659">
            <v>3.0000000000000001E-3</v>
          </cell>
          <cell r="P1659">
            <v>0</v>
          </cell>
        </row>
        <row r="1660">
          <cell r="A1660" t="str">
            <v>LU1880386468</v>
          </cell>
          <cell r="B1660" t="str">
            <v>AMUNDI FUNDS EMERGING MARKETS LOCAL CURRENCY BOND</v>
          </cell>
          <cell r="C1660" t="str">
            <v>Class G EUR Hgd MTD (D)</v>
          </cell>
          <cell r="D1660" t="str">
            <v>EUR</v>
          </cell>
          <cell r="E1660" t="str">
            <v>01-Dec-2025</v>
          </cell>
          <cell r="F1660">
            <v>1459185.21</v>
          </cell>
          <cell r="G1660">
            <v>407763.79300000001</v>
          </cell>
          <cell r="H1660">
            <v>3.5790000000000002</v>
          </cell>
          <cell r="I1660">
            <v>1.38E-2</v>
          </cell>
          <cell r="J1660">
            <v>3.6859999999999999</v>
          </cell>
          <cell r="K1660">
            <v>-1.0999999999999999E-2</v>
          </cell>
          <cell r="P1660">
            <v>0</v>
          </cell>
        </row>
        <row r="1661">
          <cell r="A1661" t="str">
            <v>LU1882462069</v>
          </cell>
          <cell r="B1661" t="str">
            <v>AMUNDI FUNDS EMERGING MARKETS LOCAL CURRENCY BOND</v>
          </cell>
          <cell r="C1661" t="str">
            <v>Class T USD MTD3 (D)</v>
          </cell>
          <cell r="D1661" t="str">
            <v>USD</v>
          </cell>
          <cell r="E1661" t="str">
            <v>01-Dec-2025</v>
          </cell>
          <cell r="F1661">
            <v>204188.65</v>
          </cell>
          <cell r="G1661">
            <v>12611.096</v>
          </cell>
          <cell r="H1661">
            <v>16.190000000000001</v>
          </cell>
          <cell r="I1661">
            <v>0.19339999999999999</v>
          </cell>
          <cell r="J1661">
            <v>16.190000000000001</v>
          </cell>
          <cell r="K1661">
            <v>-0.19</v>
          </cell>
          <cell r="P1661">
            <v>0</v>
          </cell>
        </row>
        <row r="1662">
          <cell r="A1662" t="str">
            <v>LU1882462143</v>
          </cell>
          <cell r="B1662" t="str">
            <v>AMUNDI FUNDS EMERGING MARKETS LOCAL CURRENCY BOND</v>
          </cell>
          <cell r="C1662" t="str">
            <v>Class T USD MGI (D)</v>
          </cell>
          <cell r="D1662" t="str">
            <v>USD</v>
          </cell>
          <cell r="E1662" t="str">
            <v>01-Dec-2025</v>
          </cell>
          <cell r="F1662">
            <v>260500.45</v>
          </cell>
          <cell r="G1662">
            <v>5418.1419999999998</v>
          </cell>
          <cell r="H1662">
            <v>48.08</v>
          </cell>
          <cell r="I1662">
            <v>0.296819</v>
          </cell>
          <cell r="J1662">
            <v>48.08</v>
          </cell>
          <cell r="K1662">
            <v>-0.27</v>
          </cell>
          <cell r="P1662">
            <v>0</v>
          </cell>
        </row>
        <row r="1663">
          <cell r="A1663" t="str">
            <v>LU1880387946</v>
          </cell>
          <cell r="B1663" t="str">
            <v>AMUNDI FUNDS EMERGING MARKETS LOCAL CURRENCY BOND</v>
          </cell>
          <cell r="C1663" t="str">
            <v>Class M EUR Hgd (C)</v>
          </cell>
          <cell r="D1663" t="str">
            <v>EUR</v>
          </cell>
          <cell r="E1663" t="str">
            <v>01-Dec-2025</v>
          </cell>
          <cell r="F1663">
            <v>19547411.760000002</v>
          </cell>
          <cell r="G1663">
            <v>20421.063999999998</v>
          </cell>
          <cell r="H1663">
            <v>957.22</v>
          </cell>
          <cell r="I1663">
            <v>0</v>
          </cell>
          <cell r="J1663">
            <v>957.22</v>
          </cell>
          <cell r="K1663">
            <v>0.44</v>
          </cell>
          <cell r="P1663">
            <v>0</v>
          </cell>
        </row>
        <row r="1664">
          <cell r="A1664" t="str">
            <v>LU1880388084</v>
          </cell>
          <cell r="B1664" t="str">
            <v>AMUNDI FUNDS EMERGING MARKETS LOCAL CURRENCY BOND</v>
          </cell>
          <cell r="C1664" t="str">
            <v>Class M USD (C)</v>
          </cell>
          <cell r="D1664" t="str">
            <v>USD</v>
          </cell>
          <cell r="E1664" t="str">
            <v>01-Dec-2025</v>
          </cell>
          <cell r="F1664">
            <v>67239.55</v>
          </cell>
          <cell r="G1664">
            <v>58.859000000000002</v>
          </cell>
          <cell r="H1664">
            <v>1142.3800000000001</v>
          </cell>
          <cell r="I1664">
            <v>0</v>
          </cell>
          <cell r="J1664">
            <v>1142.3800000000001</v>
          </cell>
          <cell r="K1664">
            <v>0.8</v>
          </cell>
          <cell r="P1664">
            <v>0</v>
          </cell>
        </row>
        <row r="1665">
          <cell r="A1665" t="str">
            <v>LU1882461848</v>
          </cell>
          <cell r="B1665" t="str">
            <v>AMUNDI FUNDS EMERGING MARKETS LOCAL CURRENCY BOND</v>
          </cell>
          <cell r="C1665" t="str">
            <v>Class R2 EUR (C)</v>
          </cell>
          <cell r="D1665" t="str">
            <v>EUR</v>
          </cell>
          <cell r="E1665" t="str">
            <v>01-Dec-2025</v>
          </cell>
          <cell r="F1665">
            <v>1588202.57</v>
          </cell>
          <cell r="G1665">
            <v>27136.653999999999</v>
          </cell>
          <cell r="H1665">
            <v>58.53</v>
          </cell>
          <cell r="I1665">
            <v>0</v>
          </cell>
          <cell r="J1665">
            <v>58.53</v>
          </cell>
          <cell r="K1665">
            <v>-0.08</v>
          </cell>
          <cell r="P1665">
            <v>0</v>
          </cell>
        </row>
        <row r="1666">
          <cell r="A1666" t="str">
            <v>LU1880388167</v>
          </cell>
          <cell r="B1666" t="str">
            <v>AMUNDI FUNDS EMERGING MARKETS LOCAL CURRENCY BOND</v>
          </cell>
          <cell r="C1666" t="str">
            <v>Class O USD (C)</v>
          </cell>
          <cell r="D1666" t="str">
            <v>USD</v>
          </cell>
          <cell r="E1666" t="str">
            <v>01-Dec-2025</v>
          </cell>
          <cell r="F1666">
            <v>171596567.86000001</v>
          </cell>
          <cell r="G1666">
            <v>143813.26199999999</v>
          </cell>
          <cell r="H1666">
            <v>1193.19</v>
          </cell>
          <cell r="I1666">
            <v>0</v>
          </cell>
          <cell r="J1666">
            <v>1193.19</v>
          </cell>
          <cell r="K1666">
            <v>0.9</v>
          </cell>
          <cell r="P1666">
            <v>0</v>
          </cell>
        </row>
        <row r="1667">
          <cell r="A1667" t="str">
            <v>LU1880385817</v>
          </cell>
          <cell r="B1667" t="str">
            <v>AMUNDI FUNDS EMERGING MARKETS LOCAL CURRENCY BOND</v>
          </cell>
          <cell r="C1667" t="str">
            <v>Class A2 USD (C)</v>
          </cell>
          <cell r="D1667" t="str">
            <v>USD</v>
          </cell>
          <cell r="E1667" t="str">
            <v>01-Dec-2025</v>
          </cell>
          <cell r="F1667">
            <v>317314.64</v>
          </cell>
          <cell r="G1667">
            <v>5929.1369999999997</v>
          </cell>
          <cell r="H1667">
            <v>53.52</v>
          </cell>
          <cell r="I1667">
            <v>0</v>
          </cell>
          <cell r="J1667">
            <v>53.52</v>
          </cell>
          <cell r="K1667">
            <v>0.04</v>
          </cell>
          <cell r="P1667">
            <v>0</v>
          </cell>
        </row>
        <row r="1668">
          <cell r="A1668" t="str">
            <v>LU1882462499</v>
          </cell>
          <cell r="B1668" t="str">
            <v>AMUNDI FUNDS EMERGING MARKETS LOCAL CURRENCY BOND</v>
          </cell>
          <cell r="C1668" t="str">
            <v>Class U USD MGI (D)</v>
          </cell>
          <cell r="D1668" t="str">
            <v>USD</v>
          </cell>
          <cell r="E1668" t="str">
            <v>01-Dec-2025</v>
          </cell>
          <cell r="F1668">
            <v>1480381.37</v>
          </cell>
          <cell r="G1668">
            <v>51797.19</v>
          </cell>
          <cell r="H1668">
            <v>28.58</v>
          </cell>
          <cell r="I1668">
            <v>0.17643500000000001</v>
          </cell>
          <cell r="J1668">
            <v>28.58</v>
          </cell>
          <cell r="K1668">
            <v>-0.16</v>
          </cell>
          <cell r="P1668">
            <v>0</v>
          </cell>
        </row>
        <row r="1669">
          <cell r="A1669" t="str">
            <v>LU1882462226</v>
          </cell>
          <cell r="B1669" t="str">
            <v>AMUNDI FUNDS EMERGING MARKETS LOCAL CURRENCY BOND</v>
          </cell>
          <cell r="C1669" t="str">
            <v>Class U USD MTD3 (D)</v>
          </cell>
          <cell r="D1669" t="str">
            <v>USD</v>
          </cell>
          <cell r="E1669" t="str">
            <v>01-Dec-2025</v>
          </cell>
          <cell r="F1669">
            <v>2851329.98</v>
          </cell>
          <cell r="G1669">
            <v>176144.226</v>
          </cell>
          <cell r="H1669">
            <v>16.190000000000001</v>
          </cell>
          <cell r="I1669">
            <v>0.19339999999999999</v>
          </cell>
          <cell r="J1669">
            <v>16.190000000000001</v>
          </cell>
          <cell r="K1669">
            <v>-0.18</v>
          </cell>
          <cell r="P1669">
            <v>0</v>
          </cell>
        </row>
        <row r="1670">
          <cell r="A1670" t="str">
            <v>LU2391858433</v>
          </cell>
          <cell r="B1670" t="str">
            <v>AMUNDI FUNDS EMERGING MARKETS LOCAL CURRENCY BOND</v>
          </cell>
          <cell r="C1670" t="str">
            <v>Class R11 EUR Hgd (C)</v>
          </cell>
          <cell r="D1670" t="str">
            <v>EUR</v>
          </cell>
          <cell r="E1670" t="str">
            <v>01-Dec-2025</v>
          </cell>
          <cell r="F1670">
            <v>5484727.4400000004</v>
          </cell>
          <cell r="G1670">
            <v>107771.864</v>
          </cell>
          <cell r="H1670">
            <v>50.89</v>
          </cell>
          <cell r="I1670">
            <v>0</v>
          </cell>
          <cell r="J1670">
            <v>50.89</v>
          </cell>
          <cell r="K1670">
            <v>0.03</v>
          </cell>
          <cell r="P1670">
            <v>0</v>
          </cell>
        </row>
        <row r="1671">
          <cell r="A1671" t="str">
            <v>LU1882461921</v>
          </cell>
          <cell r="B1671" t="str">
            <v>AMUNDI FUNDS EMERGING MARKETS LOCAL CURRENCY BOND</v>
          </cell>
          <cell r="C1671" t="str">
            <v>Class R2 USD (C)</v>
          </cell>
          <cell r="D1671" t="str">
            <v>USD</v>
          </cell>
          <cell r="E1671" t="str">
            <v>01-Dec-2025</v>
          </cell>
          <cell r="F1671">
            <v>5657.02</v>
          </cell>
          <cell r="G1671">
            <v>100</v>
          </cell>
          <cell r="H1671">
            <v>56.57</v>
          </cell>
          <cell r="I1671">
            <v>0</v>
          </cell>
          <cell r="J1671">
            <v>56.57</v>
          </cell>
          <cell r="K1671">
            <v>0.04</v>
          </cell>
          <cell r="P1671">
            <v>0</v>
          </cell>
        </row>
        <row r="1672">
          <cell r="A1672" t="str">
            <v>LU1998917238</v>
          </cell>
          <cell r="B1672" t="str">
            <v>AMUNDI FUNDS EMERGING MARKETS LOCAL CURRENCY BOND</v>
          </cell>
          <cell r="C1672" t="str">
            <v>Class X USD ( C )</v>
          </cell>
          <cell r="D1672" t="str">
            <v>USD</v>
          </cell>
          <cell r="E1672" t="str">
            <v>01-Dec-2025</v>
          </cell>
          <cell r="F1672">
            <v>1181002.8799999999</v>
          </cell>
          <cell r="G1672">
            <v>992</v>
          </cell>
          <cell r="H1672">
            <v>1190.53</v>
          </cell>
          <cell r="I1672">
            <v>0</v>
          </cell>
          <cell r="J1672">
            <v>1190.53</v>
          </cell>
          <cell r="K1672">
            <v>0.9</v>
          </cell>
          <cell r="P1672">
            <v>0</v>
          </cell>
        </row>
        <row r="1673">
          <cell r="A1673" t="str">
            <v>LU1880386625</v>
          </cell>
          <cell r="B1673" t="str">
            <v>AMUNDI FUNDS EMERGING MARKETS LOCAL CURRENCY BOND</v>
          </cell>
          <cell r="C1673" t="str">
            <v>Class I EUR Hgd (C)</v>
          </cell>
          <cell r="D1673" t="str">
            <v>EUR</v>
          </cell>
          <cell r="E1673" t="str">
            <v>01-Dec-2025</v>
          </cell>
          <cell r="F1673">
            <v>40103527.399999999</v>
          </cell>
          <cell r="G1673">
            <v>40954.908000000003</v>
          </cell>
          <cell r="H1673">
            <v>979.21</v>
          </cell>
          <cell r="I1673">
            <v>0</v>
          </cell>
          <cell r="J1673">
            <v>979.21</v>
          </cell>
          <cell r="K1673">
            <v>0.47</v>
          </cell>
          <cell r="P1673">
            <v>0</v>
          </cell>
        </row>
        <row r="1674">
          <cell r="A1674" t="str">
            <v>LU1880387607</v>
          </cell>
          <cell r="B1674" t="str">
            <v>AMUNDI FUNDS EMERGING MARKETS LOCAL CURRENCY BOND</v>
          </cell>
          <cell r="C1674" t="str">
            <v>Class I USD (C)</v>
          </cell>
          <cell r="D1674" t="str">
            <v>USD</v>
          </cell>
          <cell r="E1674" t="str">
            <v>01-Dec-2025</v>
          </cell>
          <cell r="F1674">
            <v>75632360.780000001</v>
          </cell>
          <cell r="G1674">
            <v>65925.452000000005</v>
          </cell>
          <cell r="H1674">
            <v>1147.24</v>
          </cell>
          <cell r="I1674">
            <v>0</v>
          </cell>
          <cell r="J1674">
            <v>1147.24</v>
          </cell>
          <cell r="K1674">
            <v>0.82</v>
          </cell>
          <cell r="P1674">
            <v>0</v>
          </cell>
        </row>
        <row r="1675">
          <cell r="A1675" t="str">
            <v>LU2052288532</v>
          </cell>
          <cell r="B1675" t="str">
            <v>AMUNDI FUNDS EMERGING MARKETS LOCAL CURRENCY BOND</v>
          </cell>
          <cell r="C1675" t="str">
            <v>Class Z EUR AD (D)</v>
          </cell>
          <cell r="D1675" t="str">
            <v>EUR</v>
          </cell>
          <cell r="E1675" t="str">
            <v>01-Dec-2025</v>
          </cell>
          <cell r="F1675">
            <v>28415301.300000001</v>
          </cell>
          <cell r="G1675">
            <v>39018.695</v>
          </cell>
          <cell r="H1675">
            <v>728.25</v>
          </cell>
          <cell r="I1675">
            <v>0</v>
          </cell>
          <cell r="J1675">
            <v>728.25</v>
          </cell>
          <cell r="K1675">
            <v>-1.01</v>
          </cell>
          <cell r="P1675">
            <v>0</v>
          </cell>
        </row>
        <row r="1676">
          <cell r="A1676" t="str">
            <v>LU2462611489</v>
          </cell>
          <cell r="B1676" t="str">
            <v>AMUNDI FUNDS REAL ASSETS TARGET INCOME</v>
          </cell>
          <cell r="C1676" t="str">
            <v>Class A2 SGD Hgd (C)</v>
          </cell>
          <cell r="D1676" t="str">
            <v>SGD</v>
          </cell>
          <cell r="E1676" t="str">
            <v>01-Dec-2025</v>
          </cell>
          <cell r="F1676">
            <v>395167.62</v>
          </cell>
          <cell r="G1676">
            <v>6643.6210000000001</v>
          </cell>
          <cell r="H1676">
            <v>59.48</v>
          </cell>
          <cell r="I1676">
            <v>0</v>
          </cell>
          <cell r="J1676">
            <v>59.48</v>
          </cell>
          <cell r="K1676">
            <v>-0.12</v>
          </cell>
          <cell r="P1676">
            <v>0</v>
          </cell>
        </row>
        <row r="1677">
          <cell r="A1677" t="str">
            <v>LU2498475776</v>
          </cell>
          <cell r="B1677" t="str">
            <v>AMUNDI FUNDS REAL ASSETS TARGET INCOME</v>
          </cell>
          <cell r="C1677" t="str">
            <v>Class A2 HKD MTI (D)</v>
          </cell>
          <cell r="D1677" t="str">
            <v>HKD</v>
          </cell>
          <cell r="E1677" t="str">
            <v>01-Dec-2025</v>
          </cell>
          <cell r="F1677">
            <v>863658.7</v>
          </cell>
          <cell r="G1677">
            <v>18139.118999999999</v>
          </cell>
          <cell r="H1677">
            <v>47.61</v>
          </cell>
          <cell r="I1677">
            <v>0</v>
          </cell>
          <cell r="J1677">
            <v>47.61</v>
          </cell>
          <cell r="K1677">
            <v>-0.08</v>
          </cell>
          <cell r="P1677">
            <v>0</v>
          </cell>
        </row>
        <row r="1678">
          <cell r="A1678" t="str">
            <v>LU1883866102</v>
          </cell>
          <cell r="B1678" t="str">
            <v>AMUNDI FUNDS REAL ASSETS TARGET INCOME</v>
          </cell>
          <cell r="C1678" t="str">
            <v>Class A2 EUR Hgd MTI (D)</v>
          </cell>
          <cell r="D1678" t="str">
            <v>EUR</v>
          </cell>
          <cell r="E1678" t="str">
            <v>01-Dec-2025</v>
          </cell>
          <cell r="F1678">
            <v>562244.51</v>
          </cell>
          <cell r="G1678">
            <v>15110.504000000001</v>
          </cell>
          <cell r="H1678">
            <v>37.21</v>
          </cell>
          <cell r="I1678">
            <v>0</v>
          </cell>
          <cell r="J1678">
            <v>38.880000000000003</v>
          </cell>
          <cell r="K1678">
            <v>-0.08</v>
          </cell>
          <cell r="P1678">
            <v>0</v>
          </cell>
        </row>
        <row r="1679">
          <cell r="A1679" t="str">
            <v>LU1883866284</v>
          </cell>
          <cell r="B1679" t="str">
            <v>AMUNDI FUNDS REAL ASSETS TARGET INCOME</v>
          </cell>
          <cell r="C1679" t="str">
            <v>Class A2 EUR Hgd QTI (D)</v>
          </cell>
          <cell r="D1679" t="str">
            <v>EUR</v>
          </cell>
          <cell r="E1679" t="str">
            <v>01-Dec-2025</v>
          </cell>
          <cell r="F1679">
            <v>40342586.259999998</v>
          </cell>
          <cell r="G1679">
            <v>1091004.1680000001</v>
          </cell>
          <cell r="H1679">
            <v>36.979999999999997</v>
          </cell>
          <cell r="I1679">
            <v>0</v>
          </cell>
          <cell r="J1679">
            <v>38.64</v>
          </cell>
          <cell r="K1679">
            <v>-7.0000000000000007E-2</v>
          </cell>
          <cell r="P1679">
            <v>0</v>
          </cell>
        </row>
        <row r="1680">
          <cell r="A1680" t="str">
            <v>LU2462611646</v>
          </cell>
          <cell r="B1680" t="str">
            <v>AMUNDI FUNDS REAL ASSETS TARGET INCOME</v>
          </cell>
          <cell r="C1680" t="str">
            <v>Class A2 USD MTI (D)</v>
          </cell>
          <cell r="D1680" t="str">
            <v>USD</v>
          </cell>
          <cell r="E1680" t="str">
            <v>01-Dec-2025</v>
          </cell>
          <cell r="F1680">
            <v>13504145.050000001</v>
          </cell>
          <cell r="G1680">
            <v>268682.00099999999</v>
          </cell>
          <cell r="H1680">
            <v>50.26</v>
          </cell>
          <cell r="I1680">
            <v>0</v>
          </cell>
          <cell r="J1680">
            <v>50.26</v>
          </cell>
          <cell r="K1680">
            <v>-0.1</v>
          </cell>
          <cell r="P1680">
            <v>0</v>
          </cell>
        </row>
        <row r="1681">
          <cell r="A1681" t="str">
            <v>LU2462611562</v>
          </cell>
          <cell r="B1681" t="str">
            <v>AMUNDI FUNDS REAL ASSETS TARGET INCOME</v>
          </cell>
          <cell r="C1681" t="str">
            <v>Class A2 SGD Hgd MTI (D)</v>
          </cell>
          <cell r="D1681" t="str">
            <v>SGD</v>
          </cell>
          <cell r="E1681" t="str">
            <v>01-Dec-2025</v>
          </cell>
          <cell r="F1681">
            <v>26578991.100000001</v>
          </cell>
          <cell r="G1681">
            <v>628426.65399999998</v>
          </cell>
          <cell r="H1681">
            <v>42.29</v>
          </cell>
          <cell r="I1681">
            <v>0</v>
          </cell>
          <cell r="J1681">
            <v>42.29</v>
          </cell>
          <cell r="K1681">
            <v>-0.09</v>
          </cell>
          <cell r="P1681">
            <v>0</v>
          </cell>
        </row>
        <row r="1682">
          <cell r="A1682" t="str">
            <v>LU1883866524</v>
          </cell>
          <cell r="B1682" t="str">
            <v>AMUNDI FUNDS REAL ASSETS TARGET INCOME</v>
          </cell>
          <cell r="C1682" t="str">
            <v>Class A2 USD QTI (D)</v>
          </cell>
          <cell r="D1682" t="str">
            <v>USD</v>
          </cell>
          <cell r="E1682" t="str">
            <v>01-Dec-2025</v>
          </cell>
          <cell r="F1682">
            <v>2217870.46</v>
          </cell>
          <cell r="G1682">
            <v>57492.963000000003</v>
          </cell>
          <cell r="H1682">
            <v>38.58</v>
          </cell>
          <cell r="I1682">
            <v>0</v>
          </cell>
          <cell r="J1682">
            <v>40.32</v>
          </cell>
          <cell r="K1682">
            <v>-7.0000000000000007E-2</v>
          </cell>
          <cell r="P1682">
            <v>0</v>
          </cell>
        </row>
        <row r="1683">
          <cell r="A1683" t="str">
            <v>LU1883866011</v>
          </cell>
          <cell r="B1683" t="str">
            <v>AMUNDI FUNDS REAL ASSETS TARGET INCOME</v>
          </cell>
          <cell r="C1683" t="str">
            <v>Class A2 EUR (C)</v>
          </cell>
          <cell r="D1683" t="str">
            <v>EUR</v>
          </cell>
          <cell r="E1683" t="str">
            <v>01-Dec-2025</v>
          </cell>
          <cell r="F1683">
            <v>14450274.289999999</v>
          </cell>
          <cell r="G1683">
            <v>219897.53899999999</v>
          </cell>
          <cell r="H1683">
            <v>65.709999999999994</v>
          </cell>
          <cell r="I1683">
            <v>0</v>
          </cell>
          <cell r="J1683">
            <v>68.67</v>
          </cell>
          <cell r="K1683">
            <v>-0.27</v>
          </cell>
          <cell r="P1683">
            <v>0</v>
          </cell>
        </row>
        <row r="1684">
          <cell r="A1684" t="str">
            <v>LU1883866797</v>
          </cell>
          <cell r="B1684" t="str">
            <v>AMUNDI FUNDS REAL ASSETS TARGET INCOME</v>
          </cell>
          <cell r="C1684" t="str">
            <v>Class E2 EUR ATI (D)</v>
          </cell>
          <cell r="D1684" t="str">
            <v>EUR</v>
          </cell>
          <cell r="E1684" t="str">
            <v>01-Dec-2025</v>
          </cell>
          <cell r="F1684">
            <v>7308988.8399999999</v>
          </cell>
          <cell r="G1684">
            <v>2132955.2769999998</v>
          </cell>
          <cell r="H1684">
            <v>3.427</v>
          </cell>
          <cell r="I1684">
            <v>0</v>
          </cell>
          <cell r="J1684">
            <v>3.427</v>
          </cell>
          <cell r="K1684">
            <v>-1.4E-2</v>
          </cell>
          <cell r="P1684">
            <v>0</v>
          </cell>
        </row>
        <row r="1685">
          <cell r="A1685" t="str">
            <v>LU1883866870</v>
          </cell>
          <cell r="B1685" t="str">
            <v>AMUNDI FUNDS REAL ASSETS TARGET INCOME</v>
          </cell>
          <cell r="C1685" t="str">
            <v>Class E2 EUR Hgd SATI (D)</v>
          </cell>
          <cell r="D1685" t="str">
            <v>EUR</v>
          </cell>
          <cell r="E1685" t="str">
            <v>01-Dec-2025</v>
          </cell>
          <cell r="F1685">
            <v>1158028.6299999999</v>
          </cell>
          <cell r="G1685">
            <v>356545.45699999999</v>
          </cell>
          <cell r="H1685">
            <v>3.2480000000000002</v>
          </cell>
          <cell r="I1685">
            <v>0</v>
          </cell>
          <cell r="J1685">
            <v>3.2480000000000002</v>
          </cell>
          <cell r="K1685">
            <v>-7.0000000000000001E-3</v>
          </cell>
          <cell r="P1685">
            <v>0</v>
          </cell>
        </row>
        <row r="1686">
          <cell r="A1686" t="str">
            <v>LU1883867092</v>
          </cell>
          <cell r="B1686" t="str">
            <v>AMUNDI FUNDS REAL ASSETS TARGET INCOME</v>
          </cell>
          <cell r="C1686" t="str">
            <v>Class F2 EUR ATI (D)</v>
          </cell>
          <cell r="D1686" t="str">
            <v>EUR</v>
          </cell>
          <cell r="E1686" t="str">
            <v>01-Dec-2025</v>
          </cell>
          <cell r="F1686">
            <v>2668434.4500000002</v>
          </cell>
          <cell r="G1686">
            <v>854545.70799999998</v>
          </cell>
          <cell r="H1686">
            <v>3.1230000000000002</v>
          </cell>
          <cell r="I1686">
            <v>0</v>
          </cell>
          <cell r="J1686">
            <v>3.1230000000000002</v>
          </cell>
          <cell r="K1686">
            <v>-1.2999999999999999E-2</v>
          </cell>
          <cell r="P1686">
            <v>0</v>
          </cell>
        </row>
        <row r="1687">
          <cell r="A1687" t="str">
            <v>LU1883867332</v>
          </cell>
          <cell r="B1687" t="str">
            <v>AMUNDI FUNDS REAL ASSETS TARGET INCOME</v>
          </cell>
          <cell r="C1687" t="str">
            <v>Class I2 EUR (C)</v>
          </cell>
          <cell r="D1687" t="str">
            <v>EUR</v>
          </cell>
          <cell r="E1687" t="str">
            <v>01-Dec-2025</v>
          </cell>
          <cell r="F1687">
            <v>19728597.539999999</v>
          </cell>
          <cell r="G1687">
            <v>13287.896000000001</v>
          </cell>
          <cell r="H1687">
            <v>1484.7</v>
          </cell>
          <cell r="I1687">
            <v>0</v>
          </cell>
          <cell r="J1687">
            <v>1484.7</v>
          </cell>
          <cell r="K1687">
            <v>-5.95</v>
          </cell>
          <cell r="P1687">
            <v>0</v>
          </cell>
        </row>
        <row r="1688">
          <cell r="A1688" t="str">
            <v>LU1883867258</v>
          </cell>
          <cell r="B1688" t="str">
            <v>AMUNDI FUNDS REAL ASSETS TARGET INCOME</v>
          </cell>
          <cell r="C1688" t="str">
            <v>Class G2 EUR Hgd QTI (D)</v>
          </cell>
          <cell r="D1688" t="str">
            <v>EUR</v>
          </cell>
          <cell r="E1688" t="str">
            <v>01-Dec-2025</v>
          </cell>
          <cell r="F1688">
            <v>1543131.77</v>
          </cell>
          <cell r="G1688">
            <v>427811.06199999998</v>
          </cell>
          <cell r="H1688">
            <v>3.6070000000000002</v>
          </cell>
          <cell r="I1688">
            <v>0</v>
          </cell>
          <cell r="J1688">
            <v>3.6070000000000002</v>
          </cell>
          <cell r="K1688">
            <v>-7.0000000000000001E-3</v>
          </cell>
          <cell r="P1688">
            <v>0</v>
          </cell>
        </row>
        <row r="1689">
          <cell r="A1689" t="str">
            <v>LU2002724040</v>
          </cell>
          <cell r="B1689" t="str">
            <v>AMUNDI FUNDS REAL ASSETS TARGET INCOME</v>
          </cell>
          <cell r="C1689" t="str">
            <v>Class M2 USD ATI ( D )</v>
          </cell>
          <cell r="D1689" t="str">
            <v>USD</v>
          </cell>
          <cell r="E1689" t="str">
            <v>01-Dec-2025</v>
          </cell>
          <cell r="F1689">
            <v>11648146.59</v>
          </cell>
          <cell r="G1689">
            <v>11177.838</v>
          </cell>
          <cell r="H1689">
            <v>1042.08</v>
          </cell>
          <cell r="I1689">
            <v>0</v>
          </cell>
          <cell r="J1689">
            <v>1042.08</v>
          </cell>
          <cell r="K1689">
            <v>-1.97</v>
          </cell>
          <cell r="P1689">
            <v>0</v>
          </cell>
        </row>
        <row r="1690">
          <cell r="A1690" t="str">
            <v>LU1883867688</v>
          </cell>
          <cell r="B1690" t="str">
            <v>AMUNDI FUNDS REAL ASSETS TARGET INCOME</v>
          </cell>
          <cell r="C1690" t="str">
            <v>Class R2 EUR (C)</v>
          </cell>
          <cell r="D1690" t="str">
            <v>EUR</v>
          </cell>
          <cell r="E1690" t="str">
            <v>01-Dec-2025</v>
          </cell>
          <cell r="F1690">
            <v>723713.93</v>
          </cell>
          <cell r="G1690">
            <v>9547.2350000000006</v>
          </cell>
          <cell r="H1690">
            <v>75.8</v>
          </cell>
          <cell r="I1690">
            <v>0</v>
          </cell>
          <cell r="J1690">
            <v>75.8</v>
          </cell>
          <cell r="K1690">
            <v>-0.31</v>
          </cell>
          <cell r="P1690">
            <v>0</v>
          </cell>
        </row>
        <row r="1691">
          <cell r="A1691" t="str">
            <v>LU1883866367</v>
          </cell>
          <cell r="B1691" t="str">
            <v>AMUNDI FUNDS REAL ASSETS TARGET INCOME</v>
          </cell>
          <cell r="C1691" t="str">
            <v>Class A2 EUR QTI (D)</v>
          </cell>
          <cell r="D1691" t="str">
            <v>EUR</v>
          </cell>
          <cell r="E1691" t="str">
            <v>01-Dec-2025</v>
          </cell>
          <cell r="F1691">
            <v>9606265.1699999999</v>
          </cell>
          <cell r="G1691">
            <v>289613.24400000001</v>
          </cell>
          <cell r="H1691">
            <v>33.17</v>
          </cell>
          <cell r="I1691">
            <v>0</v>
          </cell>
          <cell r="J1691">
            <v>34.659999999999997</v>
          </cell>
          <cell r="K1691">
            <v>-0.13</v>
          </cell>
          <cell r="P1691">
            <v>0</v>
          </cell>
        </row>
        <row r="1692">
          <cell r="A1692" t="str">
            <v>LU1883866441</v>
          </cell>
          <cell r="B1692" t="str">
            <v>AMUNDI FUNDS REAL ASSETS TARGET INCOME</v>
          </cell>
          <cell r="C1692" t="str">
            <v>Class A2 USD (C)</v>
          </cell>
          <cell r="D1692" t="str">
            <v>USD</v>
          </cell>
          <cell r="E1692" t="str">
            <v>01-Dec-2025</v>
          </cell>
          <cell r="F1692">
            <v>1403238.18</v>
          </cell>
          <cell r="G1692">
            <v>18357.774000000001</v>
          </cell>
          <cell r="H1692">
            <v>76.44</v>
          </cell>
          <cell r="I1692">
            <v>0</v>
          </cell>
          <cell r="J1692">
            <v>79.88</v>
          </cell>
          <cell r="K1692">
            <v>-0.15</v>
          </cell>
          <cell r="P1692">
            <v>0</v>
          </cell>
        </row>
        <row r="1693">
          <cell r="A1693" t="str">
            <v>LU2070303842</v>
          </cell>
          <cell r="B1693" t="str">
            <v>AMUNDI FUNDS REAL ASSETS TARGET INCOME</v>
          </cell>
          <cell r="C1693" t="str">
            <v>Class Z EUR QD (D)</v>
          </cell>
          <cell r="D1693" t="str">
            <v>EUR</v>
          </cell>
          <cell r="E1693" t="str">
            <v>01-Dec-2025</v>
          </cell>
          <cell r="F1693">
            <v>4663768.6399999997</v>
          </cell>
          <cell r="G1693">
            <v>3532.2489999999998</v>
          </cell>
          <cell r="H1693">
            <v>1320.34</v>
          </cell>
          <cell r="I1693">
            <v>0</v>
          </cell>
          <cell r="J1693">
            <v>1320.34</v>
          </cell>
          <cell r="K1693">
            <v>-5.28</v>
          </cell>
          <cell r="P1693">
            <v>0</v>
          </cell>
        </row>
        <row r="1694">
          <cell r="A1694" t="str">
            <v>LU2085675606</v>
          </cell>
          <cell r="B1694" t="str">
            <v>AMUNDI FUNDS REAL ASSETS TARGET INCOME</v>
          </cell>
          <cell r="C1694" t="str">
            <v>Class Z USD QTI (D)</v>
          </cell>
          <cell r="D1694" t="str">
            <v>USD</v>
          </cell>
          <cell r="E1694" t="str">
            <v>01-Dec-2025</v>
          </cell>
          <cell r="F1694">
            <v>11096853.68</v>
          </cell>
          <cell r="G1694">
            <v>10908.339</v>
          </cell>
          <cell r="H1694">
            <v>1017.28</v>
          </cell>
          <cell r="I1694">
            <v>0</v>
          </cell>
          <cell r="J1694">
            <v>1017.28</v>
          </cell>
          <cell r="K1694">
            <v>-1.92</v>
          </cell>
          <cell r="P1694">
            <v>0</v>
          </cell>
        </row>
        <row r="1695">
          <cell r="A1695" t="str">
            <v>LU2237438465</v>
          </cell>
          <cell r="B1695" t="str">
            <v>AMUNDI FUNDS REAL ASSETS TARGET INCOME</v>
          </cell>
          <cell r="C1695" t="str">
            <v>Class H USD ( C )</v>
          </cell>
          <cell r="D1695" t="str">
            <v>USD</v>
          </cell>
          <cell r="E1695" t="str">
            <v>01-Dec-2025</v>
          </cell>
          <cell r="F1695">
            <v>13388166.57</v>
          </cell>
          <cell r="G1695">
            <v>9442.0220000000008</v>
          </cell>
          <cell r="H1695">
            <v>1417.93</v>
          </cell>
          <cell r="I1695">
            <v>0</v>
          </cell>
          <cell r="J1695">
            <v>1417.93</v>
          </cell>
          <cell r="K1695">
            <v>-2.64</v>
          </cell>
          <cell r="P1695">
            <v>0</v>
          </cell>
        </row>
        <row r="1696">
          <cell r="A1696" t="str">
            <v>LU1883340322</v>
          </cell>
          <cell r="B1696" t="str">
            <v>AMUNDI FUNDS PIONEER FLEXIBLE OPPORTUNITIES</v>
          </cell>
          <cell r="C1696" t="str">
            <v>Class A EUR (C)</v>
          </cell>
          <cell r="D1696" t="str">
            <v>EUR</v>
          </cell>
          <cell r="E1696" t="str">
            <v>01-Dec-2025</v>
          </cell>
          <cell r="F1696">
            <v>2007791.97</v>
          </cell>
          <cell r="G1696">
            <v>16463.832999999999</v>
          </cell>
          <cell r="H1696">
            <v>121.95</v>
          </cell>
          <cell r="I1696">
            <v>0</v>
          </cell>
          <cell r="J1696">
            <v>127.44</v>
          </cell>
          <cell r="K1696">
            <v>-0.76</v>
          </cell>
          <cell r="P1696">
            <v>0</v>
          </cell>
        </row>
        <row r="1697">
          <cell r="A1697" t="str">
            <v>LU1883340595</v>
          </cell>
          <cell r="B1697" t="str">
            <v>AMUNDI FUNDS PIONEER FLEXIBLE OPPORTUNITIES</v>
          </cell>
          <cell r="C1697" t="str">
            <v>Class A EUR Hgd (C)</v>
          </cell>
          <cell r="D1697" t="str">
            <v>EUR</v>
          </cell>
          <cell r="E1697" t="str">
            <v>01-Dec-2025</v>
          </cell>
          <cell r="F1697">
            <v>2900666.72</v>
          </cell>
          <cell r="G1697">
            <v>34180.898000000001</v>
          </cell>
          <cell r="H1697">
            <v>84.86</v>
          </cell>
          <cell r="I1697">
            <v>0</v>
          </cell>
          <cell r="J1697">
            <v>88.68</v>
          </cell>
          <cell r="K1697">
            <v>-0.34</v>
          </cell>
          <cell r="P1697">
            <v>0</v>
          </cell>
        </row>
        <row r="1698">
          <cell r="A1698" t="str">
            <v>LU1883340249</v>
          </cell>
          <cell r="B1698" t="str">
            <v>AMUNDI FUNDS PIONEER FLEXIBLE OPPORTUNITIES</v>
          </cell>
          <cell r="C1698" t="str">
            <v>Class A CZK Hgd (C)</v>
          </cell>
          <cell r="D1698" t="str">
            <v>CZK</v>
          </cell>
          <cell r="E1698" t="str">
            <v>01-Dec-2025</v>
          </cell>
          <cell r="F1698">
            <v>73140752.019999996</v>
          </cell>
          <cell r="G1698">
            <v>33732.347000000002</v>
          </cell>
          <cell r="H1698">
            <v>2168.27</v>
          </cell>
          <cell r="I1698">
            <v>0</v>
          </cell>
          <cell r="J1698">
            <v>2265.84</v>
          </cell>
          <cell r="K1698">
            <v>-8.82</v>
          </cell>
          <cell r="P1698">
            <v>0</v>
          </cell>
        </row>
        <row r="1699">
          <cell r="A1699" t="str">
            <v>LU1883340678</v>
          </cell>
          <cell r="B1699" t="str">
            <v>AMUNDI FUNDS PIONEER FLEXIBLE OPPORTUNITIES</v>
          </cell>
          <cell r="C1699" t="str">
            <v>Class A USD (C)</v>
          </cell>
          <cell r="D1699" t="str">
            <v>USD</v>
          </cell>
          <cell r="E1699" t="str">
            <v>01-Dec-2025</v>
          </cell>
          <cell r="F1699">
            <v>7018967.8200000003</v>
          </cell>
          <cell r="G1699">
            <v>48368.832999999999</v>
          </cell>
          <cell r="H1699">
            <v>145.11000000000001</v>
          </cell>
          <cell r="I1699">
            <v>0</v>
          </cell>
          <cell r="J1699">
            <v>151.63999999999999</v>
          </cell>
          <cell r="K1699">
            <v>-0.57999999999999996</v>
          </cell>
          <cell r="P1699">
            <v>0</v>
          </cell>
        </row>
        <row r="1700">
          <cell r="A1700" t="str">
            <v>LU1883340918</v>
          </cell>
          <cell r="B1700" t="str">
            <v>AMUNDI FUNDS PIONEER FLEXIBLE OPPORTUNITIES</v>
          </cell>
          <cell r="C1700" t="str">
            <v>Class E2 EUR (C)</v>
          </cell>
          <cell r="D1700" t="str">
            <v>EUR</v>
          </cell>
          <cell r="E1700" t="str">
            <v>01-Dec-2025</v>
          </cell>
          <cell r="F1700">
            <v>3619329.85</v>
          </cell>
          <cell r="G1700">
            <v>411470.61300000001</v>
          </cell>
          <cell r="H1700">
            <v>8.7959999999999994</v>
          </cell>
          <cell r="I1700">
            <v>0</v>
          </cell>
          <cell r="J1700">
            <v>8.7959999999999994</v>
          </cell>
          <cell r="K1700">
            <v>-5.0999999999999997E-2</v>
          </cell>
          <cell r="P1700">
            <v>0</v>
          </cell>
        </row>
        <row r="1701">
          <cell r="A1701" t="str">
            <v>LU1883341056</v>
          </cell>
          <cell r="B1701" t="str">
            <v>AMUNDI FUNDS PIONEER FLEXIBLE OPPORTUNITIES</v>
          </cell>
          <cell r="C1701" t="str">
            <v>Class E2 EUR Hgd (C)</v>
          </cell>
          <cell r="D1701" t="str">
            <v>EUR</v>
          </cell>
          <cell r="E1701" t="str">
            <v>01-Dec-2025</v>
          </cell>
          <cell r="F1701">
            <v>7237258.4299999997</v>
          </cell>
          <cell r="G1701">
            <v>979651.75199999998</v>
          </cell>
          <cell r="H1701">
            <v>7.3879999999999999</v>
          </cell>
          <cell r="I1701">
            <v>0</v>
          </cell>
          <cell r="J1701">
            <v>7.3879999999999999</v>
          </cell>
          <cell r="K1701">
            <v>-2.7E-2</v>
          </cell>
          <cell r="P1701">
            <v>0</v>
          </cell>
        </row>
        <row r="1702">
          <cell r="A1702" t="str">
            <v>LU1883341130</v>
          </cell>
          <cell r="B1702" t="str">
            <v>AMUNDI FUNDS PIONEER FLEXIBLE OPPORTUNITIES</v>
          </cell>
          <cell r="C1702" t="str">
            <v>Class F EUR (C)</v>
          </cell>
          <cell r="D1702" t="str">
            <v>EUR</v>
          </cell>
          <cell r="E1702" t="str">
            <v>01-Dec-2025</v>
          </cell>
          <cell r="F1702">
            <v>1545004.76</v>
          </cell>
          <cell r="G1702">
            <v>194637.54399999999</v>
          </cell>
          <cell r="H1702">
            <v>7.9379999999999997</v>
          </cell>
          <cell r="I1702">
            <v>0</v>
          </cell>
          <cell r="J1702">
            <v>7.9379999999999997</v>
          </cell>
          <cell r="K1702">
            <v>-4.9000000000000002E-2</v>
          </cell>
          <cell r="P1702">
            <v>0</v>
          </cell>
        </row>
        <row r="1703">
          <cell r="A1703" t="str">
            <v>LU2330498598</v>
          </cell>
          <cell r="B1703" t="str">
            <v>AMUNDI FUNDS PIONEER FLEXIBLE OPPORTUNITIES</v>
          </cell>
          <cell r="C1703" t="str">
            <v>Class I2 USD (C)</v>
          </cell>
          <cell r="D1703" t="str">
            <v>USD</v>
          </cell>
          <cell r="E1703" t="str">
            <v>01-Dec-2025</v>
          </cell>
          <cell r="F1703">
            <v>6702.43</v>
          </cell>
          <cell r="G1703">
            <v>5</v>
          </cell>
          <cell r="H1703">
            <v>1340.49</v>
          </cell>
          <cell r="I1703">
            <v>0</v>
          </cell>
          <cell r="J1703">
            <v>1340.49</v>
          </cell>
          <cell r="K1703">
            <v>-4.8499999999999996</v>
          </cell>
          <cell r="P1703">
            <v>0</v>
          </cell>
        </row>
        <row r="1704">
          <cell r="A1704" t="str">
            <v>LU1894680328</v>
          </cell>
          <cell r="B1704" t="str">
            <v>AMUNDI FUNDS PIONEER FLEXIBLE OPPORTUNITIES</v>
          </cell>
          <cell r="C1704" t="str">
            <v>Class G EUR (C)</v>
          </cell>
          <cell r="D1704" t="str">
            <v>EUR</v>
          </cell>
          <cell r="E1704" t="str">
            <v>01-Dec-2025</v>
          </cell>
          <cell r="F1704">
            <v>828605.57</v>
          </cell>
          <cell r="G1704">
            <v>115890.012</v>
          </cell>
          <cell r="H1704">
            <v>7.15</v>
          </cell>
          <cell r="I1704">
            <v>0</v>
          </cell>
          <cell r="J1704">
            <v>7.15</v>
          </cell>
          <cell r="K1704">
            <v>-4.3999999999999997E-2</v>
          </cell>
          <cell r="P1704">
            <v>0</v>
          </cell>
        </row>
        <row r="1705">
          <cell r="A1705" t="str">
            <v>LU1883341213</v>
          </cell>
          <cell r="B1705" t="str">
            <v>AMUNDI FUNDS PIONEER FLEXIBLE OPPORTUNITIES</v>
          </cell>
          <cell r="C1705" t="str">
            <v>Class G EUR Hgd (C)</v>
          </cell>
          <cell r="D1705" t="str">
            <v>EUR</v>
          </cell>
          <cell r="E1705" t="str">
            <v>01-Dec-2025</v>
          </cell>
          <cell r="F1705">
            <v>5710252.1600000001</v>
          </cell>
          <cell r="G1705">
            <v>979640.60100000002</v>
          </cell>
          <cell r="H1705">
            <v>5.8289999999999997</v>
          </cell>
          <cell r="I1705">
            <v>0</v>
          </cell>
          <cell r="J1705">
            <v>5.8289999999999997</v>
          </cell>
          <cell r="K1705">
            <v>-2.1999999999999999E-2</v>
          </cell>
          <cell r="P1705">
            <v>0</v>
          </cell>
        </row>
        <row r="1706">
          <cell r="A1706" t="str">
            <v>LU1883341643</v>
          </cell>
          <cell r="B1706" t="str">
            <v>AMUNDI FUNDS PIONEER FLEXIBLE OPPORTUNITIES</v>
          </cell>
          <cell r="C1706" t="str">
            <v>Class P USD (C)</v>
          </cell>
          <cell r="D1706" t="str">
            <v>USD</v>
          </cell>
          <cell r="E1706" t="str">
            <v>01-Dec-2025</v>
          </cell>
          <cell r="F1706">
            <v>2481567.44</v>
          </cell>
          <cell r="G1706">
            <v>27221.922999999999</v>
          </cell>
          <cell r="H1706">
            <v>91.16</v>
          </cell>
          <cell r="I1706">
            <v>0</v>
          </cell>
          <cell r="J1706">
            <v>91.16</v>
          </cell>
          <cell r="K1706">
            <v>-0.37</v>
          </cell>
          <cell r="P1706">
            <v>0</v>
          </cell>
        </row>
        <row r="1707">
          <cell r="A1707" t="str">
            <v>LU1837136800</v>
          </cell>
          <cell r="B1707" t="str">
            <v>AMUNDI FUNDS PIONEER FLEXIBLE OPPORTUNITIES</v>
          </cell>
          <cell r="C1707" t="str">
            <v>Class R EUR ( C )</v>
          </cell>
          <cell r="D1707" t="str">
            <v>EUR</v>
          </cell>
          <cell r="E1707" t="str">
            <v>01-Dec-2025</v>
          </cell>
          <cell r="F1707">
            <v>7715.35</v>
          </cell>
          <cell r="G1707">
            <v>100.002</v>
          </cell>
          <cell r="H1707">
            <v>77.150000000000006</v>
          </cell>
          <cell r="I1707">
            <v>0</v>
          </cell>
          <cell r="J1707">
            <v>77.150000000000006</v>
          </cell>
          <cell r="K1707">
            <v>-0.47</v>
          </cell>
          <cell r="P1707">
            <v>0</v>
          </cell>
        </row>
        <row r="1708">
          <cell r="A1708" t="str">
            <v>LU1883342021</v>
          </cell>
          <cell r="B1708" t="str">
            <v>AMUNDI FUNDS PIONEER FLEXIBLE OPPORTUNITIES</v>
          </cell>
          <cell r="C1708" t="str">
            <v>Class R GBP (C)</v>
          </cell>
          <cell r="D1708" t="str">
            <v>GBP</v>
          </cell>
          <cell r="E1708" t="str">
            <v>01-Dec-2025</v>
          </cell>
          <cell r="F1708">
            <v>60281.88</v>
          </cell>
          <cell r="G1708">
            <v>651.18299999999999</v>
          </cell>
          <cell r="H1708">
            <v>92.57</v>
          </cell>
          <cell r="I1708">
            <v>0</v>
          </cell>
          <cell r="J1708">
            <v>92.57</v>
          </cell>
          <cell r="K1708">
            <v>-0.39</v>
          </cell>
          <cell r="P1708">
            <v>0</v>
          </cell>
        </row>
        <row r="1709">
          <cell r="A1709" t="str">
            <v>LU1883342294</v>
          </cell>
          <cell r="B1709" t="str">
            <v>AMUNDI FUNDS PIONEER FLEXIBLE OPPORTUNITIES</v>
          </cell>
          <cell r="C1709" t="str">
            <v>Class R USD (C)</v>
          </cell>
          <cell r="D1709" t="str">
            <v>USD</v>
          </cell>
          <cell r="E1709" t="str">
            <v>01-Dec-2025</v>
          </cell>
          <cell r="F1709">
            <v>221795.53</v>
          </cell>
          <cell r="G1709">
            <v>1749.3019999999999</v>
          </cell>
          <cell r="H1709">
            <v>126.79</v>
          </cell>
          <cell r="I1709">
            <v>0</v>
          </cell>
          <cell r="J1709">
            <v>126.79</v>
          </cell>
          <cell r="K1709">
            <v>-0.51</v>
          </cell>
          <cell r="P1709">
            <v>0</v>
          </cell>
        </row>
        <row r="1710">
          <cell r="A1710" t="str">
            <v>LU1883341486</v>
          </cell>
          <cell r="B1710" t="str">
            <v>AMUNDI FUNDS PIONEER FLEXIBLE OPPORTUNITIES</v>
          </cell>
          <cell r="C1710" t="str">
            <v>Class I USD (C)</v>
          </cell>
          <cell r="D1710" t="str">
            <v>USD</v>
          </cell>
          <cell r="E1710" t="str">
            <v>01-Dec-2025</v>
          </cell>
          <cell r="F1710">
            <v>300896.63</v>
          </cell>
          <cell r="G1710">
            <v>217.459</v>
          </cell>
          <cell r="H1710">
            <v>1383.69</v>
          </cell>
          <cell r="I1710">
            <v>0</v>
          </cell>
          <cell r="J1710">
            <v>1383.69</v>
          </cell>
          <cell r="K1710">
            <v>-5.5</v>
          </cell>
          <cell r="P1710">
            <v>0</v>
          </cell>
        </row>
        <row r="1711">
          <cell r="A1711" t="str">
            <v>LU2762361645</v>
          </cell>
          <cell r="B1711" t="str">
            <v>AMUNDI FUNDS EMERG MARKE CORPORATE HIGH YIELD BOND</v>
          </cell>
          <cell r="C1711" t="str">
            <v>Class A2 USD MD (D)</v>
          </cell>
          <cell r="D1711" t="str">
            <v>USD</v>
          </cell>
          <cell r="E1711" t="str">
            <v>01-Dec-2025</v>
          </cell>
          <cell r="F1711">
            <v>1217882.73</v>
          </cell>
          <cell r="G1711">
            <v>23801.815999999999</v>
          </cell>
          <cell r="H1711">
            <v>51.17</v>
          </cell>
          <cell r="I1711">
            <v>0</v>
          </cell>
          <cell r="J1711">
            <v>51.17</v>
          </cell>
          <cell r="K1711">
            <v>-0.02</v>
          </cell>
          <cell r="P1711">
            <v>0</v>
          </cell>
        </row>
        <row r="1712">
          <cell r="A1712" t="str">
            <v>LU1882457226</v>
          </cell>
          <cell r="B1712" t="str">
            <v>AMUNDI FUNDS EMERG MARKE CORPORATE HIGH YIELD BOND</v>
          </cell>
          <cell r="C1712" t="str">
            <v>Class A EUR AD (D)</v>
          </cell>
          <cell r="D1712" t="str">
            <v>EUR</v>
          </cell>
          <cell r="E1712" t="str">
            <v>01-Dec-2025</v>
          </cell>
          <cell r="F1712">
            <v>1176217.08</v>
          </cell>
          <cell r="G1712">
            <v>26547.763999999999</v>
          </cell>
          <cell r="H1712">
            <v>44.31</v>
          </cell>
          <cell r="I1712">
            <v>0</v>
          </cell>
          <cell r="J1712">
            <v>46.08</v>
          </cell>
          <cell r="K1712">
            <v>-0.11</v>
          </cell>
          <cell r="P1712">
            <v>0</v>
          </cell>
        </row>
        <row r="1713">
          <cell r="A1713" t="str">
            <v>LU1882457143</v>
          </cell>
          <cell r="B1713" t="str">
            <v>AMUNDI FUNDS EMERG MARKE CORPORATE HIGH YIELD BOND</v>
          </cell>
          <cell r="C1713" t="str">
            <v>Class A EUR (C)</v>
          </cell>
          <cell r="D1713" t="str">
            <v>EUR</v>
          </cell>
          <cell r="E1713" t="str">
            <v>01-Dec-2025</v>
          </cell>
          <cell r="F1713">
            <v>1072266.49</v>
          </cell>
          <cell r="G1713">
            <v>11285.566000000001</v>
          </cell>
          <cell r="H1713">
            <v>95.01</v>
          </cell>
          <cell r="I1713">
            <v>0</v>
          </cell>
          <cell r="J1713">
            <v>98.81</v>
          </cell>
          <cell r="K1713">
            <v>-0.25</v>
          </cell>
          <cell r="P1713">
            <v>0</v>
          </cell>
        </row>
        <row r="1714">
          <cell r="A1714" t="str">
            <v>LU2762361728</v>
          </cell>
          <cell r="B1714" t="str">
            <v>AMUNDI FUNDS EMERG MARKE CORPORATE HIGH YIELD BOND</v>
          </cell>
          <cell r="C1714" t="str">
            <v>Class A2 USD (C)</v>
          </cell>
          <cell r="D1714" t="str">
            <v>USD</v>
          </cell>
          <cell r="E1714" t="str">
            <v>01-Dec-2025</v>
          </cell>
          <cell r="F1714">
            <v>5803</v>
          </cell>
          <cell r="G1714">
            <v>100</v>
          </cell>
          <cell r="H1714">
            <v>58.03</v>
          </cell>
          <cell r="I1714">
            <v>0</v>
          </cell>
          <cell r="J1714">
            <v>58.03</v>
          </cell>
          <cell r="K1714">
            <v>-0.03</v>
          </cell>
          <cell r="P1714">
            <v>0</v>
          </cell>
        </row>
        <row r="1715">
          <cell r="A1715" t="str">
            <v>LU1882457655</v>
          </cell>
          <cell r="B1715" t="str">
            <v>AMUNDI FUNDS EMERG MARKE CORPORATE HIGH YIELD BOND</v>
          </cell>
          <cell r="C1715" t="str">
            <v>Class A USD MTD (D)</v>
          </cell>
          <cell r="D1715" t="str">
            <v>USD</v>
          </cell>
          <cell r="E1715" t="str">
            <v>01-Dec-2025</v>
          </cell>
          <cell r="F1715">
            <v>260098.22</v>
          </cell>
          <cell r="G1715">
            <v>4461.7740000000003</v>
          </cell>
          <cell r="H1715">
            <v>58.29</v>
          </cell>
          <cell r="I1715">
            <v>0.27600000000000002</v>
          </cell>
          <cell r="J1715">
            <v>60.62</v>
          </cell>
          <cell r="K1715">
            <v>-0.31</v>
          </cell>
          <cell r="P1715">
            <v>0</v>
          </cell>
        </row>
        <row r="1716">
          <cell r="A1716" t="str">
            <v>LU1882457572</v>
          </cell>
          <cell r="B1716" t="str">
            <v>AMUNDI FUNDS EMERG MARKE CORPORATE HIGH YIELD BOND</v>
          </cell>
          <cell r="C1716" t="str">
            <v>Class A USD (C)</v>
          </cell>
          <cell r="D1716" t="str">
            <v>USD</v>
          </cell>
          <cell r="E1716" t="str">
            <v>01-Dec-2025</v>
          </cell>
          <cell r="F1716">
            <v>3500826.83</v>
          </cell>
          <cell r="G1716">
            <v>31676.312999999998</v>
          </cell>
          <cell r="H1716">
            <v>110.52</v>
          </cell>
          <cell r="I1716">
            <v>0</v>
          </cell>
          <cell r="J1716">
            <v>114.94</v>
          </cell>
          <cell r="K1716">
            <v>-0.05</v>
          </cell>
          <cell r="P1716">
            <v>0</v>
          </cell>
        </row>
        <row r="1717">
          <cell r="A1717" t="str">
            <v>LU1882458117</v>
          </cell>
          <cell r="B1717" t="str">
            <v>AMUNDI FUNDS EMERG MARKE CORPORATE HIGH YIELD BOND</v>
          </cell>
          <cell r="C1717" t="str">
            <v>Class E2 EUR (C)</v>
          </cell>
          <cell r="D1717" t="str">
            <v>EUR</v>
          </cell>
          <cell r="E1717" t="str">
            <v>01-Dec-2025</v>
          </cell>
          <cell r="F1717">
            <v>8031056.3300000001</v>
          </cell>
          <cell r="G1717">
            <v>834388.84199999995</v>
          </cell>
          <cell r="H1717">
            <v>9.625</v>
          </cell>
          <cell r="I1717">
            <v>0</v>
          </cell>
          <cell r="J1717">
            <v>9.625</v>
          </cell>
          <cell r="K1717">
            <v>-2.5000000000000001E-2</v>
          </cell>
          <cell r="P1717">
            <v>0</v>
          </cell>
        </row>
        <row r="1718">
          <cell r="A1718" t="str">
            <v>LU1882458380</v>
          </cell>
          <cell r="B1718" t="str">
            <v>AMUNDI FUNDS EMERG MARKE CORPORATE HIGH YIELD BOND</v>
          </cell>
          <cell r="C1718" t="str">
            <v>Class F EUR QTD (D)</v>
          </cell>
          <cell r="D1718" t="str">
            <v>EUR</v>
          </cell>
          <cell r="E1718" t="str">
            <v>01-Dec-2025</v>
          </cell>
          <cell r="F1718">
            <v>5434887.3399999999</v>
          </cell>
          <cell r="G1718">
            <v>1053295.932</v>
          </cell>
          <cell r="H1718">
            <v>5.16</v>
          </cell>
          <cell r="I1718">
            <v>0</v>
          </cell>
          <cell r="J1718">
            <v>5.16</v>
          </cell>
          <cell r="K1718">
            <v>-1.2999999999999999E-2</v>
          </cell>
          <cell r="P1718">
            <v>0</v>
          </cell>
        </row>
        <row r="1719">
          <cell r="A1719" t="str">
            <v>LU1882458620</v>
          </cell>
          <cell r="B1719" t="str">
            <v>AMUNDI FUNDS EMERG MARKE CORPORATE HIGH YIELD BOND</v>
          </cell>
          <cell r="C1719" t="str">
            <v>Class I2 USD (C)</v>
          </cell>
          <cell r="D1719" t="str">
            <v>USD</v>
          </cell>
          <cell r="E1719" t="str">
            <v>01-Dec-2025</v>
          </cell>
          <cell r="F1719">
            <v>8043303.0300000003</v>
          </cell>
          <cell r="G1719">
            <v>3198.4169999999999</v>
          </cell>
          <cell r="H1719">
            <v>2514.7800000000002</v>
          </cell>
          <cell r="I1719">
            <v>0</v>
          </cell>
          <cell r="J1719">
            <v>2514.7800000000002</v>
          </cell>
          <cell r="K1719">
            <v>-0.92</v>
          </cell>
          <cell r="P1719">
            <v>0</v>
          </cell>
        </row>
        <row r="1720">
          <cell r="A1720" t="str">
            <v>LU1882458208</v>
          </cell>
          <cell r="B1720" t="str">
            <v>AMUNDI FUNDS EMERG MARKE CORPORATE HIGH YIELD BOND</v>
          </cell>
          <cell r="C1720" t="str">
            <v>Class E2 EUR QTD (D)</v>
          </cell>
          <cell r="D1720" t="str">
            <v>EUR</v>
          </cell>
          <cell r="E1720" t="str">
            <v>01-Dec-2025</v>
          </cell>
          <cell r="F1720">
            <v>5190753.13</v>
          </cell>
          <cell r="G1720">
            <v>973535.59199999995</v>
          </cell>
          <cell r="H1720">
            <v>5.3319999999999999</v>
          </cell>
          <cell r="I1720">
            <v>0</v>
          </cell>
          <cell r="J1720">
            <v>5.3319999999999999</v>
          </cell>
          <cell r="K1720">
            <v>-1.2999999999999999E-2</v>
          </cell>
          <cell r="P1720">
            <v>0</v>
          </cell>
        </row>
        <row r="1721">
          <cell r="A1721" t="str">
            <v>LU2596442678</v>
          </cell>
          <cell r="B1721" t="str">
            <v>AMUNDI FUNDS EMERG MARKE CORPORATE HIGH YIELD BOND</v>
          </cell>
          <cell r="C1721" t="str">
            <v>Class I2 EUR Hgd AD (D)</v>
          </cell>
          <cell r="D1721" t="str">
            <v>EUR</v>
          </cell>
          <cell r="E1721" t="str">
            <v>01-Dec-2025</v>
          </cell>
          <cell r="F1721">
            <v>2441955.12</v>
          </cell>
          <cell r="G1721">
            <v>2375</v>
          </cell>
          <cell r="H1721">
            <v>1028.19</v>
          </cell>
          <cell r="I1721">
            <v>0</v>
          </cell>
          <cell r="J1721">
            <v>1028.19</v>
          </cell>
          <cell r="K1721">
            <v>-0.45</v>
          </cell>
          <cell r="P1721">
            <v>0</v>
          </cell>
        </row>
        <row r="1722">
          <cell r="A1722" t="str">
            <v>LU1882458547</v>
          </cell>
          <cell r="B1722" t="str">
            <v>AMUNDI FUNDS EMERG MARKE CORPORATE HIGH YIELD BOND</v>
          </cell>
          <cell r="C1722" t="str">
            <v>Class I2 EUR Hgd (C)</v>
          </cell>
          <cell r="D1722" t="str">
            <v>EUR</v>
          </cell>
          <cell r="E1722" t="str">
            <v>01-Dec-2025</v>
          </cell>
          <cell r="F1722">
            <v>95668.25</v>
          </cell>
          <cell r="G1722">
            <v>62.648000000000003</v>
          </cell>
          <cell r="H1722">
            <v>1527.08</v>
          </cell>
          <cell r="I1722">
            <v>0</v>
          </cell>
          <cell r="J1722">
            <v>1527.08</v>
          </cell>
          <cell r="K1722">
            <v>-0.65</v>
          </cell>
          <cell r="P1722">
            <v>0</v>
          </cell>
        </row>
        <row r="1723">
          <cell r="A1723" t="str">
            <v>LU1882458463</v>
          </cell>
          <cell r="B1723" t="str">
            <v>AMUNDI FUNDS EMERG MARKE CORPORATE HIGH YIELD BOND</v>
          </cell>
          <cell r="C1723" t="str">
            <v>Class I2 EUR (C)</v>
          </cell>
          <cell r="D1723" t="str">
            <v>EUR</v>
          </cell>
          <cell r="E1723" t="str">
            <v>01-Dec-2025</v>
          </cell>
          <cell r="F1723">
            <v>54234.42</v>
          </cell>
          <cell r="G1723">
            <v>25.088000000000001</v>
          </cell>
          <cell r="H1723">
            <v>2161.77</v>
          </cell>
          <cell r="I1723">
            <v>0</v>
          </cell>
          <cell r="J1723">
            <v>2161.77</v>
          </cell>
          <cell r="K1723">
            <v>-5.36</v>
          </cell>
          <cell r="P1723">
            <v>0</v>
          </cell>
        </row>
        <row r="1724">
          <cell r="A1724" t="str">
            <v>LU2085676679</v>
          </cell>
          <cell r="B1724" t="str">
            <v>AMUNDI FUNDS EMERG MARKE CORPORATE HIGH YIELD BOND</v>
          </cell>
          <cell r="C1724" t="str">
            <v>Class G EUR QTD (D)</v>
          </cell>
          <cell r="D1724" t="str">
            <v>EUR</v>
          </cell>
          <cell r="E1724" t="str">
            <v>01-Dec-2025</v>
          </cell>
          <cell r="F1724">
            <v>648075.78</v>
          </cell>
          <cell r="G1724">
            <v>155225.269</v>
          </cell>
          <cell r="H1724">
            <v>4.1749999999999998</v>
          </cell>
          <cell r="I1724">
            <v>0</v>
          </cell>
          <cell r="J1724">
            <v>4.1749999999999998</v>
          </cell>
          <cell r="K1724">
            <v>-1.0999999999999999E-2</v>
          </cell>
          <cell r="P1724">
            <v>0</v>
          </cell>
        </row>
        <row r="1725">
          <cell r="A1725" t="str">
            <v>LU1882459354</v>
          </cell>
          <cell r="B1725" t="str">
            <v>AMUNDI FUNDS EMERG MARKE CORPORATE HIGH YIELD BOND</v>
          </cell>
          <cell r="C1725" t="str">
            <v>Class R2 EUR AD (D)</v>
          </cell>
          <cell r="D1725" t="str">
            <v>EUR</v>
          </cell>
          <cell r="E1725" t="str">
            <v>01-Dec-2025</v>
          </cell>
          <cell r="F1725">
            <v>103542.67</v>
          </cell>
          <cell r="G1725">
            <v>2653.3760000000002</v>
          </cell>
          <cell r="H1725">
            <v>39.020000000000003</v>
          </cell>
          <cell r="I1725">
            <v>0</v>
          </cell>
          <cell r="J1725">
            <v>39.020000000000003</v>
          </cell>
          <cell r="K1725">
            <v>-0.1</v>
          </cell>
          <cell r="P1725">
            <v>0</v>
          </cell>
        </row>
        <row r="1726">
          <cell r="A1726" t="str">
            <v>LU1882459271</v>
          </cell>
          <cell r="B1726" t="str">
            <v>AMUNDI FUNDS EMERG MARKE CORPORATE HIGH YIELD BOND</v>
          </cell>
          <cell r="C1726" t="str">
            <v>Class R2 EUR (C)</v>
          </cell>
          <cell r="D1726" t="str">
            <v>EUR</v>
          </cell>
          <cell r="E1726" t="str">
            <v>01-Dec-2025</v>
          </cell>
          <cell r="F1726">
            <v>186782.87</v>
          </cell>
          <cell r="G1726">
            <v>1746.5250000000001</v>
          </cell>
          <cell r="H1726">
            <v>106.95</v>
          </cell>
          <cell r="I1726">
            <v>0</v>
          </cell>
          <cell r="J1726">
            <v>106.95</v>
          </cell>
          <cell r="K1726">
            <v>-0.26</v>
          </cell>
          <cell r="P1726">
            <v>0</v>
          </cell>
        </row>
        <row r="1727">
          <cell r="A1727" t="str">
            <v>LU1882458976</v>
          </cell>
          <cell r="B1727" t="str">
            <v>AMUNDI FUNDS EMERG MARKE CORPORATE HIGH YIELD BOND</v>
          </cell>
          <cell r="C1727" t="str">
            <v>Class P2 USD (C)</v>
          </cell>
          <cell r="D1727" t="str">
            <v>USD</v>
          </cell>
          <cell r="E1727" t="str">
            <v>01-Dec-2025</v>
          </cell>
          <cell r="F1727">
            <v>106427.34</v>
          </cell>
          <cell r="G1727">
            <v>1390.7429999999999</v>
          </cell>
          <cell r="H1727">
            <v>76.53</v>
          </cell>
          <cell r="I1727">
            <v>0</v>
          </cell>
          <cell r="J1727">
            <v>76.53</v>
          </cell>
          <cell r="K1727">
            <v>-0.03</v>
          </cell>
          <cell r="P1727">
            <v>0</v>
          </cell>
        </row>
        <row r="1728">
          <cell r="A1728" t="str">
            <v>LU1882459438</v>
          </cell>
          <cell r="B1728" t="str">
            <v>AMUNDI FUNDS EMERG MARKE CORPORATE HIGH YIELD BOND</v>
          </cell>
          <cell r="C1728" t="str">
            <v>Class R2 USD (C)</v>
          </cell>
          <cell r="D1728" t="str">
            <v>USD</v>
          </cell>
          <cell r="E1728" t="str">
            <v>01-Dec-2025</v>
          </cell>
          <cell r="F1728">
            <v>13856.73</v>
          </cell>
          <cell r="G1728">
            <v>111.384</v>
          </cell>
          <cell r="H1728">
            <v>124.41</v>
          </cell>
          <cell r="I1728">
            <v>0</v>
          </cell>
          <cell r="J1728">
            <v>124.41</v>
          </cell>
          <cell r="K1728">
            <v>-0.04</v>
          </cell>
          <cell r="P1728">
            <v>0</v>
          </cell>
        </row>
        <row r="1729">
          <cell r="A1729" t="str">
            <v>LU2098275733</v>
          </cell>
          <cell r="B1729" t="str">
            <v>AMUNDI FUNDS EMERG MARKE CORPORATE HIGH YIELD BOND</v>
          </cell>
          <cell r="C1729" t="str">
            <v>Class Z EUR (C)</v>
          </cell>
          <cell r="D1729" t="str">
            <v>EUR</v>
          </cell>
          <cell r="E1729" t="str">
            <v>01-Dec-2025</v>
          </cell>
          <cell r="F1729">
            <v>7448483.5599999996</v>
          </cell>
          <cell r="G1729">
            <v>6208.7240000000002</v>
          </cell>
          <cell r="H1729">
            <v>1199.68</v>
          </cell>
          <cell r="I1729">
            <v>0</v>
          </cell>
          <cell r="J1729">
            <v>1199.68</v>
          </cell>
          <cell r="K1729">
            <v>-2.78</v>
          </cell>
          <cell r="P1729">
            <v>0</v>
          </cell>
        </row>
        <row r="1730">
          <cell r="A1730" t="str">
            <v>LU2052290272</v>
          </cell>
          <cell r="B1730" t="str">
            <v>AMUNDI FUNDS EMERG MARKE CORPORATE HIGH YIELD BOND</v>
          </cell>
          <cell r="C1730" t="str">
            <v>Class Z USD (C)</v>
          </cell>
          <cell r="D1730" t="str">
            <v>USD</v>
          </cell>
          <cell r="E1730" t="str">
            <v>01-Dec-2025</v>
          </cell>
          <cell r="F1730">
            <v>13071016.689999999</v>
          </cell>
          <cell r="G1730">
            <v>9830.0730000000003</v>
          </cell>
          <cell r="H1730">
            <v>1329.7</v>
          </cell>
          <cell r="I1730">
            <v>0</v>
          </cell>
          <cell r="J1730">
            <v>1329.7</v>
          </cell>
          <cell r="K1730">
            <v>-0.27</v>
          </cell>
          <cell r="P1730">
            <v>0</v>
          </cell>
        </row>
        <row r="1731">
          <cell r="A1731" t="str">
            <v>LU2368112129</v>
          </cell>
          <cell r="B1731" t="str">
            <v>AMUNDI FUNDS GLOBAL MULTI-ASSET TARGET INCOME</v>
          </cell>
          <cell r="C1731" t="str">
            <v>Class A2 GBP Hgd (C)</v>
          </cell>
          <cell r="D1731" t="str">
            <v>GBP</v>
          </cell>
          <cell r="E1731" t="str">
            <v>01-Dec-2025</v>
          </cell>
          <cell r="F1731">
            <v>6165369.5899999999</v>
          </cell>
          <cell r="G1731">
            <v>106570.2</v>
          </cell>
          <cell r="H1731">
            <v>57.85</v>
          </cell>
          <cell r="I1731">
            <v>0</v>
          </cell>
          <cell r="J1731">
            <v>0</v>
          </cell>
          <cell r="K1731">
            <v>-0.16</v>
          </cell>
          <cell r="P1731">
            <v>0</v>
          </cell>
        </row>
        <row r="1732">
          <cell r="A1732" t="str">
            <v>LU1883330877</v>
          </cell>
          <cell r="B1732" t="str">
            <v>AMUNDI FUNDS GLOBAL MULTI-ASSET TARGET INCOME</v>
          </cell>
          <cell r="C1732" t="str">
            <v>Class A2 EUR Hgd QTI (D)</v>
          </cell>
          <cell r="D1732" t="str">
            <v>EUR</v>
          </cell>
          <cell r="E1732" t="str">
            <v>01-Dec-2025</v>
          </cell>
          <cell r="F1732">
            <v>97424802.769999996</v>
          </cell>
          <cell r="G1732">
            <v>2762658.3229999999</v>
          </cell>
          <cell r="H1732">
            <v>35.26</v>
          </cell>
          <cell r="I1732">
            <v>0</v>
          </cell>
          <cell r="J1732">
            <v>36.85</v>
          </cell>
          <cell r="K1732">
            <v>-0.1</v>
          </cell>
          <cell r="P1732">
            <v>0</v>
          </cell>
        </row>
        <row r="1733">
          <cell r="A1733" t="str">
            <v>LU1883331255</v>
          </cell>
          <cell r="B1733" t="str">
            <v>AMUNDI FUNDS GLOBAL MULTI-ASSET TARGET INCOME</v>
          </cell>
          <cell r="C1733" t="str">
            <v>Class A2 RON Hgd (C)</v>
          </cell>
          <cell r="D1733" t="str">
            <v>RON</v>
          </cell>
          <cell r="E1733" t="str">
            <v>01-Dec-2025</v>
          </cell>
          <cell r="F1733">
            <v>18195076.850000001</v>
          </cell>
          <cell r="G1733">
            <v>226184.14199999999</v>
          </cell>
          <cell r="H1733">
            <v>80.44</v>
          </cell>
          <cell r="I1733">
            <v>0</v>
          </cell>
          <cell r="J1733">
            <v>84.06</v>
          </cell>
          <cell r="K1733">
            <v>-0.22</v>
          </cell>
          <cell r="P1733">
            <v>0</v>
          </cell>
        </row>
        <row r="1734">
          <cell r="A1734" t="str">
            <v>LU1883331412</v>
          </cell>
          <cell r="B1734" t="str">
            <v>AMUNDI FUNDS GLOBAL MULTI-ASSET TARGET INCOME</v>
          </cell>
          <cell r="C1734" t="str">
            <v>Class A2 USD MTI (D)</v>
          </cell>
          <cell r="D1734" t="str">
            <v>USD</v>
          </cell>
          <cell r="E1734" t="str">
            <v>01-Dec-2025</v>
          </cell>
          <cell r="F1734">
            <v>139621.49</v>
          </cell>
          <cell r="G1734">
            <v>2264.67</v>
          </cell>
          <cell r="H1734">
            <v>61.65</v>
          </cell>
          <cell r="I1734">
            <v>0</v>
          </cell>
          <cell r="J1734">
            <v>64.42</v>
          </cell>
          <cell r="K1734">
            <v>-0.17</v>
          </cell>
          <cell r="P1734">
            <v>0</v>
          </cell>
        </row>
        <row r="1735">
          <cell r="A1735" t="str">
            <v>LU1883330794</v>
          </cell>
          <cell r="B1735" t="str">
            <v>AMUNDI FUNDS GLOBAL MULTI-ASSET TARGET INCOME</v>
          </cell>
          <cell r="C1735" t="str">
            <v>Class A2 EUR Hgd (C)</v>
          </cell>
          <cell r="D1735" t="str">
            <v>EUR</v>
          </cell>
          <cell r="E1735" t="str">
            <v>01-Dec-2025</v>
          </cell>
          <cell r="F1735">
            <v>15541919.9</v>
          </cell>
          <cell r="G1735">
            <v>264715.35800000001</v>
          </cell>
          <cell r="H1735">
            <v>58.71</v>
          </cell>
          <cell r="I1735">
            <v>0</v>
          </cell>
          <cell r="J1735">
            <v>61.35</v>
          </cell>
          <cell r="K1735">
            <v>-0.16</v>
          </cell>
          <cell r="P1735">
            <v>0</v>
          </cell>
        </row>
        <row r="1736">
          <cell r="A1736" t="str">
            <v>LU1883330364</v>
          </cell>
          <cell r="B1736" t="str">
            <v>AMUNDI FUNDS GLOBAL MULTI-ASSET TARGET INCOME</v>
          </cell>
          <cell r="C1736" t="str">
            <v>Class A2 CZK Hgd (C)</v>
          </cell>
          <cell r="D1736" t="str">
            <v>CZK</v>
          </cell>
          <cell r="E1736" t="str">
            <v>01-Dec-2025</v>
          </cell>
          <cell r="F1736">
            <v>272979038.64999998</v>
          </cell>
          <cell r="G1736">
            <v>198369.505</v>
          </cell>
          <cell r="H1736">
            <v>1376.11</v>
          </cell>
          <cell r="I1736">
            <v>0</v>
          </cell>
          <cell r="J1736">
            <v>1438.03</v>
          </cell>
          <cell r="K1736">
            <v>-3.8</v>
          </cell>
          <cell r="P1736">
            <v>0</v>
          </cell>
        </row>
        <row r="1737">
          <cell r="A1737" t="str">
            <v>LU1883330448</v>
          </cell>
          <cell r="B1737" t="str">
            <v>AMUNDI FUNDS GLOBAL MULTI-ASSET TARGET INCOME</v>
          </cell>
          <cell r="C1737" t="str">
            <v>Class A2 CZK Hgd QTI (D)</v>
          </cell>
          <cell r="D1737" t="str">
            <v>CZK</v>
          </cell>
          <cell r="E1737" t="str">
            <v>01-Dec-2025</v>
          </cell>
          <cell r="F1737">
            <v>1141603713.27</v>
          </cell>
          <cell r="G1737">
            <v>1416674.9779999999</v>
          </cell>
          <cell r="H1737">
            <v>805.83</v>
          </cell>
          <cell r="I1737">
            <v>0</v>
          </cell>
          <cell r="J1737">
            <v>842.09</v>
          </cell>
          <cell r="K1737">
            <v>-2.21</v>
          </cell>
          <cell r="P1737">
            <v>0</v>
          </cell>
        </row>
        <row r="1738">
          <cell r="A1738" t="str">
            <v>LU1883331503</v>
          </cell>
          <cell r="B1738" t="str">
            <v>AMUNDI FUNDS GLOBAL MULTI-ASSET TARGET INCOME</v>
          </cell>
          <cell r="C1738" t="str">
            <v>Class A2 USD QTI (D)</v>
          </cell>
          <cell r="D1738" t="str">
            <v>USD</v>
          </cell>
          <cell r="E1738" t="str">
            <v>01-Dec-2025</v>
          </cell>
          <cell r="F1738">
            <v>7411903.1699999999</v>
          </cell>
          <cell r="G1738">
            <v>128451.344</v>
          </cell>
          <cell r="H1738">
            <v>57.7</v>
          </cell>
          <cell r="I1738">
            <v>0</v>
          </cell>
          <cell r="J1738">
            <v>60.3</v>
          </cell>
          <cell r="K1738">
            <v>-0.16</v>
          </cell>
          <cell r="P1738">
            <v>0</v>
          </cell>
        </row>
        <row r="1739">
          <cell r="A1739" t="str">
            <v>LU1883331099</v>
          </cell>
          <cell r="B1739" t="str">
            <v>AMUNDI FUNDS GLOBAL MULTI-ASSET TARGET INCOME</v>
          </cell>
          <cell r="C1739" t="str">
            <v>Class A2 HUF Hgd QTI (D)</v>
          </cell>
          <cell r="D1739" t="str">
            <v>HUF</v>
          </cell>
          <cell r="E1739" t="str">
            <v>01-Dec-2025</v>
          </cell>
          <cell r="F1739">
            <v>526582135.66000003</v>
          </cell>
          <cell r="G1739">
            <v>48669.241000000002</v>
          </cell>
          <cell r="H1739">
            <v>10819.61</v>
          </cell>
          <cell r="I1739">
            <v>0</v>
          </cell>
          <cell r="J1739">
            <v>11306.49</v>
          </cell>
          <cell r="K1739">
            <v>-29.28</v>
          </cell>
          <cell r="P1739">
            <v>0</v>
          </cell>
        </row>
        <row r="1740">
          <cell r="A1740" t="str">
            <v>LU1883332816</v>
          </cell>
          <cell r="B1740" t="str">
            <v>AMUNDI FUNDS GLOBAL MULTI-ASSET TARGET INCOME</v>
          </cell>
          <cell r="C1740" t="str">
            <v>Class M2 EUR Hgd (C)</v>
          </cell>
          <cell r="D1740" t="str">
            <v>EUR</v>
          </cell>
          <cell r="E1740" t="str">
            <v>01-Dec-2025</v>
          </cell>
          <cell r="F1740">
            <v>1107616.28</v>
          </cell>
          <cell r="G1740">
            <v>825.04300000000001</v>
          </cell>
          <cell r="H1740">
            <v>1342.5</v>
          </cell>
          <cell r="I1740">
            <v>0</v>
          </cell>
          <cell r="J1740">
            <v>1342.5</v>
          </cell>
          <cell r="K1740">
            <v>-3.62</v>
          </cell>
          <cell r="P1740">
            <v>0</v>
          </cell>
        </row>
        <row r="1741">
          <cell r="A1741" t="str">
            <v>LU1883330521</v>
          </cell>
          <cell r="B1741" t="str">
            <v>AMUNDI FUNDS GLOBAL MULTI-ASSET TARGET INCOME</v>
          </cell>
          <cell r="C1741" t="str">
            <v>Class A2 EUR (C)</v>
          </cell>
          <cell r="D1741" t="str">
            <v>EUR</v>
          </cell>
          <cell r="E1741" t="str">
            <v>01-Dec-2025</v>
          </cell>
          <cell r="F1741">
            <v>17240842.859999999</v>
          </cell>
          <cell r="G1741">
            <v>187934.96599999999</v>
          </cell>
          <cell r="H1741">
            <v>91.74</v>
          </cell>
          <cell r="I1741">
            <v>0</v>
          </cell>
          <cell r="J1741">
            <v>95.87</v>
          </cell>
          <cell r="K1741">
            <v>-0.44</v>
          </cell>
          <cell r="P1741">
            <v>0</v>
          </cell>
        </row>
        <row r="1742">
          <cell r="A1742" t="str">
            <v>LU1883332063</v>
          </cell>
          <cell r="B1742" t="str">
            <v>AMUNDI FUNDS GLOBAL MULTI-ASSET TARGET INCOME</v>
          </cell>
          <cell r="C1742" t="str">
            <v>Class E2 EUR QTI (D)</v>
          </cell>
          <cell r="D1742" t="str">
            <v>EUR</v>
          </cell>
          <cell r="E1742" t="str">
            <v>01-Dec-2025</v>
          </cell>
          <cell r="F1742">
            <v>4369255.41</v>
          </cell>
          <cell r="G1742">
            <v>883320.598</v>
          </cell>
          <cell r="H1742">
            <v>4.9459999999999997</v>
          </cell>
          <cell r="I1742">
            <v>0</v>
          </cell>
          <cell r="J1742">
            <v>4.9459999999999997</v>
          </cell>
          <cell r="K1742">
            <v>-2.4E-2</v>
          </cell>
          <cell r="P1742">
            <v>0</v>
          </cell>
        </row>
        <row r="1743">
          <cell r="A1743" t="str">
            <v>LU1883332147</v>
          </cell>
          <cell r="B1743" t="str">
            <v>AMUNDI FUNDS GLOBAL MULTI-ASSET TARGET INCOME</v>
          </cell>
          <cell r="C1743" t="str">
            <v>Class E2 EUR SATI (D)</v>
          </cell>
          <cell r="D1743" t="str">
            <v>EUR</v>
          </cell>
          <cell r="E1743" t="str">
            <v>01-Dec-2025</v>
          </cell>
          <cell r="F1743">
            <v>31060271.02</v>
          </cell>
          <cell r="G1743">
            <v>8325979.3820000002</v>
          </cell>
          <cell r="H1743">
            <v>3.7309999999999999</v>
          </cell>
          <cell r="I1743">
            <v>0</v>
          </cell>
          <cell r="J1743">
            <v>3.7309999999999999</v>
          </cell>
          <cell r="K1743">
            <v>-1.7999999999999999E-2</v>
          </cell>
          <cell r="P1743">
            <v>0</v>
          </cell>
        </row>
        <row r="1744">
          <cell r="A1744" t="str">
            <v>LU1883331925</v>
          </cell>
          <cell r="B1744" t="str">
            <v>AMUNDI FUNDS GLOBAL MULTI-ASSET TARGET INCOME</v>
          </cell>
          <cell r="C1744" t="str">
            <v>Class E2 EUR Hgd SATI (D)</v>
          </cell>
          <cell r="D1744" t="str">
            <v>EUR</v>
          </cell>
          <cell r="E1744" t="str">
            <v>01-Dec-2025</v>
          </cell>
          <cell r="F1744">
            <v>23579486.239999998</v>
          </cell>
          <cell r="G1744">
            <v>6511139.7709999997</v>
          </cell>
          <cell r="H1744">
            <v>3.621</v>
          </cell>
          <cell r="I1744">
            <v>0</v>
          </cell>
          <cell r="J1744">
            <v>3.621</v>
          </cell>
          <cell r="K1744">
            <v>-0.01</v>
          </cell>
          <cell r="P1744">
            <v>0</v>
          </cell>
        </row>
        <row r="1745">
          <cell r="A1745" t="str">
            <v>LU1883332907</v>
          </cell>
          <cell r="B1745" t="str">
            <v>AMUNDI FUNDS GLOBAL MULTI-ASSET TARGET INCOME</v>
          </cell>
          <cell r="C1745" t="str">
            <v>Class M2 EUR SATI (D)</v>
          </cell>
          <cell r="D1745" t="str">
            <v>EUR</v>
          </cell>
          <cell r="E1745" t="str">
            <v>01-Dec-2025</v>
          </cell>
          <cell r="F1745">
            <v>56259.14</v>
          </cell>
          <cell r="G1745">
            <v>51</v>
          </cell>
          <cell r="H1745">
            <v>1103.1199999999999</v>
          </cell>
          <cell r="I1745">
            <v>0</v>
          </cell>
          <cell r="J1745">
            <v>1103.1199999999999</v>
          </cell>
          <cell r="K1745">
            <v>-5.25</v>
          </cell>
          <cell r="P1745">
            <v>0</v>
          </cell>
        </row>
        <row r="1746">
          <cell r="A1746" t="str">
            <v>LU1883333038</v>
          </cell>
          <cell r="B1746" t="str">
            <v>AMUNDI FUNDS GLOBAL MULTI-ASSET TARGET INCOME</v>
          </cell>
          <cell r="C1746" t="str">
            <v>Class M2 USD (C)</v>
          </cell>
          <cell r="D1746" t="str">
            <v>USD</v>
          </cell>
          <cell r="E1746" t="str">
            <v>01-Dec-2025</v>
          </cell>
          <cell r="F1746">
            <v>452516.11</v>
          </cell>
          <cell r="G1746">
            <v>277.54000000000002</v>
          </cell>
          <cell r="H1746">
            <v>1630.45</v>
          </cell>
          <cell r="I1746">
            <v>0</v>
          </cell>
          <cell r="J1746">
            <v>1630.45</v>
          </cell>
          <cell r="K1746">
            <v>-4.32</v>
          </cell>
          <cell r="P1746">
            <v>0</v>
          </cell>
        </row>
        <row r="1747">
          <cell r="A1747" t="str">
            <v>LU1883332659</v>
          </cell>
          <cell r="B1747" t="str">
            <v>AMUNDI FUNDS GLOBAL MULTI-ASSET TARGET INCOME</v>
          </cell>
          <cell r="C1747" t="str">
            <v>Class I2 USD (C)</v>
          </cell>
          <cell r="D1747" t="str">
            <v>USD</v>
          </cell>
          <cell r="E1747" t="str">
            <v>01-Dec-2025</v>
          </cell>
          <cell r="F1747">
            <v>29443.41</v>
          </cell>
          <cell r="G1747">
            <v>17.635000000000002</v>
          </cell>
          <cell r="H1747">
            <v>1669.6</v>
          </cell>
          <cell r="I1747">
            <v>0</v>
          </cell>
          <cell r="J1747">
            <v>1669.6</v>
          </cell>
          <cell r="K1747">
            <v>-4.4000000000000004</v>
          </cell>
          <cell r="P1747">
            <v>0</v>
          </cell>
        </row>
        <row r="1748">
          <cell r="A1748" t="str">
            <v>LU1883332576</v>
          </cell>
          <cell r="B1748" t="str">
            <v>AMUNDI FUNDS GLOBAL MULTI-ASSET TARGET INCOME</v>
          </cell>
          <cell r="C1748" t="str">
            <v>Class G2 EUR Hgd QTI (D)</v>
          </cell>
          <cell r="D1748" t="str">
            <v>EUR</v>
          </cell>
          <cell r="E1748" t="str">
            <v>01-Dec-2025</v>
          </cell>
          <cell r="F1748">
            <v>2217849.61</v>
          </cell>
          <cell r="G1748">
            <v>566551.50199999998</v>
          </cell>
          <cell r="H1748">
            <v>3.915</v>
          </cell>
          <cell r="I1748">
            <v>0</v>
          </cell>
          <cell r="J1748">
            <v>3.915</v>
          </cell>
          <cell r="K1748">
            <v>-1.0999999999999999E-2</v>
          </cell>
          <cell r="P1748">
            <v>0</v>
          </cell>
        </row>
        <row r="1749">
          <cell r="A1749" t="str">
            <v>LU1883331172</v>
          </cell>
          <cell r="B1749" t="str">
            <v>AMUNDI FUNDS GLOBAL MULTI-ASSET TARGET INCOME</v>
          </cell>
          <cell r="C1749" t="str">
            <v>Class R2 USD QTI (D)</v>
          </cell>
          <cell r="D1749" t="str">
            <v>USD</v>
          </cell>
          <cell r="E1749" t="str">
            <v>01-Dec-2025</v>
          </cell>
          <cell r="F1749">
            <v>33131.32</v>
          </cell>
          <cell r="G1749">
            <v>644.58199999999999</v>
          </cell>
          <cell r="H1749">
            <v>51.4</v>
          </cell>
          <cell r="I1749">
            <v>0</v>
          </cell>
          <cell r="J1749">
            <v>51.4</v>
          </cell>
          <cell r="K1749">
            <v>-0.14000000000000001</v>
          </cell>
          <cell r="P1749">
            <v>0</v>
          </cell>
        </row>
        <row r="1750">
          <cell r="A1750" t="str">
            <v>LU1883333897</v>
          </cell>
          <cell r="B1750" t="str">
            <v>AMUNDI FUNDS GLOBAL MULTI-ASSET TARGET INCOME</v>
          </cell>
          <cell r="C1750" t="str">
            <v>Class R2 EUR QTI (D)</v>
          </cell>
          <cell r="D1750" t="str">
            <v>EUR</v>
          </cell>
          <cell r="E1750" t="str">
            <v>01-Dec-2025</v>
          </cell>
          <cell r="F1750">
            <v>685430.49</v>
          </cell>
          <cell r="G1750">
            <v>13123.956</v>
          </cell>
          <cell r="H1750">
            <v>52.23</v>
          </cell>
          <cell r="I1750">
            <v>0</v>
          </cell>
          <cell r="J1750">
            <v>52.23</v>
          </cell>
          <cell r="K1750">
            <v>-0.25</v>
          </cell>
          <cell r="P1750">
            <v>0</v>
          </cell>
        </row>
        <row r="1751">
          <cell r="A1751" t="str">
            <v>LU1883330950</v>
          </cell>
          <cell r="B1751" t="str">
            <v>AMUNDI FUNDS GLOBAL MULTI-ASSET TARGET INCOME</v>
          </cell>
          <cell r="C1751" t="str">
            <v>Class A2 EUR QTI (D)</v>
          </cell>
          <cell r="D1751" t="str">
            <v>EUR</v>
          </cell>
          <cell r="E1751" t="str">
            <v>01-Dec-2025</v>
          </cell>
          <cell r="F1751">
            <v>30892164.899999999</v>
          </cell>
          <cell r="G1751">
            <v>623219.73499999999</v>
          </cell>
          <cell r="H1751">
            <v>49.57</v>
          </cell>
          <cell r="I1751">
            <v>0</v>
          </cell>
          <cell r="J1751">
            <v>51.8</v>
          </cell>
          <cell r="K1751">
            <v>-0.24</v>
          </cell>
          <cell r="P1751">
            <v>0</v>
          </cell>
        </row>
        <row r="1752">
          <cell r="A1752" t="str">
            <v>LU1883331339</v>
          </cell>
          <cell r="B1752" t="str">
            <v>AMUNDI FUNDS GLOBAL MULTI-ASSET TARGET INCOME</v>
          </cell>
          <cell r="C1752" t="str">
            <v>Class A2 USD (C)</v>
          </cell>
          <cell r="D1752" t="str">
            <v>USD</v>
          </cell>
          <cell r="E1752" t="str">
            <v>01-Dec-2025</v>
          </cell>
          <cell r="F1752">
            <v>28262075.98</v>
          </cell>
          <cell r="G1752">
            <v>380905.10600000003</v>
          </cell>
          <cell r="H1752">
            <v>74.2</v>
          </cell>
          <cell r="I1752">
            <v>0</v>
          </cell>
          <cell r="J1752">
            <v>77.540000000000006</v>
          </cell>
          <cell r="K1752">
            <v>-0.2</v>
          </cell>
          <cell r="P1752">
            <v>0</v>
          </cell>
        </row>
        <row r="1753">
          <cell r="A1753" t="str">
            <v>LU1883333970</v>
          </cell>
          <cell r="B1753" t="str">
            <v>AMUNDI FUNDS GLOBAL MULTI-ASSET TARGET INCOME</v>
          </cell>
          <cell r="C1753" t="str">
            <v>Class R2 USD (C)</v>
          </cell>
          <cell r="D1753" t="str">
            <v>USD</v>
          </cell>
          <cell r="E1753" t="str">
            <v>01-Dec-2025</v>
          </cell>
          <cell r="F1753">
            <v>8413.6200000000008</v>
          </cell>
          <cell r="G1753">
            <v>113.56100000000001</v>
          </cell>
          <cell r="H1753">
            <v>74.09</v>
          </cell>
          <cell r="I1753">
            <v>0</v>
          </cell>
          <cell r="J1753">
            <v>74.09</v>
          </cell>
          <cell r="K1753">
            <v>-0.2</v>
          </cell>
          <cell r="P1753">
            <v>0</v>
          </cell>
        </row>
        <row r="1754">
          <cell r="A1754" t="str">
            <v>LU1883329432</v>
          </cell>
          <cell r="B1754" t="str">
            <v>AMUNDI FUNDS GLOBAL MULTI-ASSET CONSERVATIVE</v>
          </cell>
          <cell r="C1754" t="str">
            <v>Class A EUR (C)</v>
          </cell>
          <cell r="D1754" t="str">
            <v>EUR</v>
          </cell>
          <cell r="E1754" t="str">
            <v>01-Dec-2025</v>
          </cell>
          <cell r="F1754">
            <v>392224548.45999998</v>
          </cell>
          <cell r="G1754">
            <v>5543626.5279999999</v>
          </cell>
          <cell r="H1754">
            <v>70.75</v>
          </cell>
          <cell r="I1754">
            <v>0</v>
          </cell>
          <cell r="J1754">
            <v>73.930000000000007</v>
          </cell>
          <cell r="K1754">
            <v>-0.23</v>
          </cell>
          <cell r="P1754">
            <v>0</v>
          </cell>
        </row>
        <row r="1755">
          <cell r="A1755" t="str">
            <v>LU2183143507</v>
          </cell>
          <cell r="B1755" t="str">
            <v>AMUNDI FUNDS GLOBAL MULTI-ASSET CONSERVATIVE</v>
          </cell>
          <cell r="C1755" t="str">
            <v>Class A2 EUR (C)</v>
          </cell>
          <cell r="D1755" t="str">
            <v>EUR</v>
          </cell>
          <cell r="E1755" t="str">
            <v>01-Dec-2025</v>
          </cell>
          <cell r="F1755">
            <v>5284303.6900000004</v>
          </cell>
          <cell r="G1755">
            <v>91903.45</v>
          </cell>
          <cell r="H1755">
            <v>57.5</v>
          </cell>
          <cell r="I1755">
            <v>0</v>
          </cell>
          <cell r="J1755">
            <v>57.5</v>
          </cell>
          <cell r="K1755">
            <v>-0.18</v>
          </cell>
          <cell r="P1755">
            <v>0</v>
          </cell>
        </row>
        <row r="1756">
          <cell r="A1756" t="str">
            <v>LU1883329358</v>
          </cell>
          <cell r="B1756" t="str">
            <v>AMUNDI FUNDS GLOBAL MULTI-ASSET CONSERVATIVE</v>
          </cell>
          <cell r="C1756" t="str">
            <v>Class A9 CHF Hgd (C)</v>
          </cell>
          <cell r="D1756" t="str">
            <v>CHF</v>
          </cell>
          <cell r="E1756" t="str">
            <v>01-Dec-2025</v>
          </cell>
          <cell r="F1756">
            <v>10453197.859999999</v>
          </cell>
          <cell r="G1756">
            <v>189731.60399999999</v>
          </cell>
          <cell r="H1756">
            <v>55.09</v>
          </cell>
          <cell r="I1756">
            <v>0</v>
          </cell>
          <cell r="J1756">
            <v>57.57</v>
          </cell>
          <cell r="K1756">
            <v>-0.18</v>
          </cell>
          <cell r="P1756">
            <v>0</v>
          </cell>
        </row>
        <row r="1757">
          <cell r="A1757" t="str">
            <v>LU3129350826</v>
          </cell>
          <cell r="B1757" t="str">
            <v>AMUNDI FUNDS GLOBAL MULTI-ASSET CONSERVATIVE</v>
          </cell>
          <cell r="C1757" t="str">
            <v>Class A EUR AD (D)</v>
          </cell>
          <cell r="D1757" t="str">
            <v>EUR</v>
          </cell>
          <cell r="E1757" t="str">
            <v>01-Dec-2025</v>
          </cell>
          <cell r="F1757">
            <v>5129.33</v>
          </cell>
          <cell r="G1757">
            <v>100</v>
          </cell>
          <cell r="H1757">
            <v>51.29</v>
          </cell>
          <cell r="I1757">
            <v>0</v>
          </cell>
          <cell r="J1757">
            <v>53.6</v>
          </cell>
          <cell r="K1757">
            <v>-0.18</v>
          </cell>
          <cell r="P1757">
            <v>0</v>
          </cell>
        </row>
        <row r="1758">
          <cell r="A1758" t="str">
            <v>LU2339089323</v>
          </cell>
          <cell r="B1758" t="str">
            <v>AMUNDI FUNDS GLOBAL MULTI-ASSET CONSERVATIVE</v>
          </cell>
          <cell r="C1758" t="str">
            <v>Class A10 USD Hgd (C)</v>
          </cell>
          <cell r="D1758" t="str">
            <v>USD</v>
          </cell>
          <cell r="E1758" t="str">
            <v>01-Dec-2025</v>
          </cell>
          <cell r="F1758">
            <v>2197264.1</v>
          </cell>
          <cell r="G1758">
            <v>39347.682000000001</v>
          </cell>
          <cell r="H1758">
            <v>55.84</v>
          </cell>
          <cell r="I1758">
            <v>0</v>
          </cell>
          <cell r="J1758">
            <v>55.84</v>
          </cell>
          <cell r="K1758">
            <v>-0.17</v>
          </cell>
          <cell r="P1758">
            <v>0</v>
          </cell>
        </row>
        <row r="1759">
          <cell r="A1759" t="str">
            <v>LU3129351048</v>
          </cell>
          <cell r="B1759" t="str">
            <v>AMUNDI FUNDS GLOBAL MULTI-ASSET CONSERVATIVE</v>
          </cell>
          <cell r="C1759" t="str">
            <v>Class A CZK Hgd (C)</v>
          </cell>
          <cell r="D1759" t="str">
            <v>CZK</v>
          </cell>
          <cell r="E1759" t="str">
            <v>01-Dec-2025</v>
          </cell>
          <cell r="F1759">
            <v>2574947.0099999998</v>
          </cell>
          <cell r="G1759">
            <v>2500</v>
          </cell>
          <cell r="H1759">
            <v>1029.98</v>
          </cell>
          <cell r="I1759">
            <v>0</v>
          </cell>
          <cell r="J1759">
            <v>1029.98</v>
          </cell>
          <cell r="K1759">
            <v>-3.46</v>
          </cell>
          <cell r="P1759">
            <v>0</v>
          </cell>
        </row>
        <row r="1760">
          <cell r="A1760" t="str">
            <v>LU1883330109</v>
          </cell>
          <cell r="B1760" t="str">
            <v>AMUNDI FUNDS GLOBAL MULTI-ASSET CONSERVATIVE</v>
          </cell>
          <cell r="C1760" t="str">
            <v>Class M2 EUR (C)</v>
          </cell>
          <cell r="D1760" t="str">
            <v>EUR</v>
          </cell>
          <cell r="E1760" t="str">
            <v>01-Dec-2025</v>
          </cell>
          <cell r="F1760">
            <v>138748855.58000001</v>
          </cell>
          <cell r="G1760">
            <v>87622.428</v>
          </cell>
          <cell r="H1760">
            <v>1583.49</v>
          </cell>
          <cell r="I1760">
            <v>0</v>
          </cell>
          <cell r="J1760">
            <v>1583.49</v>
          </cell>
          <cell r="K1760">
            <v>-4.8600000000000003</v>
          </cell>
          <cell r="P1760">
            <v>0</v>
          </cell>
        </row>
        <row r="1761">
          <cell r="A1761" t="str">
            <v>LU1883329606</v>
          </cell>
          <cell r="B1761" t="str">
            <v>AMUNDI FUNDS GLOBAL MULTI-ASSET CONSERVATIVE</v>
          </cell>
          <cell r="C1761" t="str">
            <v>Class E2 EUR (C)</v>
          </cell>
          <cell r="D1761" t="str">
            <v>EUR</v>
          </cell>
          <cell r="E1761" t="str">
            <v>01-Dec-2025</v>
          </cell>
          <cell r="F1761">
            <v>590246016.63999999</v>
          </cell>
          <cell r="G1761">
            <v>81027912.296000004</v>
          </cell>
          <cell r="H1761">
            <v>7.2839999999999998</v>
          </cell>
          <cell r="I1761">
            <v>0</v>
          </cell>
          <cell r="J1761">
            <v>7.2839999999999998</v>
          </cell>
          <cell r="K1761">
            <v>-2.3E-2</v>
          </cell>
          <cell r="P1761">
            <v>0</v>
          </cell>
        </row>
        <row r="1762">
          <cell r="A1762" t="str">
            <v>LU2330498085</v>
          </cell>
          <cell r="B1762" t="str">
            <v>AMUNDI FUNDS GLOBAL MULTI-ASSET CONSERVATIVE</v>
          </cell>
          <cell r="C1762" t="str">
            <v>Class E2 EUR AD (D)</v>
          </cell>
          <cell r="D1762" t="str">
            <v>EUR</v>
          </cell>
          <cell r="E1762" t="str">
            <v>01-Dec-2025</v>
          </cell>
          <cell r="F1762">
            <v>77016832.549999997</v>
          </cell>
          <cell r="G1762">
            <v>15498745.583000001</v>
          </cell>
          <cell r="H1762">
            <v>4.9690000000000003</v>
          </cell>
          <cell r="I1762">
            <v>0</v>
          </cell>
          <cell r="J1762">
            <v>4.9690000000000003</v>
          </cell>
          <cell r="K1762">
            <v>-1.6E-2</v>
          </cell>
          <cell r="P1762">
            <v>0</v>
          </cell>
        </row>
        <row r="1763">
          <cell r="A1763" t="str">
            <v>LU1883329788</v>
          </cell>
          <cell r="B1763" t="str">
            <v>AMUNDI FUNDS GLOBAL MULTI-ASSET CONSERVATIVE</v>
          </cell>
          <cell r="C1763" t="str">
            <v>Class F EUR (C)</v>
          </cell>
          <cell r="D1763" t="str">
            <v>EUR</v>
          </cell>
          <cell r="E1763" t="str">
            <v>01-Dec-2025</v>
          </cell>
          <cell r="F1763">
            <v>109150087.39</v>
          </cell>
          <cell r="G1763">
            <v>17939402.920000002</v>
          </cell>
          <cell r="H1763">
            <v>6.0839999999999996</v>
          </cell>
          <cell r="I1763">
            <v>0</v>
          </cell>
          <cell r="J1763">
            <v>6.0839999999999996</v>
          </cell>
          <cell r="K1763">
            <v>-0.02</v>
          </cell>
          <cell r="P1763">
            <v>0</v>
          </cell>
        </row>
        <row r="1764">
          <cell r="A1764" t="str">
            <v>LU3129351121</v>
          </cell>
          <cell r="B1764" t="str">
            <v>AMUNDI FUNDS GLOBAL MULTI-ASSET CONSERVATIVE</v>
          </cell>
          <cell r="C1764" t="str">
            <v>Class F EUR QTD (D)</v>
          </cell>
          <cell r="D1764" t="str">
            <v>EUR</v>
          </cell>
          <cell r="E1764" t="str">
            <v>01-Dec-2025</v>
          </cell>
          <cell r="F1764">
            <v>5084.55</v>
          </cell>
          <cell r="G1764">
            <v>1000</v>
          </cell>
          <cell r="H1764">
            <v>5.085</v>
          </cell>
          <cell r="I1764">
            <v>0</v>
          </cell>
          <cell r="J1764">
            <v>5.085</v>
          </cell>
          <cell r="K1764">
            <v>-1.7000000000000001E-2</v>
          </cell>
          <cell r="P1764">
            <v>0</v>
          </cell>
        </row>
        <row r="1765">
          <cell r="A1765" t="str">
            <v>LU1897307218</v>
          </cell>
          <cell r="B1765" t="str">
            <v>AMUNDI FUNDS GLOBAL MULTI-ASSET CONSERVATIVE</v>
          </cell>
          <cell r="C1765" t="str">
            <v>Class I2 GBP (C)</v>
          </cell>
          <cell r="D1765" t="str">
            <v>GBP</v>
          </cell>
          <cell r="E1765" t="str">
            <v>01-Dec-2025</v>
          </cell>
          <cell r="F1765">
            <v>27671.02</v>
          </cell>
          <cell r="G1765">
            <v>23</v>
          </cell>
          <cell r="H1765">
            <v>1203.0899999999999</v>
          </cell>
          <cell r="I1765">
            <v>0</v>
          </cell>
          <cell r="J1765">
            <v>1203.0899999999999</v>
          </cell>
          <cell r="K1765">
            <v>-1.35</v>
          </cell>
          <cell r="P1765">
            <v>0</v>
          </cell>
        </row>
        <row r="1766">
          <cell r="A1766" t="str">
            <v>LU2574252230</v>
          </cell>
          <cell r="B1766" t="str">
            <v>AMUNDI FUNDS GLOBAL MULTI-ASSET CONSERVATIVE</v>
          </cell>
          <cell r="C1766" t="str">
            <v>Class I3 USD Hgd (C)</v>
          </cell>
          <cell r="D1766" t="str">
            <v>USD</v>
          </cell>
          <cell r="E1766" t="str">
            <v>01-Dec-2025</v>
          </cell>
          <cell r="F1766">
            <v>174900338.41999999</v>
          </cell>
          <cell r="G1766">
            <v>162754.00200000001</v>
          </cell>
          <cell r="H1766">
            <v>1074.6300000000001</v>
          </cell>
          <cell r="I1766">
            <v>0</v>
          </cell>
          <cell r="J1766">
            <v>1074.6300000000001</v>
          </cell>
          <cell r="K1766">
            <v>-3.25</v>
          </cell>
          <cell r="P1766">
            <v>0</v>
          </cell>
        </row>
        <row r="1767">
          <cell r="A1767" t="str">
            <v>LU2079696568</v>
          </cell>
          <cell r="B1767" t="str">
            <v>AMUNDI FUNDS GLOBAL MULTI-ASSET CONSERVATIVE</v>
          </cell>
          <cell r="C1767" t="str">
            <v>Class I2 EUR (C)</v>
          </cell>
          <cell r="D1767" t="str">
            <v>EUR</v>
          </cell>
          <cell r="E1767" t="str">
            <v>01-Dec-2025</v>
          </cell>
          <cell r="F1767">
            <v>68487234.700000003</v>
          </cell>
          <cell r="G1767">
            <v>55689.3</v>
          </cell>
          <cell r="H1767">
            <v>1229.81</v>
          </cell>
          <cell r="I1767">
            <v>0</v>
          </cell>
          <cell r="J1767">
            <v>1229.81</v>
          </cell>
          <cell r="K1767">
            <v>-3.78</v>
          </cell>
          <cell r="P1767">
            <v>0</v>
          </cell>
        </row>
        <row r="1768">
          <cell r="A1768" t="str">
            <v>LU3129351550</v>
          </cell>
          <cell r="B1768" t="str">
            <v>AMUNDI FUNDS GLOBAL MULTI-ASSET CONSERVATIVE</v>
          </cell>
          <cell r="C1768" t="str">
            <v>Class I23 JPY Hgd (C)</v>
          </cell>
          <cell r="D1768" t="str">
            <v>JPY</v>
          </cell>
          <cell r="E1768" t="str">
            <v>01-Dec-2025</v>
          </cell>
          <cell r="F1768">
            <v>17758845</v>
          </cell>
          <cell r="G1768">
            <v>173</v>
          </cell>
          <cell r="H1768">
            <v>102652</v>
          </cell>
          <cell r="I1768">
            <v>0</v>
          </cell>
          <cell r="J1768">
            <v>102652</v>
          </cell>
          <cell r="K1768">
            <v>-321</v>
          </cell>
          <cell r="P1768">
            <v>0</v>
          </cell>
        </row>
        <row r="1769">
          <cell r="A1769" t="str">
            <v>LU1883330018</v>
          </cell>
          <cell r="B1769" t="str">
            <v>AMUNDI FUNDS GLOBAL MULTI-ASSET CONSERVATIVE</v>
          </cell>
          <cell r="C1769" t="str">
            <v>Class I2 USD Hgd (C)</v>
          </cell>
          <cell r="D1769" t="str">
            <v>USD</v>
          </cell>
          <cell r="E1769" t="str">
            <v>01-Dec-2025</v>
          </cell>
          <cell r="F1769">
            <v>394349.57</v>
          </cell>
          <cell r="G1769">
            <v>248.001</v>
          </cell>
          <cell r="H1769">
            <v>1590.11</v>
          </cell>
          <cell r="I1769">
            <v>0</v>
          </cell>
          <cell r="J1769">
            <v>1590.11</v>
          </cell>
          <cell r="K1769">
            <v>-4.79</v>
          </cell>
          <cell r="P1769">
            <v>0</v>
          </cell>
        </row>
        <row r="1770">
          <cell r="A1770" t="str">
            <v>LU2079696212</v>
          </cell>
          <cell r="B1770" t="str">
            <v>AMUNDI FUNDS GLOBAL MULTI-ASSET CONSERVATIVE</v>
          </cell>
          <cell r="C1770" t="str">
            <v>Class I EUR (C)</v>
          </cell>
          <cell r="D1770" t="str">
            <v>EUR</v>
          </cell>
          <cell r="E1770" t="str">
            <v>01-Dec-2025</v>
          </cell>
          <cell r="F1770">
            <v>11271626.689999999</v>
          </cell>
          <cell r="G1770">
            <v>9360.6039999999994</v>
          </cell>
          <cell r="H1770">
            <v>1204.1600000000001</v>
          </cell>
          <cell r="I1770">
            <v>0</v>
          </cell>
          <cell r="J1770">
            <v>1204.1600000000001</v>
          </cell>
          <cell r="K1770">
            <v>-4.0199999999999996</v>
          </cell>
          <cell r="P1770">
            <v>0</v>
          </cell>
        </row>
        <row r="1771">
          <cell r="A1771" t="str">
            <v>LU3129351634</v>
          </cell>
          <cell r="B1771" t="str">
            <v>AMUNDI FUNDS GLOBAL MULTI-ASSET CONSERVATIVE</v>
          </cell>
          <cell r="C1771" t="str">
            <v>Class I23 JPY Hgd AD (D)</v>
          </cell>
          <cell r="D1771" t="str">
            <v>JPY</v>
          </cell>
          <cell r="E1771" t="str">
            <v>01-Dec-2025</v>
          </cell>
          <cell r="F1771">
            <v>17758845</v>
          </cell>
          <cell r="G1771">
            <v>173</v>
          </cell>
          <cell r="H1771">
            <v>102652</v>
          </cell>
          <cell r="I1771">
            <v>0</v>
          </cell>
          <cell r="J1771">
            <v>102652</v>
          </cell>
          <cell r="K1771">
            <v>-321</v>
          </cell>
          <cell r="P1771">
            <v>0</v>
          </cell>
        </row>
        <row r="1772">
          <cell r="A1772" t="str">
            <v>LU2199618559</v>
          </cell>
          <cell r="B1772" t="str">
            <v>AMUNDI FUNDS GLOBAL MULTI-ASSET CONSERVATIVE</v>
          </cell>
          <cell r="C1772" t="str">
            <v>Class I2 CZK Hgd (C)</v>
          </cell>
          <cell r="D1772" t="str">
            <v>CZK</v>
          </cell>
          <cell r="E1772" t="str">
            <v>01-Dec-2025</v>
          </cell>
          <cell r="F1772">
            <v>2610612.2000000002</v>
          </cell>
          <cell r="G1772">
            <v>215.69200000000001</v>
          </cell>
          <cell r="H1772">
            <v>12103.43</v>
          </cell>
          <cell r="I1772">
            <v>0</v>
          </cell>
          <cell r="J1772">
            <v>12103.43</v>
          </cell>
          <cell r="K1772">
            <v>-36.89</v>
          </cell>
          <cell r="P1772">
            <v>0</v>
          </cell>
        </row>
        <row r="1773">
          <cell r="A1773" t="str">
            <v>LU2713448996</v>
          </cell>
          <cell r="B1773" t="str">
            <v>AMUNDI FUNDS GLOBAL MULTI-ASSET CONSERVATIVE</v>
          </cell>
          <cell r="C1773" t="str">
            <v>Class J7 JPY Hgd (C)</v>
          </cell>
          <cell r="D1773" t="str">
            <v>JPY</v>
          </cell>
          <cell r="E1773" t="str">
            <v>01-Dec-2025</v>
          </cell>
          <cell r="F1773">
            <v>13812399486</v>
          </cell>
          <cell r="G1773">
            <v>124607.921</v>
          </cell>
          <cell r="H1773">
            <v>110847</v>
          </cell>
          <cell r="I1773">
            <v>0</v>
          </cell>
          <cell r="J1773">
            <v>110847</v>
          </cell>
          <cell r="K1773">
            <v>-345</v>
          </cell>
          <cell r="P1773">
            <v>0</v>
          </cell>
        </row>
        <row r="1774">
          <cell r="A1774" t="str">
            <v>LU2510724003</v>
          </cell>
          <cell r="B1774" t="str">
            <v>AMUNDI FUNDS GLOBAL MULTI-ASSET CONSERVATIVE</v>
          </cell>
          <cell r="C1774" t="str">
            <v>Class J11 EUR (C)</v>
          </cell>
          <cell r="D1774" t="str">
            <v>EUR</v>
          </cell>
          <cell r="E1774" t="str">
            <v>01-Dec-2025</v>
          </cell>
          <cell r="F1774">
            <v>1811482.37</v>
          </cell>
          <cell r="G1774">
            <v>1500</v>
          </cell>
          <cell r="H1774">
            <v>1207.6500000000001</v>
          </cell>
          <cell r="I1774">
            <v>0</v>
          </cell>
          <cell r="J1774">
            <v>1207.6500000000001</v>
          </cell>
          <cell r="K1774">
            <v>-3.69</v>
          </cell>
          <cell r="P1774">
            <v>0</v>
          </cell>
        </row>
        <row r="1775">
          <cell r="A1775" t="str">
            <v>LU1883329945</v>
          </cell>
          <cell r="B1775" t="str">
            <v>AMUNDI FUNDS GLOBAL MULTI-ASSET CONSERVATIVE</v>
          </cell>
          <cell r="C1775" t="str">
            <v>Class G EUR QTD (D)</v>
          </cell>
          <cell r="D1775" t="str">
            <v>EUR</v>
          </cell>
          <cell r="E1775" t="str">
            <v>01-Dec-2025</v>
          </cell>
          <cell r="F1775">
            <v>34853667.719999999</v>
          </cell>
          <cell r="G1775">
            <v>6589421.6490000002</v>
          </cell>
          <cell r="H1775">
            <v>5.2889999999999997</v>
          </cell>
          <cell r="I1775">
            <v>0</v>
          </cell>
          <cell r="J1775">
            <v>5.2889999999999997</v>
          </cell>
          <cell r="K1775">
            <v>-1.7000000000000001E-2</v>
          </cell>
          <cell r="P1775">
            <v>0</v>
          </cell>
        </row>
        <row r="1776">
          <cell r="A1776" t="str">
            <v>LU1883329861</v>
          </cell>
          <cell r="B1776" t="str">
            <v>AMUNDI FUNDS GLOBAL MULTI-ASSET CONSERVATIVE</v>
          </cell>
          <cell r="C1776" t="str">
            <v>Class G EUR (C)</v>
          </cell>
          <cell r="D1776" t="str">
            <v>EUR</v>
          </cell>
          <cell r="E1776" t="str">
            <v>01-Dec-2025</v>
          </cell>
          <cell r="F1776">
            <v>355801736.48000002</v>
          </cell>
          <cell r="G1776">
            <v>60553450.737999998</v>
          </cell>
          <cell r="H1776">
            <v>5.8760000000000003</v>
          </cell>
          <cell r="I1776">
            <v>0</v>
          </cell>
          <cell r="J1776">
            <v>5.8760000000000003</v>
          </cell>
          <cell r="K1776">
            <v>-1.7999999999999999E-2</v>
          </cell>
          <cell r="P1776">
            <v>0</v>
          </cell>
        </row>
        <row r="1777">
          <cell r="A1777" t="str">
            <v>LU3129351394</v>
          </cell>
          <cell r="B1777" t="str">
            <v>AMUNDI FUNDS GLOBAL MULTI-ASSET CONSERVATIVE</v>
          </cell>
          <cell r="C1777" t="str">
            <v>Class M EUR (C)</v>
          </cell>
          <cell r="D1777" t="str">
            <v>EUR</v>
          </cell>
          <cell r="E1777" t="str">
            <v>01-Dec-2025</v>
          </cell>
          <cell r="F1777">
            <v>5140.18</v>
          </cell>
          <cell r="G1777">
            <v>5</v>
          </cell>
          <cell r="H1777">
            <v>1028.04</v>
          </cell>
          <cell r="I1777">
            <v>0</v>
          </cell>
          <cell r="J1777">
            <v>1028.04</v>
          </cell>
          <cell r="K1777">
            <v>-3.43</v>
          </cell>
          <cell r="P1777">
            <v>0</v>
          </cell>
        </row>
        <row r="1778">
          <cell r="A1778" t="str">
            <v>LU1883330281</v>
          </cell>
          <cell r="B1778" t="str">
            <v>AMUNDI FUNDS GLOBAL MULTI-ASSET CONSERVATIVE</v>
          </cell>
          <cell r="C1778" t="str">
            <v>Class R2 EUR (C)</v>
          </cell>
          <cell r="D1778" t="str">
            <v>EUR</v>
          </cell>
          <cell r="E1778" t="str">
            <v>01-Dec-2025</v>
          </cell>
          <cell r="F1778">
            <v>843130.51</v>
          </cell>
          <cell r="G1778">
            <v>13167.15</v>
          </cell>
          <cell r="H1778">
            <v>64.03</v>
          </cell>
          <cell r="I1778">
            <v>0</v>
          </cell>
          <cell r="J1778">
            <v>64.03</v>
          </cell>
          <cell r="K1778">
            <v>-0.2</v>
          </cell>
          <cell r="P1778">
            <v>0</v>
          </cell>
        </row>
        <row r="1779">
          <cell r="A1779" t="str">
            <v>LU2391858359</v>
          </cell>
          <cell r="B1779" t="str">
            <v>AMUNDI FUNDS GLOBAL MULTI-ASSET CONSERVATIVE</v>
          </cell>
          <cell r="C1779" t="str">
            <v>Class R5 EUR (C)</v>
          </cell>
          <cell r="D1779" t="str">
            <v>EUR</v>
          </cell>
          <cell r="E1779" t="str">
            <v>01-Dec-2025</v>
          </cell>
          <cell r="F1779">
            <v>2416205.56</v>
          </cell>
          <cell r="G1779">
            <v>44494.207999999999</v>
          </cell>
          <cell r="H1779">
            <v>54.3</v>
          </cell>
          <cell r="I1779">
            <v>0</v>
          </cell>
          <cell r="J1779">
            <v>54.3</v>
          </cell>
          <cell r="K1779">
            <v>-0.17</v>
          </cell>
          <cell r="P1779">
            <v>0</v>
          </cell>
        </row>
        <row r="1780">
          <cell r="A1780" t="str">
            <v>LU3129351477</v>
          </cell>
          <cell r="B1780" t="str">
            <v>AMUNDI FUNDS GLOBAL MULTI-ASSET CONSERVATIVE</v>
          </cell>
          <cell r="C1780" t="str">
            <v>Class R EUR (C)</v>
          </cell>
          <cell r="D1780" t="str">
            <v>EUR</v>
          </cell>
          <cell r="E1780" t="str">
            <v>01-Dec-2025</v>
          </cell>
          <cell r="F1780">
            <v>5135.88</v>
          </cell>
          <cell r="G1780">
            <v>100</v>
          </cell>
          <cell r="H1780">
            <v>51.36</v>
          </cell>
          <cell r="I1780">
            <v>0</v>
          </cell>
          <cell r="J1780">
            <v>51.36</v>
          </cell>
          <cell r="K1780">
            <v>-0.17</v>
          </cell>
          <cell r="P1780">
            <v>0</v>
          </cell>
        </row>
        <row r="1781">
          <cell r="A1781" t="str">
            <v>LU1882462739</v>
          </cell>
          <cell r="B1781" t="str">
            <v>AMUNDI FUNDS EMERGING MARKETS SHORT TERM BOND</v>
          </cell>
          <cell r="C1781" t="str">
            <v>Class A2 EUR Hgd (C)</v>
          </cell>
          <cell r="D1781" t="str">
            <v>EUR</v>
          </cell>
          <cell r="E1781" t="str">
            <v>01-Dec-2025</v>
          </cell>
          <cell r="F1781">
            <v>5356856.8</v>
          </cell>
          <cell r="G1781">
            <v>95684.27</v>
          </cell>
          <cell r="H1781">
            <v>55.98</v>
          </cell>
          <cell r="I1781">
            <v>0</v>
          </cell>
          <cell r="J1781">
            <v>57.66</v>
          </cell>
          <cell r="K1781">
            <v>-0.06</v>
          </cell>
          <cell r="P1781">
            <v>0</v>
          </cell>
        </row>
        <row r="1782">
          <cell r="A1782" t="str">
            <v>LU1882462572</v>
          </cell>
          <cell r="B1782" t="str">
            <v>AMUNDI FUNDS EMERGING MARKETS SHORT TERM BOND</v>
          </cell>
          <cell r="C1782" t="str">
            <v>Class A2 CZK Hgd (C)</v>
          </cell>
          <cell r="D1782" t="str">
            <v>CZK</v>
          </cell>
          <cell r="E1782" t="str">
            <v>01-Dec-2025</v>
          </cell>
          <cell r="F1782">
            <v>164462631.33000001</v>
          </cell>
          <cell r="G1782">
            <v>127383.05</v>
          </cell>
          <cell r="H1782">
            <v>1291.0899999999999</v>
          </cell>
          <cell r="I1782">
            <v>0</v>
          </cell>
          <cell r="J1782">
            <v>1329.82</v>
          </cell>
          <cell r="K1782">
            <v>-1.24</v>
          </cell>
          <cell r="P1782">
            <v>0</v>
          </cell>
        </row>
        <row r="1783">
          <cell r="A1783" t="str">
            <v>LU1882464602</v>
          </cell>
          <cell r="B1783" t="str">
            <v>AMUNDI FUNDS EMERGING MARKETS SHORT TERM BOND</v>
          </cell>
          <cell r="C1783" t="str">
            <v>Class M2 EUR (C)</v>
          </cell>
          <cell r="D1783" t="str">
            <v>EUR</v>
          </cell>
          <cell r="E1783" t="str">
            <v>01-Dec-2025</v>
          </cell>
          <cell r="F1783">
            <v>1154.9100000000001</v>
          </cell>
          <cell r="G1783">
            <v>1.0569999999999999</v>
          </cell>
          <cell r="H1783">
            <v>1092.6300000000001</v>
          </cell>
          <cell r="I1783">
            <v>0</v>
          </cell>
          <cell r="J1783">
            <v>1092.6300000000001</v>
          </cell>
          <cell r="K1783">
            <v>-3.26</v>
          </cell>
          <cell r="P1783">
            <v>0</v>
          </cell>
        </row>
        <row r="1784">
          <cell r="A1784" t="str">
            <v>LU1882464784</v>
          </cell>
          <cell r="B1784" t="str">
            <v>AMUNDI FUNDS EMERGING MARKETS SHORT TERM BOND</v>
          </cell>
          <cell r="C1784" t="str">
            <v>Class M2 EUR Hgd (C)</v>
          </cell>
          <cell r="D1784" t="str">
            <v>EUR</v>
          </cell>
          <cell r="E1784" t="str">
            <v>01-Dec-2025</v>
          </cell>
          <cell r="F1784">
            <v>10977486.310000001</v>
          </cell>
          <cell r="G1784">
            <v>9074.9509999999991</v>
          </cell>
          <cell r="H1784">
            <v>1209.6500000000001</v>
          </cell>
          <cell r="I1784">
            <v>0</v>
          </cell>
          <cell r="J1784">
            <v>1209.6500000000001</v>
          </cell>
          <cell r="K1784">
            <v>-1.1100000000000001</v>
          </cell>
          <cell r="P1784">
            <v>0</v>
          </cell>
        </row>
        <row r="1785">
          <cell r="A1785" t="str">
            <v>LU1882462903</v>
          </cell>
          <cell r="B1785" t="str">
            <v>AMUNDI FUNDS EMERGING MARKETS SHORT TERM BOND</v>
          </cell>
          <cell r="C1785" t="str">
            <v>Class A2 USD MTD (D)</v>
          </cell>
          <cell r="D1785" t="str">
            <v>USD</v>
          </cell>
          <cell r="E1785" t="str">
            <v>01-Dec-2025</v>
          </cell>
          <cell r="F1785">
            <v>1015657.61</v>
          </cell>
          <cell r="G1785">
            <v>23203.286</v>
          </cell>
          <cell r="H1785">
            <v>43.77</v>
          </cell>
          <cell r="I1785">
            <v>0.1842</v>
          </cell>
          <cell r="J1785">
            <v>45.08</v>
          </cell>
          <cell r="K1785">
            <v>-0.23</v>
          </cell>
          <cell r="P1785">
            <v>0</v>
          </cell>
        </row>
        <row r="1786">
          <cell r="A1786" t="str">
            <v>LU1882462655</v>
          </cell>
          <cell r="B1786" t="str">
            <v>AMUNDI FUNDS EMERGING MARKETS SHORT TERM BOND</v>
          </cell>
          <cell r="C1786" t="str">
            <v>Class A2 EUR (C)</v>
          </cell>
          <cell r="D1786" t="str">
            <v>EUR</v>
          </cell>
          <cell r="E1786" t="str">
            <v>01-Dec-2025</v>
          </cell>
          <cell r="F1786">
            <v>1922091.66</v>
          </cell>
          <cell r="G1786">
            <v>32439.296999999999</v>
          </cell>
          <cell r="H1786">
            <v>59.25</v>
          </cell>
          <cell r="I1786">
            <v>0</v>
          </cell>
          <cell r="J1786">
            <v>61.03</v>
          </cell>
          <cell r="K1786">
            <v>-0.18</v>
          </cell>
          <cell r="P1786">
            <v>0</v>
          </cell>
        </row>
        <row r="1787">
          <cell r="A1787" t="str">
            <v>LU1882463208</v>
          </cell>
          <cell r="B1787" t="str">
            <v>AMUNDI FUNDS EMERGING MARKETS SHORT TERM BOND</v>
          </cell>
          <cell r="C1787" t="str">
            <v>Class E2 EUR (C)</v>
          </cell>
          <cell r="D1787" t="str">
            <v>EUR</v>
          </cell>
          <cell r="E1787" t="str">
            <v>01-Dec-2025</v>
          </cell>
          <cell r="F1787">
            <v>18351687.68</v>
          </cell>
          <cell r="G1787">
            <v>2812355.1639999999</v>
          </cell>
          <cell r="H1787">
            <v>6.5250000000000004</v>
          </cell>
          <cell r="I1787">
            <v>0</v>
          </cell>
          <cell r="J1787">
            <v>6.5250000000000004</v>
          </cell>
          <cell r="K1787">
            <v>-0.02</v>
          </cell>
          <cell r="P1787">
            <v>0</v>
          </cell>
        </row>
        <row r="1788">
          <cell r="A1788" t="str">
            <v>LU1882463380</v>
          </cell>
          <cell r="B1788" t="str">
            <v>AMUNDI FUNDS EMERGING MARKETS SHORT TERM BOND</v>
          </cell>
          <cell r="C1788" t="str">
            <v>Class E2 EUR Hgd (C)</v>
          </cell>
          <cell r="D1788" t="str">
            <v>EUR</v>
          </cell>
          <cell r="E1788" t="str">
            <v>01-Dec-2025</v>
          </cell>
          <cell r="F1788">
            <v>20261144.75</v>
          </cell>
          <cell r="G1788">
            <v>3572253.02</v>
          </cell>
          <cell r="H1788">
            <v>5.6719999999999997</v>
          </cell>
          <cell r="I1788">
            <v>0</v>
          </cell>
          <cell r="J1788">
            <v>5.6719999999999997</v>
          </cell>
          <cell r="K1788">
            <v>-5.0000000000000001E-3</v>
          </cell>
          <cell r="P1788">
            <v>0</v>
          </cell>
        </row>
        <row r="1789">
          <cell r="A1789" t="str">
            <v>LU1882463463</v>
          </cell>
          <cell r="B1789" t="str">
            <v>AMUNDI FUNDS EMERGING MARKETS SHORT TERM BOND</v>
          </cell>
          <cell r="C1789" t="str">
            <v>Class E2 EUR Hgd QTD (D)</v>
          </cell>
          <cell r="D1789" t="str">
            <v>EUR</v>
          </cell>
          <cell r="E1789" t="str">
            <v>01-Dec-2025</v>
          </cell>
          <cell r="F1789">
            <v>26794548.329999998</v>
          </cell>
          <cell r="G1789">
            <v>6959355.3470000001</v>
          </cell>
          <cell r="H1789">
            <v>3.85</v>
          </cell>
          <cell r="I1789">
            <v>0</v>
          </cell>
          <cell r="J1789">
            <v>3.85</v>
          </cell>
          <cell r="K1789">
            <v>-4.0000000000000001E-3</v>
          </cell>
          <cell r="P1789">
            <v>0</v>
          </cell>
        </row>
        <row r="1790">
          <cell r="A1790" t="str">
            <v>LU1882463893</v>
          </cell>
          <cell r="B1790" t="str">
            <v>AMUNDI FUNDS EMERGING MARKETS SHORT TERM BOND</v>
          </cell>
          <cell r="C1790" t="str">
            <v>Class F2 EUR QTD (D)</v>
          </cell>
          <cell r="D1790" t="str">
            <v>EUR</v>
          </cell>
          <cell r="E1790" t="str">
            <v>01-Dec-2025</v>
          </cell>
          <cell r="F1790">
            <v>5313172.53</v>
          </cell>
          <cell r="G1790">
            <v>1216344.27</v>
          </cell>
          <cell r="H1790">
            <v>4.3680000000000003</v>
          </cell>
          <cell r="I1790">
            <v>0</v>
          </cell>
          <cell r="J1790">
            <v>4.3680000000000003</v>
          </cell>
          <cell r="K1790">
            <v>-1.4E-2</v>
          </cell>
          <cell r="P1790">
            <v>0</v>
          </cell>
        </row>
        <row r="1791">
          <cell r="A1791" t="str">
            <v>LU1897303142</v>
          </cell>
          <cell r="B1791" t="str">
            <v>AMUNDI FUNDS EMERGING MARKETS SHORT TERM BOND</v>
          </cell>
          <cell r="C1791" t="str">
            <v>Class I2 GBP (C)</v>
          </cell>
          <cell r="D1791" t="str">
            <v>GBP</v>
          </cell>
          <cell r="E1791" t="str">
            <v>01-Dec-2025</v>
          </cell>
          <cell r="F1791">
            <v>121589.05</v>
          </cell>
          <cell r="G1791">
            <v>103.791</v>
          </cell>
          <cell r="H1791">
            <v>1171.48</v>
          </cell>
          <cell r="I1791">
            <v>0</v>
          </cell>
          <cell r="J1791">
            <v>1171.48</v>
          </cell>
          <cell r="K1791">
            <v>-1.22</v>
          </cell>
          <cell r="P1791">
            <v>0</v>
          </cell>
        </row>
        <row r="1792">
          <cell r="A1792" t="str">
            <v>LU1882464511</v>
          </cell>
          <cell r="B1792" t="str">
            <v>AMUNDI FUNDS EMERGING MARKETS SHORT TERM BOND</v>
          </cell>
          <cell r="C1792" t="str">
            <v>Class I2 USD (C)</v>
          </cell>
          <cell r="D1792" t="str">
            <v>USD</v>
          </cell>
          <cell r="E1792" t="str">
            <v>01-Dec-2025</v>
          </cell>
          <cell r="F1792">
            <v>5737.66</v>
          </cell>
          <cell r="G1792">
            <v>5</v>
          </cell>
          <cell r="H1792">
            <v>1147.53</v>
          </cell>
          <cell r="I1792">
            <v>0</v>
          </cell>
          <cell r="J1792">
            <v>1147.53</v>
          </cell>
          <cell r="K1792">
            <v>-1</v>
          </cell>
          <cell r="P1792">
            <v>0</v>
          </cell>
        </row>
        <row r="1793">
          <cell r="A1793" t="str">
            <v>LU1882463547</v>
          </cell>
          <cell r="B1793" t="str">
            <v>AMUNDI FUNDS EMERGING MARKETS SHORT TERM BOND</v>
          </cell>
          <cell r="C1793" t="str">
            <v>Class E2 EUR QTD (D)</v>
          </cell>
          <cell r="D1793" t="str">
            <v>EUR</v>
          </cell>
          <cell r="E1793" t="str">
            <v>01-Dec-2025</v>
          </cell>
          <cell r="F1793">
            <v>10596544.76</v>
          </cell>
          <cell r="G1793">
            <v>2326956.5109999999</v>
          </cell>
          <cell r="H1793">
            <v>4.5540000000000003</v>
          </cell>
          <cell r="I1793">
            <v>0</v>
          </cell>
          <cell r="J1793">
            <v>4.5540000000000003</v>
          </cell>
          <cell r="K1793">
            <v>-1.4E-2</v>
          </cell>
          <cell r="P1793">
            <v>0</v>
          </cell>
        </row>
        <row r="1794">
          <cell r="A1794" t="str">
            <v>LU1882464271</v>
          </cell>
          <cell r="B1794" t="str">
            <v>AMUNDI FUNDS EMERGING MARKETS SHORT TERM BOND</v>
          </cell>
          <cell r="C1794" t="str">
            <v>Class I2 EUR Hgd AD (D)</v>
          </cell>
          <cell r="D1794" t="str">
            <v>EUR</v>
          </cell>
          <cell r="E1794" t="str">
            <v>01-Dec-2025</v>
          </cell>
          <cell r="F1794">
            <v>7136.23</v>
          </cell>
          <cell r="G1794">
            <v>11</v>
          </cell>
          <cell r="H1794">
            <v>648.75</v>
          </cell>
          <cell r="I1794">
            <v>0</v>
          </cell>
          <cell r="J1794">
            <v>648.75</v>
          </cell>
          <cell r="K1794">
            <v>-0.59</v>
          </cell>
          <cell r="P1794">
            <v>0</v>
          </cell>
        </row>
        <row r="1795">
          <cell r="A1795" t="str">
            <v>LU1882464354</v>
          </cell>
          <cell r="B1795" t="str">
            <v>AMUNDI FUNDS EMERGING MARKETS SHORT TERM BOND</v>
          </cell>
          <cell r="C1795" t="str">
            <v>Class I2 EUR Hgd QTD (D)</v>
          </cell>
          <cell r="D1795" t="str">
            <v>EUR</v>
          </cell>
          <cell r="E1795" t="str">
            <v>01-Dec-2025</v>
          </cell>
          <cell r="F1795">
            <v>38156615.200000003</v>
          </cell>
          <cell r="G1795">
            <v>48067.565999999999</v>
          </cell>
          <cell r="H1795">
            <v>793.81</v>
          </cell>
          <cell r="I1795">
            <v>0</v>
          </cell>
          <cell r="J1795">
            <v>793.81</v>
          </cell>
          <cell r="K1795">
            <v>-0.73</v>
          </cell>
          <cell r="P1795">
            <v>0</v>
          </cell>
        </row>
        <row r="1796">
          <cell r="A1796" t="str">
            <v>LU1882464198</v>
          </cell>
          <cell r="B1796" t="str">
            <v>AMUNDI FUNDS EMERGING MARKETS SHORT TERM BOND</v>
          </cell>
          <cell r="C1796" t="str">
            <v>Class I2 EUR Hgd (C)</v>
          </cell>
          <cell r="D1796" t="str">
            <v>EUR</v>
          </cell>
          <cell r="E1796" t="str">
            <v>01-Dec-2025</v>
          </cell>
          <cell r="F1796">
            <v>946455.61</v>
          </cell>
          <cell r="G1796">
            <v>775.69200000000001</v>
          </cell>
          <cell r="H1796">
            <v>1220.1400000000001</v>
          </cell>
          <cell r="I1796">
            <v>0</v>
          </cell>
          <cell r="J1796">
            <v>1220.1400000000001</v>
          </cell>
          <cell r="K1796">
            <v>-1.1200000000000001</v>
          </cell>
          <cell r="P1796">
            <v>0</v>
          </cell>
        </row>
        <row r="1797">
          <cell r="A1797" t="str">
            <v>LU2176991268</v>
          </cell>
          <cell r="B1797" t="str">
            <v>AMUNDI FUNDS EMERGING MARKETS SHORT TERM BOND</v>
          </cell>
          <cell r="C1797" t="str">
            <v>Class I2 GBP Hgd (C)</v>
          </cell>
          <cell r="D1797" t="str">
            <v>GBP</v>
          </cell>
          <cell r="E1797" t="str">
            <v>01-Dec-2025</v>
          </cell>
          <cell r="F1797">
            <v>130821.19</v>
          </cell>
          <cell r="G1797">
            <v>100</v>
          </cell>
          <cell r="H1797">
            <v>1308.21</v>
          </cell>
          <cell r="I1797">
            <v>0</v>
          </cell>
          <cell r="J1797">
            <v>1308.21</v>
          </cell>
          <cell r="K1797">
            <v>-1.1299999999999999</v>
          </cell>
          <cell r="P1797">
            <v>0</v>
          </cell>
        </row>
        <row r="1798">
          <cell r="A1798" t="str">
            <v>LU1894676995</v>
          </cell>
          <cell r="B1798" t="str">
            <v>AMUNDI FUNDS EMERGING MARKETS SHORT TERM BOND</v>
          </cell>
          <cell r="C1798" t="str">
            <v>Class G2 EUR Hgd (C)</v>
          </cell>
          <cell r="D1798" t="str">
            <v>EUR</v>
          </cell>
          <cell r="E1798" t="str">
            <v>01-Dec-2025</v>
          </cell>
          <cell r="F1798">
            <v>2541743.16</v>
          </cell>
          <cell r="G1798">
            <v>466540.79599999997</v>
          </cell>
          <cell r="H1798">
            <v>5.4480000000000004</v>
          </cell>
          <cell r="I1798">
            <v>0</v>
          </cell>
          <cell r="J1798">
            <v>5.4480000000000004</v>
          </cell>
          <cell r="K1798">
            <v>-6.0000000000000001E-3</v>
          </cell>
          <cell r="P1798">
            <v>0</v>
          </cell>
        </row>
        <row r="1799">
          <cell r="A1799" t="str">
            <v>LU1882465088</v>
          </cell>
          <cell r="B1799" t="str">
            <v>AMUNDI FUNDS EMERGING MARKETS SHORT TERM BOND</v>
          </cell>
          <cell r="C1799" t="str">
            <v>Class R2 EUR (C)</v>
          </cell>
          <cell r="D1799" t="str">
            <v>EUR</v>
          </cell>
          <cell r="E1799" t="str">
            <v>01-Dec-2025</v>
          </cell>
          <cell r="F1799">
            <v>166601.14000000001</v>
          </cell>
          <cell r="G1799">
            <v>2693.1370000000002</v>
          </cell>
          <cell r="H1799">
            <v>61.86</v>
          </cell>
          <cell r="I1799">
            <v>0</v>
          </cell>
          <cell r="J1799">
            <v>61.86</v>
          </cell>
          <cell r="K1799">
            <v>-0.19</v>
          </cell>
          <cell r="P1799">
            <v>0</v>
          </cell>
        </row>
        <row r="1800">
          <cell r="A1800" t="str">
            <v>LU1882465161</v>
          </cell>
          <cell r="B1800" t="str">
            <v>AMUNDI FUNDS EMERGING MARKETS SHORT TERM BOND</v>
          </cell>
          <cell r="C1800" t="str">
            <v>Class R2 EUR Hgd (C)</v>
          </cell>
          <cell r="D1800" t="str">
            <v>EUR</v>
          </cell>
          <cell r="E1800" t="str">
            <v>01-Dec-2025</v>
          </cell>
          <cell r="F1800">
            <v>442552.03</v>
          </cell>
          <cell r="G1800">
            <v>8122.1040000000003</v>
          </cell>
          <cell r="H1800">
            <v>54.49</v>
          </cell>
          <cell r="I1800">
            <v>0</v>
          </cell>
          <cell r="J1800">
            <v>54.49</v>
          </cell>
          <cell r="K1800">
            <v>-0.05</v>
          </cell>
          <cell r="P1800">
            <v>0</v>
          </cell>
        </row>
        <row r="1801">
          <cell r="A1801" t="str">
            <v>LU1882462812</v>
          </cell>
          <cell r="B1801" t="str">
            <v>AMUNDI FUNDS EMERGING MARKETS SHORT TERM BOND</v>
          </cell>
          <cell r="C1801" t="str">
            <v>Class A2 USD (C)</v>
          </cell>
          <cell r="D1801" t="str">
            <v>USD</v>
          </cell>
          <cell r="E1801" t="str">
            <v>01-Dec-2025</v>
          </cell>
          <cell r="F1801">
            <v>2150038.48</v>
          </cell>
          <cell r="G1801">
            <v>31207.895</v>
          </cell>
          <cell r="H1801">
            <v>68.89</v>
          </cell>
          <cell r="I1801">
            <v>0</v>
          </cell>
          <cell r="J1801">
            <v>70.959999999999994</v>
          </cell>
          <cell r="K1801">
            <v>-7.0000000000000007E-2</v>
          </cell>
          <cell r="P1801">
            <v>0</v>
          </cell>
        </row>
        <row r="1802">
          <cell r="A1802" t="str">
            <v>LU1882464941</v>
          </cell>
          <cell r="B1802" t="str">
            <v>AMUNDI FUNDS EMERGING MARKETS SHORT TERM BOND</v>
          </cell>
          <cell r="C1802" t="str">
            <v>Class P2 USD (C)</v>
          </cell>
          <cell r="D1802" t="str">
            <v>USD</v>
          </cell>
          <cell r="E1802" t="str">
            <v>01-Dec-2025</v>
          </cell>
          <cell r="F1802">
            <v>6310.16</v>
          </cell>
          <cell r="G1802">
            <v>99.998999999999995</v>
          </cell>
          <cell r="H1802">
            <v>63.1</v>
          </cell>
          <cell r="I1802">
            <v>0</v>
          </cell>
          <cell r="J1802">
            <v>63.1</v>
          </cell>
          <cell r="K1802">
            <v>-0.06</v>
          </cell>
          <cell r="P1802">
            <v>0</v>
          </cell>
        </row>
        <row r="1803">
          <cell r="A1803" t="str">
            <v>LU2036672991</v>
          </cell>
          <cell r="B1803" t="str">
            <v>AMUNDI FUNDS EMERGING MARKETS SHORT TERM BOND</v>
          </cell>
          <cell r="C1803" t="str">
            <v>Class G2 EUR Hgd QTD (D)</v>
          </cell>
          <cell r="D1803" t="str">
            <v>EUR</v>
          </cell>
          <cell r="E1803" t="str">
            <v>01-Dec-2025</v>
          </cell>
          <cell r="F1803">
            <v>815642.45</v>
          </cell>
          <cell r="G1803">
            <v>205494.704</v>
          </cell>
          <cell r="H1803">
            <v>3.9689999999999999</v>
          </cell>
          <cell r="I1803">
            <v>0</v>
          </cell>
          <cell r="J1803">
            <v>3.9689999999999999</v>
          </cell>
          <cell r="K1803">
            <v>-4.0000000000000001E-3</v>
          </cell>
          <cell r="P1803">
            <v>0</v>
          </cell>
        </row>
        <row r="1804">
          <cell r="A1804" t="str">
            <v>LU2036672645</v>
          </cell>
          <cell r="B1804" t="str">
            <v>AMUNDI FUNDS EMERGING MARKETS SHORT TERM BOND</v>
          </cell>
          <cell r="C1804" t="str">
            <v>Class G2 EUR (C)</v>
          </cell>
          <cell r="D1804" t="str">
            <v>EUR</v>
          </cell>
          <cell r="E1804" t="str">
            <v>01-Dec-2025</v>
          </cell>
          <cell r="F1804">
            <v>618444.13</v>
          </cell>
          <cell r="G1804">
            <v>110298.13800000001</v>
          </cell>
          <cell r="H1804">
            <v>5.6070000000000002</v>
          </cell>
          <cell r="I1804">
            <v>0</v>
          </cell>
          <cell r="J1804">
            <v>5.6070000000000002</v>
          </cell>
          <cell r="K1804">
            <v>-1.7000000000000001E-2</v>
          </cell>
          <cell r="P1804">
            <v>0</v>
          </cell>
        </row>
        <row r="1805">
          <cell r="A1805" t="str">
            <v>LU2036672728</v>
          </cell>
          <cell r="B1805" t="str">
            <v>AMUNDI FUNDS EMERGING MARKETS SHORT TERM BOND</v>
          </cell>
          <cell r="C1805" t="str">
            <v>Class G2 EUR QTD (D)</v>
          </cell>
          <cell r="D1805" t="str">
            <v>EUR</v>
          </cell>
          <cell r="E1805" t="str">
            <v>01-Dec-2025</v>
          </cell>
          <cell r="F1805">
            <v>41538.54</v>
          </cell>
          <cell r="G1805">
            <v>9837.2119999999995</v>
          </cell>
          <cell r="H1805">
            <v>4.2229999999999999</v>
          </cell>
          <cell r="I1805">
            <v>0</v>
          </cell>
          <cell r="J1805">
            <v>4.2229999999999999</v>
          </cell>
          <cell r="K1805">
            <v>-1.2999999999999999E-2</v>
          </cell>
          <cell r="P1805">
            <v>0</v>
          </cell>
        </row>
        <row r="1806">
          <cell r="A1806" t="str">
            <v>LU2098275816</v>
          </cell>
          <cell r="B1806" t="str">
            <v>AMUNDI FUNDS EMERGING MARKETS SHORT TERM BOND</v>
          </cell>
          <cell r="C1806" t="str">
            <v>Class Z USD (C)</v>
          </cell>
          <cell r="D1806" t="str">
            <v>USD</v>
          </cell>
          <cell r="E1806" t="str">
            <v>01-Dec-2025</v>
          </cell>
          <cell r="F1806">
            <v>17153182.75</v>
          </cell>
          <cell r="G1806">
            <v>14530.199000000001</v>
          </cell>
          <cell r="H1806">
            <v>1180.52</v>
          </cell>
          <cell r="I1806">
            <v>0</v>
          </cell>
          <cell r="J1806">
            <v>1180.52</v>
          </cell>
          <cell r="K1806">
            <v>-1.02</v>
          </cell>
          <cell r="P1806">
            <v>0</v>
          </cell>
        </row>
        <row r="1807">
          <cell r="A1807" t="str">
            <v>LU2995468704</v>
          </cell>
          <cell r="B1807" t="str">
            <v>AMUNDI FUNDS GLOBAL SUBORDINATED BOND</v>
          </cell>
          <cell r="C1807" t="str">
            <v>Class A2 USD Hgd (C)</v>
          </cell>
          <cell r="D1807" t="str">
            <v>USD</v>
          </cell>
          <cell r="E1807" t="str">
            <v>01-Dec-2025</v>
          </cell>
          <cell r="F1807">
            <v>99963.27</v>
          </cell>
          <cell r="G1807">
            <v>2000</v>
          </cell>
          <cell r="H1807">
            <v>49.98</v>
          </cell>
          <cell r="I1807">
            <v>0</v>
          </cell>
          <cell r="J1807">
            <v>49.98</v>
          </cell>
          <cell r="K1807">
            <v>-0.03</v>
          </cell>
          <cell r="P1807">
            <v>0</v>
          </cell>
        </row>
        <row r="1808">
          <cell r="A1808" t="str">
            <v>LU1883334275</v>
          </cell>
          <cell r="B1808" t="str">
            <v>AMUNDI FUNDS GLOBAL SUBORDINATED BOND</v>
          </cell>
          <cell r="C1808" t="str">
            <v>Class A EUR (C)</v>
          </cell>
          <cell r="D1808" t="str">
            <v>EUR</v>
          </cell>
          <cell r="E1808" t="str">
            <v>01-Dec-2025</v>
          </cell>
          <cell r="F1808">
            <v>19950550.210000001</v>
          </cell>
          <cell r="G1808">
            <v>269723.15700000001</v>
          </cell>
          <cell r="H1808">
            <v>73.97</v>
          </cell>
          <cell r="I1808">
            <v>0</v>
          </cell>
          <cell r="J1808">
            <v>76.19</v>
          </cell>
          <cell r="K1808">
            <v>-0.04</v>
          </cell>
          <cell r="P1808">
            <v>0</v>
          </cell>
        </row>
        <row r="1809">
          <cell r="A1809" t="str">
            <v>LU1883334861</v>
          </cell>
          <cell r="B1809" t="str">
            <v>AMUNDI FUNDS GLOBAL SUBORDINATED BOND</v>
          </cell>
          <cell r="C1809" t="str">
            <v>Class M2 EUR (C)</v>
          </cell>
          <cell r="D1809" t="str">
            <v>EUR</v>
          </cell>
          <cell r="E1809" t="str">
            <v>01-Dec-2025</v>
          </cell>
          <cell r="F1809">
            <v>214905796.69999999</v>
          </cell>
          <cell r="G1809">
            <v>130898.91899999999</v>
          </cell>
          <cell r="H1809">
            <v>1641.77</v>
          </cell>
          <cell r="I1809">
            <v>0</v>
          </cell>
          <cell r="J1809">
            <v>1641.77</v>
          </cell>
          <cell r="K1809">
            <v>-0.84</v>
          </cell>
          <cell r="P1809">
            <v>0</v>
          </cell>
        </row>
        <row r="1810">
          <cell r="A1810" t="str">
            <v>LU1883334945</v>
          </cell>
          <cell r="B1810" t="str">
            <v>AMUNDI FUNDS GLOBAL SUBORDINATED BOND</v>
          </cell>
          <cell r="C1810" t="str">
            <v>Class M2 EUR QTD (D)</v>
          </cell>
          <cell r="D1810" t="str">
            <v>EUR</v>
          </cell>
          <cell r="E1810" t="str">
            <v>01-Dec-2025</v>
          </cell>
          <cell r="F1810">
            <v>27605333.02</v>
          </cell>
          <cell r="G1810">
            <v>24964.901999999998</v>
          </cell>
          <cell r="H1810">
            <v>1105.77</v>
          </cell>
          <cell r="I1810">
            <v>0</v>
          </cell>
          <cell r="J1810">
            <v>1105.77</v>
          </cell>
          <cell r="K1810">
            <v>-0.56000000000000005</v>
          </cell>
          <cell r="P1810">
            <v>0</v>
          </cell>
        </row>
        <row r="1811">
          <cell r="A1811" t="str">
            <v>LU1883334358</v>
          </cell>
          <cell r="B1811" t="str">
            <v>AMUNDI FUNDS GLOBAL SUBORDINATED BOND</v>
          </cell>
          <cell r="C1811" t="str">
            <v>Class E2 EUR (C)</v>
          </cell>
          <cell r="D1811" t="str">
            <v>EUR</v>
          </cell>
          <cell r="E1811" t="str">
            <v>01-Dec-2025</v>
          </cell>
          <cell r="F1811">
            <v>204325394.94</v>
          </cell>
          <cell r="G1811">
            <v>26563246.923</v>
          </cell>
          <cell r="H1811">
            <v>7.6920000000000002</v>
          </cell>
          <cell r="I1811">
            <v>0</v>
          </cell>
          <cell r="J1811">
            <v>7.6920000000000002</v>
          </cell>
          <cell r="K1811">
            <v>-4.0000000000000001E-3</v>
          </cell>
          <cell r="P1811">
            <v>0</v>
          </cell>
        </row>
        <row r="1812">
          <cell r="A1812" t="str">
            <v>LU2098276202</v>
          </cell>
          <cell r="B1812" t="str">
            <v>AMUNDI FUNDS GLOBAL SUBORDINATED BOND</v>
          </cell>
          <cell r="C1812" t="str">
            <v>Class H EUR (C)</v>
          </cell>
          <cell r="D1812" t="str">
            <v>EUR</v>
          </cell>
          <cell r="E1812" t="str">
            <v>01-Dec-2025</v>
          </cell>
          <cell r="F1812">
            <v>4511173.04</v>
          </cell>
          <cell r="G1812">
            <v>3446.7339999999999</v>
          </cell>
          <cell r="H1812">
            <v>1308.83</v>
          </cell>
          <cell r="I1812">
            <v>0</v>
          </cell>
          <cell r="J1812">
            <v>1308.83</v>
          </cell>
          <cell r="K1812">
            <v>-0.61</v>
          </cell>
          <cell r="P1812">
            <v>0</v>
          </cell>
        </row>
        <row r="1813">
          <cell r="A1813" t="str">
            <v>LU1897308299</v>
          </cell>
          <cell r="B1813" t="str">
            <v>AMUNDI FUNDS GLOBAL SUBORDINATED BOND</v>
          </cell>
          <cell r="C1813" t="str">
            <v>Class I2 GBP (C)</v>
          </cell>
          <cell r="D1813" t="str">
            <v>GBP</v>
          </cell>
          <cell r="E1813" t="str">
            <v>01-Dec-2025</v>
          </cell>
          <cell r="F1813">
            <v>6630.47</v>
          </cell>
          <cell r="G1813">
            <v>5</v>
          </cell>
          <cell r="H1813">
            <v>1326.09</v>
          </cell>
          <cell r="I1813">
            <v>0</v>
          </cell>
          <cell r="J1813">
            <v>1326.09</v>
          </cell>
          <cell r="K1813">
            <v>1.89</v>
          </cell>
          <cell r="P1813">
            <v>0</v>
          </cell>
        </row>
        <row r="1814">
          <cell r="A1814" t="str">
            <v>LU1883334606</v>
          </cell>
          <cell r="B1814" t="str">
            <v>AMUNDI FUNDS GLOBAL SUBORDINATED BOND</v>
          </cell>
          <cell r="C1814" t="str">
            <v>Class I2 EUR QD (D)</v>
          </cell>
          <cell r="D1814" t="str">
            <v>EUR</v>
          </cell>
          <cell r="E1814" t="str">
            <v>01-Dec-2025</v>
          </cell>
          <cell r="F1814">
            <v>34413234.700000003</v>
          </cell>
          <cell r="G1814">
            <v>31449</v>
          </cell>
          <cell r="H1814">
            <v>1094.26</v>
          </cell>
          <cell r="I1814">
            <v>0</v>
          </cell>
          <cell r="J1814">
            <v>1094.26</v>
          </cell>
          <cell r="K1814">
            <v>-0.55000000000000004</v>
          </cell>
          <cell r="P1814">
            <v>0</v>
          </cell>
        </row>
        <row r="1815">
          <cell r="A1815" t="str">
            <v>LU1883334432</v>
          </cell>
          <cell r="B1815" t="str">
            <v>AMUNDI FUNDS GLOBAL SUBORDINATED BOND</v>
          </cell>
          <cell r="C1815" t="str">
            <v>Class E2 EUR QTD (D)</v>
          </cell>
          <cell r="D1815" t="str">
            <v>EUR</v>
          </cell>
          <cell r="E1815" t="str">
            <v>01-Dec-2025</v>
          </cell>
          <cell r="F1815">
            <v>176175879.88999999</v>
          </cell>
          <cell r="G1815">
            <v>33402438.098999999</v>
          </cell>
          <cell r="H1815">
            <v>5.274</v>
          </cell>
          <cell r="I1815">
            <v>0</v>
          </cell>
          <cell r="J1815">
            <v>5.274</v>
          </cell>
          <cell r="K1815">
            <v>-3.0000000000000001E-3</v>
          </cell>
          <cell r="P1815">
            <v>0</v>
          </cell>
        </row>
        <row r="1816">
          <cell r="A1816" t="str">
            <v>LU2085676083</v>
          </cell>
          <cell r="B1816" t="str">
            <v>AMUNDI FUNDS GLOBAL SUBORDINATED BOND</v>
          </cell>
          <cell r="C1816" t="str">
            <v>Class I2 USD Hgd (C)</v>
          </cell>
          <cell r="D1816" t="str">
            <v>USD</v>
          </cell>
          <cell r="E1816" t="str">
            <v>01-Dec-2025</v>
          </cell>
          <cell r="F1816">
            <v>47028344.93</v>
          </cell>
          <cell r="G1816">
            <v>33267.786</v>
          </cell>
          <cell r="H1816">
            <v>1413.63</v>
          </cell>
          <cell r="I1816">
            <v>0</v>
          </cell>
          <cell r="J1816">
            <v>1413.63</v>
          </cell>
          <cell r="K1816">
            <v>-0.65</v>
          </cell>
          <cell r="P1816">
            <v>0</v>
          </cell>
        </row>
        <row r="1817">
          <cell r="A1817" t="str">
            <v>LU1883334515</v>
          </cell>
          <cell r="B1817" t="str">
            <v>AMUNDI FUNDS GLOBAL SUBORDINATED BOND</v>
          </cell>
          <cell r="C1817" t="str">
            <v>Class I2 EUR (C)</v>
          </cell>
          <cell r="D1817" t="str">
            <v>EUR</v>
          </cell>
          <cell r="E1817" t="str">
            <v>01-Dec-2025</v>
          </cell>
          <cell r="F1817">
            <v>64524071.530000001</v>
          </cell>
          <cell r="G1817">
            <v>39395.991000000002</v>
          </cell>
          <cell r="H1817">
            <v>1637.83</v>
          </cell>
          <cell r="I1817">
            <v>0</v>
          </cell>
          <cell r="J1817">
            <v>1637.83</v>
          </cell>
          <cell r="K1817">
            <v>-0.84</v>
          </cell>
          <cell r="P1817">
            <v>0</v>
          </cell>
        </row>
        <row r="1818">
          <cell r="A1818" t="str">
            <v>LU2132230629</v>
          </cell>
          <cell r="B1818" t="str">
            <v>AMUNDI FUNDS GLOBAL SUBORDINATED BOND</v>
          </cell>
          <cell r="C1818" t="str">
            <v>Class I2 GBP Hgd (C)</v>
          </cell>
          <cell r="D1818" t="str">
            <v>GBP</v>
          </cell>
          <cell r="E1818" t="str">
            <v>01-Dec-2025</v>
          </cell>
          <cell r="F1818">
            <v>31515.53</v>
          </cell>
          <cell r="G1818">
            <v>18.579000000000001</v>
          </cell>
          <cell r="H1818">
            <v>1696.3</v>
          </cell>
          <cell r="I1818">
            <v>0</v>
          </cell>
          <cell r="J1818">
            <v>1696.3</v>
          </cell>
          <cell r="K1818">
            <v>-0.76</v>
          </cell>
          <cell r="P1818">
            <v>0</v>
          </cell>
        </row>
        <row r="1819">
          <cell r="A1819" t="str">
            <v>LU2085676752</v>
          </cell>
          <cell r="B1819" t="str">
            <v>AMUNDI FUNDS GLOBAL SUBORDINATED BOND</v>
          </cell>
          <cell r="C1819" t="str">
            <v>Class G EUR (C)</v>
          </cell>
          <cell r="D1819" t="str">
            <v>EUR</v>
          </cell>
          <cell r="E1819" t="str">
            <v>01-Dec-2025</v>
          </cell>
          <cell r="F1819">
            <v>59171735.899999999</v>
          </cell>
          <cell r="G1819">
            <v>9943879.6260000002</v>
          </cell>
          <cell r="H1819">
            <v>5.9509999999999996</v>
          </cell>
          <cell r="I1819">
            <v>0</v>
          </cell>
          <cell r="J1819">
            <v>5.9509999999999996</v>
          </cell>
          <cell r="K1819">
            <v>-3.0000000000000001E-3</v>
          </cell>
          <cell r="P1819">
            <v>0</v>
          </cell>
        </row>
        <row r="1820">
          <cell r="A1820" t="str">
            <v>LU2085676836</v>
          </cell>
          <cell r="B1820" t="str">
            <v>AMUNDI FUNDS GLOBAL SUBORDINATED BOND</v>
          </cell>
          <cell r="C1820" t="str">
            <v>Class G EUR QTD (D)</v>
          </cell>
          <cell r="D1820" t="str">
            <v>EUR</v>
          </cell>
          <cell r="E1820" t="str">
            <v>01-Dec-2025</v>
          </cell>
          <cell r="F1820">
            <v>44375517.43</v>
          </cell>
          <cell r="G1820">
            <v>9696222.4069999997</v>
          </cell>
          <cell r="H1820">
            <v>4.577</v>
          </cell>
          <cell r="I1820">
            <v>0</v>
          </cell>
          <cell r="J1820">
            <v>4.577</v>
          </cell>
          <cell r="K1820">
            <v>-2E-3</v>
          </cell>
          <cell r="P1820">
            <v>0</v>
          </cell>
        </row>
        <row r="1821">
          <cell r="A1821" t="str">
            <v>LU1883335082</v>
          </cell>
          <cell r="B1821" t="str">
            <v>AMUNDI FUNDS GLOBAL SUBORDINATED BOND</v>
          </cell>
          <cell r="C1821" t="str">
            <v>Class R2 EUR (C)</v>
          </cell>
          <cell r="D1821" t="str">
            <v>EUR</v>
          </cell>
          <cell r="E1821" t="str">
            <v>01-Dec-2025</v>
          </cell>
          <cell r="F1821">
            <v>2252458.15</v>
          </cell>
          <cell r="G1821">
            <v>32574.541000000001</v>
          </cell>
          <cell r="H1821">
            <v>69.150000000000006</v>
          </cell>
          <cell r="I1821">
            <v>0</v>
          </cell>
          <cell r="J1821">
            <v>69.150000000000006</v>
          </cell>
          <cell r="K1821">
            <v>-0.03</v>
          </cell>
          <cell r="P1821">
            <v>0</v>
          </cell>
        </row>
        <row r="1822">
          <cell r="A1822" t="str">
            <v>LU2259109440</v>
          </cell>
          <cell r="B1822" t="str">
            <v>AMUNDI FUNDS GLOBAL SUBORDINATED BOND</v>
          </cell>
          <cell r="C1822" t="str">
            <v>Class R3 GBP Hgd (C)</v>
          </cell>
          <cell r="D1822" t="str">
            <v>GBP</v>
          </cell>
          <cell r="E1822" t="str">
            <v>01-Dec-2025</v>
          </cell>
          <cell r="F1822">
            <v>131654.54</v>
          </cell>
          <cell r="G1822">
            <v>10000</v>
          </cell>
          <cell r="H1822">
            <v>13.17</v>
          </cell>
          <cell r="I1822">
            <v>0</v>
          </cell>
          <cell r="J1822">
            <v>13.17</v>
          </cell>
          <cell r="K1822">
            <v>0</v>
          </cell>
          <cell r="P1822">
            <v>0</v>
          </cell>
        </row>
        <row r="1823">
          <cell r="A1823" t="str">
            <v>LU2085675432</v>
          </cell>
          <cell r="B1823" t="str">
            <v>AMUNDI FUNDS GLOBAL SUBORDINATED BOND</v>
          </cell>
          <cell r="C1823" t="str">
            <v>Class Z EUR QD (D)</v>
          </cell>
          <cell r="D1823" t="str">
            <v>EUR</v>
          </cell>
          <cell r="E1823" t="str">
            <v>01-Dec-2025</v>
          </cell>
          <cell r="F1823">
            <v>30358507.34</v>
          </cell>
          <cell r="G1823">
            <v>24552.787</v>
          </cell>
          <cell r="H1823">
            <v>1236.46</v>
          </cell>
          <cell r="I1823">
            <v>0</v>
          </cell>
          <cell r="J1823">
            <v>1236.46</v>
          </cell>
          <cell r="K1823">
            <v>-0.68</v>
          </cell>
          <cell r="P1823">
            <v>0</v>
          </cell>
        </row>
        <row r="1824">
          <cell r="A1824" t="str">
            <v>LU1883339233</v>
          </cell>
          <cell r="B1824" t="str">
            <v>AMUNDI FUNDS OPTIMAL YIELD SHORT TERM</v>
          </cell>
          <cell r="C1824" t="str">
            <v>Class A EUR (C)</v>
          </cell>
          <cell r="D1824" t="str">
            <v>EUR</v>
          </cell>
          <cell r="E1824" t="str">
            <v>01-Dec-2025</v>
          </cell>
          <cell r="F1824">
            <v>41245.81</v>
          </cell>
          <cell r="G1824">
            <v>711.62199999999996</v>
          </cell>
          <cell r="H1824">
            <v>57.96</v>
          </cell>
          <cell r="I1824">
            <v>0</v>
          </cell>
          <cell r="J1824">
            <v>57.96</v>
          </cell>
          <cell r="K1824">
            <v>0.01</v>
          </cell>
          <cell r="P1824">
            <v>0</v>
          </cell>
        </row>
        <row r="1825">
          <cell r="A1825" t="str">
            <v>LU1883339829</v>
          </cell>
          <cell r="B1825" t="str">
            <v>AMUNDI FUNDS OPTIMAL YIELD SHORT TERM</v>
          </cell>
          <cell r="C1825" t="str">
            <v>Class M2 EUR (C)</v>
          </cell>
          <cell r="D1825" t="str">
            <v>EUR</v>
          </cell>
          <cell r="E1825" t="str">
            <v>01-Dec-2025</v>
          </cell>
          <cell r="F1825">
            <v>84656840.590000004</v>
          </cell>
          <cell r="G1825">
            <v>69612.456999999995</v>
          </cell>
          <cell r="H1825">
            <v>1216.1199999999999</v>
          </cell>
          <cell r="I1825">
            <v>0</v>
          </cell>
          <cell r="J1825">
            <v>1216.1199999999999</v>
          </cell>
          <cell r="K1825">
            <v>0.25</v>
          </cell>
          <cell r="P1825">
            <v>0</v>
          </cell>
        </row>
        <row r="1826">
          <cell r="A1826" t="str">
            <v>LU1883339316</v>
          </cell>
          <cell r="B1826" t="str">
            <v>AMUNDI FUNDS OPTIMAL YIELD SHORT TERM</v>
          </cell>
          <cell r="C1826" t="str">
            <v>Class E2 EUR (C)</v>
          </cell>
          <cell r="D1826" t="str">
            <v>EUR</v>
          </cell>
          <cell r="E1826" t="str">
            <v>01-Dec-2025</v>
          </cell>
          <cell r="F1826">
            <v>32435337.93</v>
          </cell>
          <cell r="G1826">
            <v>5576490.085</v>
          </cell>
          <cell r="H1826">
            <v>5.8159999999999998</v>
          </cell>
          <cell r="I1826">
            <v>0</v>
          </cell>
          <cell r="J1826">
            <v>5.8159999999999998</v>
          </cell>
          <cell r="K1826">
            <v>0</v>
          </cell>
          <cell r="P1826">
            <v>0</v>
          </cell>
        </row>
        <row r="1827">
          <cell r="A1827" t="str">
            <v>LU1883339589</v>
          </cell>
          <cell r="B1827" t="str">
            <v>AMUNDI FUNDS OPTIMAL YIELD SHORT TERM</v>
          </cell>
          <cell r="C1827" t="str">
            <v>Class F EUR (C)</v>
          </cell>
          <cell r="D1827" t="str">
            <v>EUR</v>
          </cell>
          <cell r="E1827" t="str">
            <v>01-Dec-2025</v>
          </cell>
          <cell r="F1827">
            <v>6404563.8499999996</v>
          </cell>
          <cell r="G1827">
            <v>1148730.1429999999</v>
          </cell>
          <cell r="H1827">
            <v>5.5750000000000002</v>
          </cell>
          <cell r="I1827">
            <v>0</v>
          </cell>
          <cell r="J1827">
            <v>5.5750000000000002</v>
          </cell>
          <cell r="K1827">
            <v>0</v>
          </cell>
          <cell r="P1827">
            <v>0</v>
          </cell>
        </row>
        <row r="1828">
          <cell r="A1828" t="str">
            <v>LU1883339662</v>
          </cell>
          <cell r="B1828" t="str">
            <v>AMUNDI FUNDS OPTIMAL YIELD SHORT TERM</v>
          </cell>
          <cell r="C1828" t="str">
            <v>Class F EUR QTD (D)</v>
          </cell>
          <cell r="D1828" t="str">
            <v>EUR</v>
          </cell>
          <cell r="E1828" t="str">
            <v>01-Dec-2025</v>
          </cell>
          <cell r="F1828">
            <v>2806049.07</v>
          </cell>
          <cell r="G1828">
            <v>634910.41899999999</v>
          </cell>
          <cell r="H1828">
            <v>4.42</v>
          </cell>
          <cell r="I1828">
            <v>0</v>
          </cell>
          <cell r="J1828">
            <v>4.42</v>
          </cell>
          <cell r="K1828">
            <v>1E-3</v>
          </cell>
          <cell r="P1828">
            <v>0</v>
          </cell>
        </row>
        <row r="1829">
          <cell r="A1829" t="str">
            <v>LU1883339407</v>
          </cell>
          <cell r="B1829" t="str">
            <v>AMUNDI FUNDS OPTIMAL YIELD SHORT TERM</v>
          </cell>
          <cell r="C1829" t="str">
            <v>Class E2 EUR QTD (D)</v>
          </cell>
          <cell r="D1829" t="str">
            <v>EUR</v>
          </cell>
          <cell r="E1829" t="str">
            <v>01-Dec-2025</v>
          </cell>
          <cell r="F1829">
            <v>19067808.609999999</v>
          </cell>
          <cell r="G1829">
            <v>4184077.9449999998</v>
          </cell>
          <cell r="H1829">
            <v>4.5570000000000004</v>
          </cell>
          <cell r="I1829">
            <v>0</v>
          </cell>
          <cell r="J1829">
            <v>4.5570000000000004</v>
          </cell>
          <cell r="K1829">
            <v>0</v>
          </cell>
          <cell r="P1829">
            <v>0</v>
          </cell>
        </row>
        <row r="1830">
          <cell r="A1830" t="str">
            <v>LU1883339746</v>
          </cell>
          <cell r="B1830" t="str">
            <v>AMUNDI FUNDS OPTIMAL YIELD SHORT TERM</v>
          </cell>
          <cell r="C1830" t="str">
            <v>Class I2 EUR (C)</v>
          </cell>
          <cell r="D1830" t="str">
            <v>EUR</v>
          </cell>
          <cell r="E1830" t="str">
            <v>01-Dec-2025</v>
          </cell>
          <cell r="F1830">
            <v>2087800.62</v>
          </cell>
          <cell r="G1830">
            <v>1704.1780000000001</v>
          </cell>
          <cell r="H1830">
            <v>1225.1099999999999</v>
          </cell>
          <cell r="I1830">
            <v>0</v>
          </cell>
          <cell r="J1830">
            <v>1225.1099999999999</v>
          </cell>
          <cell r="K1830">
            <v>0.25</v>
          </cell>
          <cell r="P1830">
            <v>0</v>
          </cell>
        </row>
        <row r="1831">
          <cell r="A1831" t="str">
            <v>LU1894680245</v>
          </cell>
          <cell r="B1831" t="str">
            <v>AMUNDI FUNDS OPTIMAL YIELD SHORT TERM</v>
          </cell>
          <cell r="C1831" t="str">
            <v>Class G EUR AD (D)</v>
          </cell>
          <cell r="D1831" t="str">
            <v>EUR</v>
          </cell>
          <cell r="E1831" t="str">
            <v>01-Dec-2025</v>
          </cell>
          <cell r="F1831">
            <v>2804386.25</v>
          </cell>
          <cell r="G1831">
            <v>632110.02</v>
          </cell>
          <cell r="H1831">
            <v>4.4370000000000003</v>
          </cell>
          <cell r="I1831">
            <v>0</v>
          </cell>
          <cell r="J1831">
            <v>4.4370000000000003</v>
          </cell>
          <cell r="K1831">
            <v>1E-3</v>
          </cell>
          <cell r="P1831">
            <v>0</v>
          </cell>
        </row>
        <row r="1832">
          <cell r="A1832" t="str">
            <v>LU1894680161</v>
          </cell>
          <cell r="B1832" t="str">
            <v>AMUNDI FUNDS OPTIMAL YIELD SHORT TERM</v>
          </cell>
          <cell r="C1832" t="str">
            <v>Class G EUR (C)</v>
          </cell>
          <cell r="D1832" t="str">
            <v>EUR</v>
          </cell>
          <cell r="E1832" t="str">
            <v>01-Dec-2025</v>
          </cell>
          <cell r="F1832">
            <v>9386596.4000000004</v>
          </cell>
          <cell r="G1832">
            <v>1648546.8770000001</v>
          </cell>
          <cell r="H1832">
            <v>5.694</v>
          </cell>
          <cell r="I1832">
            <v>0</v>
          </cell>
          <cell r="J1832">
            <v>5.694</v>
          </cell>
          <cell r="K1832">
            <v>1E-3</v>
          </cell>
          <cell r="P1832">
            <v>0</v>
          </cell>
        </row>
        <row r="1833">
          <cell r="A1833" t="str">
            <v>LU1883340165</v>
          </cell>
          <cell r="B1833" t="str">
            <v>AMUNDI FUNDS OPTIMAL YIELD SHORT TERM</v>
          </cell>
          <cell r="C1833" t="str">
            <v>Class R2 EUR (C)</v>
          </cell>
          <cell r="D1833" t="str">
            <v>EUR</v>
          </cell>
          <cell r="E1833" t="str">
            <v>01-Dec-2025</v>
          </cell>
          <cell r="F1833">
            <v>5858.09</v>
          </cell>
          <cell r="G1833">
            <v>100.54600000000001</v>
          </cell>
          <cell r="H1833">
            <v>58.26</v>
          </cell>
          <cell r="I1833">
            <v>0</v>
          </cell>
          <cell r="J1833">
            <v>58.26</v>
          </cell>
          <cell r="K1833">
            <v>0.01</v>
          </cell>
          <cell r="P1833">
            <v>0</v>
          </cell>
        </row>
        <row r="1834">
          <cell r="A1834" t="str">
            <v>LU1882475046</v>
          </cell>
          <cell r="B1834" t="str">
            <v>AMUNDI FUNDS EURO MULTI-ASSET TARGET INCOME</v>
          </cell>
          <cell r="C1834" t="str">
            <v>Class A2 CZK Hgd (C)</v>
          </cell>
          <cell r="D1834" t="str">
            <v>CZK</v>
          </cell>
          <cell r="E1834" t="str">
            <v>01-Dec-2025</v>
          </cell>
          <cell r="F1834">
            <v>11294942.359999999</v>
          </cell>
          <cell r="G1834">
            <v>7874.2460000000001</v>
          </cell>
          <cell r="H1834">
            <v>1434.42</v>
          </cell>
          <cell r="I1834">
            <v>0</v>
          </cell>
          <cell r="J1834">
            <v>1434.42</v>
          </cell>
          <cell r="K1834">
            <v>-3.26</v>
          </cell>
          <cell r="P1834">
            <v>0</v>
          </cell>
        </row>
        <row r="1835">
          <cell r="A1835" t="str">
            <v>LU1882475129</v>
          </cell>
          <cell r="B1835" t="str">
            <v>AMUNDI FUNDS EURO MULTI-ASSET TARGET INCOME</v>
          </cell>
          <cell r="C1835" t="str">
            <v>Class A2 CZK Hgd QTI (D)</v>
          </cell>
          <cell r="D1835" t="str">
            <v>CZK</v>
          </cell>
          <cell r="E1835" t="str">
            <v>01-Dec-2025</v>
          </cell>
          <cell r="F1835">
            <v>56415575.920000002</v>
          </cell>
          <cell r="G1835">
            <v>50362.069000000003</v>
          </cell>
          <cell r="H1835">
            <v>1120.2</v>
          </cell>
          <cell r="I1835">
            <v>0</v>
          </cell>
          <cell r="J1835">
            <v>1120.2</v>
          </cell>
          <cell r="K1835">
            <v>-2.5499999999999998</v>
          </cell>
          <cell r="P1835">
            <v>0</v>
          </cell>
        </row>
        <row r="1836">
          <cell r="A1836" t="str">
            <v>LU1882475392</v>
          </cell>
          <cell r="B1836" t="str">
            <v>AMUNDI FUNDS EURO MULTI-ASSET TARGET INCOME</v>
          </cell>
          <cell r="C1836" t="str">
            <v>Class A2 EUR (C)</v>
          </cell>
          <cell r="D1836" t="str">
            <v>EUR</v>
          </cell>
          <cell r="E1836" t="str">
            <v>01-Dec-2025</v>
          </cell>
          <cell r="F1836">
            <v>3210044.92</v>
          </cell>
          <cell r="G1836">
            <v>52065.072</v>
          </cell>
          <cell r="H1836">
            <v>61.65</v>
          </cell>
          <cell r="I1836">
            <v>0</v>
          </cell>
          <cell r="J1836">
            <v>61.65</v>
          </cell>
          <cell r="K1836">
            <v>-0.15</v>
          </cell>
          <cell r="P1836">
            <v>0</v>
          </cell>
        </row>
        <row r="1837">
          <cell r="A1837" t="str">
            <v>LU1882475558</v>
          </cell>
          <cell r="B1837" t="str">
            <v>AMUNDI FUNDS EURO MULTI-ASSET TARGET INCOME</v>
          </cell>
          <cell r="C1837" t="str">
            <v>Class E2 EUR QTI (D)</v>
          </cell>
          <cell r="D1837" t="str">
            <v>EUR</v>
          </cell>
          <cell r="E1837" t="str">
            <v>01-Dec-2025</v>
          </cell>
          <cell r="F1837">
            <v>52864960.829999998</v>
          </cell>
          <cell r="G1837">
            <v>11514160.293</v>
          </cell>
          <cell r="H1837">
            <v>4.5910000000000002</v>
          </cell>
          <cell r="I1837">
            <v>0</v>
          </cell>
          <cell r="J1837">
            <v>4.5910000000000002</v>
          </cell>
          <cell r="K1837">
            <v>-1.0999999999999999E-2</v>
          </cell>
          <cell r="P1837">
            <v>0</v>
          </cell>
        </row>
        <row r="1838">
          <cell r="A1838" t="str">
            <v>LU1882475715</v>
          </cell>
          <cell r="B1838" t="str">
            <v>AMUNDI FUNDS EURO MULTI-ASSET TARGET INCOME</v>
          </cell>
          <cell r="C1838" t="str">
            <v>Class M2 EUR QTI (D)</v>
          </cell>
          <cell r="D1838" t="str">
            <v>EUR</v>
          </cell>
          <cell r="E1838" t="str">
            <v>01-Dec-2025</v>
          </cell>
          <cell r="F1838">
            <v>12749489.08</v>
          </cell>
          <cell r="G1838">
            <v>12914.593999999999</v>
          </cell>
          <cell r="H1838">
            <v>987.22</v>
          </cell>
          <cell r="I1838">
            <v>0</v>
          </cell>
          <cell r="J1838">
            <v>987.22</v>
          </cell>
          <cell r="K1838">
            <v>-2.19</v>
          </cell>
          <cell r="P1838">
            <v>0</v>
          </cell>
        </row>
        <row r="1839">
          <cell r="A1839" t="str">
            <v>LU1882475632</v>
          </cell>
          <cell r="B1839" t="str">
            <v>AMUNDI FUNDS EURO MULTI-ASSET TARGET INCOME</v>
          </cell>
          <cell r="C1839" t="str">
            <v>Class G2 EUR QTI (D)</v>
          </cell>
          <cell r="D1839" t="str">
            <v>EUR</v>
          </cell>
          <cell r="E1839" t="str">
            <v>01-Dec-2025</v>
          </cell>
          <cell r="F1839">
            <v>76130877.319999993</v>
          </cell>
          <cell r="G1839">
            <v>16876833.537999999</v>
          </cell>
          <cell r="H1839">
            <v>4.5110000000000001</v>
          </cell>
          <cell r="I1839">
            <v>0</v>
          </cell>
          <cell r="J1839">
            <v>4.5110000000000001</v>
          </cell>
          <cell r="K1839">
            <v>-0.01</v>
          </cell>
          <cell r="P1839">
            <v>0</v>
          </cell>
        </row>
        <row r="1840">
          <cell r="A1840" t="str">
            <v>LU1882475475</v>
          </cell>
          <cell r="B1840" t="str">
            <v>AMUNDI FUNDS EURO MULTI-ASSET TARGET INCOME</v>
          </cell>
          <cell r="C1840" t="str">
            <v>Class A2 EUR QTI (D)</v>
          </cell>
          <cell r="D1840" t="str">
            <v>EUR</v>
          </cell>
          <cell r="E1840" t="str">
            <v>01-Dec-2025</v>
          </cell>
          <cell r="F1840">
            <v>1248825.6200000001</v>
          </cell>
          <cell r="G1840">
            <v>26014.859</v>
          </cell>
          <cell r="H1840">
            <v>48</v>
          </cell>
          <cell r="I1840">
            <v>0</v>
          </cell>
          <cell r="J1840">
            <v>48</v>
          </cell>
          <cell r="K1840">
            <v>-0.11</v>
          </cell>
          <cell r="P1840">
            <v>0</v>
          </cell>
        </row>
        <row r="1841">
          <cell r="A1841" t="str">
            <v>LU1894677027</v>
          </cell>
          <cell r="B1841" t="str">
            <v>AMUNDI FUNDS ABSOLUTE RETURN GL OPPORTUNITIES BOND</v>
          </cell>
          <cell r="C1841" t="str">
            <v>Class A EUR (C)</v>
          </cell>
          <cell r="D1841" t="str">
            <v>EUR</v>
          </cell>
          <cell r="E1841" t="str">
            <v>01-Dec-2025</v>
          </cell>
          <cell r="F1841">
            <v>50519771.100000001</v>
          </cell>
          <cell r="G1841">
            <v>1052574.8430000001</v>
          </cell>
          <cell r="H1841">
            <v>48</v>
          </cell>
          <cell r="I1841">
            <v>0</v>
          </cell>
          <cell r="J1841">
            <v>50.16</v>
          </cell>
          <cell r="K1841">
            <v>-0.02</v>
          </cell>
          <cell r="P1841">
            <v>0</v>
          </cell>
        </row>
        <row r="1842">
          <cell r="A1842" t="str">
            <v>LU3081003082</v>
          </cell>
          <cell r="B1842" t="str">
            <v>AMUNDI FUNDS ABSOLUTE RETURN GL OPPORTUNITIES BOND</v>
          </cell>
          <cell r="C1842" t="str">
            <v>Class A EUR MTD (D)</v>
          </cell>
          <cell r="D1842" t="str">
            <v>EUR</v>
          </cell>
          <cell r="E1842" t="str">
            <v>01-Dec-2025</v>
          </cell>
          <cell r="F1842">
            <v>4477.88</v>
          </cell>
          <cell r="G1842">
            <v>89.683000000000007</v>
          </cell>
          <cell r="H1842">
            <v>49.93</v>
          </cell>
          <cell r="I1842">
            <v>4.1700000000000001E-2</v>
          </cell>
          <cell r="J1842">
            <v>51.43</v>
          </cell>
          <cell r="K1842">
            <v>0</v>
          </cell>
          <cell r="P1842">
            <v>0</v>
          </cell>
        </row>
        <row r="1843">
          <cell r="A1843" t="str">
            <v>LU1894677373</v>
          </cell>
          <cell r="B1843" t="str">
            <v>AMUNDI FUNDS ABSOLUTE RETURN GL OPPORTUNITIES BOND</v>
          </cell>
          <cell r="C1843" t="str">
            <v>Class A CZK Hgd (C)</v>
          </cell>
          <cell r="D1843" t="str">
            <v>CZK</v>
          </cell>
          <cell r="E1843" t="str">
            <v>01-Dec-2025</v>
          </cell>
          <cell r="F1843">
            <v>18197693.800000001</v>
          </cell>
          <cell r="G1843">
            <v>15726.13</v>
          </cell>
          <cell r="H1843">
            <v>1157.1600000000001</v>
          </cell>
          <cell r="I1843">
            <v>0</v>
          </cell>
          <cell r="J1843">
            <v>1157.1600000000001</v>
          </cell>
          <cell r="K1843">
            <v>-0.53</v>
          </cell>
          <cell r="P1843">
            <v>0</v>
          </cell>
        </row>
        <row r="1844">
          <cell r="A1844" t="str">
            <v>LU1894677290</v>
          </cell>
          <cell r="B1844" t="str">
            <v>AMUNDI FUNDS ABSOLUTE RETURN GL OPPORTUNITIES BOND</v>
          </cell>
          <cell r="C1844" t="str">
            <v>Class A USD (C)</v>
          </cell>
          <cell r="D1844" t="str">
            <v>USD</v>
          </cell>
          <cell r="E1844" t="str">
            <v>01-Dec-2025</v>
          </cell>
          <cell r="F1844">
            <v>432832.13</v>
          </cell>
          <cell r="G1844">
            <v>7759.4290000000001</v>
          </cell>
          <cell r="H1844">
            <v>55.78</v>
          </cell>
          <cell r="I1844">
            <v>0</v>
          </cell>
          <cell r="J1844">
            <v>55.78</v>
          </cell>
          <cell r="K1844">
            <v>0.09</v>
          </cell>
          <cell r="P1844">
            <v>0</v>
          </cell>
        </row>
        <row r="1845">
          <cell r="A1845" t="str">
            <v>LU1894678694</v>
          </cell>
          <cell r="B1845" t="str">
            <v>AMUNDI FUNDS ABSOLUTE RETURN GL OPPORTUNITIES BOND</v>
          </cell>
          <cell r="C1845" t="str">
            <v>Class M2 EUR (C)</v>
          </cell>
          <cell r="D1845" t="str">
            <v>EUR</v>
          </cell>
          <cell r="E1845" t="str">
            <v>01-Dec-2025</v>
          </cell>
          <cell r="F1845">
            <v>5609037.9500000002</v>
          </cell>
          <cell r="G1845">
            <v>5572.6819999999998</v>
          </cell>
          <cell r="H1845">
            <v>1006.52</v>
          </cell>
          <cell r="I1845">
            <v>0</v>
          </cell>
          <cell r="J1845">
            <v>1006.52</v>
          </cell>
          <cell r="K1845">
            <v>-0.45</v>
          </cell>
          <cell r="P1845">
            <v>0</v>
          </cell>
        </row>
        <row r="1846">
          <cell r="A1846" t="str">
            <v>LU1894678009</v>
          </cell>
          <cell r="B1846" t="str">
            <v>AMUNDI FUNDS ABSOLUTE RETURN GL OPPORTUNITIES BOND</v>
          </cell>
          <cell r="C1846" t="str">
            <v>Class E2 EUR (C)</v>
          </cell>
          <cell r="D1846" t="str">
            <v>EUR</v>
          </cell>
          <cell r="E1846" t="str">
            <v>01-Dec-2025</v>
          </cell>
          <cell r="F1846">
            <v>21752114.73</v>
          </cell>
          <cell r="G1846">
            <v>4516786.3880000003</v>
          </cell>
          <cell r="H1846">
            <v>4.8159999999999998</v>
          </cell>
          <cell r="I1846">
            <v>0</v>
          </cell>
          <cell r="J1846">
            <v>4.8159999999999998</v>
          </cell>
          <cell r="K1846">
            <v>-2E-3</v>
          </cell>
          <cell r="P1846">
            <v>0</v>
          </cell>
        </row>
        <row r="1847">
          <cell r="A1847" t="str">
            <v>LU1894678181</v>
          </cell>
          <cell r="B1847" t="str">
            <v>AMUNDI FUNDS ABSOLUTE RETURN GL OPPORTUNITIES BOND</v>
          </cell>
          <cell r="C1847" t="str">
            <v>Class F EUR (C)</v>
          </cell>
          <cell r="D1847" t="str">
            <v>EUR</v>
          </cell>
          <cell r="E1847" t="str">
            <v>01-Dec-2025</v>
          </cell>
          <cell r="F1847">
            <v>9446339.3499999996</v>
          </cell>
          <cell r="G1847">
            <v>1987165.071</v>
          </cell>
          <cell r="H1847">
            <v>4.7539999999999996</v>
          </cell>
          <cell r="I1847">
            <v>0</v>
          </cell>
          <cell r="J1847">
            <v>4.7539999999999996</v>
          </cell>
          <cell r="K1847">
            <v>-2E-3</v>
          </cell>
          <cell r="P1847">
            <v>0</v>
          </cell>
        </row>
        <row r="1848">
          <cell r="A1848" t="str">
            <v>LU1998914995</v>
          </cell>
          <cell r="B1848" t="str">
            <v>AMUNDI FUNDS ABSOLUTE RETURN GL OPPORTUNITIES BOND</v>
          </cell>
          <cell r="C1848" t="str">
            <v>Class H EUR (C)</v>
          </cell>
          <cell r="D1848" t="str">
            <v>EUR</v>
          </cell>
          <cell r="E1848" t="str">
            <v>01-Dec-2025</v>
          </cell>
          <cell r="F1848">
            <v>69400036.719999999</v>
          </cell>
          <cell r="G1848">
            <v>66300</v>
          </cell>
          <cell r="H1848">
            <v>1046.76</v>
          </cell>
          <cell r="I1848">
            <v>0</v>
          </cell>
          <cell r="J1848">
            <v>1046.76</v>
          </cell>
          <cell r="K1848">
            <v>-0.44</v>
          </cell>
          <cell r="P1848">
            <v>0</v>
          </cell>
        </row>
        <row r="1849">
          <cell r="A1849" t="str">
            <v>LU2339089752</v>
          </cell>
          <cell r="B1849" t="str">
            <v>AMUNDI FUNDS ABSOLUTE RETURN GL OPPORTUNITIES BOND</v>
          </cell>
          <cell r="C1849" t="str">
            <v>Class I2 EUR (C)</v>
          </cell>
          <cell r="D1849" t="str">
            <v>EUR</v>
          </cell>
          <cell r="E1849" t="str">
            <v>01-Dec-2025</v>
          </cell>
          <cell r="F1849">
            <v>4859.12</v>
          </cell>
          <cell r="G1849">
            <v>5</v>
          </cell>
          <cell r="H1849">
            <v>971.82</v>
          </cell>
          <cell r="I1849">
            <v>0</v>
          </cell>
          <cell r="J1849">
            <v>971.82</v>
          </cell>
          <cell r="K1849">
            <v>-0.43</v>
          </cell>
          <cell r="P1849">
            <v>0</v>
          </cell>
        </row>
        <row r="1850">
          <cell r="A1850" t="str">
            <v>LU1894678264</v>
          </cell>
          <cell r="B1850" t="str">
            <v>AMUNDI FUNDS ABSOLUTE RETURN GL OPPORTUNITIES BOND</v>
          </cell>
          <cell r="C1850" t="str">
            <v>Class G EUR (C)</v>
          </cell>
          <cell r="D1850" t="str">
            <v>EUR</v>
          </cell>
          <cell r="E1850" t="str">
            <v>01-Dec-2025</v>
          </cell>
          <cell r="F1850">
            <v>2023310.67</v>
          </cell>
          <cell r="G1850">
            <v>416748.63799999998</v>
          </cell>
          <cell r="H1850">
            <v>4.8550000000000004</v>
          </cell>
          <cell r="I1850">
            <v>0</v>
          </cell>
          <cell r="J1850">
            <v>4.8550000000000004</v>
          </cell>
          <cell r="K1850">
            <v>-3.0000000000000001E-3</v>
          </cell>
          <cell r="P1850">
            <v>0</v>
          </cell>
        </row>
        <row r="1851">
          <cell r="A1851" t="str">
            <v>LU2498475859</v>
          </cell>
          <cell r="B1851" t="str">
            <v>AMUNDI FUNDS ABSOLUTE RETURN GL OPPORTUNITIES BOND</v>
          </cell>
          <cell r="C1851" t="str">
            <v>Class OR EUR (C)</v>
          </cell>
          <cell r="D1851" t="str">
            <v>EUR</v>
          </cell>
          <cell r="E1851" t="str">
            <v>01-Dec-2025</v>
          </cell>
          <cell r="F1851">
            <v>5270.09</v>
          </cell>
          <cell r="G1851">
            <v>5</v>
          </cell>
          <cell r="H1851">
            <v>1054.02</v>
          </cell>
          <cell r="I1851">
            <v>0</v>
          </cell>
          <cell r="J1851">
            <v>1054.02</v>
          </cell>
          <cell r="K1851">
            <v>-0.43</v>
          </cell>
          <cell r="P1851">
            <v>0</v>
          </cell>
        </row>
        <row r="1852">
          <cell r="A1852" t="str">
            <v>LU1837134698</v>
          </cell>
          <cell r="B1852" t="str">
            <v>AMUNDI FUNDS ABSOLUTE RETURN GL OPPORTUNITIES BOND</v>
          </cell>
          <cell r="C1852" t="str">
            <v>Class R EUR (C)</v>
          </cell>
          <cell r="D1852" t="str">
            <v>EUR</v>
          </cell>
          <cell r="E1852" t="str">
            <v>01-Dec-2025</v>
          </cell>
          <cell r="F1852">
            <v>394398.29</v>
          </cell>
          <cell r="G1852">
            <v>7692.4040000000005</v>
          </cell>
          <cell r="H1852">
            <v>51.27</v>
          </cell>
          <cell r="I1852">
            <v>0</v>
          </cell>
          <cell r="J1852">
            <v>51.27</v>
          </cell>
          <cell r="K1852">
            <v>-0.02</v>
          </cell>
          <cell r="P1852">
            <v>0</v>
          </cell>
        </row>
        <row r="1853">
          <cell r="A1853" t="str">
            <v>LU1894678348</v>
          </cell>
          <cell r="B1853" t="str">
            <v>AMUNDI FUNDS ABSOLUTE RETURN GL OPPORTUNITIES BOND</v>
          </cell>
          <cell r="C1853" t="str">
            <v>Class I EUR (C)</v>
          </cell>
          <cell r="D1853" t="str">
            <v>EUR</v>
          </cell>
          <cell r="E1853" t="str">
            <v>01-Dec-2025</v>
          </cell>
          <cell r="F1853">
            <v>1093210.82</v>
          </cell>
          <cell r="G1853">
            <v>1089.163</v>
          </cell>
          <cell r="H1853">
            <v>1003.72</v>
          </cell>
          <cell r="I1853">
            <v>0</v>
          </cell>
          <cell r="J1853">
            <v>1003.72</v>
          </cell>
          <cell r="K1853">
            <v>-0.44</v>
          </cell>
          <cell r="P1853">
            <v>0</v>
          </cell>
        </row>
        <row r="1854">
          <cell r="A1854" t="str">
            <v>LU2040440237</v>
          </cell>
          <cell r="B1854" t="str">
            <v>AMUNDI FUNDS ABSOLUTE RETURN GL OPPORTUNITIES BOND</v>
          </cell>
          <cell r="C1854" t="str">
            <v>Class Z EUR (C)</v>
          </cell>
          <cell r="D1854" t="str">
            <v>EUR</v>
          </cell>
          <cell r="E1854" t="str">
            <v>01-Dec-2025</v>
          </cell>
          <cell r="F1854">
            <v>5208.7299999999996</v>
          </cell>
          <cell r="G1854">
            <v>5</v>
          </cell>
          <cell r="H1854">
            <v>1041.75</v>
          </cell>
          <cell r="I1854">
            <v>0</v>
          </cell>
          <cell r="J1854">
            <v>1041.75</v>
          </cell>
          <cell r="K1854">
            <v>-0.45</v>
          </cell>
          <cell r="P1854">
            <v>0</v>
          </cell>
        </row>
        <row r="1855">
          <cell r="A1855" t="str">
            <v>LU1883848118</v>
          </cell>
          <cell r="B1855" t="str">
            <v>AMUNDI FUNDS US EQUITY DIVIDEND GROWTH</v>
          </cell>
          <cell r="C1855" t="str">
            <v>Class A USD (C)</v>
          </cell>
          <cell r="D1855" t="str">
            <v>USD</v>
          </cell>
          <cell r="E1855" t="str">
            <v>01-Dec-2025</v>
          </cell>
          <cell r="F1855">
            <v>267468204.52000001</v>
          </cell>
          <cell r="G1855">
            <v>3469908.9190000002</v>
          </cell>
          <cell r="H1855">
            <v>77.08</v>
          </cell>
          <cell r="I1855">
            <v>0</v>
          </cell>
          <cell r="J1855">
            <v>80.55</v>
          </cell>
          <cell r="K1855">
            <v>-0.35</v>
          </cell>
          <cell r="P1855">
            <v>0</v>
          </cell>
        </row>
        <row r="1856">
          <cell r="A1856" t="str">
            <v>LU1883848548</v>
          </cell>
          <cell r="B1856" t="str">
            <v>AMUNDI FUNDS US EQUITY DIVIDEND GROWTH</v>
          </cell>
          <cell r="C1856" t="str">
            <v>Class M2 USD (C)</v>
          </cell>
          <cell r="D1856" t="str">
            <v>USD</v>
          </cell>
          <cell r="E1856" t="str">
            <v>01-Dec-2025</v>
          </cell>
          <cell r="F1856">
            <v>8249.81</v>
          </cell>
          <cell r="G1856">
            <v>5</v>
          </cell>
          <cell r="H1856">
            <v>1649.96</v>
          </cell>
          <cell r="I1856">
            <v>0</v>
          </cell>
          <cell r="J1856">
            <v>1649.96</v>
          </cell>
          <cell r="K1856">
            <v>-7.34</v>
          </cell>
          <cell r="P1856">
            <v>0</v>
          </cell>
        </row>
        <row r="1857">
          <cell r="A1857" t="str">
            <v>LU1883848464</v>
          </cell>
          <cell r="B1857" t="str">
            <v>AMUNDI FUNDS US EQUITY DIVIDEND GROWTH</v>
          </cell>
          <cell r="C1857" t="str">
            <v>Class I2 USD (C)</v>
          </cell>
          <cell r="D1857" t="str">
            <v>USD</v>
          </cell>
          <cell r="E1857" t="str">
            <v>01-Dec-2025</v>
          </cell>
          <cell r="F1857">
            <v>3394016.26</v>
          </cell>
          <cell r="G1857">
            <v>3113.779</v>
          </cell>
          <cell r="H1857">
            <v>1090</v>
          </cell>
          <cell r="I1857">
            <v>0</v>
          </cell>
          <cell r="J1857">
            <v>1090</v>
          </cell>
          <cell r="K1857">
            <v>-4.8499999999999996</v>
          </cell>
          <cell r="P1857">
            <v>0</v>
          </cell>
        </row>
        <row r="1858">
          <cell r="A1858" t="str">
            <v>LU1883848621</v>
          </cell>
          <cell r="B1858" t="str">
            <v>AMUNDI FUNDS US EQUITY DIVIDEND GROWTH</v>
          </cell>
          <cell r="C1858" t="str">
            <v>Class P2 USD (C)</v>
          </cell>
          <cell r="D1858" t="str">
            <v>USD</v>
          </cell>
          <cell r="E1858" t="str">
            <v>01-Dec-2025</v>
          </cell>
          <cell r="F1858">
            <v>581735.49</v>
          </cell>
          <cell r="G1858">
            <v>7339.8140000000003</v>
          </cell>
          <cell r="H1858">
            <v>79.260000000000005</v>
          </cell>
          <cell r="I1858">
            <v>0</v>
          </cell>
          <cell r="J1858">
            <v>79.260000000000005</v>
          </cell>
          <cell r="K1858">
            <v>-0.35</v>
          </cell>
          <cell r="P1858">
            <v>0</v>
          </cell>
        </row>
        <row r="1859">
          <cell r="A1859" t="str">
            <v>LU2585852911</v>
          </cell>
          <cell r="B1859" t="str">
            <v>AMUNDI FUNDS INCOME OPPORTUNITIES</v>
          </cell>
          <cell r="C1859" t="str">
            <v>Class A2 USD MTD3 (D)</v>
          </cell>
          <cell r="D1859" t="str">
            <v>USD</v>
          </cell>
          <cell r="E1859" t="str">
            <v>01-Dec-2025</v>
          </cell>
          <cell r="F1859">
            <v>124353564.92</v>
          </cell>
          <cell r="G1859">
            <v>2258111.89</v>
          </cell>
          <cell r="H1859">
            <v>55.07</v>
          </cell>
          <cell r="I1859">
            <v>0.3624</v>
          </cell>
          <cell r="J1859">
            <v>55.07</v>
          </cell>
          <cell r="K1859">
            <v>-0.36</v>
          </cell>
          <cell r="P1859">
            <v>0</v>
          </cell>
        </row>
        <row r="1860">
          <cell r="A1860" t="str">
            <v>LU2574252313</v>
          </cell>
          <cell r="B1860" t="str">
            <v>AMUNDI FUNDS INCOME OPPORTUNITIES</v>
          </cell>
          <cell r="C1860" t="str">
            <v>Class A2 USD MD (D)</v>
          </cell>
          <cell r="D1860" t="str">
            <v>USD</v>
          </cell>
          <cell r="E1860" t="str">
            <v>01-Dec-2025</v>
          </cell>
          <cell r="F1860">
            <v>9977746.5199999996</v>
          </cell>
          <cell r="G1860">
            <v>177173.73</v>
          </cell>
          <cell r="H1860">
            <v>56.32</v>
          </cell>
          <cell r="I1860">
            <v>0</v>
          </cell>
          <cell r="J1860">
            <v>56.32</v>
          </cell>
          <cell r="K1860">
            <v>0</v>
          </cell>
          <cell r="P1860">
            <v>0</v>
          </cell>
        </row>
        <row r="1861">
          <cell r="A1861" t="str">
            <v>LU3062682797</v>
          </cell>
          <cell r="B1861" t="str">
            <v>AMUNDI FUNDS INCOME OPPORTUNITIES</v>
          </cell>
          <cell r="C1861" t="str">
            <v>Class A2 SGD Hgd MTD3 (D)</v>
          </cell>
          <cell r="D1861" t="str">
            <v>SGD</v>
          </cell>
          <cell r="E1861" t="str">
            <v>01-Dec-2025</v>
          </cell>
          <cell r="F1861">
            <v>108633456.04000001</v>
          </cell>
          <cell r="G1861">
            <v>2176665.0660000001</v>
          </cell>
          <cell r="H1861">
            <v>49.91</v>
          </cell>
          <cell r="I1861">
            <v>0.28270000000000001</v>
          </cell>
          <cell r="J1861">
            <v>49.91</v>
          </cell>
          <cell r="K1861">
            <v>-0.28000000000000003</v>
          </cell>
          <cell r="P1861">
            <v>0</v>
          </cell>
        </row>
        <row r="1862">
          <cell r="A1862" t="str">
            <v>LU2585853133</v>
          </cell>
          <cell r="B1862" t="str">
            <v>AMUNDI FUNDS INCOME OPPORTUNITIES</v>
          </cell>
          <cell r="C1862" t="str">
            <v>Class A2 HKD MTD3 (D)</v>
          </cell>
          <cell r="D1862" t="str">
            <v>HKD</v>
          </cell>
          <cell r="E1862" t="str">
            <v>01-Dec-2025</v>
          </cell>
          <cell r="F1862">
            <v>811428298.40999997</v>
          </cell>
          <cell r="G1862">
            <v>14772577.48</v>
          </cell>
          <cell r="H1862">
            <v>54.93</v>
          </cell>
          <cell r="I1862">
            <v>0.3639</v>
          </cell>
          <cell r="J1862">
            <v>54.93</v>
          </cell>
          <cell r="K1862">
            <v>-0.34</v>
          </cell>
          <cell r="P1862">
            <v>0</v>
          </cell>
        </row>
        <row r="1863">
          <cell r="A1863" t="str">
            <v>LU2585853307</v>
          </cell>
          <cell r="B1863" t="str">
            <v>AMUNDI FUNDS INCOME OPPORTUNITIES</v>
          </cell>
          <cell r="C1863" t="str">
            <v>Class A2 RMB Hgd-MTD3 (D)</v>
          </cell>
          <cell r="D1863" t="str">
            <v>CNH</v>
          </cell>
          <cell r="E1863" t="str">
            <v>01-Dec-2025</v>
          </cell>
          <cell r="F1863">
            <v>63572249.460000001</v>
          </cell>
          <cell r="G1863">
            <v>1164877.9680000001</v>
          </cell>
          <cell r="H1863">
            <v>54.57</v>
          </cell>
          <cell r="I1863">
            <v>0.25979999999999998</v>
          </cell>
          <cell r="J1863">
            <v>54.57</v>
          </cell>
          <cell r="K1863">
            <v>-0.27</v>
          </cell>
          <cell r="P1863">
            <v>0</v>
          </cell>
        </row>
        <row r="1864">
          <cell r="A1864" t="str">
            <v>LU1894680831</v>
          </cell>
          <cell r="B1864" t="str">
            <v>AMUNDI FUNDS INCOME OPPORTUNITIES</v>
          </cell>
          <cell r="C1864" t="str">
            <v>Class A2 EUR Hgd (C)</v>
          </cell>
          <cell r="D1864" t="str">
            <v>EUR</v>
          </cell>
          <cell r="E1864" t="str">
            <v>01-Dec-2025</v>
          </cell>
          <cell r="F1864">
            <v>1990836.36</v>
          </cell>
          <cell r="G1864">
            <v>29123.776000000002</v>
          </cell>
          <cell r="H1864">
            <v>68.36</v>
          </cell>
          <cell r="I1864">
            <v>0</v>
          </cell>
          <cell r="J1864">
            <v>71.44</v>
          </cell>
          <cell r="K1864">
            <v>0</v>
          </cell>
          <cell r="P1864">
            <v>0</v>
          </cell>
        </row>
        <row r="1865">
          <cell r="A1865" t="str">
            <v>LU2596442595</v>
          </cell>
          <cell r="B1865" t="str">
            <v>AMUNDI FUNDS INCOME OPPORTUNITIES</v>
          </cell>
          <cell r="C1865" t="str">
            <v>Class A2 SGD Hgd MGI (D)</v>
          </cell>
          <cell r="D1865" t="str">
            <v>SGD</v>
          </cell>
          <cell r="E1865" t="str">
            <v>01-Dec-2025</v>
          </cell>
          <cell r="F1865">
            <v>3566952.9</v>
          </cell>
          <cell r="G1865">
            <v>70468.558000000005</v>
          </cell>
          <cell r="H1865">
            <v>50.62</v>
          </cell>
          <cell r="I1865">
            <v>0.23486399999999999</v>
          </cell>
          <cell r="J1865">
            <v>50.62</v>
          </cell>
          <cell r="K1865">
            <v>-0.24</v>
          </cell>
          <cell r="P1865">
            <v>0</v>
          </cell>
        </row>
        <row r="1866">
          <cell r="A1866" t="str">
            <v>LU2585853059</v>
          </cell>
          <cell r="B1866" t="str">
            <v>AMUNDI FUNDS INCOME OPPORTUNITIES</v>
          </cell>
          <cell r="C1866" t="str">
            <v>Class A2 AUD Hgd-MTD3 (D)</v>
          </cell>
          <cell r="D1866" t="str">
            <v>AUD</v>
          </cell>
          <cell r="E1866" t="str">
            <v>01-Dec-2025</v>
          </cell>
          <cell r="F1866">
            <v>32147566.16</v>
          </cell>
          <cell r="G1866">
            <v>590997.39599999995</v>
          </cell>
          <cell r="H1866">
            <v>54.4</v>
          </cell>
          <cell r="I1866">
            <v>0.34510000000000002</v>
          </cell>
          <cell r="J1866">
            <v>54.4</v>
          </cell>
          <cell r="K1866">
            <v>-0.34</v>
          </cell>
          <cell r="P1866">
            <v>0</v>
          </cell>
        </row>
        <row r="1867">
          <cell r="A1867" t="str">
            <v>LU1894681219</v>
          </cell>
          <cell r="B1867" t="str">
            <v>AMUNDI FUNDS INCOME OPPORTUNITIES</v>
          </cell>
          <cell r="C1867" t="str">
            <v>Class A2 USD QTD (D)</v>
          </cell>
          <cell r="D1867" t="str">
            <v>USD</v>
          </cell>
          <cell r="E1867" t="str">
            <v>01-Dec-2025</v>
          </cell>
          <cell r="F1867">
            <v>1135254.48</v>
          </cell>
          <cell r="G1867">
            <v>19540.162</v>
          </cell>
          <cell r="H1867">
            <v>58.1</v>
          </cell>
          <cell r="I1867">
            <v>0</v>
          </cell>
          <cell r="J1867">
            <v>60.71</v>
          </cell>
          <cell r="K1867">
            <v>0</v>
          </cell>
          <cell r="P1867">
            <v>0</v>
          </cell>
        </row>
        <row r="1868">
          <cell r="A1868" t="str">
            <v>LU2002723158</v>
          </cell>
          <cell r="B1868" t="str">
            <v>AMUNDI FUNDS INCOME OPPORTUNITIES</v>
          </cell>
          <cell r="C1868" t="str">
            <v>Class M2 EUR ( C )</v>
          </cell>
          <cell r="D1868" t="str">
            <v>EUR</v>
          </cell>
          <cell r="E1868" t="str">
            <v>01-Dec-2025</v>
          </cell>
          <cell r="F1868">
            <v>208326815.62</v>
          </cell>
          <cell r="G1868">
            <v>129948.005</v>
          </cell>
          <cell r="H1868">
            <v>1603.16</v>
          </cell>
          <cell r="I1868">
            <v>0</v>
          </cell>
          <cell r="J1868">
            <v>1603.16</v>
          </cell>
          <cell r="K1868">
            <v>-3.26</v>
          </cell>
          <cell r="P1868">
            <v>0</v>
          </cell>
        </row>
        <row r="1869">
          <cell r="A1869" t="str">
            <v>LU1894680757</v>
          </cell>
          <cell r="B1869" t="str">
            <v>AMUNDI FUNDS INCOME OPPORTUNITIES</v>
          </cell>
          <cell r="C1869" t="str">
            <v>Class A2 EUR (C)</v>
          </cell>
          <cell r="D1869" t="str">
            <v>EUR</v>
          </cell>
          <cell r="E1869" t="str">
            <v>01-Dec-2025</v>
          </cell>
          <cell r="F1869">
            <v>60409961.409999996</v>
          </cell>
          <cell r="G1869">
            <v>912208.33100000001</v>
          </cell>
          <cell r="H1869">
            <v>66.22</v>
          </cell>
          <cell r="I1869">
            <v>0</v>
          </cell>
          <cell r="J1869">
            <v>69.2</v>
          </cell>
          <cell r="K1869">
            <v>-0.14000000000000001</v>
          </cell>
          <cell r="P1869">
            <v>0</v>
          </cell>
        </row>
        <row r="1870">
          <cell r="A1870" t="str">
            <v>LU1883839554</v>
          </cell>
          <cell r="B1870" t="str">
            <v>AMUNDI FUNDS INCOME OPPORTUNITIES</v>
          </cell>
          <cell r="C1870" t="str">
            <v>Class E2 EUR (C)</v>
          </cell>
          <cell r="D1870" t="str">
            <v>EUR</v>
          </cell>
          <cell r="E1870" t="str">
            <v>01-Dec-2025</v>
          </cell>
          <cell r="F1870">
            <v>202661510.75</v>
          </cell>
          <cell r="G1870">
            <v>26010379.585000001</v>
          </cell>
          <cell r="H1870">
            <v>7.7919999999999998</v>
          </cell>
          <cell r="I1870">
            <v>0</v>
          </cell>
          <cell r="J1870">
            <v>7.7919999999999998</v>
          </cell>
          <cell r="K1870">
            <v>-1.6E-2</v>
          </cell>
          <cell r="P1870">
            <v>0</v>
          </cell>
        </row>
        <row r="1871">
          <cell r="A1871" t="str">
            <v>LU1883839802</v>
          </cell>
          <cell r="B1871" t="str">
            <v>AMUNDI FUNDS INCOME OPPORTUNITIES</v>
          </cell>
          <cell r="C1871" t="str">
            <v>Class E2 EUR QTI (D)</v>
          </cell>
          <cell r="D1871" t="str">
            <v>EUR</v>
          </cell>
          <cell r="E1871" t="str">
            <v>01-Dec-2025</v>
          </cell>
          <cell r="F1871">
            <v>40979163.119999997</v>
          </cell>
          <cell r="G1871">
            <v>7311391.3449999997</v>
          </cell>
          <cell r="H1871">
            <v>5.6050000000000004</v>
          </cell>
          <cell r="I1871">
            <v>0</v>
          </cell>
          <cell r="J1871">
            <v>5.6050000000000004</v>
          </cell>
          <cell r="K1871">
            <v>-1.2E-2</v>
          </cell>
          <cell r="P1871">
            <v>0</v>
          </cell>
        </row>
        <row r="1872">
          <cell r="A1872" t="str">
            <v>LU1894681300</v>
          </cell>
          <cell r="B1872" t="str">
            <v>AMUNDI FUNDS INCOME OPPORTUNITIES</v>
          </cell>
          <cell r="C1872" t="str">
            <v>Class E2 EUR PHgd QTI (D)</v>
          </cell>
          <cell r="D1872" t="str">
            <v>EUR</v>
          </cell>
          <cell r="E1872" t="str">
            <v>01-Dec-2025</v>
          </cell>
          <cell r="F1872">
            <v>99255494.930000007</v>
          </cell>
          <cell r="G1872">
            <v>17135470.962000001</v>
          </cell>
          <cell r="H1872">
            <v>5.7919999999999998</v>
          </cell>
          <cell r="I1872">
            <v>0</v>
          </cell>
          <cell r="J1872">
            <v>5.7919999999999998</v>
          </cell>
          <cell r="K1872">
            <v>-7.0000000000000001E-3</v>
          </cell>
          <cell r="P1872">
            <v>0</v>
          </cell>
        </row>
        <row r="1873">
          <cell r="A1873" t="str">
            <v>LU1883839638</v>
          </cell>
          <cell r="B1873" t="str">
            <v>AMUNDI FUNDS INCOME OPPORTUNITIES</v>
          </cell>
          <cell r="C1873" t="str">
            <v>Class E2 EUR Hgd (C)</v>
          </cell>
          <cell r="D1873" t="str">
            <v>EUR</v>
          </cell>
          <cell r="E1873" t="str">
            <v>01-Dec-2025</v>
          </cell>
          <cell r="F1873">
            <v>73603478.25</v>
          </cell>
          <cell r="G1873">
            <v>11093338.18</v>
          </cell>
          <cell r="H1873">
            <v>6.6349999999999998</v>
          </cell>
          <cell r="I1873">
            <v>0</v>
          </cell>
          <cell r="J1873">
            <v>6.6349999999999998</v>
          </cell>
          <cell r="K1873">
            <v>0</v>
          </cell>
          <cell r="P1873">
            <v>0</v>
          </cell>
        </row>
        <row r="1874">
          <cell r="A1874" t="str">
            <v>LU1883839711</v>
          </cell>
          <cell r="B1874" t="str">
            <v>AMUNDI FUNDS INCOME OPPORTUNITIES</v>
          </cell>
          <cell r="C1874" t="str">
            <v>Class E2 EUR Hgd QTI (D)</v>
          </cell>
          <cell r="D1874" t="str">
            <v>EUR</v>
          </cell>
          <cell r="E1874" t="str">
            <v>01-Dec-2025</v>
          </cell>
          <cell r="F1874">
            <v>7036224.1799999997</v>
          </cell>
          <cell r="G1874">
            <v>1312171.128</v>
          </cell>
          <cell r="H1874">
            <v>5.3620000000000001</v>
          </cell>
          <cell r="I1874">
            <v>0</v>
          </cell>
          <cell r="J1874">
            <v>5.3620000000000001</v>
          </cell>
          <cell r="K1874">
            <v>-1E-3</v>
          </cell>
          <cell r="P1874">
            <v>0</v>
          </cell>
        </row>
        <row r="1875">
          <cell r="A1875" t="str">
            <v>LU3015123253</v>
          </cell>
          <cell r="B1875" t="str">
            <v>AMUNDI FUNDS INCOME OPPORTUNITIES</v>
          </cell>
          <cell r="C1875" t="str">
            <v>Class F EUR (C)</v>
          </cell>
          <cell r="D1875" t="str">
            <v>EUR</v>
          </cell>
          <cell r="E1875" t="str">
            <v>01-Dec-2025</v>
          </cell>
          <cell r="F1875">
            <v>1412084.94</v>
          </cell>
          <cell r="G1875">
            <v>271422.38699999999</v>
          </cell>
          <cell r="H1875">
            <v>5.2030000000000003</v>
          </cell>
          <cell r="I1875">
            <v>0</v>
          </cell>
          <cell r="J1875">
            <v>5.2030000000000003</v>
          </cell>
          <cell r="K1875">
            <v>-1.2999999999999999E-2</v>
          </cell>
          <cell r="P1875">
            <v>0</v>
          </cell>
        </row>
        <row r="1876">
          <cell r="A1876" t="str">
            <v>LU1894682027</v>
          </cell>
          <cell r="B1876" t="str">
            <v>AMUNDI FUNDS INCOME OPPORTUNITIES</v>
          </cell>
          <cell r="C1876" t="str">
            <v>Class I2 USD QTD (D)</v>
          </cell>
          <cell r="D1876" t="str">
            <v>USD</v>
          </cell>
          <cell r="E1876" t="str">
            <v>01-Dec-2025</v>
          </cell>
          <cell r="F1876">
            <v>1222638.19</v>
          </cell>
          <cell r="G1876">
            <v>990.678</v>
          </cell>
          <cell r="H1876">
            <v>1234.1400000000001</v>
          </cell>
          <cell r="I1876">
            <v>0</v>
          </cell>
          <cell r="J1876">
            <v>1234.1400000000001</v>
          </cell>
          <cell r="K1876">
            <v>0.1</v>
          </cell>
          <cell r="P1876">
            <v>0</v>
          </cell>
        </row>
        <row r="1877">
          <cell r="A1877" t="str">
            <v>LU1883840305</v>
          </cell>
          <cell r="B1877" t="str">
            <v>AMUNDI FUNDS INCOME OPPORTUNITIES</v>
          </cell>
          <cell r="C1877" t="str">
            <v>Class I2 USD (C)</v>
          </cell>
          <cell r="D1877" t="str">
            <v>USD</v>
          </cell>
          <cell r="E1877" t="str">
            <v>01-Dec-2025</v>
          </cell>
          <cell r="F1877">
            <v>538379120.45000005</v>
          </cell>
          <cell r="G1877">
            <v>323196.61499999999</v>
          </cell>
          <cell r="H1877">
            <v>1665.79</v>
          </cell>
          <cell r="I1877">
            <v>0</v>
          </cell>
          <cell r="J1877">
            <v>1665.79</v>
          </cell>
          <cell r="K1877">
            <v>0.13</v>
          </cell>
          <cell r="P1877">
            <v>0</v>
          </cell>
        </row>
        <row r="1878">
          <cell r="A1878" t="str">
            <v>LU2110862112</v>
          </cell>
          <cell r="B1878" t="str">
            <v>AMUNDI FUNDS INCOME OPPORTUNITIES</v>
          </cell>
          <cell r="C1878" t="str">
            <v>Class I3 USD QTI (D)</v>
          </cell>
          <cell r="D1878" t="str">
            <v>USD</v>
          </cell>
          <cell r="E1878" t="str">
            <v>01-Dec-2025</v>
          </cell>
          <cell r="F1878">
            <v>922328215.85000002</v>
          </cell>
          <cell r="G1878">
            <v>746874.01800000004</v>
          </cell>
          <cell r="H1878">
            <v>1234.92</v>
          </cell>
          <cell r="I1878">
            <v>0</v>
          </cell>
          <cell r="J1878">
            <v>1234.92</v>
          </cell>
          <cell r="K1878">
            <v>0.1</v>
          </cell>
          <cell r="P1878">
            <v>0</v>
          </cell>
        </row>
        <row r="1879">
          <cell r="A1879" t="str">
            <v>LU1894681649</v>
          </cell>
          <cell r="B1879" t="str">
            <v>AMUNDI FUNDS INCOME OPPORTUNITIES</v>
          </cell>
          <cell r="C1879" t="str">
            <v>Class I2 EUR Hgd (C)</v>
          </cell>
          <cell r="D1879" t="str">
            <v>EUR</v>
          </cell>
          <cell r="E1879" t="str">
            <v>01-Dec-2025</v>
          </cell>
          <cell r="F1879">
            <v>1670741.33</v>
          </cell>
          <cell r="G1879">
            <v>1134.78</v>
          </cell>
          <cell r="H1879">
            <v>1472.3</v>
          </cell>
          <cell r="I1879">
            <v>0</v>
          </cell>
          <cell r="J1879">
            <v>1472.3</v>
          </cell>
          <cell r="K1879">
            <v>0.04</v>
          </cell>
          <cell r="P1879">
            <v>0</v>
          </cell>
        </row>
        <row r="1880">
          <cell r="A1880" t="str">
            <v>LU1894681565</v>
          </cell>
          <cell r="B1880" t="str">
            <v>AMUNDI FUNDS INCOME OPPORTUNITIES</v>
          </cell>
          <cell r="C1880" t="str">
            <v>Class I2 EUR (C)</v>
          </cell>
          <cell r="D1880" t="str">
            <v>EUR</v>
          </cell>
          <cell r="E1880" t="str">
            <v>01-Dec-2025</v>
          </cell>
          <cell r="F1880">
            <v>90395662.409999996</v>
          </cell>
          <cell r="G1880">
            <v>63119.199999999997</v>
          </cell>
          <cell r="H1880">
            <v>1432.14</v>
          </cell>
          <cell r="I1880">
            <v>0</v>
          </cell>
          <cell r="J1880">
            <v>1432.14</v>
          </cell>
          <cell r="K1880">
            <v>-2.91</v>
          </cell>
          <cell r="P1880">
            <v>0</v>
          </cell>
        </row>
        <row r="1881">
          <cell r="A1881" t="str">
            <v>LU3078300780</v>
          </cell>
          <cell r="B1881" t="str">
            <v>AMUNDI FUNDS INCOME OPPORTUNITIES</v>
          </cell>
          <cell r="C1881" t="str">
            <v>Class J26 JPY (C)</v>
          </cell>
          <cell r="D1881" t="str">
            <v>JPY</v>
          </cell>
          <cell r="E1881" t="str">
            <v>01-Dec-2025</v>
          </cell>
          <cell r="F1881">
            <v>1017990906</v>
          </cell>
          <cell r="G1881">
            <v>8997</v>
          </cell>
          <cell r="H1881">
            <v>113148</v>
          </cell>
          <cell r="I1881">
            <v>0</v>
          </cell>
          <cell r="J1881">
            <v>113148</v>
          </cell>
          <cell r="K1881">
            <v>-686</v>
          </cell>
          <cell r="P1881">
            <v>0</v>
          </cell>
        </row>
        <row r="1882">
          <cell r="A1882" t="str">
            <v>LU3078300947</v>
          </cell>
          <cell r="B1882" t="str">
            <v>AMUNDI FUNDS INCOME OPPORTUNITIES</v>
          </cell>
          <cell r="C1882" t="str">
            <v>Class J26 JPY Hgd (C)</v>
          </cell>
          <cell r="D1882" t="str">
            <v>JPY</v>
          </cell>
          <cell r="E1882" t="str">
            <v>01-Dec-2025</v>
          </cell>
          <cell r="F1882">
            <v>2174214791</v>
          </cell>
          <cell r="G1882">
            <v>20993</v>
          </cell>
          <cell r="H1882">
            <v>103569</v>
          </cell>
          <cell r="I1882">
            <v>0</v>
          </cell>
          <cell r="J1882">
            <v>103569</v>
          </cell>
          <cell r="K1882">
            <v>-2</v>
          </cell>
          <cell r="P1882">
            <v>0</v>
          </cell>
        </row>
        <row r="1883">
          <cell r="A1883" t="str">
            <v>LU1883839984</v>
          </cell>
          <cell r="B1883" t="str">
            <v>AMUNDI FUNDS INCOME OPPORTUNITIES</v>
          </cell>
          <cell r="C1883" t="str">
            <v>Class G EUR (C)</v>
          </cell>
          <cell r="D1883" t="str">
            <v>EUR</v>
          </cell>
          <cell r="E1883" t="str">
            <v>01-Dec-2025</v>
          </cell>
          <cell r="F1883">
            <v>272745356.38999999</v>
          </cell>
          <cell r="G1883">
            <v>36861773.457000002</v>
          </cell>
          <cell r="H1883">
            <v>7.399</v>
          </cell>
          <cell r="I1883">
            <v>0</v>
          </cell>
          <cell r="J1883">
            <v>7.399</v>
          </cell>
          <cell r="K1883">
            <v>-1.9E-2</v>
          </cell>
          <cell r="P1883">
            <v>0</v>
          </cell>
        </row>
        <row r="1884">
          <cell r="A1884" t="str">
            <v>LU1883840131</v>
          </cell>
          <cell r="B1884" t="str">
            <v>AMUNDI FUNDS INCOME OPPORTUNITIES</v>
          </cell>
          <cell r="C1884" t="str">
            <v>Class G EUR Hgd QTI (D)</v>
          </cell>
          <cell r="D1884" t="str">
            <v>EUR</v>
          </cell>
          <cell r="E1884" t="str">
            <v>01-Dec-2025</v>
          </cell>
          <cell r="F1884">
            <v>49575285.82</v>
          </cell>
          <cell r="G1884">
            <v>9596423.0749999993</v>
          </cell>
          <cell r="H1884">
            <v>5.1660000000000004</v>
          </cell>
          <cell r="I1884">
            <v>0</v>
          </cell>
          <cell r="J1884">
            <v>5.1660000000000004</v>
          </cell>
          <cell r="K1884">
            <v>-2E-3</v>
          </cell>
          <cell r="P1884">
            <v>0</v>
          </cell>
        </row>
        <row r="1885">
          <cell r="A1885" t="str">
            <v>LU1883840214</v>
          </cell>
          <cell r="B1885" t="str">
            <v>AMUNDI FUNDS INCOME OPPORTUNITIES</v>
          </cell>
          <cell r="C1885" t="str">
            <v>Class G EUR QTI (D)</v>
          </cell>
          <cell r="D1885" t="str">
            <v>EUR</v>
          </cell>
          <cell r="E1885" t="str">
            <v>01-Dec-2025</v>
          </cell>
          <cell r="F1885">
            <v>173327975.38999999</v>
          </cell>
          <cell r="G1885">
            <v>32516704.412</v>
          </cell>
          <cell r="H1885">
            <v>5.33</v>
          </cell>
          <cell r="I1885">
            <v>0</v>
          </cell>
          <cell r="J1885">
            <v>5.33</v>
          </cell>
          <cell r="K1885">
            <v>-1.4E-2</v>
          </cell>
          <cell r="P1885">
            <v>0</v>
          </cell>
        </row>
        <row r="1886">
          <cell r="A1886" t="str">
            <v>LU1894681482</v>
          </cell>
          <cell r="B1886" t="str">
            <v>AMUNDI FUNDS INCOME OPPORTUNITIES</v>
          </cell>
          <cell r="C1886" t="str">
            <v>Class G EUR PHgd QTI (D)</v>
          </cell>
          <cell r="D1886" t="str">
            <v>EUR</v>
          </cell>
          <cell r="E1886" t="str">
            <v>01-Dec-2025</v>
          </cell>
          <cell r="F1886">
            <v>292136719.45999998</v>
          </cell>
          <cell r="G1886">
            <v>53216764.572999999</v>
          </cell>
          <cell r="H1886">
            <v>5.49</v>
          </cell>
          <cell r="I1886">
            <v>0</v>
          </cell>
          <cell r="J1886">
            <v>5.49</v>
          </cell>
          <cell r="K1886">
            <v>-8.0000000000000002E-3</v>
          </cell>
          <cell r="P1886">
            <v>0</v>
          </cell>
        </row>
        <row r="1887">
          <cell r="A1887" t="str">
            <v>LU1883840057</v>
          </cell>
          <cell r="B1887" t="str">
            <v>AMUNDI FUNDS INCOME OPPORTUNITIES</v>
          </cell>
          <cell r="C1887" t="str">
            <v>Class G EUR Hgd (C)</v>
          </cell>
          <cell r="D1887" t="str">
            <v>EUR</v>
          </cell>
          <cell r="E1887" t="str">
            <v>01-Dec-2025</v>
          </cell>
          <cell r="F1887">
            <v>93372187.510000005</v>
          </cell>
          <cell r="G1887">
            <v>14675364.927999999</v>
          </cell>
          <cell r="H1887">
            <v>6.3630000000000004</v>
          </cell>
          <cell r="I1887">
            <v>0</v>
          </cell>
          <cell r="J1887">
            <v>6.3630000000000004</v>
          </cell>
          <cell r="K1887">
            <v>-3.0000000000000001E-3</v>
          </cell>
          <cell r="P1887">
            <v>0</v>
          </cell>
        </row>
        <row r="1888">
          <cell r="A1888" t="str">
            <v>LU1894681052</v>
          </cell>
          <cell r="B1888" t="str">
            <v>AMUNDI FUNDS INCOME OPPORTUNITIES</v>
          </cell>
          <cell r="C1888" t="str">
            <v>Class A2 EUR QTD (D)</v>
          </cell>
          <cell r="D1888" t="str">
            <v>EUR</v>
          </cell>
          <cell r="E1888" t="str">
            <v>01-Dec-2025</v>
          </cell>
          <cell r="F1888">
            <v>9574331.2699999996</v>
          </cell>
          <cell r="G1888">
            <v>191204.291</v>
          </cell>
          <cell r="H1888">
            <v>50.07</v>
          </cell>
          <cell r="I1888">
            <v>0</v>
          </cell>
          <cell r="J1888">
            <v>52.32</v>
          </cell>
          <cell r="K1888">
            <v>-0.11</v>
          </cell>
          <cell r="P1888">
            <v>0</v>
          </cell>
        </row>
        <row r="1889">
          <cell r="A1889" t="str">
            <v>LU1883839398</v>
          </cell>
          <cell r="B1889" t="str">
            <v>AMUNDI FUNDS INCOME OPPORTUNITIES</v>
          </cell>
          <cell r="C1889" t="str">
            <v>Class A2 USD (C)</v>
          </cell>
          <cell r="D1889" t="str">
            <v>USD</v>
          </cell>
          <cell r="E1889" t="str">
            <v>01-Dec-2025</v>
          </cell>
          <cell r="F1889">
            <v>137490458.66999999</v>
          </cell>
          <cell r="G1889">
            <v>1785402.963</v>
          </cell>
          <cell r="H1889">
            <v>77.010000000000005</v>
          </cell>
          <cell r="I1889">
            <v>0</v>
          </cell>
          <cell r="J1889">
            <v>80.48</v>
          </cell>
          <cell r="K1889">
            <v>0</v>
          </cell>
          <cell r="P1889">
            <v>0</v>
          </cell>
        </row>
        <row r="1890">
          <cell r="A1890" t="str">
            <v>LU1883840560</v>
          </cell>
          <cell r="B1890" t="str">
            <v>AMUNDI FUNDS INCOME OPPORTUNITIES</v>
          </cell>
          <cell r="C1890" t="str">
            <v>Class P2 USD (C)</v>
          </cell>
          <cell r="D1890" t="str">
            <v>USD</v>
          </cell>
          <cell r="E1890" t="str">
            <v>01-Dec-2025</v>
          </cell>
          <cell r="F1890">
            <v>10044011.57</v>
          </cell>
          <cell r="G1890">
            <v>123494.277</v>
          </cell>
          <cell r="H1890">
            <v>81.33</v>
          </cell>
          <cell r="I1890">
            <v>0</v>
          </cell>
          <cell r="J1890">
            <v>81.33</v>
          </cell>
          <cell r="K1890">
            <v>0</v>
          </cell>
          <cell r="P1890">
            <v>0</v>
          </cell>
        </row>
        <row r="1891">
          <cell r="A1891" t="str">
            <v>LU1894682290</v>
          </cell>
          <cell r="B1891" t="str">
            <v>AMUNDI FUNDS INCOME OPPORTUNITIES</v>
          </cell>
          <cell r="C1891" t="str">
            <v>Class R2 USD (C)</v>
          </cell>
          <cell r="D1891" t="str">
            <v>USD</v>
          </cell>
          <cell r="E1891" t="str">
            <v>01-Dec-2025</v>
          </cell>
          <cell r="F1891">
            <v>362137.64</v>
          </cell>
          <cell r="G1891">
            <v>4373.1499999999996</v>
          </cell>
          <cell r="H1891">
            <v>82.81</v>
          </cell>
          <cell r="I1891">
            <v>0</v>
          </cell>
          <cell r="J1891">
            <v>82.81</v>
          </cell>
          <cell r="K1891">
            <v>0.01</v>
          </cell>
          <cell r="P1891">
            <v>0</v>
          </cell>
        </row>
        <row r="1892">
          <cell r="A1892" t="str">
            <v>LU1894681136</v>
          </cell>
          <cell r="B1892" t="str">
            <v>AMUNDI FUNDS INCOME OPPORTUNITIES</v>
          </cell>
          <cell r="C1892" t="str">
            <v>Class A2 USD MGI (D)</v>
          </cell>
          <cell r="D1892" t="str">
            <v>USD</v>
          </cell>
          <cell r="E1892" t="str">
            <v>01-Dec-2025</v>
          </cell>
          <cell r="F1892">
            <v>197194.67</v>
          </cell>
          <cell r="G1892">
            <v>4105.7190000000001</v>
          </cell>
          <cell r="H1892">
            <v>48.03</v>
          </cell>
          <cell r="I1892">
            <v>0.22389500000000001</v>
          </cell>
          <cell r="J1892">
            <v>50.19</v>
          </cell>
          <cell r="K1892">
            <v>-0.22</v>
          </cell>
          <cell r="P1892">
            <v>0</v>
          </cell>
        </row>
        <row r="1893">
          <cell r="A1893" t="str">
            <v>LU3208803273</v>
          </cell>
          <cell r="B1893" t="str">
            <v>AMUNDI FUNDS INCOME OPPORTUNITIES</v>
          </cell>
          <cell r="C1893" t="str">
            <v>Class X2 EUR (C)</v>
          </cell>
          <cell r="D1893" t="str">
            <v>EUR</v>
          </cell>
          <cell r="E1893" t="str">
            <v>01-Dec-2025</v>
          </cell>
          <cell r="F1893">
            <v>5034.12</v>
          </cell>
          <cell r="G1893">
            <v>5</v>
          </cell>
          <cell r="H1893">
            <v>1006.82</v>
          </cell>
          <cell r="I1893">
            <v>0</v>
          </cell>
          <cell r="J1893">
            <v>1006.82</v>
          </cell>
          <cell r="K1893">
            <v>-1.99</v>
          </cell>
          <cell r="P1893">
            <v>0</v>
          </cell>
        </row>
        <row r="1894">
          <cell r="A1894" t="str">
            <v>LU1880406910</v>
          </cell>
          <cell r="B1894" t="str">
            <v>AMUNDI FUNDS EUROPE EQUITY CLIMATE</v>
          </cell>
          <cell r="C1894" t="str">
            <v>Class A EUR AD (D)</v>
          </cell>
          <cell r="D1894" t="str">
            <v>EUR</v>
          </cell>
          <cell r="E1894" t="str">
            <v>01-Dec-2025</v>
          </cell>
          <cell r="F1894">
            <v>3134551.47</v>
          </cell>
          <cell r="G1894">
            <v>41935.552000000003</v>
          </cell>
          <cell r="H1894">
            <v>74.75</v>
          </cell>
          <cell r="I1894">
            <v>0</v>
          </cell>
          <cell r="J1894">
            <v>78.11</v>
          </cell>
          <cell r="K1894">
            <v>-0.14000000000000001</v>
          </cell>
          <cell r="P1894">
            <v>0</v>
          </cell>
        </row>
        <row r="1895">
          <cell r="A1895" t="str">
            <v>LU1883868819</v>
          </cell>
          <cell r="B1895" t="str">
            <v>AMUNDI FUNDS EUROPE EQUITY CLIMATE</v>
          </cell>
          <cell r="C1895" t="str">
            <v>Class A EUR (C)</v>
          </cell>
          <cell r="D1895" t="str">
            <v>EUR</v>
          </cell>
          <cell r="E1895" t="str">
            <v>01-Dec-2025</v>
          </cell>
          <cell r="F1895">
            <v>198533766.56</v>
          </cell>
          <cell r="G1895">
            <v>15367014.988</v>
          </cell>
          <cell r="H1895">
            <v>12.92</v>
          </cell>
          <cell r="I1895">
            <v>0</v>
          </cell>
          <cell r="J1895">
            <v>13.5</v>
          </cell>
          <cell r="K1895">
            <v>-0.03</v>
          </cell>
          <cell r="P1895">
            <v>0</v>
          </cell>
        </row>
        <row r="1896">
          <cell r="A1896" t="str">
            <v>LU1880407132</v>
          </cell>
          <cell r="B1896" t="str">
            <v>AMUNDI FUNDS EUROPE EQUITY CLIMATE</v>
          </cell>
          <cell r="C1896" t="str">
            <v>Class A2 USD (C)</v>
          </cell>
          <cell r="D1896" t="str">
            <v>USD</v>
          </cell>
          <cell r="E1896" t="str">
            <v>01-Dec-2025</v>
          </cell>
          <cell r="F1896">
            <v>2018099.97</v>
          </cell>
          <cell r="G1896">
            <v>24404.592000000001</v>
          </cell>
          <cell r="H1896">
            <v>82.69</v>
          </cell>
          <cell r="I1896">
            <v>0</v>
          </cell>
          <cell r="J1896">
            <v>82.69</v>
          </cell>
          <cell r="K1896">
            <v>0</v>
          </cell>
          <cell r="P1896">
            <v>0</v>
          </cell>
        </row>
        <row r="1897">
          <cell r="A1897" t="str">
            <v>LU3081004130</v>
          </cell>
          <cell r="B1897" t="str">
            <v>AMUNDI FUNDS EUROPE EQUITY CLIMATE</v>
          </cell>
          <cell r="C1897" t="str">
            <v>Class A2 EUR (C)</v>
          </cell>
          <cell r="D1897" t="str">
            <v>EUR</v>
          </cell>
          <cell r="E1897" t="str">
            <v>01-Dec-2025</v>
          </cell>
          <cell r="F1897">
            <v>2794492.74</v>
          </cell>
          <cell r="G1897">
            <v>56005.517</v>
          </cell>
          <cell r="H1897">
            <v>49.9</v>
          </cell>
          <cell r="I1897">
            <v>0</v>
          </cell>
          <cell r="J1897">
            <v>52.15</v>
          </cell>
          <cell r="K1897">
            <v>0</v>
          </cell>
          <cell r="P1897">
            <v>0</v>
          </cell>
        </row>
        <row r="1898">
          <cell r="A1898" t="str">
            <v>LU2070308569</v>
          </cell>
          <cell r="B1898" t="str">
            <v>AMUNDI FUNDS EUROPE EQUITY CLIMATE</v>
          </cell>
          <cell r="C1898" t="str">
            <v>Class A5 EUR (C)</v>
          </cell>
          <cell r="D1898" t="str">
            <v>EUR</v>
          </cell>
          <cell r="E1898" t="str">
            <v>01-Dec-2025</v>
          </cell>
          <cell r="F1898">
            <v>29619.65</v>
          </cell>
          <cell r="G1898">
            <v>391.08</v>
          </cell>
          <cell r="H1898">
            <v>75.739999999999995</v>
          </cell>
          <cell r="I1898">
            <v>0</v>
          </cell>
          <cell r="J1898">
            <v>75.739999999999995</v>
          </cell>
          <cell r="K1898">
            <v>-0.15</v>
          </cell>
          <cell r="P1898">
            <v>0</v>
          </cell>
        </row>
        <row r="1899">
          <cell r="A1899" t="str">
            <v>LU1883869031</v>
          </cell>
          <cell r="B1899" t="str">
            <v>AMUNDI FUNDS EUROPE EQUITY CLIMATE</v>
          </cell>
          <cell r="C1899" t="str">
            <v>Class A USD AD (D)</v>
          </cell>
          <cell r="D1899" t="str">
            <v>USD</v>
          </cell>
          <cell r="E1899" t="str">
            <v>01-Dec-2025</v>
          </cell>
          <cell r="F1899">
            <v>531234.51</v>
          </cell>
          <cell r="G1899">
            <v>41693.966999999997</v>
          </cell>
          <cell r="H1899">
            <v>12.74</v>
          </cell>
          <cell r="I1899">
            <v>0</v>
          </cell>
          <cell r="J1899">
            <v>13.31</v>
          </cell>
          <cell r="K1899">
            <v>0</v>
          </cell>
          <cell r="P1899">
            <v>0</v>
          </cell>
        </row>
        <row r="1900">
          <cell r="A1900" t="str">
            <v>LU3081004213</v>
          </cell>
          <cell r="B1900" t="str">
            <v>AMUNDI FUNDS EUROPE EQUITY CLIMATE</v>
          </cell>
          <cell r="C1900" t="str">
            <v>Class A2 USD Hgd (C)</v>
          </cell>
          <cell r="D1900" t="str">
            <v>USD</v>
          </cell>
          <cell r="E1900" t="str">
            <v>01-Dec-2025</v>
          </cell>
          <cell r="F1900">
            <v>2544494.4500000002</v>
          </cell>
          <cell r="G1900">
            <v>50952.826000000001</v>
          </cell>
          <cell r="H1900">
            <v>49.94</v>
          </cell>
          <cell r="I1900">
            <v>0</v>
          </cell>
          <cell r="J1900">
            <v>52.19</v>
          </cell>
          <cell r="K1900">
            <v>49.94</v>
          </cell>
          <cell r="P1900">
            <v>0</v>
          </cell>
        </row>
        <row r="1901">
          <cell r="A1901" t="str">
            <v>LU1883869114</v>
          </cell>
          <cell r="B1901" t="str">
            <v>AMUNDI FUNDS EUROPE EQUITY CLIMATE</v>
          </cell>
          <cell r="C1901" t="str">
            <v>Class A USD Hgd (C)</v>
          </cell>
          <cell r="D1901" t="str">
            <v>USD</v>
          </cell>
          <cell r="E1901" t="str">
            <v>01-Dec-2025</v>
          </cell>
          <cell r="F1901">
            <v>3041442.16</v>
          </cell>
          <cell r="G1901">
            <v>27096.174999999999</v>
          </cell>
          <cell r="H1901">
            <v>112.25</v>
          </cell>
          <cell r="I1901">
            <v>0</v>
          </cell>
          <cell r="J1901">
            <v>117.3</v>
          </cell>
          <cell r="K1901">
            <v>-0.14000000000000001</v>
          </cell>
          <cell r="P1901">
            <v>0</v>
          </cell>
        </row>
        <row r="1902">
          <cell r="A1902" t="str">
            <v>LU2762361058</v>
          </cell>
          <cell r="B1902" t="str">
            <v>AMUNDI FUNDS EUROPE EQUITY CLIMATE</v>
          </cell>
          <cell r="C1902" t="str">
            <v>Class A2 CHF Hgd (C)</v>
          </cell>
          <cell r="D1902" t="str">
            <v>CHF</v>
          </cell>
          <cell r="E1902" t="str">
            <v>01-Dec-2025</v>
          </cell>
          <cell r="F1902">
            <v>379487.94</v>
          </cell>
          <cell r="G1902">
            <v>7333.7389999999996</v>
          </cell>
          <cell r="H1902">
            <v>51.75</v>
          </cell>
          <cell r="I1902">
            <v>0</v>
          </cell>
          <cell r="J1902">
            <v>51.75</v>
          </cell>
          <cell r="K1902">
            <v>-7.0000000000000007E-2</v>
          </cell>
          <cell r="P1902">
            <v>0</v>
          </cell>
        </row>
        <row r="1903">
          <cell r="A1903" t="str">
            <v>LU1883868736</v>
          </cell>
          <cell r="B1903" t="str">
            <v>AMUNDI FUNDS EUROPE EQUITY CLIMATE</v>
          </cell>
          <cell r="C1903" t="str">
            <v>Class A CZK Hgd (C)</v>
          </cell>
          <cell r="D1903" t="str">
            <v>CZK</v>
          </cell>
          <cell r="E1903" t="str">
            <v>01-Dec-2025</v>
          </cell>
          <cell r="F1903">
            <v>1962712222.54</v>
          </cell>
          <cell r="G1903">
            <v>546097.43700000003</v>
          </cell>
          <cell r="H1903">
            <v>3594.07</v>
          </cell>
          <cell r="I1903">
            <v>0</v>
          </cell>
          <cell r="J1903">
            <v>3755.8</v>
          </cell>
          <cell r="K1903">
            <v>-4.54</v>
          </cell>
          <cell r="P1903">
            <v>0</v>
          </cell>
        </row>
        <row r="1904">
          <cell r="A1904" t="str">
            <v>LU1883868900</v>
          </cell>
          <cell r="B1904" t="str">
            <v>AMUNDI FUNDS EUROPE EQUITY CLIMATE</v>
          </cell>
          <cell r="C1904" t="str">
            <v>Class A USD (C)</v>
          </cell>
          <cell r="D1904" t="str">
            <v>USD</v>
          </cell>
          <cell r="E1904" t="str">
            <v>01-Dec-2025</v>
          </cell>
          <cell r="F1904">
            <v>7422159.4199999999</v>
          </cell>
          <cell r="G1904">
            <v>493824.89</v>
          </cell>
          <cell r="H1904">
            <v>15.03</v>
          </cell>
          <cell r="I1904">
            <v>0</v>
          </cell>
          <cell r="J1904">
            <v>15.71</v>
          </cell>
          <cell r="K1904">
            <v>0</v>
          </cell>
          <cell r="P1904">
            <v>0</v>
          </cell>
        </row>
        <row r="1905">
          <cell r="A1905" t="str">
            <v>LU1883869205</v>
          </cell>
          <cell r="B1905" t="str">
            <v>AMUNDI FUNDS EUROPE EQUITY CLIMATE</v>
          </cell>
          <cell r="C1905" t="str">
            <v>Class B EUR (C)</v>
          </cell>
          <cell r="D1905" t="str">
            <v>EUR</v>
          </cell>
          <cell r="E1905" t="str">
            <v>01-Dec-2025</v>
          </cell>
          <cell r="F1905">
            <v>48004.82</v>
          </cell>
          <cell r="G1905">
            <v>4768.759</v>
          </cell>
          <cell r="H1905">
            <v>10.07</v>
          </cell>
          <cell r="I1905">
            <v>0</v>
          </cell>
          <cell r="J1905">
            <v>10.07</v>
          </cell>
          <cell r="K1905">
            <v>-0.02</v>
          </cell>
          <cell r="P1905">
            <v>0</v>
          </cell>
        </row>
        <row r="1906">
          <cell r="A1906" t="str">
            <v>LU1883870807</v>
          </cell>
          <cell r="B1906" t="str">
            <v>AMUNDI FUNDS EUROPE EQUITY CLIMATE</v>
          </cell>
          <cell r="C1906" t="str">
            <v>Class M2 EUR (C)</v>
          </cell>
          <cell r="D1906" t="str">
            <v>EUR</v>
          </cell>
          <cell r="E1906" t="str">
            <v>01-Dec-2025</v>
          </cell>
          <cell r="F1906">
            <v>71569306.810000002</v>
          </cell>
          <cell r="G1906">
            <v>29868.451000000001</v>
          </cell>
          <cell r="H1906">
            <v>2396.15</v>
          </cell>
          <cell r="I1906">
            <v>0</v>
          </cell>
          <cell r="J1906">
            <v>2396.15</v>
          </cell>
          <cell r="K1906">
            <v>-4.55</v>
          </cell>
          <cell r="P1906">
            <v>0</v>
          </cell>
        </row>
        <row r="1907">
          <cell r="A1907" t="str">
            <v>LU1883869387</v>
          </cell>
          <cell r="B1907" t="str">
            <v>AMUNDI FUNDS EUROPE EQUITY CLIMATE</v>
          </cell>
          <cell r="C1907" t="str">
            <v>Class B USD (C)</v>
          </cell>
          <cell r="D1907" t="str">
            <v>USD</v>
          </cell>
          <cell r="E1907" t="str">
            <v>01-Dec-2025</v>
          </cell>
          <cell r="F1907">
            <v>213253.47</v>
          </cell>
          <cell r="G1907">
            <v>18255.032999999999</v>
          </cell>
          <cell r="H1907">
            <v>11.68</v>
          </cell>
          <cell r="I1907">
            <v>0</v>
          </cell>
          <cell r="J1907">
            <v>11.68</v>
          </cell>
          <cell r="K1907">
            <v>0</v>
          </cell>
          <cell r="P1907">
            <v>0</v>
          </cell>
        </row>
        <row r="1908">
          <cell r="A1908" t="str">
            <v>LU1883869973</v>
          </cell>
          <cell r="B1908" t="str">
            <v>AMUNDI FUNDS EUROPE EQUITY CLIMATE</v>
          </cell>
          <cell r="C1908" t="str">
            <v>Class E2 EUR (C)</v>
          </cell>
          <cell r="D1908" t="str">
            <v>EUR</v>
          </cell>
          <cell r="E1908" t="str">
            <v>01-Dec-2025</v>
          </cell>
          <cell r="F1908">
            <v>105407334.52</v>
          </cell>
          <cell r="G1908">
            <v>7607608.1260000002</v>
          </cell>
          <cell r="H1908">
            <v>13.856</v>
          </cell>
          <cell r="I1908">
            <v>0</v>
          </cell>
          <cell r="J1908">
            <v>13.856</v>
          </cell>
          <cell r="K1908">
            <v>-2.7E-2</v>
          </cell>
          <cell r="P1908">
            <v>0</v>
          </cell>
        </row>
        <row r="1909">
          <cell r="A1909" t="str">
            <v>LU1883870047</v>
          </cell>
          <cell r="B1909" t="str">
            <v>AMUNDI FUNDS EUROPE EQUITY CLIMATE</v>
          </cell>
          <cell r="C1909" t="str">
            <v>Class F EUR (C)</v>
          </cell>
          <cell r="D1909" t="str">
            <v>EUR</v>
          </cell>
          <cell r="E1909" t="str">
            <v>01-Dec-2025</v>
          </cell>
          <cell r="F1909">
            <v>49945548.479999997</v>
          </cell>
          <cell r="G1909">
            <v>4474655.53</v>
          </cell>
          <cell r="H1909">
            <v>11.162000000000001</v>
          </cell>
          <cell r="I1909">
            <v>0</v>
          </cell>
          <cell r="J1909">
            <v>11.162000000000001</v>
          </cell>
          <cell r="K1909">
            <v>-2.3E-2</v>
          </cell>
          <cell r="P1909">
            <v>0</v>
          </cell>
        </row>
        <row r="1910">
          <cell r="A1910" t="str">
            <v>LU1880407306</v>
          </cell>
          <cell r="B1910" t="str">
            <v>AMUNDI FUNDS EUROPE EQUITY CLIMATE</v>
          </cell>
          <cell r="C1910" t="str">
            <v>Class F2 EUR (C)</v>
          </cell>
          <cell r="D1910" t="str">
            <v>EUR</v>
          </cell>
          <cell r="E1910" t="str">
            <v>01-Dec-2025</v>
          </cell>
          <cell r="F1910">
            <v>192962.09</v>
          </cell>
          <cell r="G1910">
            <v>25706.047999999999</v>
          </cell>
          <cell r="H1910">
            <v>7.5060000000000002</v>
          </cell>
          <cell r="I1910">
            <v>0</v>
          </cell>
          <cell r="J1910">
            <v>7.5060000000000002</v>
          </cell>
          <cell r="K1910">
            <v>-1.6E-2</v>
          </cell>
          <cell r="P1910">
            <v>0</v>
          </cell>
        </row>
        <row r="1911">
          <cell r="A1911" t="str">
            <v>LU1883870476</v>
          </cell>
          <cell r="B1911" t="str">
            <v>AMUNDI FUNDS EUROPE EQUITY CLIMATE</v>
          </cell>
          <cell r="C1911" t="str">
            <v>Class I2 USD (C)</v>
          </cell>
          <cell r="D1911" t="str">
            <v>USD</v>
          </cell>
          <cell r="E1911" t="str">
            <v>01-Dec-2025</v>
          </cell>
          <cell r="F1911">
            <v>3989282.59</v>
          </cell>
          <cell r="G1911">
            <v>200610.351</v>
          </cell>
          <cell r="H1911">
            <v>19.89</v>
          </cell>
          <cell r="I1911">
            <v>0</v>
          </cell>
          <cell r="J1911">
            <v>19.89</v>
          </cell>
          <cell r="K1911">
            <v>0.01</v>
          </cell>
          <cell r="P1911">
            <v>0</v>
          </cell>
        </row>
        <row r="1912">
          <cell r="A1912" t="str">
            <v>LU1883870393</v>
          </cell>
          <cell r="B1912" t="str">
            <v>AMUNDI FUNDS EUROPE EQUITY CLIMATE</v>
          </cell>
          <cell r="C1912" t="str">
            <v>Class I2 EUR (C)</v>
          </cell>
          <cell r="D1912" t="str">
            <v>EUR</v>
          </cell>
          <cell r="E1912" t="str">
            <v>01-Dec-2025</v>
          </cell>
          <cell r="F1912">
            <v>2974434.23</v>
          </cell>
          <cell r="G1912">
            <v>173983</v>
          </cell>
          <cell r="H1912">
            <v>17.100000000000001</v>
          </cell>
          <cell r="I1912">
            <v>0</v>
          </cell>
          <cell r="J1912">
            <v>17.100000000000001</v>
          </cell>
          <cell r="K1912">
            <v>-0.03</v>
          </cell>
          <cell r="P1912">
            <v>0</v>
          </cell>
        </row>
        <row r="1913">
          <cell r="A1913" t="str">
            <v>LU1883870120</v>
          </cell>
          <cell r="B1913" t="str">
            <v>AMUNDI FUNDS EUROPE EQUITY CLIMATE</v>
          </cell>
          <cell r="C1913" t="str">
            <v>Class G EUR (C)</v>
          </cell>
          <cell r="D1913" t="str">
            <v>EUR</v>
          </cell>
          <cell r="E1913" t="str">
            <v>01-Dec-2025</v>
          </cell>
          <cell r="F1913">
            <v>4770062.0199999996</v>
          </cell>
          <cell r="G1913">
            <v>660543.41200000001</v>
          </cell>
          <cell r="H1913">
            <v>7.2210000000000001</v>
          </cell>
          <cell r="I1913">
            <v>0</v>
          </cell>
          <cell r="J1913">
            <v>7.2210000000000001</v>
          </cell>
          <cell r="K1913">
            <v>-1.4999999999999999E-2</v>
          </cell>
          <cell r="P1913">
            <v>0</v>
          </cell>
        </row>
        <row r="1914">
          <cell r="A1914" t="str">
            <v>LU1883871102</v>
          </cell>
          <cell r="B1914" t="str">
            <v>AMUNDI FUNDS EUROPE EQUITY CLIMATE</v>
          </cell>
          <cell r="C1914" t="str">
            <v>Class R2 EUR (C)</v>
          </cell>
          <cell r="D1914" t="str">
            <v>EUR</v>
          </cell>
          <cell r="E1914" t="str">
            <v>01-Dec-2025</v>
          </cell>
          <cell r="F1914">
            <v>5144595.93</v>
          </cell>
          <cell r="G1914">
            <v>47547.817999999999</v>
          </cell>
          <cell r="H1914">
            <v>108.2</v>
          </cell>
          <cell r="I1914">
            <v>0</v>
          </cell>
          <cell r="J1914">
            <v>108.2</v>
          </cell>
          <cell r="K1914">
            <v>-0.21</v>
          </cell>
          <cell r="P1914">
            <v>0</v>
          </cell>
        </row>
        <row r="1915">
          <cell r="A1915" t="str">
            <v>LU1883871284</v>
          </cell>
          <cell r="B1915" t="str">
            <v>AMUNDI FUNDS EUROPE EQUITY CLIMATE</v>
          </cell>
          <cell r="C1915" t="str">
            <v>Class R2 GBP (C)</v>
          </cell>
          <cell r="D1915" t="str">
            <v>GBP</v>
          </cell>
          <cell r="E1915" t="str">
            <v>01-Dec-2025</v>
          </cell>
          <cell r="F1915">
            <v>66899.23</v>
          </cell>
          <cell r="G1915">
            <v>464.75200000000001</v>
          </cell>
          <cell r="H1915">
            <v>143.94999999999999</v>
          </cell>
          <cell r="I1915">
            <v>0</v>
          </cell>
          <cell r="J1915">
            <v>143.94999999999999</v>
          </cell>
          <cell r="K1915">
            <v>0.01</v>
          </cell>
          <cell r="P1915">
            <v>0</v>
          </cell>
        </row>
        <row r="1916">
          <cell r="A1916" t="str">
            <v>LU1883871441</v>
          </cell>
          <cell r="B1916" t="str">
            <v>AMUNDI FUNDS EUROPE EQUITY CLIMATE</v>
          </cell>
          <cell r="C1916" t="str">
            <v>Class R2 USD Hgd (C)</v>
          </cell>
          <cell r="D1916" t="str">
            <v>USD</v>
          </cell>
          <cell r="E1916" t="str">
            <v>01-Dec-2025</v>
          </cell>
          <cell r="F1916">
            <v>73960.759999999995</v>
          </cell>
          <cell r="G1916">
            <v>755.40599999999995</v>
          </cell>
          <cell r="H1916">
            <v>97.91</v>
          </cell>
          <cell r="I1916">
            <v>0</v>
          </cell>
          <cell r="J1916">
            <v>97.91</v>
          </cell>
          <cell r="K1916">
            <v>-0.12</v>
          </cell>
          <cell r="P1916">
            <v>0</v>
          </cell>
        </row>
        <row r="1917">
          <cell r="A1917" t="str">
            <v>LU1883870989</v>
          </cell>
          <cell r="B1917" t="str">
            <v>AMUNDI FUNDS EUROPE EQUITY CLIMATE</v>
          </cell>
          <cell r="C1917" t="str">
            <v>Class P2 USD (C)</v>
          </cell>
          <cell r="D1917" t="str">
            <v>USD</v>
          </cell>
          <cell r="E1917" t="str">
            <v>01-Dec-2025</v>
          </cell>
          <cell r="F1917">
            <v>38554.550000000003</v>
          </cell>
          <cell r="G1917">
            <v>385.68700000000001</v>
          </cell>
          <cell r="H1917">
            <v>99.96</v>
          </cell>
          <cell r="I1917">
            <v>0</v>
          </cell>
          <cell r="J1917">
            <v>99.96</v>
          </cell>
          <cell r="K1917">
            <v>0.01</v>
          </cell>
          <cell r="P1917">
            <v>0</v>
          </cell>
        </row>
        <row r="1918">
          <cell r="A1918" t="str">
            <v>LU1883871011</v>
          </cell>
          <cell r="B1918" t="str">
            <v>AMUNDI FUNDS EUROPE EQUITY CLIMATE</v>
          </cell>
          <cell r="C1918" t="str">
            <v>Class P2 USD Hgd (C)</v>
          </cell>
          <cell r="D1918" t="str">
            <v>USD</v>
          </cell>
          <cell r="E1918" t="str">
            <v>01-Dec-2025</v>
          </cell>
          <cell r="F1918">
            <v>172427.21</v>
          </cell>
          <cell r="G1918">
            <v>1554.4570000000001</v>
          </cell>
          <cell r="H1918">
            <v>110.92</v>
          </cell>
          <cell r="I1918">
            <v>0</v>
          </cell>
          <cell r="J1918">
            <v>110.92</v>
          </cell>
          <cell r="K1918">
            <v>-0.14000000000000001</v>
          </cell>
          <cell r="P1918">
            <v>0</v>
          </cell>
        </row>
        <row r="1919">
          <cell r="A1919" t="str">
            <v>LU1883872092</v>
          </cell>
          <cell r="B1919" t="str">
            <v>AMUNDI FUNDS EUROPE EQUITY CLIMATE</v>
          </cell>
          <cell r="C1919" t="str">
            <v>Class U USD (C)</v>
          </cell>
          <cell r="D1919" t="str">
            <v>USD</v>
          </cell>
          <cell r="E1919" t="str">
            <v>01-Dec-2025</v>
          </cell>
          <cell r="F1919">
            <v>209443.62</v>
          </cell>
          <cell r="G1919">
            <v>2727.373</v>
          </cell>
          <cell r="H1919">
            <v>76.790000000000006</v>
          </cell>
          <cell r="I1919">
            <v>0</v>
          </cell>
          <cell r="J1919">
            <v>76.790000000000006</v>
          </cell>
          <cell r="K1919">
            <v>0</v>
          </cell>
          <cell r="P1919">
            <v>0</v>
          </cell>
        </row>
        <row r="1920">
          <cell r="A1920" t="str">
            <v>LU1883871953</v>
          </cell>
          <cell r="B1920" t="str">
            <v>AMUNDI FUNDS EUROPE EQUITY CLIMATE</v>
          </cell>
          <cell r="C1920" t="str">
            <v>Class U EUR (C)</v>
          </cell>
          <cell r="D1920" t="str">
            <v>EUR</v>
          </cell>
          <cell r="E1920" t="str">
            <v>01-Dec-2025</v>
          </cell>
          <cell r="F1920">
            <v>485689.9</v>
          </cell>
          <cell r="G1920">
            <v>7358.07</v>
          </cell>
          <cell r="H1920">
            <v>66.010000000000005</v>
          </cell>
          <cell r="I1920">
            <v>0</v>
          </cell>
          <cell r="J1920">
            <v>66.010000000000005</v>
          </cell>
          <cell r="K1920">
            <v>-0.13</v>
          </cell>
          <cell r="P1920">
            <v>0</v>
          </cell>
        </row>
        <row r="1921">
          <cell r="A1921" t="str">
            <v>LU1883872175</v>
          </cell>
          <cell r="B1921" t="str">
            <v>AMUNDI FUNDS EUROPE EQUITY CLIMATE</v>
          </cell>
          <cell r="C1921" t="str">
            <v>Class U USD Hgd (C)</v>
          </cell>
          <cell r="D1921" t="str">
            <v>USD</v>
          </cell>
          <cell r="E1921" t="str">
            <v>01-Dec-2025</v>
          </cell>
          <cell r="F1921">
            <v>172715.7</v>
          </cell>
          <cell r="G1921">
            <v>2246.11</v>
          </cell>
          <cell r="H1921">
            <v>76.900000000000006</v>
          </cell>
          <cell r="I1921">
            <v>0</v>
          </cell>
          <cell r="J1921">
            <v>76.900000000000006</v>
          </cell>
          <cell r="K1921">
            <v>-0.1</v>
          </cell>
          <cell r="P1921">
            <v>0</v>
          </cell>
        </row>
        <row r="1922">
          <cell r="A1922" t="str">
            <v>LU1883871367</v>
          </cell>
          <cell r="B1922" t="str">
            <v>AMUNDI FUNDS EUROPE EQUITY CLIMATE</v>
          </cell>
          <cell r="C1922" t="str">
            <v>Class R2 USD (C)</v>
          </cell>
          <cell r="D1922" t="str">
            <v>USD</v>
          </cell>
          <cell r="E1922" t="str">
            <v>01-Dec-2025</v>
          </cell>
          <cell r="F1922">
            <v>117948.84</v>
          </cell>
          <cell r="G1922">
            <v>937.38499999999999</v>
          </cell>
          <cell r="H1922">
            <v>125.83</v>
          </cell>
          <cell r="I1922">
            <v>0</v>
          </cell>
          <cell r="J1922">
            <v>125.83</v>
          </cell>
          <cell r="K1922">
            <v>0.03</v>
          </cell>
          <cell r="P1922">
            <v>0</v>
          </cell>
        </row>
        <row r="1923">
          <cell r="A1923" t="str">
            <v>LU1880407488</v>
          </cell>
          <cell r="B1923" t="str">
            <v>AMUNDI FUNDS EUROPE EQUITY CLIMATE</v>
          </cell>
          <cell r="C1923" t="str">
            <v>Class I EUR (C)</v>
          </cell>
          <cell r="D1923" t="str">
            <v>EUR</v>
          </cell>
          <cell r="E1923" t="str">
            <v>01-Dec-2025</v>
          </cell>
          <cell r="F1923">
            <v>4402.2700000000004</v>
          </cell>
          <cell r="G1923">
            <v>2.6259999999999999</v>
          </cell>
          <cell r="H1923">
            <v>1676.42</v>
          </cell>
          <cell r="I1923">
            <v>0</v>
          </cell>
          <cell r="J1923">
            <v>1676.42</v>
          </cell>
          <cell r="K1923">
            <v>-3.17</v>
          </cell>
          <cell r="P1923">
            <v>0</v>
          </cell>
        </row>
        <row r="1924">
          <cell r="A1924" t="str">
            <v>LU1880408379</v>
          </cell>
          <cell r="B1924" t="str">
            <v>AMUNDI FUNDS EUROPE EQUITY CLIMATE</v>
          </cell>
          <cell r="C1924" t="str">
            <v>Class Z EUR (C)</v>
          </cell>
          <cell r="D1924" t="str">
            <v>EUR</v>
          </cell>
          <cell r="E1924" t="str">
            <v>01-Dec-2025</v>
          </cell>
          <cell r="F1924">
            <v>83180469.810000002</v>
          </cell>
          <cell r="G1924">
            <v>48723.322</v>
          </cell>
          <cell r="H1924">
            <v>1707.2</v>
          </cell>
          <cell r="I1924">
            <v>0</v>
          </cell>
          <cell r="J1924">
            <v>1707.2</v>
          </cell>
          <cell r="K1924">
            <v>-3.21</v>
          </cell>
          <cell r="P1924">
            <v>0</v>
          </cell>
        </row>
        <row r="1925">
          <cell r="A1925" t="str">
            <v>LU1880408452</v>
          </cell>
          <cell r="B1925" t="str">
            <v>AMUNDI FUNDS EUROPE EQUITY CLIMATE</v>
          </cell>
          <cell r="C1925" t="str">
            <v>Class Z EUR AD (D)</v>
          </cell>
          <cell r="D1925" t="str">
            <v>EUR</v>
          </cell>
          <cell r="E1925" t="str">
            <v>01-Dec-2025</v>
          </cell>
          <cell r="F1925">
            <v>43168141.509999998</v>
          </cell>
          <cell r="G1925">
            <v>29240.378000000001</v>
          </cell>
          <cell r="H1925">
            <v>1476.32</v>
          </cell>
          <cell r="I1925">
            <v>0</v>
          </cell>
          <cell r="J1925">
            <v>1476.32</v>
          </cell>
          <cell r="K1925">
            <v>-2.78</v>
          </cell>
          <cell r="P1925">
            <v>0</v>
          </cell>
        </row>
        <row r="1926">
          <cell r="A1926" t="str">
            <v>LU2305762036</v>
          </cell>
          <cell r="B1926" t="str">
            <v>AMUNDI FUNDS EMERGING MARKETS GREEN BOND</v>
          </cell>
          <cell r="C1926" t="str">
            <v>Class A2 USD MTD3 (D)</v>
          </cell>
          <cell r="D1926" t="str">
            <v>USD</v>
          </cell>
          <cell r="E1926" t="str">
            <v>01-Dec-2025</v>
          </cell>
          <cell r="F1926">
            <v>883605.23</v>
          </cell>
          <cell r="G1926">
            <v>25936.845000000001</v>
          </cell>
          <cell r="H1926">
            <v>34.07</v>
          </cell>
          <cell r="I1926">
            <v>0.19239999999999999</v>
          </cell>
          <cell r="J1926">
            <v>34.07</v>
          </cell>
          <cell r="K1926">
            <v>-0.24</v>
          </cell>
          <cell r="P1926">
            <v>0</v>
          </cell>
        </row>
        <row r="1927">
          <cell r="A1927" t="str">
            <v>LU2138387506</v>
          </cell>
          <cell r="B1927" t="str">
            <v>AMUNDI FUNDS EMERGING MARKETS GREEN BOND</v>
          </cell>
          <cell r="C1927" t="str">
            <v>Class A2 USD (C)</v>
          </cell>
          <cell r="D1927" t="str">
            <v>USD</v>
          </cell>
          <cell r="E1927" t="str">
            <v>01-Dec-2025</v>
          </cell>
          <cell r="F1927">
            <v>76867.66</v>
          </cell>
          <cell r="G1927">
            <v>1558.674</v>
          </cell>
          <cell r="H1927">
            <v>49.32</v>
          </cell>
          <cell r="I1927">
            <v>0</v>
          </cell>
          <cell r="J1927">
            <v>51.54</v>
          </cell>
          <cell r="K1927">
            <v>-0.06</v>
          </cell>
          <cell r="P1927">
            <v>0</v>
          </cell>
        </row>
        <row r="1928">
          <cell r="A1928" t="str">
            <v>LU2305762119</v>
          </cell>
          <cell r="B1928" t="str">
            <v>AMUNDI FUNDS EMERGING MARKETS GREEN BOND</v>
          </cell>
          <cell r="C1928" t="str">
            <v>Class A2 HKD MTD3 (D)</v>
          </cell>
          <cell r="D1928" t="str">
            <v>HKD</v>
          </cell>
          <cell r="E1928" t="str">
            <v>01-Dec-2025</v>
          </cell>
          <cell r="F1928">
            <v>16823421.82</v>
          </cell>
          <cell r="G1928">
            <v>493680.47100000002</v>
          </cell>
          <cell r="H1928">
            <v>34.08</v>
          </cell>
          <cell r="I1928">
            <v>0.1938</v>
          </cell>
          <cell r="J1928">
            <v>34.08</v>
          </cell>
          <cell r="K1928">
            <v>-0.23</v>
          </cell>
          <cell r="P1928">
            <v>0</v>
          </cell>
        </row>
        <row r="1929">
          <cell r="A1929" t="str">
            <v>LU2138398024</v>
          </cell>
          <cell r="B1929" t="str">
            <v>AMUNDI FUNDS EMERGING MARKETS GREEN BOND</v>
          </cell>
          <cell r="C1929" t="str">
            <v>Class A USD (C)</v>
          </cell>
          <cell r="D1929" t="str">
            <v>USD</v>
          </cell>
          <cell r="E1929" t="str">
            <v>01-Dec-2025</v>
          </cell>
          <cell r="F1929">
            <v>189360.76</v>
          </cell>
          <cell r="G1929">
            <v>3843</v>
          </cell>
          <cell r="H1929">
            <v>49.27</v>
          </cell>
          <cell r="I1929">
            <v>0</v>
          </cell>
          <cell r="J1929">
            <v>51.49</v>
          </cell>
          <cell r="K1929">
            <v>-7.0000000000000007E-2</v>
          </cell>
          <cell r="P1929">
            <v>0</v>
          </cell>
        </row>
        <row r="1930">
          <cell r="A1930" t="str">
            <v>LU2305763786</v>
          </cell>
          <cell r="B1930" t="str">
            <v>AMUNDI FUNDS EMERGING MARKETS GREEN BOND</v>
          </cell>
          <cell r="C1930" t="str">
            <v>Class A2 RMB Hgd MTD3 (D)</v>
          </cell>
          <cell r="D1930" t="str">
            <v>CNH</v>
          </cell>
          <cell r="E1930" t="str">
            <v>01-Dec-2025</v>
          </cell>
          <cell r="F1930">
            <v>1452451.81</v>
          </cell>
          <cell r="G1930">
            <v>44348.932000000001</v>
          </cell>
          <cell r="H1930">
            <v>32.75</v>
          </cell>
          <cell r="I1930">
            <v>0.1222</v>
          </cell>
          <cell r="J1930">
            <v>32.75</v>
          </cell>
          <cell r="K1930">
            <v>-0.17</v>
          </cell>
          <cell r="P1930">
            <v>0</v>
          </cell>
        </row>
        <row r="1931">
          <cell r="A1931" t="str">
            <v>LU2305762200</v>
          </cell>
          <cell r="B1931" t="str">
            <v>AMUNDI FUNDS EMERGING MARKETS GREEN BOND</v>
          </cell>
          <cell r="C1931" t="str">
            <v>Class A2 AUD Hgd MTD3 (D)</v>
          </cell>
          <cell r="D1931" t="str">
            <v>AUD</v>
          </cell>
          <cell r="E1931" t="str">
            <v>01-Dec-2025</v>
          </cell>
          <cell r="F1931">
            <v>336327.2</v>
          </cell>
          <cell r="G1931">
            <v>10061.887000000001</v>
          </cell>
          <cell r="H1931">
            <v>33.43</v>
          </cell>
          <cell r="I1931">
            <v>0.1799</v>
          </cell>
          <cell r="J1931">
            <v>33.43</v>
          </cell>
          <cell r="K1931">
            <v>-0.22</v>
          </cell>
          <cell r="P1931">
            <v>0</v>
          </cell>
        </row>
        <row r="1932">
          <cell r="A1932" t="str">
            <v>LU2138390393</v>
          </cell>
          <cell r="B1932" t="str">
            <v>AMUNDI FUNDS EMERGING MARKETS GREEN BOND</v>
          </cell>
          <cell r="C1932" t="str">
            <v>Class E2 EUR (C)</v>
          </cell>
          <cell r="D1932" t="str">
            <v>EUR</v>
          </cell>
          <cell r="E1932" t="str">
            <v>01-Dec-2025</v>
          </cell>
          <cell r="F1932">
            <v>6231361.6699999999</v>
          </cell>
          <cell r="G1932">
            <v>1289171.574</v>
          </cell>
          <cell r="H1932">
            <v>4.8339999999999996</v>
          </cell>
          <cell r="I1932">
            <v>0</v>
          </cell>
          <cell r="J1932">
            <v>5.0270000000000001</v>
          </cell>
          <cell r="K1932">
            <v>-1.6E-2</v>
          </cell>
          <cell r="P1932">
            <v>0</v>
          </cell>
        </row>
        <row r="1933">
          <cell r="A1933" t="str">
            <v>LU2259110968</v>
          </cell>
          <cell r="B1933" t="str">
            <v>AMUNDI FUNDS EMERGING MARKETS GREEN BOND</v>
          </cell>
          <cell r="C1933" t="str">
            <v>Class E2 EUR Hgd (C)</v>
          </cell>
          <cell r="D1933" t="str">
            <v>EUR</v>
          </cell>
          <cell r="E1933" t="str">
            <v>01-Dec-2025</v>
          </cell>
          <cell r="F1933">
            <v>6124589.9800000004</v>
          </cell>
          <cell r="G1933">
            <v>1432245.781</v>
          </cell>
          <cell r="H1933">
            <v>4.2759999999999998</v>
          </cell>
          <cell r="I1933">
            <v>0</v>
          </cell>
          <cell r="J1933">
            <v>4.4470000000000001</v>
          </cell>
          <cell r="K1933">
            <v>-6.0000000000000001E-3</v>
          </cell>
          <cell r="P1933">
            <v>0</v>
          </cell>
        </row>
        <row r="1934">
          <cell r="A1934" t="str">
            <v>LU2138390716</v>
          </cell>
          <cell r="B1934" t="str">
            <v>AMUNDI FUNDS EMERGING MARKETS GREEN BOND</v>
          </cell>
          <cell r="C1934" t="str">
            <v>Class F EUR (C)</v>
          </cell>
          <cell r="D1934" t="str">
            <v>EUR</v>
          </cell>
          <cell r="E1934" t="str">
            <v>01-Dec-2025</v>
          </cell>
          <cell r="F1934">
            <v>621011.01</v>
          </cell>
          <cell r="G1934">
            <v>132022.15100000001</v>
          </cell>
          <cell r="H1934">
            <v>4.7039999999999997</v>
          </cell>
          <cell r="I1934">
            <v>0</v>
          </cell>
          <cell r="J1934">
            <v>4.7039999999999997</v>
          </cell>
          <cell r="K1934">
            <v>-1.6E-2</v>
          </cell>
          <cell r="P1934">
            <v>0</v>
          </cell>
        </row>
        <row r="1935">
          <cell r="A1935" t="str">
            <v>LU2138388579</v>
          </cell>
          <cell r="B1935" t="str">
            <v>AMUNDI FUNDS EMERGING MARKETS GREEN BOND</v>
          </cell>
          <cell r="C1935" t="str">
            <v>Class I2 GBP Hgd (C)</v>
          </cell>
          <cell r="D1935" t="str">
            <v>GBP</v>
          </cell>
          <cell r="E1935" t="str">
            <v>01-Dec-2025</v>
          </cell>
          <cell r="F1935">
            <v>5968176.9100000001</v>
          </cell>
          <cell r="G1935">
            <v>5876.8609999999999</v>
          </cell>
          <cell r="H1935">
            <v>1015.54</v>
          </cell>
          <cell r="I1935">
            <v>0</v>
          </cell>
          <cell r="J1935">
            <v>1015.54</v>
          </cell>
          <cell r="K1935">
            <v>-1.31</v>
          </cell>
          <cell r="P1935">
            <v>0</v>
          </cell>
        </row>
        <row r="1936">
          <cell r="A1936" t="str">
            <v>LU2138388223</v>
          </cell>
          <cell r="B1936" t="str">
            <v>AMUNDI FUNDS EMERGING MARKETS GREEN BOND</v>
          </cell>
          <cell r="C1936" t="str">
            <v>Class I2 USD (C)</v>
          </cell>
          <cell r="D1936" t="str">
            <v>USD</v>
          </cell>
          <cell r="E1936" t="str">
            <v>01-Dec-2025</v>
          </cell>
          <cell r="F1936">
            <v>638482.18000000005</v>
          </cell>
          <cell r="G1936">
            <v>612.54399999999998</v>
          </cell>
          <cell r="H1936">
            <v>1042.3499999999999</v>
          </cell>
          <cell r="I1936">
            <v>0</v>
          </cell>
          <cell r="J1936">
            <v>1042.3499999999999</v>
          </cell>
          <cell r="K1936">
            <v>-1.35</v>
          </cell>
          <cell r="P1936">
            <v>0</v>
          </cell>
        </row>
        <row r="1937">
          <cell r="A1937" t="str">
            <v>LU2359303745</v>
          </cell>
          <cell r="B1937" t="str">
            <v>AMUNDI FUNDS EMERGING MARKETS GREEN BOND</v>
          </cell>
          <cell r="C1937" t="str">
            <v>Class I2 GBP (C)</v>
          </cell>
          <cell r="D1937" t="str">
            <v>GBP</v>
          </cell>
          <cell r="E1937" t="str">
            <v>01-Dec-2025</v>
          </cell>
          <cell r="F1937">
            <v>4982.4399999999996</v>
          </cell>
          <cell r="G1937">
            <v>5</v>
          </cell>
          <cell r="H1937">
            <v>996.49</v>
          </cell>
          <cell r="I1937">
            <v>0</v>
          </cell>
          <cell r="J1937">
            <v>996.49</v>
          </cell>
          <cell r="K1937">
            <v>-1.47</v>
          </cell>
          <cell r="P1937">
            <v>0</v>
          </cell>
        </row>
        <row r="1938">
          <cell r="A1938" t="str">
            <v>LU2138388736</v>
          </cell>
          <cell r="B1938" t="str">
            <v>AMUNDI FUNDS EMERGING MARKETS GREEN BOND</v>
          </cell>
          <cell r="C1938" t="str">
            <v>Class I2 EUR Hgd (C)</v>
          </cell>
          <cell r="D1938" t="str">
            <v>EUR</v>
          </cell>
          <cell r="E1938" t="str">
            <v>01-Dec-2025</v>
          </cell>
          <cell r="F1938">
            <v>8765097.5099999998</v>
          </cell>
          <cell r="G1938">
            <v>9270.4830000000002</v>
          </cell>
          <cell r="H1938">
            <v>945.48</v>
          </cell>
          <cell r="I1938">
            <v>0</v>
          </cell>
          <cell r="J1938">
            <v>945.48</v>
          </cell>
          <cell r="K1938">
            <v>-1.28</v>
          </cell>
          <cell r="P1938">
            <v>0</v>
          </cell>
        </row>
        <row r="1939">
          <cell r="A1939" t="str">
            <v>LU2138388066</v>
          </cell>
          <cell r="B1939" t="str">
            <v>AMUNDI FUNDS EMERGING MARKETS GREEN BOND</v>
          </cell>
          <cell r="C1939" t="str">
            <v>Class I USD (C)</v>
          </cell>
          <cell r="D1939" t="str">
            <v>USD</v>
          </cell>
          <cell r="E1939" t="str">
            <v>01-Dec-2025</v>
          </cell>
          <cell r="F1939">
            <v>860588.5</v>
          </cell>
          <cell r="G1939">
            <v>826</v>
          </cell>
          <cell r="H1939">
            <v>1041.8699999999999</v>
          </cell>
          <cell r="I1939">
            <v>0</v>
          </cell>
          <cell r="J1939">
            <v>1041.8699999999999</v>
          </cell>
          <cell r="K1939">
            <v>-1.36</v>
          </cell>
          <cell r="P1939">
            <v>0</v>
          </cell>
        </row>
        <row r="1940">
          <cell r="A1940" t="str">
            <v>LU2138390047</v>
          </cell>
          <cell r="B1940" t="str">
            <v>AMUNDI FUNDS EMERGING MARKETS GREEN BOND</v>
          </cell>
          <cell r="C1940" t="str">
            <v>Class M2 EUR Hgd (C)</v>
          </cell>
          <cell r="D1940" t="str">
            <v>EUR</v>
          </cell>
          <cell r="E1940" t="str">
            <v>01-Dec-2025</v>
          </cell>
          <cell r="F1940">
            <v>15055.93</v>
          </cell>
          <cell r="G1940">
            <v>15.907</v>
          </cell>
          <cell r="H1940">
            <v>946.5</v>
          </cell>
          <cell r="I1940">
            <v>0</v>
          </cell>
          <cell r="J1940">
            <v>946.5</v>
          </cell>
          <cell r="K1940">
            <v>-1.28</v>
          </cell>
          <cell r="P1940">
            <v>0</v>
          </cell>
        </row>
        <row r="1941">
          <cell r="A1941" t="str">
            <v>LU2347634581</v>
          </cell>
          <cell r="B1941" t="str">
            <v>AMUNDI FUNDS EMERGING MARKETS GREEN BOND</v>
          </cell>
          <cell r="C1941" t="str">
            <v>Class R2 GBP Hgd (C)</v>
          </cell>
          <cell r="D1941" t="str">
            <v>GBP</v>
          </cell>
          <cell r="E1941" t="str">
            <v>01-Dec-2025</v>
          </cell>
          <cell r="F1941">
            <v>96186.06</v>
          </cell>
          <cell r="G1941">
            <v>2056.0210000000002</v>
          </cell>
          <cell r="H1941">
            <v>46.78</v>
          </cell>
          <cell r="I1941">
            <v>0</v>
          </cell>
          <cell r="J1941">
            <v>46.78</v>
          </cell>
          <cell r="K1941">
            <v>-0.06</v>
          </cell>
          <cell r="P1941">
            <v>0</v>
          </cell>
        </row>
        <row r="1942">
          <cell r="A1942" t="str">
            <v>LU2368111824</v>
          </cell>
          <cell r="B1942" t="str">
            <v>AMUNDI FUNDS EMERGING MARKETS GREEN BOND</v>
          </cell>
          <cell r="C1942" t="str">
            <v>Class R4 EUR Hgd (D)</v>
          </cell>
          <cell r="D1942" t="str">
            <v>EUR</v>
          </cell>
          <cell r="E1942" t="str">
            <v>01-Dec-2025</v>
          </cell>
          <cell r="F1942">
            <v>53708.56</v>
          </cell>
          <cell r="G1942">
            <v>1400</v>
          </cell>
          <cell r="H1942">
            <v>38.36</v>
          </cell>
          <cell r="I1942">
            <v>0</v>
          </cell>
          <cell r="J1942">
            <v>38.36</v>
          </cell>
          <cell r="K1942">
            <v>-0.05</v>
          </cell>
          <cell r="P1942">
            <v>0</v>
          </cell>
        </row>
        <row r="1943">
          <cell r="A1943" t="str">
            <v>LU2368111741</v>
          </cell>
          <cell r="B1943" t="str">
            <v>AMUNDI FUNDS EMERGING MARKETS GREEN BOND</v>
          </cell>
          <cell r="C1943" t="str">
            <v>Class R4 GBP Hgd AD (D)</v>
          </cell>
          <cell r="D1943" t="str">
            <v>GBP</v>
          </cell>
          <cell r="E1943" t="str">
            <v>01-Dec-2025</v>
          </cell>
          <cell r="F1943">
            <v>460374.1</v>
          </cell>
          <cell r="G1943">
            <v>11286.855</v>
          </cell>
          <cell r="H1943">
            <v>40.79</v>
          </cell>
          <cell r="I1943">
            <v>0</v>
          </cell>
          <cell r="J1943">
            <v>40.79</v>
          </cell>
          <cell r="K1943">
            <v>-0.05</v>
          </cell>
          <cell r="P1943">
            <v>0</v>
          </cell>
        </row>
        <row r="1944">
          <cell r="A1944" t="str">
            <v>LU2138387845</v>
          </cell>
          <cell r="B1944" t="str">
            <v>AMUNDI FUNDS EMERGING MARKETS GREEN BOND</v>
          </cell>
          <cell r="C1944" t="str">
            <v>Class R2 USD (C)</v>
          </cell>
          <cell r="D1944" t="str">
            <v>USD</v>
          </cell>
          <cell r="E1944" t="str">
            <v>01-Dec-2025</v>
          </cell>
          <cell r="F1944">
            <v>5120.05</v>
          </cell>
          <cell r="G1944">
            <v>100</v>
          </cell>
          <cell r="H1944">
            <v>51.2</v>
          </cell>
          <cell r="I1944">
            <v>0</v>
          </cell>
          <cell r="J1944">
            <v>51.2</v>
          </cell>
          <cell r="K1944">
            <v>-7.0000000000000007E-2</v>
          </cell>
          <cell r="P1944">
            <v>0</v>
          </cell>
        </row>
        <row r="1945">
          <cell r="A1945" t="str">
            <v>LU2259109952</v>
          </cell>
          <cell r="B1945" t="str">
            <v>AMUNDI FUNDS EMERGING MARKETS GREEN BOND</v>
          </cell>
          <cell r="C1945" t="str">
            <v>Class R2 GBP (C)</v>
          </cell>
          <cell r="D1945" t="str">
            <v>GBP</v>
          </cell>
          <cell r="E1945" t="str">
            <v>01-Dec-2025</v>
          </cell>
          <cell r="F1945">
            <v>8881.89</v>
          </cell>
          <cell r="G1945">
            <v>182.96899999999999</v>
          </cell>
          <cell r="H1945">
            <v>48.54</v>
          </cell>
          <cell r="I1945">
            <v>0</v>
          </cell>
          <cell r="J1945">
            <v>48.54</v>
          </cell>
          <cell r="K1945">
            <v>-0.08</v>
          </cell>
          <cell r="P1945">
            <v>0</v>
          </cell>
        </row>
        <row r="1946">
          <cell r="A1946" t="str">
            <v>LU2347634318</v>
          </cell>
          <cell r="B1946" t="str">
            <v>AMUNDI FUNDS EMERGING MARKETS GREEN BOND</v>
          </cell>
          <cell r="C1946" t="str">
            <v>Class R4 GBP Hgd (C)</v>
          </cell>
          <cell r="D1946" t="str">
            <v>GBP</v>
          </cell>
          <cell r="E1946" t="str">
            <v>01-Dec-2025</v>
          </cell>
          <cell r="F1946">
            <v>70658.759999999995</v>
          </cell>
          <cell r="G1946">
            <v>1490.653</v>
          </cell>
          <cell r="H1946">
            <v>47.4</v>
          </cell>
          <cell r="I1946">
            <v>0</v>
          </cell>
          <cell r="J1946">
            <v>47.4</v>
          </cell>
          <cell r="K1946">
            <v>-0.06</v>
          </cell>
          <cell r="P1946">
            <v>0</v>
          </cell>
        </row>
        <row r="1947">
          <cell r="A1947" t="str">
            <v>LU2347636875</v>
          </cell>
          <cell r="B1947" t="str">
            <v>AMUNDI FUNDS EMERGING MARKETS GREEN BOND</v>
          </cell>
          <cell r="C1947" t="str">
            <v>Class R4 EUR Hgd (C)</v>
          </cell>
          <cell r="D1947" t="str">
            <v>EUR</v>
          </cell>
          <cell r="E1947" t="str">
            <v>01-Dec-2025</v>
          </cell>
          <cell r="F1947">
            <v>632783.28</v>
          </cell>
          <cell r="G1947">
            <v>14033</v>
          </cell>
          <cell r="H1947">
            <v>45.09</v>
          </cell>
          <cell r="I1947">
            <v>0</v>
          </cell>
          <cell r="J1947">
            <v>45.09</v>
          </cell>
          <cell r="K1947">
            <v>-0.06</v>
          </cell>
          <cell r="P1947">
            <v>0</v>
          </cell>
        </row>
        <row r="1948">
          <cell r="A1948" t="str">
            <v>LU2138387688</v>
          </cell>
          <cell r="B1948" t="str">
            <v>AMUNDI FUNDS EMERGING MARKETS GREEN BOND</v>
          </cell>
          <cell r="C1948" t="str">
            <v>Class R USD (C)</v>
          </cell>
          <cell r="D1948" t="str">
            <v>USD</v>
          </cell>
          <cell r="E1948" t="str">
            <v>01-Dec-2025</v>
          </cell>
          <cell r="F1948">
            <v>5144.92</v>
          </cell>
          <cell r="G1948">
            <v>100</v>
          </cell>
          <cell r="H1948">
            <v>51.45</v>
          </cell>
          <cell r="I1948">
            <v>0</v>
          </cell>
          <cell r="J1948">
            <v>51.45</v>
          </cell>
          <cell r="K1948">
            <v>-7.0000000000000007E-2</v>
          </cell>
          <cell r="P1948">
            <v>0</v>
          </cell>
        </row>
        <row r="1949">
          <cell r="A1949" t="str">
            <v>LU2259111008</v>
          </cell>
          <cell r="B1949" t="str">
            <v>AMUNDI FUNDS EMERGING MARKETS GREEN BOND</v>
          </cell>
          <cell r="C1949" t="str">
            <v>Class G EUR Hgd (C)</v>
          </cell>
          <cell r="D1949" t="str">
            <v>EUR</v>
          </cell>
          <cell r="E1949" t="str">
            <v>01-Dec-2025</v>
          </cell>
          <cell r="F1949">
            <v>8228979.5099999998</v>
          </cell>
          <cell r="G1949">
            <v>1927610.7560000001</v>
          </cell>
          <cell r="H1949">
            <v>4.2690000000000001</v>
          </cell>
          <cell r="I1949">
            <v>0</v>
          </cell>
          <cell r="J1949">
            <v>4.3970000000000002</v>
          </cell>
          <cell r="K1949">
            <v>-6.0000000000000001E-3</v>
          </cell>
          <cell r="P1949">
            <v>0</v>
          </cell>
        </row>
        <row r="1950">
          <cell r="A1950" t="str">
            <v>LU2138390559</v>
          </cell>
          <cell r="B1950" t="str">
            <v>AMUNDI FUNDS EMERGING MARKETS GREEN BOND</v>
          </cell>
          <cell r="C1950" t="str">
            <v>Class G EUR (C)</v>
          </cell>
          <cell r="D1950" t="str">
            <v>EUR</v>
          </cell>
          <cell r="E1950" t="str">
            <v>01-Dec-2025</v>
          </cell>
          <cell r="F1950">
            <v>7293595.3499999996</v>
          </cell>
          <cell r="G1950">
            <v>1520796.048</v>
          </cell>
          <cell r="H1950">
            <v>4.7960000000000003</v>
          </cell>
          <cell r="I1950">
            <v>0</v>
          </cell>
          <cell r="J1950">
            <v>4.9400000000000004</v>
          </cell>
          <cell r="K1950">
            <v>-1.7000000000000001E-2</v>
          </cell>
          <cell r="P1950">
            <v>0</v>
          </cell>
        </row>
        <row r="1951">
          <cell r="A1951" t="str">
            <v>LU2138390989</v>
          </cell>
          <cell r="B1951" t="str">
            <v>AMUNDI FUNDS EMERGING MARKETS GREEN BOND</v>
          </cell>
          <cell r="C1951" t="str">
            <v>Class SE USD (C)</v>
          </cell>
          <cell r="D1951" t="str">
            <v>USD</v>
          </cell>
          <cell r="E1951" t="str">
            <v>01-Dec-2025</v>
          </cell>
          <cell r="F1951">
            <v>15665542.27</v>
          </cell>
          <cell r="G1951">
            <v>15000</v>
          </cell>
          <cell r="H1951">
            <v>1044.3699999999999</v>
          </cell>
          <cell r="I1951">
            <v>0</v>
          </cell>
          <cell r="J1951">
            <v>1044.3699999999999</v>
          </cell>
          <cell r="K1951">
            <v>-1.36</v>
          </cell>
          <cell r="P1951">
            <v>0</v>
          </cell>
        </row>
        <row r="1952">
          <cell r="A1952" t="str">
            <v>LU2279408756</v>
          </cell>
          <cell r="B1952" t="str">
            <v>AMUNDI FUNDS EMERGING MARKETS GREEN BOND</v>
          </cell>
          <cell r="C1952" t="str">
            <v>Class Z EUR Hgd (C)</v>
          </cell>
          <cell r="D1952" t="str">
            <v>EUR</v>
          </cell>
          <cell r="E1952" t="str">
            <v>01-Dec-2025</v>
          </cell>
          <cell r="F1952">
            <v>59455260.030000001</v>
          </cell>
          <cell r="G1952">
            <v>66872.731</v>
          </cell>
          <cell r="H1952">
            <v>889.08</v>
          </cell>
          <cell r="I1952">
            <v>0</v>
          </cell>
          <cell r="J1952">
            <v>889.08</v>
          </cell>
          <cell r="K1952">
            <v>-1.19</v>
          </cell>
          <cell r="P1952">
            <v>0</v>
          </cell>
        </row>
        <row r="1953">
          <cell r="A1953" t="str">
            <v>LU2359306920</v>
          </cell>
          <cell r="B1953" t="str">
            <v>AMUNDI FUNDS EUROPE EQUITY SELECT</v>
          </cell>
          <cell r="C1953" t="str">
            <v>Class A2 EUR (C)</v>
          </cell>
          <cell r="D1953" t="str">
            <v>EUR</v>
          </cell>
          <cell r="E1953" t="str">
            <v>01-Dec-2025</v>
          </cell>
          <cell r="F1953">
            <v>10161122.76</v>
          </cell>
          <cell r="G1953">
            <v>160607.788</v>
          </cell>
          <cell r="H1953">
            <v>63.27</v>
          </cell>
          <cell r="I1953">
            <v>0</v>
          </cell>
          <cell r="J1953">
            <v>66.12</v>
          </cell>
          <cell r="K1953">
            <v>0.02</v>
          </cell>
          <cell r="P1953">
            <v>0</v>
          </cell>
        </row>
        <row r="1954">
          <cell r="A1954" t="str">
            <v>LU2151176349</v>
          </cell>
          <cell r="B1954" t="str">
            <v>AMUNDI FUNDS EUROPE EQUITY SELECT</v>
          </cell>
          <cell r="C1954" t="str">
            <v>Class A EUR ( C )</v>
          </cell>
          <cell r="D1954" t="str">
            <v>EUR</v>
          </cell>
          <cell r="E1954" t="str">
            <v>01-Dec-2025</v>
          </cell>
          <cell r="F1954">
            <v>106406231.02</v>
          </cell>
          <cell r="G1954">
            <v>1290752.3500000001</v>
          </cell>
          <cell r="H1954">
            <v>82.44</v>
          </cell>
          <cell r="I1954">
            <v>0</v>
          </cell>
          <cell r="J1954">
            <v>82.44</v>
          </cell>
          <cell r="K1954">
            <v>0.03</v>
          </cell>
          <cell r="P1954">
            <v>0</v>
          </cell>
        </row>
        <row r="1955">
          <cell r="A1955" t="str">
            <v>LU2359307068</v>
          </cell>
          <cell r="B1955" t="str">
            <v>AMUNDI FUNDS EUROPE EQUITY SELECT</v>
          </cell>
          <cell r="C1955" t="str">
            <v>Class A USD (C)</v>
          </cell>
          <cell r="D1955" t="str">
            <v>USD</v>
          </cell>
          <cell r="E1955" t="str">
            <v>01-Dec-2025</v>
          </cell>
          <cell r="F1955">
            <v>104456.52</v>
          </cell>
          <cell r="G1955">
            <v>1663.626</v>
          </cell>
          <cell r="H1955">
            <v>62.79</v>
          </cell>
          <cell r="I1955">
            <v>0</v>
          </cell>
          <cell r="J1955">
            <v>65.62</v>
          </cell>
          <cell r="K1955">
            <v>0.15</v>
          </cell>
          <cell r="P1955">
            <v>0</v>
          </cell>
        </row>
        <row r="1956">
          <cell r="A1956" t="str">
            <v>LU2359306847</v>
          </cell>
          <cell r="B1956" t="str">
            <v>AMUNDI FUNDS EUROPE EQUITY SELECT</v>
          </cell>
          <cell r="C1956" t="str">
            <v>Class A2 CHF (C)</v>
          </cell>
          <cell r="D1956" t="str">
            <v>CHF</v>
          </cell>
          <cell r="E1956" t="str">
            <v>01-Dec-2025</v>
          </cell>
          <cell r="F1956">
            <v>1876507.81</v>
          </cell>
          <cell r="G1956">
            <v>34453.750999999997</v>
          </cell>
          <cell r="H1956">
            <v>54.46</v>
          </cell>
          <cell r="I1956">
            <v>0</v>
          </cell>
          <cell r="J1956">
            <v>56.91</v>
          </cell>
          <cell r="K1956">
            <v>0.08</v>
          </cell>
          <cell r="P1956">
            <v>0</v>
          </cell>
        </row>
        <row r="1957">
          <cell r="A1957" t="str">
            <v>LU2368112392</v>
          </cell>
          <cell r="B1957" t="str">
            <v>AMUNDI FUNDS EUROPE EQUITY SELECT</v>
          </cell>
          <cell r="C1957" t="str">
            <v>Class A CZK Hgd (C)</v>
          </cell>
          <cell r="D1957" t="str">
            <v>CZK</v>
          </cell>
          <cell r="E1957" t="str">
            <v>01-Dec-2025</v>
          </cell>
          <cell r="F1957">
            <v>4046636.2</v>
          </cell>
          <cell r="G1957">
            <v>2968.444</v>
          </cell>
          <cell r="H1957">
            <v>1363.22</v>
          </cell>
          <cell r="I1957">
            <v>0</v>
          </cell>
          <cell r="J1957">
            <v>1363.22</v>
          </cell>
          <cell r="K1957">
            <v>0.44</v>
          </cell>
          <cell r="P1957">
            <v>0</v>
          </cell>
        </row>
        <row r="1958">
          <cell r="A1958" t="str">
            <v>LU2151176695</v>
          </cell>
          <cell r="B1958" t="str">
            <v>AMUNDI FUNDS EUROPE EQUITY SELECT</v>
          </cell>
          <cell r="C1958" t="str">
            <v>Class E2 EUR ( C )</v>
          </cell>
          <cell r="D1958" t="str">
            <v>EUR</v>
          </cell>
          <cell r="E1958" t="str">
            <v>01-Dec-2025</v>
          </cell>
          <cell r="F1958">
            <v>67481521.370000005</v>
          </cell>
          <cell r="G1958">
            <v>8149267.1610000003</v>
          </cell>
          <cell r="H1958">
            <v>8.2810000000000006</v>
          </cell>
          <cell r="I1958">
            <v>0</v>
          </cell>
          <cell r="J1958">
            <v>8.2810000000000006</v>
          </cell>
          <cell r="K1958">
            <v>3.0000000000000001E-3</v>
          </cell>
          <cell r="P1958">
            <v>0</v>
          </cell>
        </row>
        <row r="1959">
          <cell r="A1959" t="str">
            <v>LU2151176778</v>
          </cell>
          <cell r="B1959" t="str">
            <v>AMUNDI FUNDS EUROPE EQUITY SELECT</v>
          </cell>
          <cell r="C1959" t="str">
            <v>Class F EUR ( C )</v>
          </cell>
          <cell r="D1959" t="str">
            <v>EUR</v>
          </cell>
          <cell r="E1959" t="str">
            <v>01-Dec-2025</v>
          </cell>
          <cell r="F1959">
            <v>5070084.2</v>
          </cell>
          <cell r="G1959">
            <v>641442.84299999999</v>
          </cell>
          <cell r="H1959">
            <v>7.9039999999999999</v>
          </cell>
          <cell r="I1959">
            <v>0</v>
          </cell>
          <cell r="J1959">
            <v>7.9039999999999999</v>
          </cell>
          <cell r="K1959">
            <v>2E-3</v>
          </cell>
          <cell r="P1959">
            <v>0</v>
          </cell>
        </row>
        <row r="1960">
          <cell r="A1960" t="str">
            <v>LU2151177073</v>
          </cell>
          <cell r="B1960" t="str">
            <v>AMUNDI FUNDS EUROPE EQUITY SELECT</v>
          </cell>
          <cell r="C1960" t="str">
            <v>Class I EUR ( C )</v>
          </cell>
          <cell r="D1960" t="str">
            <v>EUR</v>
          </cell>
          <cell r="E1960" t="str">
            <v>01-Dec-2025</v>
          </cell>
          <cell r="F1960">
            <v>3871049.13</v>
          </cell>
          <cell r="G1960">
            <v>2237</v>
          </cell>
          <cell r="H1960">
            <v>1730.46</v>
          </cell>
          <cell r="I1960">
            <v>0</v>
          </cell>
          <cell r="J1960">
            <v>1730.46</v>
          </cell>
          <cell r="K1960">
            <v>0.64</v>
          </cell>
          <cell r="P1960">
            <v>0</v>
          </cell>
        </row>
        <row r="1961">
          <cell r="A1961" t="str">
            <v>LU2330497277</v>
          </cell>
          <cell r="B1961" t="str">
            <v>AMUNDI FUNDS EUROPE EQUITY SELECT</v>
          </cell>
          <cell r="C1961" t="str">
            <v>Class I2 EUR (C)</v>
          </cell>
          <cell r="D1961" t="str">
            <v>EUR</v>
          </cell>
          <cell r="E1961" t="str">
            <v>01-Dec-2025</v>
          </cell>
          <cell r="F1961">
            <v>15070.53</v>
          </cell>
          <cell r="G1961">
            <v>11.172000000000001</v>
          </cell>
          <cell r="H1961">
            <v>1348.96</v>
          </cell>
          <cell r="I1961">
            <v>0</v>
          </cell>
          <cell r="J1961">
            <v>1348.96</v>
          </cell>
          <cell r="K1961">
            <v>0.5</v>
          </cell>
          <cell r="P1961">
            <v>0</v>
          </cell>
        </row>
        <row r="1962">
          <cell r="A1962" t="str">
            <v>LU2359306763</v>
          </cell>
          <cell r="B1962" t="str">
            <v>AMUNDI FUNDS EUROPE EQUITY SELECT</v>
          </cell>
          <cell r="C1962" t="str">
            <v>Class I2 GBP (C)</v>
          </cell>
          <cell r="D1962" t="str">
            <v>GBP</v>
          </cell>
          <cell r="E1962" t="str">
            <v>01-Dec-2025</v>
          </cell>
          <cell r="F1962">
            <v>6707.81</v>
          </cell>
          <cell r="G1962">
            <v>5</v>
          </cell>
          <cell r="H1962">
            <v>1341.56</v>
          </cell>
          <cell r="I1962">
            <v>0</v>
          </cell>
          <cell r="J1962">
            <v>1341.56</v>
          </cell>
          <cell r="K1962">
            <v>3.09</v>
          </cell>
          <cell r="P1962">
            <v>0</v>
          </cell>
        </row>
        <row r="1963">
          <cell r="A1963" t="str">
            <v>LU2359307571</v>
          </cell>
          <cell r="B1963" t="str">
            <v>AMUNDI FUNDS EUROPE EQUITY SELECT</v>
          </cell>
          <cell r="C1963" t="str">
            <v>Class I2 USD (C)</v>
          </cell>
          <cell r="D1963" t="str">
            <v>USD</v>
          </cell>
          <cell r="E1963" t="str">
            <v>01-Dec-2025</v>
          </cell>
          <cell r="F1963">
            <v>6496.29</v>
          </cell>
          <cell r="G1963">
            <v>5</v>
          </cell>
          <cell r="H1963">
            <v>1299.26</v>
          </cell>
          <cell r="I1963">
            <v>0</v>
          </cell>
          <cell r="J1963">
            <v>1299.26</v>
          </cell>
          <cell r="K1963">
            <v>3.21</v>
          </cell>
          <cell r="P1963">
            <v>0</v>
          </cell>
        </row>
        <row r="1964">
          <cell r="A1964" t="str">
            <v>LU2151176851</v>
          </cell>
          <cell r="B1964" t="str">
            <v>AMUNDI FUNDS EUROPE EQUITY SELECT</v>
          </cell>
          <cell r="C1964" t="str">
            <v>Class G EUR ( C )</v>
          </cell>
          <cell r="D1964" t="str">
            <v>EUR</v>
          </cell>
          <cell r="E1964" t="str">
            <v>01-Dec-2025</v>
          </cell>
          <cell r="F1964">
            <v>39367840.399999999</v>
          </cell>
          <cell r="G1964">
            <v>4817690.2779999999</v>
          </cell>
          <cell r="H1964">
            <v>8.1720000000000006</v>
          </cell>
          <cell r="I1964">
            <v>0</v>
          </cell>
          <cell r="J1964">
            <v>8.1720000000000006</v>
          </cell>
          <cell r="K1964">
            <v>3.0000000000000001E-3</v>
          </cell>
          <cell r="P1964">
            <v>0</v>
          </cell>
        </row>
        <row r="1965">
          <cell r="A1965" t="str">
            <v>LU2151177230</v>
          </cell>
          <cell r="B1965" t="str">
            <v>AMUNDI FUNDS EUROPE EQUITY SELECT</v>
          </cell>
          <cell r="C1965" t="str">
            <v>Class M2 EUR ( C )</v>
          </cell>
          <cell r="D1965" t="str">
            <v>EUR</v>
          </cell>
          <cell r="E1965" t="str">
            <v>01-Dec-2025</v>
          </cell>
          <cell r="F1965">
            <v>772894.03</v>
          </cell>
          <cell r="G1965">
            <v>446.88600000000002</v>
          </cell>
          <cell r="H1965">
            <v>1729.51</v>
          </cell>
          <cell r="I1965">
            <v>0</v>
          </cell>
          <cell r="J1965">
            <v>1729.51</v>
          </cell>
          <cell r="K1965">
            <v>0.63</v>
          </cell>
          <cell r="P1965">
            <v>0</v>
          </cell>
        </row>
        <row r="1966">
          <cell r="A1966" t="str">
            <v>LU2359306508</v>
          </cell>
          <cell r="B1966" t="str">
            <v>AMUNDI FUNDS EUROPE EQUITY SELECT</v>
          </cell>
          <cell r="C1966" t="str">
            <v>Class R EUR (C)</v>
          </cell>
          <cell r="D1966" t="str">
            <v>EUR</v>
          </cell>
          <cell r="E1966" t="str">
            <v>01-Dec-2025</v>
          </cell>
          <cell r="F1966">
            <v>262157.51</v>
          </cell>
          <cell r="G1966">
            <v>3992.6239999999998</v>
          </cell>
          <cell r="H1966">
            <v>65.66</v>
          </cell>
          <cell r="I1966">
            <v>0</v>
          </cell>
          <cell r="J1966">
            <v>65.66</v>
          </cell>
          <cell r="K1966">
            <v>0.02</v>
          </cell>
          <cell r="P1966">
            <v>0</v>
          </cell>
        </row>
        <row r="1967">
          <cell r="A1967" t="str">
            <v>LU2359307654</v>
          </cell>
          <cell r="B1967" t="str">
            <v>AMUNDI FUNDS EUROPE EQUITY SELECT</v>
          </cell>
          <cell r="C1967" t="str">
            <v>Class R2 EUR (C)</v>
          </cell>
          <cell r="D1967" t="str">
            <v>EUR</v>
          </cell>
          <cell r="E1967" t="str">
            <v>01-Dec-2025</v>
          </cell>
          <cell r="F1967">
            <v>1393396.76</v>
          </cell>
          <cell r="G1967">
            <v>21520.646000000001</v>
          </cell>
          <cell r="H1967">
            <v>64.75</v>
          </cell>
          <cell r="I1967">
            <v>0</v>
          </cell>
          <cell r="J1967">
            <v>64.75</v>
          </cell>
          <cell r="K1967">
            <v>0.02</v>
          </cell>
          <cell r="P1967">
            <v>0</v>
          </cell>
        </row>
        <row r="1968">
          <cell r="A1968" t="str">
            <v>LU2151177313</v>
          </cell>
          <cell r="B1968" t="str">
            <v>AMUNDI FUNDS EUROPE EQUITY SELECT</v>
          </cell>
          <cell r="C1968" t="str">
            <v>Class Z EUR ( C )</v>
          </cell>
          <cell r="D1968" t="str">
            <v>EUR</v>
          </cell>
          <cell r="E1968" t="str">
            <v>01-Dec-2025</v>
          </cell>
          <cell r="F1968">
            <v>34046478.450000003</v>
          </cell>
          <cell r="G1968">
            <v>19457.579000000002</v>
          </cell>
          <cell r="H1968">
            <v>1749.78</v>
          </cell>
          <cell r="I1968">
            <v>0</v>
          </cell>
          <cell r="J1968">
            <v>1749.78</v>
          </cell>
          <cell r="K1968">
            <v>0.67</v>
          </cell>
          <cell r="P1968">
            <v>0</v>
          </cell>
        </row>
        <row r="1969">
          <cell r="A1969" t="str">
            <v>LU2151176935</v>
          </cell>
          <cell r="B1969" t="str">
            <v>AMUNDI FUNDS EUROPE EQUITY SELECT</v>
          </cell>
          <cell r="C1969" t="str">
            <v>Class H EUR ( C )</v>
          </cell>
          <cell r="D1969" t="str">
            <v>EUR</v>
          </cell>
          <cell r="E1969" t="str">
            <v>01-Dec-2025</v>
          </cell>
          <cell r="F1969">
            <v>1768.17</v>
          </cell>
          <cell r="G1969">
            <v>1</v>
          </cell>
          <cell r="H1969">
            <v>1768.17</v>
          </cell>
          <cell r="I1969">
            <v>0</v>
          </cell>
          <cell r="J1969">
            <v>1768.17</v>
          </cell>
          <cell r="K1969">
            <v>0.73</v>
          </cell>
          <cell r="P1969">
            <v>0</v>
          </cell>
        </row>
        <row r="1970">
          <cell r="A1970" t="str">
            <v>LU2643913002</v>
          </cell>
          <cell r="B1970" t="str">
            <v>AMUNDI FUNDS US EQUITY SELECT</v>
          </cell>
          <cell r="C1970" t="str">
            <v>Class A2 USD (C)</v>
          </cell>
          <cell r="D1970" t="str">
            <v>USD</v>
          </cell>
          <cell r="E1970" t="str">
            <v>01-Dec-2025</v>
          </cell>
          <cell r="F1970">
            <v>1786829.91</v>
          </cell>
          <cell r="G1970">
            <v>27669.645</v>
          </cell>
          <cell r="H1970">
            <v>64.58</v>
          </cell>
          <cell r="I1970">
            <v>0</v>
          </cell>
          <cell r="J1970">
            <v>67.489999999999995</v>
          </cell>
          <cell r="K1970">
            <v>-0.28999999999999998</v>
          </cell>
          <cell r="P1970">
            <v>0</v>
          </cell>
        </row>
        <row r="1971">
          <cell r="A1971" t="str">
            <v>LU2146567792</v>
          </cell>
          <cell r="B1971" t="str">
            <v>AMUNDI FUNDS US EQUITY SELECT</v>
          </cell>
          <cell r="C1971" t="str">
            <v>Class A EUR AD (D)</v>
          </cell>
          <cell r="D1971" t="str">
            <v>EUR</v>
          </cell>
          <cell r="E1971" t="str">
            <v>01-Dec-2025</v>
          </cell>
          <cell r="F1971">
            <v>5160189.7</v>
          </cell>
          <cell r="G1971">
            <v>65235.58</v>
          </cell>
          <cell r="H1971">
            <v>79.099999999999994</v>
          </cell>
          <cell r="I1971">
            <v>0</v>
          </cell>
          <cell r="J1971">
            <v>82.66</v>
          </cell>
          <cell r="K1971">
            <v>-0.52</v>
          </cell>
          <cell r="P1971">
            <v>0</v>
          </cell>
        </row>
        <row r="1972">
          <cell r="A1972" t="str">
            <v>LU2146567529</v>
          </cell>
          <cell r="B1972" t="str">
            <v>AMUNDI FUNDS US EQUITY SELECT</v>
          </cell>
          <cell r="C1972" t="str">
            <v>Class A EUR (C)</v>
          </cell>
          <cell r="D1972" t="str">
            <v>EUR</v>
          </cell>
          <cell r="E1972" t="str">
            <v>01-Dec-2025</v>
          </cell>
          <cell r="F1972">
            <v>64037946.060000002</v>
          </cell>
          <cell r="G1972">
            <v>809543.29500000004</v>
          </cell>
          <cell r="H1972">
            <v>79.099999999999994</v>
          </cell>
          <cell r="I1972">
            <v>0</v>
          </cell>
          <cell r="J1972">
            <v>82.66</v>
          </cell>
          <cell r="K1972">
            <v>-0.52</v>
          </cell>
          <cell r="P1972">
            <v>0</v>
          </cell>
        </row>
        <row r="1973">
          <cell r="A1973" t="str">
            <v>LU2643912889</v>
          </cell>
          <cell r="B1973" t="str">
            <v>AMUNDI FUNDS US EQUITY SELECT</v>
          </cell>
          <cell r="C1973" t="str">
            <v>Class A USD AD (D)</v>
          </cell>
          <cell r="D1973" t="str">
            <v>USD</v>
          </cell>
          <cell r="E1973" t="str">
            <v>01-Dec-2025</v>
          </cell>
          <cell r="F1973">
            <v>683860.25</v>
          </cell>
          <cell r="G1973">
            <v>10539.012000000001</v>
          </cell>
          <cell r="H1973">
            <v>64.89</v>
          </cell>
          <cell r="I1973">
            <v>0</v>
          </cell>
          <cell r="J1973">
            <v>67.81</v>
          </cell>
          <cell r="K1973">
            <v>-0.28999999999999998</v>
          </cell>
          <cell r="P1973">
            <v>0</v>
          </cell>
        </row>
        <row r="1974">
          <cell r="A1974" t="str">
            <v>LU3081004304</v>
          </cell>
          <cell r="B1974" t="str">
            <v>AMUNDI FUNDS US EQUITY SELECT</v>
          </cell>
          <cell r="C1974" t="str">
            <v>Class A2 EUR (C)</v>
          </cell>
          <cell r="D1974" t="str">
            <v>EUR</v>
          </cell>
          <cell r="E1974" t="str">
            <v>01-Dec-2025</v>
          </cell>
          <cell r="F1974">
            <v>116327.87</v>
          </cell>
          <cell r="G1974">
            <v>2342.08</v>
          </cell>
          <cell r="H1974">
            <v>49.67</v>
          </cell>
          <cell r="I1974">
            <v>0</v>
          </cell>
          <cell r="J1974">
            <v>51.91</v>
          </cell>
          <cell r="K1974">
            <v>49.67</v>
          </cell>
          <cell r="P1974">
            <v>0</v>
          </cell>
        </row>
        <row r="1975">
          <cell r="A1975" t="str">
            <v>LU2146567289</v>
          </cell>
          <cell r="B1975" t="str">
            <v>AMUNDI FUNDS US EQUITY SELECT</v>
          </cell>
          <cell r="C1975" t="str">
            <v>Class A USD (C)</v>
          </cell>
          <cell r="D1975" t="str">
            <v>USD</v>
          </cell>
          <cell r="E1975" t="str">
            <v>01-Dec-2025</v>
          </cell>
          <cell r="F1975">
            <v>57112481.079999998</v>
          </cell>
          <cell r="G1975">
            <v>609940.07200000004</v>
          </cell>
          <cell r="H1975">
            <v>93.64</v>
          </cell>
          <cell r="I1975">
            <v>0</v>
          </cell>
          <cell r="J1975">
            <v>97.85</v>
          </cell>
          <cell r="K1975">
            <v>-0.41</v>
          </cell>
          <cell r="P1975">
            <v>0</v>
          </cell>
        </row>
        <row r="1976">
          <cell r="A1976" t="str">
            <v>LU2146567875</v>
          </cell>
          <cell r="B1976" t="str">
            <v>AMUNDI FUNDS US EQUITY SELECT</v>
          </cell>
          <cell r="C1976" t="str">
            <v>Class A EUR Hgd (C)</v>
          </cell>
          <cell r="D1976" t="str">
            <v>EUR</v>
          </cell>
          <cell r="E1976" t="str">
            <v>01-Dec-2025</v>
          </cell>
          <cell r="F1976">
            <v>2483715.6</v>
          </cell>
          <cell r="G1976">
            <v>36323.569000000003</v>
          </cell>
          <cell r="H1976">
            <v>68.38</v>
          </cell>
          <cell r="I1976">
            <v>0</v>
          </cell>
          <cell r="J1976">
            <v>71.459999999999994</v>
          </cell>
          <cell r="K1976">
            <v>-0.31</v>
          </cell>
          <cell r="P1976">
            <v>0</v>
          </cell>
        </row>
        <row r="1977">
          <cell r="A1977" t="str">
            <v>LU2146568253</v>
          </cell>
          <cell r="B1977" t="str">
            <v>AMUNDI FUNDS US EQUITY SELECT</v>
          </cell>
          <cell r="C1977" t="str">
            <v>Class E2 EUR (C)</v>
          </cell>
          <cell r="D1977" t="str">
            <v>EUR</v>
          </cell>
          <cell r="E1977" t="str">
            <v>01-Dec-2025</v>
          </cell>
          <cell r="F1977">
            <v>6261253.1799999997</v>
          </cell>
          <cell r="G1977">
            <v>682927.05</v>
          </cell>
          <cell r="H1977">
            <v>9.1679999999999993</v>
          </cell>
          <cell r="I1977">
            <v>0</v>
          </cell>
          <cell r="J1977">
            <v>9.5350000000000001</v>
          </cell>
          <cell r="K1977">
            <v>-6.0999999999999999E-2</v>
          </cell>
          <cell r="P1977">
            <v>0</v>
          </cell>
        </row>
        <row r="1978">
          <cell r="A1978" t="str">
            <v>LU2643912616</v>
          </cell>
          <cell r="B1978" t="str">
            <v>AMUNDI FUNDS US EQUITY SELECT</v>
          </cell>
          <cell r="C1978" t="str">
            <v>Class F USD (C)</v>
          </cell>
          <cell r="D1978" t="str">
            <v>USD</v>
          </cell>
          <cell r="E1978" t="str">
            <v>01-Dec-2025</v>
          </cell>
          <cell r="F1978">
            <v>468067.35</v>
          </cell>
          <cell r="G1978">
            <v>73511.763000000006</v>
          </cell>
          <cell r="H1978">
            <v>6.367</v>
          </cell>
          <cell r="I1978">
            <v>0</v>
          </cell>
          <cell r="J1978">
            <v>6.367</v>
          </cell>
          <cell r="K1978">
            <v>-2.9000000000000001E-2</v>
          </cell>
          <cell r="P1978">
            <v>0</v>
          </cell>
        </row>
        <row r="1979">
          <cell r="A1979" t="str">
            <v>LU2146568337</v>
          </cell>
          <cell r="B1979" t="str">
            <v>AMUNDI FUNDS US EQUITY SELECT</v>
          </cell>
          <cell r="C1979" t="str">
            <v>Class F EUR (C)</v>
          </cell>
          <cell r="D1979" t="str">
            <v>EUR</v>
          </cell>
          <cell r="E1979" t="str">
            <v>01-Dec-2025</v>
          </cell>
          <cell r="F1979">
            <v>3929264.84</v>
          </cell>
          <cell r="G1979">
            <v>452128.73</v>
          </cell>
          <cell r="H1979">
            <v>8.6910000000000007</v>
          </cell>
          <cell r="I1979">
            <v>0</v>
          </cell>
          <cell r="J1979">
            <v>8.6910000000000007</v>
          </cell>
          <cell r="K1979">
            <v>-5.7000000000000002E-2</v>
          </cell>
          <cell r="P1979">
            <v>0</v>
          </cell>
        </row>
        <row r="1980">
          <cell r="A1980" t="str">
            <v>LU2643912533</v>
          </cell>
          <cell r="B1980" t="str">
            <v>AMUNDI FUNDS US EQUITY SELECT</v>
          </cell>
          <cell r="C1980" t="str">
            <v>Class F EUR Hgd (C)</v>
          </cell>
          <cell r="D1980" t="str">
            <v>EUR</v>
          </cell>
          <cell r="E1980" t="str">
            <v>01-Dec-2025</v>
          </cell>
          <cell r="F1980">
            <v>962858.75</v>
          </cell>
          <cell r="G1980">
            <v>158643.16</v>
          </cell>
          <cell r="H1980">
            <v>6.069</v>
          </cell>
          <cell r="I1980">
            <v>0</v>
          </cell>
          <cell r="J1980">
            <v>6.069</v>
          </cell>
          <cell r="K1980">
            <v>-2.8000000000000001E-2</v>
          </cell>
          <cell r="P1980">
            <v>0</v>
          </cell>
        </row>
        <row r="1981">
          <cell r="A1981" t="str">
            <v>LU2643911642</v>
          </cell>
          <cell r="B1981" t="str">
            <v>AMUNDI FUNDS US EQUITY SELECT</v>
          </cell>
          <cell r="C1981" t="str">
            <v>Class I USD AD (D)</v>
          </cell>
          <cell r="D1981" t="str">
            <v>USD</v>
          </cell>
          <cell r="E1981" t="str">
            <v>01-Dec-2025</v>
          </cell>
          <cell r="F1981">
            <v>10335.969999999999</v>
          </cell>
          <cell r="G1981">
            <v>7.8849999999999998</v>
          </cell>
          <cell r="H1981">
            <v>1310.84</v>
          </cell>
          <cell r="I1981">
            <v>0</v>
          </cell>
          <cell r="J1981">
            <v>1310.84</v>
          </cell>
          <cell r="K1981">
            <v>-5.74</v>
          </cell>
          <cell r="P1981">
            <v>0</v>
          </cell>
        </row>
        <row r="1982">
          <cell r="A1982" t="str">
            <v>LU2146568683</v>
          </cell>
          <cell r="B1982" t="str">
            <v>AMUNDI FUNDS US EQUITY SELECT</v>
          </cell>
          <cell r="C1982" t="str">
            <v>Class I2 USD (C)</v>
          </cell>
          <cell r="D1982" t="str">
            <v>USD</v>
          </cell>
          <cell r="E1982" t="str">
            <v>01-Dec-2025</v>
          </cell>
          <cell r="F1982">
            <v>804626.78</v>
          </cell>
          <cell r="G1982">
            <v>412.83800000000002</v>
          </cell>
          <cell r="H1982">
            <v>1949.01</v>
          </cell>
          <cell r="I1982">
            <v>0</v>
          </cell>
          <cell r="J1982">
            <v>1949.01</v>
          </cell>
          <cell r="K1982">
            <v>-8.56</v>
          </cell>
          <cell r="P1982">
            <v>0</v>
          </cell>
        </row>
        <row r="1983">
          <cell r="A1983" t="str">
            <v>LU2359306250</v>
          </cell>
          <cell r="B1983" t="str">
            <v>AMUNDI FUNDS US EQUITY SELECT</v>
          </cell>
          <cell r="C1983" t="str">
            <v>Class I2 GBP (C)</v>
          </cell>
          <cell r="D1983" t="str">
            <v>GBP</v>
          </cell>
          <cell r="E1983" t="str">
            <v>01-Dec-2025</v>
          </cell>
          <cell r="F1983">
            <v>7257.11</v>
          </cell>
          <cell r="G1983">
            <v>5</v>
          </cell>
          <cell r="H1983">
            <v>1451.42</v>
          </cell>
          <cell r="I1983">
            <v>0</v>
          </cell>
          <cell r="J1983">
            <v>1451.42</v>
          </cell>
          <cell r="K1983">
            <v>-6.62</v>
          </cell>
          <cell r="P1983">
            <v>0</v>
          </cell>
        </row>
        <row r="1984">
          <cell r="A1984" t="str">
            <v>LU2146568501</v>
          </cell>
          <cell r="B1984" t="str">
            <v>AMUNDI FUNDS US EQUITY SELECT</v>
          </cell>
          <cell r="C1984" t="str">
            <v>Class I2 EUR (C)</v>
          </cell>
          <cell r="D1984" t="str">
            <v>EUR</v>
          </cell>
          <cell r="E1984" t="str">
            <v>01-Dec-2025</v>
          </cell>
          <cell r="F1984">
            <v>154735.71</v>
          </cell>
          <cell r="G1984">
            <v>93.67</v>
          </cell>
          <cell r="H1984">
            <v>1651.92</v>
          </cell>
          <cell r="I1984">
            <v>0</v>
          </cell>
          <cell r="J1984">
            <v>1651.92</v>
          </cell>
          <cell r="K1984">
            <v>-10.76</v>
          </cell>
          <cell r="P1984">
            <v>0</v>
          </cell>
        </row>
        <row r="1985">
          <cell r="A1985" t="str">
            <v>LU2643912962</v>
          </cell>
          <cell r="B1985" t="str">
            <v>AMUNDI FUNDS US EQUITY SELECT</v>
          </cell>
          <cell r="C1985" t="str">
            <v>Class I EUR Hgd (C)</v>
          </cell>
          <cell r="D1985" t="str">
            <v>EUR</v>
          </cell>
          <cell r="E1985" t="str">
            <v>01-Dec-2025</v>
          </cell>
          <cell r="F1985">
            <v>129340.68</v>
          </cell>
          <cell r="G1985">
            <v>102.396</v>
          </cell>
          <cell r="H1985">
            <v>1263.1400000000001</v>
          </cell>
          <cell r="I1985">
            <v>0</v>
          </cell>
          <cell r="J1985">
            <v>1263.1400000000001</v>
          </cell>
          <cell r="K1985">
            <v>-5.6</v>
          </cell>
          <cell r="P1985">
            <v>0</v>
          </cell>
        </row>
        <row r="1986">
          <cell r="A1986" t="str">
            <v>LU2146567446</v>
          </cell>
          <cell r="B1986" t="str">
            <v>AMUNDI FUNDS US EQUITY SELECT</v>
          </cell>
          <cell r="C1986" t="str">
            <v>Class I USD (C)</v>
          </cell>
          <cell r="D1986" t="str">
            <v>USD</v>
          </cell>
          <cell r="E1986" t="str">
            <v>01-Dec-2025</v>
          </cell>
          <cell r="F1986">
            <v>96472.95</v>
          </cell>
          <cell r="G1986">
            <v>66.224000000000004</v>
          </cell>
          <cell r="H1986">
            <v>1456.77</v>
          </cell>
          <cell r="I1986">
            <v>0</v>
          </cell>
          <cell r="J1986">
            <v>1456.77</v>
          </cell>
          <cell r="K1986">
            <v>-6.38</v>
          </cell>
          <cell r="P1986">
            <v>0</v>
          </cell>
        </row>
        <row r="1987">
          <cell r="A1987" t="str">
            <v>LU2146568766</v>
          </cell>
          <cell r="B1987" t="str">
            <v>AMUNDI FUNDS US EQUITY SELECT</v>
          </cell>
          <cell r="C1987" t="str">
            <v>Class M2 EUR (C)</v>
          </cell>
          <cell r="D1987" t="str">
            <v>EUR</v>
          </cell>
          <cell r="E1987" t="str">
            <v>01-Dec-2025</v>
          </cell>
          <cell r="F1987">
            <v>11228.89</v>
          </cell>
          <cell r="G1987">
            <v>5.9379999999999997</v>
          </cell>
          <cell r="H1987">
            <v>1891.02</v>
          </cell>
          <cell r="I1987">
            <v>0</v>
          </cell>
          <cell r="J1987">
            <v>1891.02</v>
          </cell>
          <cell r="K1987">
            <v>-12.31</v>
          </cell>
          <cell r="P1987">
            <v>0</v>
          </cell>
        </row>
        <row r="1988">
          <cell r="A1988" t="str">
            <v>LU2146569061</v>
          </cell>
          <cell r="B1988" t="str">
            <v>AMUNDI FUNDS US EQUITY SELECT</v>
          </cell>
          <cell r="C1988" t="str">
            <v>Class R2 EUR (C)</v>
          </cell>
          <cell r="D1988" t="str">
            <v>EUR</v>
          </cell>
          <cell r="E1988" t="str">
            <v>01-Dec-2025</v>
          </cell>
          <cell r="F1988">
            <v>94581.8</v>
          </cell>
          <cell r="G1988">
            <v>1493</v>
          </cell>
          <cell r="H1988">
            <v>63.35</v>
          </cell>
          <cell r="I1988">
            <v>0</v>
          </cell>
          <cell r="J1988">
            <v>63.35</v>
          </cell>
          <cell r="K1988">
            <v>-0.41</v>
          </cell>
          <cell r="P1988">
            <v>0</v>
          </cell>
        </row>
        <row r="1989">
          <cell r="A1989" t="str">
            <v>LU2146568840</v>
          </cell>
          <cell r="B1989" t="str">
            <v>AMUNDI FUNDS US EQUITY SELECT</v>
          </cell>
          <cell r="C1989" t="str">
            <v>Class P2 USD (C)</v>
          </cell>
          <cell r="D1989" t="str">
            <v>USD</v>
          </cell>
          <cell r="E1989" t="str">
            <v>01-Dec-2025</v>
          </cell>
          <cell r="F1989">
            <v>10041.799999999999</v>
          </cell>
          <cell r="G1989">
            <v>128.94399999999999</v>
          </cell>
          <cell r="H1989">
            <v>77.88</v>
          </cell>
          <cell r="I1989">
            <v>0</v>
          </cell>
          <cell r="J1989">
            <v>77.88</v>
          </cell>
          <cell r="K1989">
            <v>-0.34</v>
          </cell>
          <cell r="P1989">
            <v>0</v>
          </cell>
        </row>
        <row r="1990">
          <cell r="A1990" t="str">
            <v>LU2146568923</v>
          </cell>
          <cell r="B1990" t="str">
            <v>AMUNDI FUNDS US EQUITY SELECT</v>
          </cell>
          <cell r="C1990" t="str">
            <v>Class R2 USD (C)</v>
          </cell>
          <cell r="D1990" t="str">
            <v>USD</v>
          </cell>
          <cell r="E1990" t="str">
            <v>01-Dec-2025</v>
          </cell>
          <cell r="F1990">
            <v>19197601.289999999</v>
          </cell>
          <cell r="G1990">
            <v>295857</v>
          </cell>
          <cell r="H1990">
            <v>64.89</v>
          </cell>
          <cell r="I1990">
            <v>0</v>
          </cell>
          <cell r="J1990">
            <v>64.89</v>
          </cell>
          <cell r="K1990">
            <v>-0.28000000000000003</v>
          </cell>
          <cell r="P1990">
            <v>0</v>
          </cell>
        </row>
        <row r="1991">
          <cell r="A1991" t="str">
            <v>LU2359306417</v>
          </cell>
          <cell r="B1991" t="str">
            <v>AMUNDI FUNDS US EQUITY SELECT</v>
          </cell>
          <cell r="C1991" t="str">
            <v>Class R USD (C)</v>
          </cell>
          <cell r="D1991" t="str">
            <v>USD</v>
          </cell>
          <cell r="E1991" t="str">
            <v>01-Dec-2025</v>
          </cell>
          <cell r="F1991">
            <v>178359.54</v>
          </cell>
          <cell r="G1991">
            <v>2551</v>
          </cell>
          <cell r="H1991">
            <v>69.92</v>
          </cell>
          <cell r="I1991">
            <v>0</v>
          </cell>
          <cell r="J1991">
            <v>69.92</v>
          </cell>
          <cell r="K1991">
            <v>-0.31</v>
          </cell>
          <cell r="P1991">
            <v>0</v>
          </cell>
        </row>
        <row r="1992">
          <cell r="A1992" t="str">
            <v>LU2146568410</v>
          </cell>
          <cell r="B1992" t="str">
            <v>AMUNDI FUNDS US EQUITY SELECT</v>
          </cell>
          <cell r="C1992" t="str">
            <v>Class G EUR (C)</v>
          </cell>
          <cell r="D1992" t="str">
            <v>EUR</v>
          </cell>
          <cell r="E1992" t="str">
            <v>01-Dec-2025</v>
          </cell>
          <cell r="F1992">
            <v>2877778.67</v>
          </cell>
          <cell r="G1992">
            <v>322506.658</v>
          </cell>
          <cell r="H1992">
            <v>8.923</v>
          </cell>
          <cell r="I1992">
            <v>0</v>
          </cell>
          <cell r="J1992">
            <v>9.1910000000000007</v>
          </cell>
          <cell r="K1992">
            <v>-5.8999999999999997E-2</v>
          </cell>
          <cell r="P1992">
            <v>0</v>
          </cell>
        </row>
        <row r="1993">
          <cell r="A1993" t="str">
            <v>LU2643912707</v>
          </cell>
          <cell r="B1993" t="str">
            <v>AMUNDI FUNDS US EQUITY SELECT</v>
          </cell>
          <cell r="C1993" t="str">
            <v>Class G USD (C)</v>
          </cell>
          <cell r="D1993" t="str">
            <v>USD</v>
          </cell>
          <cell r="E1993" t="str">
            <v>01-Dec-2025</v>
          </cell>
          <cell r="F1993">
            <v>2879083.89</v>
          </cell>
          <cell r="G1993">
            <v>445242.6</v>
          </cell>
          <cell r="H1993">
            <v>6.4660000000000002</v>
          </cell>
          <cell r="I1993">
            <v>0</v>
          </cell>
          <cell r="J1993">
            <v>6.66</v>
          </cell>
          <cell r="K1993">
            <v>-2.9000000000000001E-2</v>
          </cell>
          <cell r="P1993">
            <v>0</v>
          </cell>
        </row>
        <row r="1994">
          <cell r="A1994" t="str">
            <v>LU2643912459</v>
          </cell>
          <cell r="B1994" t="str">
            <v>AMUNDI FUNDS US EQUITY SELECT</v>
          </cell>
          <cell r="C1994" t="str">
            <v>Class G EUR Hgd (C)</v>
          </cell>
          <cell r="D1994" t="str">
            <v>EUR</v>
          </cell>
          <cell r="E1994" t="str">
            <v>01-Dec-2025</v>
          </cell>
          <cell r="F1994">
            <v>679793.64</v>
          </cell>
          <cell r="G1994">
            <v>110221.39599999999</v>
          </cell>
          <cell r="H1994">
            <v>6.1680000000000001</v>
          </cell>
          <cell r="I1994">
            <v>0</v>
          </cell>
          <cell r="J1994">
            <v>6.3529999999999998</v>
          </cell>
          <cell r="K1994">
            <v>-2.7E-2</v>
          </cell>
          <cell r="P1994">
            <v>0</v>
          </cell>
        </row>
        <row r="1995">
          <cell r="A1995" t="str">
            <v>LU2247575652</v>
          </cell>
          <cell r="B1995" t="str">
            <v>AMUNDI FUNDS QUANTITATIVE GLOBAL ABSOLUTE RETUR BD</v>
          </cell>
          <cell r="C1995" t="str">
            <v>Class A2 USD (C)</v>
          </cell>
          <cell r="D1995" t="str">
            <v>USD</v>
          </cell>
          <cell r="E1995" t="str">
            <v>01-Dec-2025</v>
          </cell>
          <cell r="F1995">
            <v>5078.24</v>
          </cell>
          <cell r="G1995">
            <v>100</v>
          </cell>
          <cell r="H1995">
            <v>50.78</v>
          </cell>
          <cell r="I1995">
            <v>0</v>
          </cell>
          <cell r="J1995">
            <v>52.3</v>
          </cell>
          <cell r="K1995">
            <v>-0.51</v>
          </cell>
          <cell r="P1995">
            <v>0</v>
          </cell>
        </row>
        <row r="1996">
          <cell r="A1996" t="str">
            <v>LU2247576031</v>
          </cell>
          <cell r="B1996" t="str">
            <v>AMUNDI FUNDS QUANTITATIVE GLOBAL ABSOLUTE RETUR BD</v>
          </cell>
          <cell r="C1996" t="str">
            <v>Class I2 USD (C)</v>
          </cell>
          <cell r="D1996" t="str">
            <v>USD</v>
          </cell>
          <cell r="E1996" t="str">
            <v>01-Dec-2025</v>
          </cell>
          <cell r="F1996">
            <v>5282.79</v>
          </cell>
          <cell r="G1996">
            <v>5</v>
          </cell>
          <cell r="H1996">
            <v>1056.56</v>
          </cell>
          <cell r="I1996">
            <v>0</v>
          </cell>
          <cell r="J1996">
            <v>1056.56</v>
          </cell>
          <cell r="K1996">
            <v>-10.47</v>
          </cell>
          <cell r="P1996">
            <v>0</v>
          </cell>
        </row>
        <row r="1997">
          <cell r="A1997" t="str">
            <v>LU2819203162</v>
          </cell>
          <cell r="B1997" t="str">
            <v>AMUNDI FUNDS QUANTITATIVE GLOBAL ABSOLUTE RETUR BD</v>
          </cell>
          <cell r="C1997" t="str">
            <v>Class I2 GBP (C)</v>
          </cell>
          <cell r="D1997" t="str">
            <v>GBP</v>
          </cell>
          <cell r="E1997" t="str">
            <v>01-Dec-2025</v>
          </cell>
          <cell r="F1997">
            <v>4750.62</v>
          </cell>
          <cell r="G1997">
            <v>5</v>
          </cell>
          <cell r="H1997">
            <v>950.12</v>
          </cell>
          <cell r="I1997">
            <v>0</v>
          </cell>
          <cell r="J1997">
            <v>950.12</v>
          </cell>
          <cell r="K1997">
            <v>-9.58</v>
          </cell>
          <cell r="P1997">
            <v>0</v>
          </cell>
        </row>
        <row r="1998">
          <cell r="A1998" t="str">
            <v>LU2819203329</v>
          </cell>
          <cell r="B1998" t="str">
            <v>AMUNDI FUNDS QUANTITATIVE GLOBAL ABSOLUTE RETUR BD</v>
          </cell>
          <cell r="C1998" t="str">
            <v>Class J2 GBP (C)</v>
          </cell>
          <cell r="D1998" t="str">
            <v>GBP</v>
          </cell>
          <cell r="E1998" t="str">
            <v>01-Dec-2025</v>
          </cell>
          <cell r="F1998">
            <v>4757.82</v>
          </cell>
          <cell r="G1998">
            <v>5</v>
          </cell>
          <cell r="H1998">
            <v>951.56</v>
          </cell>
          <cell r="I1998">
            <v>0</v>
          </cell>
          <cell r="J1998">
            <v>951.56</v>
          </cell>
          <cell r="K1998">
            <v>-9.59</v>
          </cell>
          <cell r="P1998">
            <v>0</v>
          </cell>
        </row>
        <row r="1999">
          <cell r="A1999" t="str">
            <v>LU2247575819</v>
          </cell>
          <cell r="B1999" t="str">
            <v>AMUNDI FUNDS QUANTITATIVE GLOBAL ABSOLUTE RETUR BD</v>
          </cell>
          <cell r="C1999" t="str">
            <v>Class R2 USD (C)</v>
          </cell>
          <cell r="D1999" t="str">
            <v>USD</v>
          </cell>
          <cell r="E1999" t="str">
            <v>01-Dec-2025</v>
          </cell>
          <cell r="F1999">
            <v>5197.9399999999996</v>
          </cell>
          <cell r="G1999">
            <v>100</v>
          </cell>
          <cell r="H1999">
            <v>51.98</v>
          </cell>
          <cell r="I1999">
            <v>0</v>
          </cell>
          <cell r="J1999">
            <v>51.98</v>
          </cell>
          <cell r="K1999">
            <v>-0.52</v>
          </cell>
          <cell r="P1999">
            <v>0</v>
          </cell>
        </row>
        <row r="2000">
          <cell r="A2000" t="str">
            <v>LU2819203246</v>
          </cell>
          <cell r="B2000" t="str">
            <v>AMUNDI FUNDS QUANTITATIVE GLOBAL ABSOLUTE RETUR BD</v>
          </cell>
          <cell r="C2000" t="str">
            <v>Class R2 GBP (C)</v>
          </cell>
          <cell r="D2000" t="str">
            <v>GBP</v>
          </cell>
          <cell r="E2000" t="str">
            <v>01-Dec-2025</v>
          </cell>
          <cell r="F2000">
            <v>4728.3599999999997</v>
          </cell>
          <cell r="G2000">
            <v>100</v>
          </cell>
          <cell r="H2000">
            <v>47.28</v>
          </cell>
          <cell r="I2000">
            <v>0</v>
          </cell>
          <cell r="J2000">
            <v>47.28</v>
          </cell>
          <cell r="K2000">
            <v>-0.48</v>
          </cell>
          <cell r="P2000">
            <v>0</v>
          </cell>
        </row>
        <row r="2001">
          <cell r="A2001" t="str">
            <v>LU2247577195</v>
          </cell>
          <cell r="B2001" t="str">
            <v>AMUNDI FUNDS QUANTITATIVE GLOBAL ABSOLUTE RETUR BD</v>
          </cell>
          <cell r="C2001" t="str">
            <v>Class H USD  ( C )</v>
          </cell>
          <cell r="D2001" t="str">
            <v>USD</v>
          </cell>
          <cell r="E2001" t="str">
            <v>01-Dec-2025</v>
          </cell>
          <cell r="F2001">
            <v>26719386.309999999</v>
          </cell>
          <cell r="G2001">
            <v>25000</v>
          </cell>
          <cell r="H2001">
            <v>1068.78</v>
          </cell>
          <cell r="I2001">
            <v>0</v>
          </cell>
          <cell r="J2001">
            <v>1068.78</v>
          </cell>
          <cell r="K2001">
            <v>-10.56</v>
          </cell>
          <cell r="P2001">
            <v>0</v>
          </cell>
        </row>
        <row r="2002">
          <cell r="A2002" t="str">
            <v>LU2247576387</v>
          </cell>
          <cell r="B2002" t="str">
            <v>AMUNDI FUNDS QUANTITATIVE GLOBAL ABSOLUTE RETUR BD</v>
          </cell>
          <cell r="C2002" t="str">
            <v>Class Z USD (C)</v>
          </cell>
          <cell r="D2002" t="str">
            <v>USD</v>
          </cell>
          <cell r="E2002" t="str">
            <v>01-Dec-2025</v>
          </cell>
          <cell r="F2002">
            <v>22267498.890000001</v>
          </cell>
          <cell r="G2002">
            <v>20878.288</v>
          </cell>
          <cell r="H2002">
            <v>1066.54</v>
          </cell>
          <cell r="I2002">
            <v>0</v>
          </cell>
          <cell r="J2002">
            <v>1066.54</v>
          </cell>
          <cell r="K2002">
            <v>-10.55</v>
          </cell>
          <cell r="P2002">
            <v>0</v>
          </cell>
        </row>
        <row r="2003">
          <cell r="A2003" t="str">
            <v>LU2247576205</v>
          </cell>
          <cell r="B2003" t="str">
            <v>AMUNDI FUNDS QUANTITATIVE GLOBAL ABSOLUTE RETUR BD</v>
          </cell>
          <cell r="C2003" t="str">
            <v>Class Z EUR Hgd (C)</v>
          </cell>
          <cell r="D2003" t="str">
            <v>EUR</v>
          </cell>
          <cell r="E2003" t="str">
            <v>01-Dec-2025</v>
          </cell>
          <cell r="F2003">
            <v>18276840.199999999</v>
          </cell>
          <cell r="G2003">
            <v>18600</v>
          </cell>
          <cell r="H2003">
            <v>982.63</v>
          </cell>
          <cell r="I2003">
            <v>0</v>
          </cell>
          <cell r="J2003">
            <v>982.63</v>
          </cell>
          <cell r="K2003">
            <v>-9.76</v>
          </cell>
          <cell r="P2003">
            <v>0</v>
          </cell>
        </row>
        <row r="2004">
          <cell r="A2004" t="str">
            <v>LU2280506101</v>
          </cell>
          <cell r="B2004" t="str">
            <v>AMUNDI FUNDS GLOBAL CORPORATE BOND SELECT</v>
          </cell>
          <cell r="C2004" t="str">
            <v>Class A2 USD (C)</v>
          </cell>
          <cell r="D2004" t="str">
            <v>USD</v>
          </cell>
          <cell r="E2004" t="str">
            <v>01-Dec-2025</v>
          </cell>
          <cell r="F2004">
            <v>5076.2299999999996</v>
          </cell>
          <cell r="G2004">
            <v>100</v>
          </cell>
          <cell r="H2004">
            <v>50.76</v>
          </cell>
          <cell r="I2004">
            <v>0</v>
          </cell>
          <cell r="J2004">
            <v>50.76</v>
          </cell>
          <cell r="K2004">
            <v>-0.17</v>
          </cell>
          <cell r="P2004">
            <v>0</v>
          </cell>
        </row>
        <row r="2005">
          <cell r="A2005" t="str">
            <v>LU2330497517</v>
          </cell>
          <cell r="B2005" t="str">
            <v>AMUNDI FUNDS GLOBAL CORPORATE BOND SELECT</v>
          </cell>
          <cell r="C2005" t="str">
            <v>Class A2 EUR Hgd (C)</v>
          </cell>
          <cell r="D2005" t="str">
            <v>EUR</v>
          </cell>
          <cell r="E2005" t="str">
            <v>01-Dec-2025</v>
          </cell>
          <cell r="F2005">
            <v>103670.66</v>
          </cell>
          <cell r="G2005">
            <v>2230.6579999999999</v>
          </cell>
          <cell r="H2005">
            <v>46.48</v>
          </cell>
          <cell r="I2005">
            <v>0</v>
          </cell>
          <cell r="J2005">
            <v>46.48</v>
          </cell>
          <cell r="K2005">
            <v>-0.15</v>
          </cell>
          <cell r="P2005">
            <v>0</v>
          </cell>
        </row>
        <row r="2006">
          <cell r="A2006" t="str">
            <v>LU2450199125</v>
          </cell>
          <cell r="B2006" t="str">
            <v>AMUNDI FUNDS GLOBAL CORPORATE BOND SELECT</v>
          </cell>
          <cell r="C2006" t="str">
            <v>Class M2 EUR Hgd (C)</v>
          </cell>
          <cell r="D2006" t="str">
            <v>EUR</v>
          </cell>
          <cell r="E2006" t="str">
            <v>01-Dec-2025</v>
          </cell>
          <cell r="F2006">
            <v>24432419.059999999</v>
          </cell>
          <cell r="G2006">
            <v>23660.066999999999</v>
          </cell>
          <cell r="H2006">
            <v>1032.6400000000001</v>
          </cell>
          <cell r="I2006">
            <v>0</v>
          </cell>
          <cell r="J2006">
            <v>1032.6400000000001</v>
          </cell>
          <cell r="K2006">
            <v>-3.34</v>
          </cell>
          <cell r="P2006">
            <v>0</v>
          </cell>
        </row>
        <row r="2007">
          <cell r="A2007" t="str">
            <v>LU2280506879</v>
          </cell>
          <cell r="B2007" t="str">
            <v>AMUNDI FUNDS GLOBAL CORPORATE BOND SELECT</v>
          </cell>
          <cell r="C2007" t="str">
            <v>Class E2 EUR (C)</v>
          </cell>
          <cell r="D2007" t="str">
            <v>EUR</v>
          </cell>
          <cell r="E2007" t="str">
            <v>01-Dec-2025</v>
          </cell>
          <cell r="F2007">
            <v>366554.58</v>
          </cell>
          <cell r="G2007">
            <v>69468.339000000007</v>
          </cell>
          <cell r="H2007">
            <v>5.2770000000000001</v>
          </cell>
          <cell r="I2007">
            <v>0</v>
          </cell>
          <cell r="J2007">
            <v>5.2770000000000001</v>
          </cell>
          <cell r="K2007">
            <v>-2.8000000000000001E-2</v>
          </cell>
          <cell r="P2007">
            <v>0</v>
          </cell>
        </row>
        <row r="2008">
          <cell r="A2008" t="str">
            <v>LU2280506523</v>
          </cell>
          <cell r="B2008" t="str">
            <v>AMUNDI FUNDS GLOBAL CORPORATE BOND SELECT</v>
          </cell>
          <cell r="C2008" t="str">
            <v>Class F EUR (C)</v>
          </cell>
          <cell r="D2008" t="str">
            <v>EUR</v>
          </cell>
          <cell r="E2008" t="str">
            <v>01-Dec-2025</v>
          </cell>
          <cell r="F2008">
            <v>581838.75</v>
          </cell>
          <cell r="G2008">
            <v>110083.21799999999</v>
          </cell>
          <cell r="H2008">
            <v>5.2850000000000001</v>
          </cell>
          <cell r="I2008">
            <v>0</v>
          </cell>
          <cell r="J2008">
            <v>5.2850000000000001</v>
          </cell>
          <cell r="K2008">
            <v>-2.9000000000000001E-2</v>
          </cell>
          <cell r="P2008">
            <v>0</v>
          </cell>
        </row>
        <row r="2009">
          <cell r="A2009" t="str">
            <v>LU2280507257</v>
          </cell>
          <cell r="B2009" t="str">
            <v>AMUNDI FUNDS GLOBAL CORPORATE BOND SELECT</v>
          </cell>
          <cell r="C2009" t="str">
            <v>Class I2 USD (C)</v>
          </cell>
          <cell r="D2009" t="str">
            <v>USD</v>
          </cell>
          <cell r="E2009" t="str">
            <v>01-Dec-2025</v>
          </cell>
          <cell r="F2009">
            <v>5241.12</v>
          </cell>
          <cell r="G2009">
            <v>5</v>
          </cell>
          <cell r="H2009">
            <v>1048.22</v>
          </cell>
          <cell r="I2009">
            <v>0</v>
          </cell>
          <cell r="J2009">
            <v>1048.22</v>
          </cell>
          <cell r="K2009">
            <v>-3.34</v>
          </cell>
          <cell r="P2009">
            <v>0</v>
          </cell>
        </row>
        <row r="2010">
          <cell r="A2010" t="str">
            <v>LU2359305872</v>
          </cell>
          <cell r="B2010" t="str">
            <v>AMUNDI FUNDS GLOBAL CORPORATE BOND SELECT</v>
          </cell>
          <cell r="C2010" t="str">
            <v>Class I2 GBP (C)</v>
          </cell>
          <cell r="D2010" t="str">
            <v>GBP</v>
          </cell>
          <cell r="E2010" t="str">
            <v>01-Dec-2025</v>
          </cell>
          <cell r="F2010">
            <v>5313.73</v>
          </cell>
          <cell r="G2010">
            <v>5</v>
          </cell>
          <cell r="H2010">
            <v>1062.75</v>
          </cell>
          <cell r="I2010">
            <v>0</v>
          </cell>
          <cell r="J2010">
            <v>1062.75</v>
          </cell>
          <cell r="K2010">
            <v>-3.56</v>
          </cell>
          <cell r="P2010">
            <v>0</v>
          </cell>
        </row>
        <row r="2011">
          <cell r="A2011" t="str">
            <v>LU2330497608</v>
          </cell>
          <cell r="B2011" t="str">
            <v>AMUNDI FUNDS GLOBAL CORPORATE BOND SELECT</v>
          </cell>
          <cell r="C2011" t="str">
            <v>Class I2 EUR Hgd (C)</v>
          </cell>
          <cell r="D2011" t="str">
            <v>EUR</v>
          </cell>
          <cell r="E2011" t="str">
            <v>01-Dec-2025</v>
          </cell>
          <cell r="F2011">
            <v>10456097.6</v>
          </cell>
          <cell r="G2011">
            <v>10908.748</v>
          </cell>
          <cell r="H2011">
            <v>958.51</v>
          </cell>
          <cell r="I2011">
            <v>0</v>
          </cell>
          <cell r="J2011">
            <v>958.51</v>
          </cell>
          <cell r="K2011">
            <v>-3.1</v>
          </cell>
          <cell r="P2011">
            <v>0</v>
          </cell>
        </row>
        <row r="2012">
          <cell r="A2012" t="str">
            <v>LU2280506366</v>
          </cell>
          <cell r="B2012" t="str">
            <v>AMUNDI FUNDS GLOBAL CORPORATE BOND SELECT</v>
          </cell>
          <cell r="C2012" t="str">
            <v>Class G EUR (C)</v>
          </cell>
          <cell r="D2012" t="str">
            <v>EUR</v>
          </cell>
          <cell r="E2012" t="str">
            <v>01-Dec-2025</v>
          </cell>
          <cell r="F2012">
            <v>5898344.54</v>
          </cell>
          <cell r="G2012">
            <v>1104451.8049999999</v>
          </cell>
          <cell r="H2012">
            <v>5.3410000000000002</v>
          </cell>
          <cell r="I2012">
            <v>0</v>
          </cell>
          <cell r="J2012">
            <v>5.3410000000000002</v>
          </cell>
          <cell r="K2012">
            <v>-2.8000000000000001E-2</v>
          </cell>
          <cell r="P2012">
            <v>0</v>
          </cell>
        </row>
        <row r="2013">
          <cell r="A2013" t="str">
            <v>LU2280507091</v>
          </cell>
          <cell r="B2013" t="str">
            <v>AMUNDI FUNDS GLOBAL CORPORATE BOND SELECT</v>
          </cell>
          <cell r="C2013" t="str">
            <v>Class R2 USD (C)</v>
          </cell>
          <cell r="D2013" t="str">
            <v>USD</v>
          </cell>
          <cell r="E2013" t="str">
            <v>01-Dec-2025</v>
          </cell>
          <cell r="F2013">
            <v>5182.8100000000004</v>
          </cell>
          <cell r="G2013">
            <v>100</v>
          </cell>
          <cell r="H2013">
            <v>51.83</v>
          </cell>
          <cell r="I2013">
            <v>0</v>
          </cell>
          <cell r="J2013">
            <v>51.83</v>
          </cell>
          <cell r="K2013">
            <v>-0.16</v>
          </cell>
          <cell r="P2013">
            <v>0</v>
          </cell>
        </row>
        <row r="2014">
          <cell r="A2014" t="str">
            <v>LU2280507331</v>
          </cell>
          <cell r="B2014" t="str">
            <v>AMUNDI FUNDS GLOBAL CORPORATE BOND SELECT</v>
          </cell>
          <cell r="C2014" t="str">
            <v>Class Z USD (C)</v>
          </cell>
          <cell r="D2014" t="str">
            <v>USD</v>
          </cell>
          <cell r="E2014" t="str">
            <v>01-Dec-2025</v>
          </cell>
          <cell r="F2014">
            <v>48189899.899999999</v>
          </cell>
          <cell r="G2014">
            <v>45653.982000000004</v>
          </cell>
          <cell r="H2014">
            <v>1055.55</v>
          </cell>
          <cell r="I2014">
            <v>0</v>
          </cell>
          <cell r="J2014">
            <v>1055.55</v>
          </cell>
          <cell r="K2014">
            <v>-3.34</v>
          </cell>
          <cell r="P2014">
            <v>0</v>
          </cell>
        </row>
        <row r="2015">
          <cell r="A2015" t="str">
            <v>LU2280507505</v>
          </cell>
          <cell r="B2015" t="str">
            <v>AMUNDI FUNDS GLOBAL CORPORATE BOND SELECT</v>
          </cell>
          <cell r="C2015" t="str">
            <v>Class H USD (C)</v>
          </cell>
          <cell r="D2015" t="str">
            <v>USD</v>
          </cell>
          <cell r="E2015" t="str">
            <v>01-Dec-2025</v>
          </cell>
          <cell r="F2015">
            <v>5286.33</v>
          </cell>
          <cell r="G2015">
            <v>5</v>
          </cell>
          <cell r="H2015">
            <v>1057.27</v>
          </cell>
          <cell r="I2015">
            <v>0</v>
          </cell>
          <cell r="J2015">
            <v>1057.27</v>
          </cell>
          <cell r="K2015">
            <v>-3.34</v>
          </cell>
          <cell r="P2015">
            <v>0</v>
          </cell>
        </row>
        <row r="2016">
          <cell r="A2016" t="str">
            <v>LU2280507844</v>
          </cell>
          <cell r="B2016" t="str">
            <v>AMUNDI FUNDS GLOBAL HIGH YIELD BOND RESPONSIBLE</v>
          </cell>
          <cell r="C2016" t="str">
            <v>Class A2 USD (C)</v>
          </cell>
          <cell r="D2016" t="str">
            <v>USD</v>
          </cell>
          <cell r="E2016" t="str">
            <v>01-Dec-2025</v>
          </cell>
          <cell r="F2016">
            <v>54670.14</v>
          </cell>
          <cell r="G2016">
            <v>952.31</v>
          </cell>
          <cell r="H2016">
            <v>57.41</v>
          </cell>
          <cell r="I2016">
            <v>0</v>
          </cell>
          <cell r="J2016">
            <v>57.41</v>
          </cell>
          <cell r="K2016">
            <v>-0.04</v>
          </cell>
          <cell r="P2016">
            <v>0</v>
          </cell>
        </row>
        <row r="2017">
          <cell r="A2017" t="str">
            <v>LU2280508578</v>
          </cell>
          <cell r="B2017" t="str">
            <v>AMUNDI FUNDS GLOBAL HIGH YIELD BOND RESPONSIBLE</v>
          </cell>
          <cell r="C2017" t="str">
            <v>Class E2 EUR (C)</v>
          </cell>
          <cell r="D2017" t="str">
            <v>EUR</v>
          </cell>
          <cell r="E2017" t="str">
            <v>01-Dec-2025</v>
          </cell>
          <cell r="F2017">
            <v>128408.59</v>
          </cell>
          <cell r="G2017">
            <v>21709.261999999999</v>
          </cell>
          <cell r="H2017">
            <v>5.915</v>
          </cell>
          <cell r="I2017">
            <v>0</v>
          </cell>
          <cell r="J2017">
            <v>5.915</v>
          </cell>
          <cell r="K2017">
            <v>-1.6E-2</v>
          </cell>
          <cell r="P2017">
            <v>0</v>
          </cell>
        </row>
        <row r="2018">
          <cell r="A2018" t="str">
            <v>LU2490079436</v>
          </cell>
          <cell r="B2018" t="str">
            <v>AMUNDI FUNDS GLOBAL HIGH YIELD BOND RESPONSIBLE</v>
          </cell>
          <cell r="C2018" t="str">
            <v>Class F EUR (C)</v>
          </cell>
          <cell r="D2018" t="str">
            <v>EUR</v>
          </cell>
          <cell r="E2018" t="str">
            <v>01-Dec-2025</v>
          </cell>
          <cell r="F2018">
            <v>799266.12</v>
          </cell>
          <cell r="G2018">
            <v>136720.20800000001</v>
          </cell>
          <cell r="H2018">
            <v>5.8460000000000001</v>
          </cell>
          <cell r="I2018">
            <v>0</v>
          </cell>
          <cell r="J2018">
            <v>5.8460000000000001</v>
          </cell>
          <cell r="K2018">
            <v>-1.6E-2</v>
          </cell>
          <cell r="P2018">
            <v>0</v>
          </cell>
        </row>
        <row r="2019">
          <cell r="A2019" t="str">
            <v>LU2280508909</v>
          </cell>
          <cell r="B2019" t="str">
            <v>AMUNDI FUNDS GLOBAL HIGH YIELD BOND RESPONSIBLE</v>
          </cell>
          <cell r="C2019" t="str">
            <v>Class I2 USD (C)</v>
          </cell>
          <cell r="D2019" t="str">
            <v>USD</v>
          </cell>
          <cell r="E2019" t="str">
            <v>01-Dec-2025</v>
          </cell>
          <cell r="F2019">
            <v>5969.38</v>
          </cell>
          <cell r="G2019">
            <v>5</v>
          </cell>
          <cell r="H2019">
            <v>1193.8800000000001</v>
          </cell>
          <cell r="I2019">
            <v>0</v>
          </cell>
          <cell r="J2019">
            <v>1193.8800000000001</v>
          </cell>
          <cell r="K2019">
            <v>-0.69</v>
          </cell>
          <cell r="P2019">
            <v>0</v>
          </cell>
        </row>
        <row r="2020">
          <cell r="A2020" t="str">
            <v>LU2359304719</v>
          </cell>
          <cell r="B2020" t="str">
            <v>AMUNDI FUNDS GLOBAL HIGH YIELD BOND RESPONSIBLE</v>
          </cell>
          <cell r="C2020" t="str">
            <v>Class I2 GBP (C)</v>
          </cell>
          <cell r="D2020" t="str">
            <v>GBP</v>
          </cell>
          <cell r="E2020" t="str">
            <v>01-Dec-2025</v>
          </cell>
          <cell r="F2020">
            <v>6082.18</v>
          </cell>
          <cell r="G2020">
            <v>5</v>
          </cell>
          <cell r="H2020">
            <v>1216.44</v>
          </cell>
          <cell r="I2020">
            <v>0</v>
          </cell>
          <cell r="J2020">
            <v>1216.44</v>
          </cell>
          <cell r="K2020">
            <v>-0.91</v>
          </cell>
          <cell r="P2020">
            <v>0</v>
          </cell>
        </row>
        <row r="2021">
          <cell r="A2021" t="str">
            <v>LU2477811702</v>
          </cell>
          <cell r="B2021" t="str">
            <v>AMUNDI FUNDS GLOBAL HIGH YIELD BOND RESPONSIBLE</v>
          </cell>
          <cell r="C2021" t="str">
            <v>Class I2 SEK Hgd (C)</v>
          </cell>
          <cell r="D2021" t="str">
            <v>SEK</v>
          </cell>
          <cell r="E2021" t="str">
            <v>01-Dec-2025</v>
          </cell>
          <cell r="F2021">
            <v>447768980.94</v>
          </cell>
          <cell r="G2021">
            <v>37406.925999999999</v>
          </cell>
          <cell r="H2021">
            <v>11970.22</v>
          </cell>
          <cell r="I2021">
            <v>0</v>
          </cell>
          <cell r="J2021">
            <v>11970.22</v>
          </cell>
          <cell r="K2021">
            <v>-7.65</v>
          </cell>
          <cell r="P2021">
            <v>0</v>
          </cell>
        </row>
        <row r="2022">
          <cell r="A2022" t="str">
            <v>LU2490079519</v>
          </cell>
          <cell r="B2022" t="str">
            <v>AMUNDI FUNDS GLOBAL HIGH YIELD BOND RESPONSIBLE</v>
          </cell>
          <cell r="C2022" t="str">
            <v>Class G EUR (C)</v>
          </cell>
          <cell r="D2022" t="str">
            <v>EUR</v>
          </cell>
          <cell r="E2022" t="str">
            <v>01-Dec-2025</v>
          </cell>
          <cell r="F2022">
            <v>230070.43</v>
          </cell>
          <cell r="G2022">
            <v>38963.067999999999</v>
          </cell>
          <cell r="H2022">
            <v>5.9050000000000002</v>
          </cell>
          <cell r="I2022">
            <v>0</v>
          </cell>
          <cell r="J2022">
            <v>5.9050000000000002</v>
          </cell>
          <cell r="K2022">
            <v>-1.6E-2</v>
          </cell>
          <cell r="P2022">
            <v>0</v>
          </cell>
        </row>
        <row r="2023">
          <cell r="A2023" t="str">
            <v>LU2280508735</v>
          </cell>
          <cell r="B2023" t="str">
            <v>AMUNDI FUNDS GLOBAL HIGH YIELD BOND RESPONSIBLE</v>
          </cell>
          <cell r="C2023" t="str">
            <v>Class R2 USD (C)</v>
          </cell>
          <cell r="D2023" t="str">
            <v>USD</v>
          </cell>
          <cell r="E2023" t="str">
            <v>01-Dec-2025</v>
          </cell>
          <cell r="F2023">
            <v>5904.18</v>
          </cell>
          <cell r="G2023">
            <v>100</v>
          </cell>
          <cell r="H2023">
            <v>59.04</v>
          </cell>
          <cell r="I2023">
            <v>0</v>
          </cell>
          <cell r="J2023">
            <v>59.04</v>
          </cell>
          <cell r="K2023">
            <v>-0.04</v>
          </cell>
          <cell r="P2023">
            <v>0</v>
          </cell>
        </row>
        <row r="2024">
          <cell r="A2024" t="str">
            <v>LU2280509030</v>
          </cell>
          <cell r="B2024" t="str">
            <v>AMUNDI FUNDS GLOBAL HIGH YIELD BOND RESPONSIBLE</v>
          </cell>
          <cell r="C2024" t="str">
            <v>Class Z USD (C)</v>
          </cell>
          <cell r="D2024" t="str">
            <v>USD</v>
          </cell>
          <cell r="E2024" t="str">
            <v>01-Dec-2025</v>
          </cell>
          <cell r="F2024">
            <v>25268373.469999999</v>
          </cell>
          <cell r="G2024">
            <v>21012.946</v>
          </cell>
          <cell r="H2024">
            <v>1202.51</v>
          </cell>
          <cell r="I2024">
            <v>0</v>
          </cell>
          <cell r="J2024">
            <v>1202.51</v>
          </cell>
          <cell r="K2024">
            <v>-0.69</v>
          </cell>
          <cell r="P2024">
            <v>0</v>
          </cell>
        </row>
        <row r="2025">
          <cell r="A2025" t="str">
            <v>LU2344284976</v>
          </cell>
          <cell r="B2025" t="str">
            <v>AMUNDI FUNDS GLOBAL EQUITY SELECT</v>
          </cell>
          <cell r="C2025" t="str">
            <v>Class A2 USD (C)</v>
          </cell>
          <cell r="D2025" t="str">
            <v>USD</v>
          </cell>
          <cell r="E2025" t="str">
            <v>01-Dec-2025</v>
          </cell>
          <cell r="F2025">
            <v>251366.94</v>
          </cell>
          <cell r="G2025">
            <v>3485.8989999999999</v>
          </cell>
          <cell r="H2025">
            <v>72.11</v>
          </cell>
          <cell r="I2025">
            <v>0</v>
          </cell>
          <cell r="J2025">
            <v>72.11</v>
          </cell>
          <cell r="K2025">
            <v>-0.39</v>
          </cell>
          <cell r="P2025">
            <v>0</v>
          </cell>
        </row>
        <row r="2026">
          <cell r="A2026" t="str">
            <v>LU2643912376</v>
          </cell>
          <cell r="B2026" t="str">
            <v>AMUNDI FUNDS GLOBAL EQUITY SELECT</v>
          </cell>
          <cell r="C2026" t="str">
            <v>Class A2 EUR (C)</v>
          </cell>
          <cell r="D2026" t="str">
            <v>EUR</v>
          </cell>
          <cell r="E2026" t="str">
            <v>01-Dec-2025</v>
          </cell>
          <cell r="F2026">
            <v>35694024.350000001</v>
          </cell>
          <cell r="G2026">
            <v>533740.40899999999</v>
          </cell>
          <cell r="H2026">
            <v>66.88</v>
          </cell>
          <cell r="I2026">
            <v>0</v>
          </cell>
          <cell r="J2026">
            <v>69.89</v>
          </cell>
          <cell r="K2026">
            <v>-0.5</v>
          </cell>
          <cell r="P2026">
            <v>0</v>
          </cell>
        </row>
        <row r="2027">
          <cell r="A2027" t="str">
            <v>LU2344286328</v>
          </cell>
          <cell r="B2027" t="str">
            <v>AMUNDI FUNDS GLOBAL EQUITY SELECT</v>
          </cell>
          <cell r="C2027" t="str">
            <v>Class E2 EUR (C)</v>
          </cell>
          <cell r="D2027" t="str">
            <v>EUR</v>
          </cell>
          <cell r="E2027" t="str">
            <v>01-Dec-2025</v>
          </cell>
          <cell r="F2027">
            <v>8923691.3399999999</v>
          </cell>
          <cell r="G2027">
            <v>1215101.862</v>
          </cell>
          <cell r="H2027">
            <v>7.34</v>
          </cell>
          <cell r="I2027">
            <v>0</v>
          </cell>
          <cell r="J2027">
            <v>7.34</v>
          </cell>
          <cell r="K2027">
            <v>-0.06</v>
          </cell>
          <cell r="P2027">
            <v>0</v>
          </cell>
        </row>
        <row r="2028">
          <cell r="A2028" t="str">
            <v>LU2490079782</v>
          </cell>
          <cell r="B2028" t="str">
            <v>AMUNDI FUNDS GLOBAL EQUITY SELECT</v>
          </cell>
          <cell r="C2028" t="str">
            <v>Class F EUR (C)</v>
          </cell>
          <cell r="D2028" t="str">
            <v>EUR</v>
          </cell>
          <cell r="E2028" t="str">
            <v>01-Dec-2025</v>
          </cell>
          <cell r="F2028">
            <v>2017646.29</v>
          </cell>
          <cell r="G2028">
            <v>276203.03700000001</v>
          </cell>
          <cell r="H2028">
            <v>7.3049999999999997</v>
          </cell>
          <cell r="I2028">
            <v>0</v>
          </cell>
          <cell r="J2028">
            <v>7.3049999999999997</v>
          </cell>
          <cell r="K2028">
            <v>-5.6000000000000001E-2</v>
          </cell>
          <cell r="P2028">
            <v>0</v>
          </cell>
        </row>
        <row r="2029">
          <cell r="A2029" t="str">
            <v>LU2344285353</v>
          </cell>
          <cell r="B2029" t="str">
            <v>AMUNDI FUNDS GLOBAL EQUITY SELECT</v>
          </cell>
          <cell r="C2029" t="str">
            <v>Class I2 USD (C)</v>
          </cell>
          <cell r="D2029" t="str">
            <v>USD</v>
          </cell>
          <cell r="E2029" t="str">
            <v>01-Dec-2025</v>
          </cell>
          <cell r="F2029">
            <v>88113573.329999998</v>
          </cell>
          <cell r="G2029">
            <v>58610.379000000001</v>
          </cell>
          <cell r="H2029">
            <v>1503.38</v>
          </cell>
          <cell r="I2029">
            <v>0</v>
          </cell>
          <cell r="J2029">
            <v>1503.38</v>
          </cell>
          <cell r="K2029">
            <v>-8.08</v>
          </cell>
          <cell r="P2029">
            <v>0</v>
          </cell>
        </row>
        <row r="2030">
          <cell r="A2030" t="str">
            <v>LU2344285510</v>
          </cell>
          <cell r="B2030" t="str">
            <v>AMUNDI FUNDS GLOBAL EQUITY SELECT</v>
          </cell>
          <cell r="C2030" t="str">
            <v>Class I2 EUR Hgd (C)</v>
          </cell>
          <cell r="D2030" t="str">
            <v>EUR</v>
          </cell>
          <cell r="E2030" t="str">
            <v>01-Dec-2025</v>
          </cell>
          <cell r="F2030">
            <v>81201076.040000007</v>
          </cell>
          <cell r="G2030">
            <v>52526.73</v>
          </cell>
          <cell r="H2030">
            <v>1545.9</v>
          </cell>
          <cell r="I2030">
            <v>0</v>
          </cell>
          <cell r="J2030">
            <v>1545.9</v>
          </cell>
          <cell r="K2030">
            <v>-8.4</v>
          </cell>
          <cell r="P2030">
            <v>0</v>
          </cell>
        </row>
        <row r="2031">
          <cell r="A2031" t="str">
            <v>LU2440106289</v>
          </cell>
          <cell r="B2031" t="str">
            <v>AMUNDI FUNDS GLOBAL EQUITY SELECT</v>
          </cell>
          <cell r="C2031" t="str">
            <v>Class M2 EUR (C)</v>
          </cell>
          <cell r="D2031" t="str">
            <v>EUR</v>
          </cell>
          <cell r="E2031" t="str">
            <v>01-Dec-2025</v>
          </cell>
          <cell r="F2031">
            <v>256937946.81</v>
          </cell>
          <cell r="G2031">
            <v>174206.52499999999</v>
          </cell>
          <cell r="H2031">
            <v>1474.9</v>
          </cell>
          <cell r="I2031">
            <v>0</v>
          </cell>
          <cell r="J2031">
            <v>1474.9</v>
          </cell>
          <cell r="K2031">
            <v>-11.07</v>
          </cell>
          <cell r="P2031">
            <v>0</v>
          </cell>
        </row>
        <row r="2032">
          <cell r="A2032" t="str">
            <v>LU2344285601</v>
          </cell>
          <cell r="B2032" t="str">
            <v>AMUNDI FUNDS GLOBAL EQUITY SELECT</v>
          </cell>
          <cell r="C2032" t="str">
            <v>Class R2 USD (C)</v>
          </cell>
          <cell r="D2032" t="str">
            <v>USD</v>
          </cell>
          <cell r="E2032" t="str">
            <v>01-Dec-2025</v>
          </cell>
          <cell r="F2032">
            <v>8896.43</v>
          </cell>
          <cell r="G2032">
            <v>120</v>
          </cell>
          <cell r="H2032">
            <v>74.14</v>
          </cell>
          <cell r="I2032">
            <v>0</v>
          </cell>
          <cell r="J2032">
            <v>74.14</v>
          </cell>
          <cell r="K2032">
            <v>-0.4</v>
          </cell>
          <cell r="P2032">
            <v>0</v>
          </cell>
        </row>
        <row r="2033">
          <cell r="A2033" t="str">
            <v>LU2490079865</v>
          </cell>
          <cell r="B2033" t="str">
            <v>AMUNDI FUNDS GLOBAL EQUITY SELECT</v>
          </cell>
          <cell r="C2033" t="str">
            <v>Class G EUR (C)</v>
          </cell>
          <cell r="D2033" t="str">
            <v>EUR</v>
          </cell>
          <cell r="E2033" t="str">
            <v>01-Dec-2025</v>
          </cell>
          <cell r="F2033">
            <v>2545348.7400000002</v>
          </cell>
          <cell r="G2033">
            <v>340738.76699999999</v>
          </cell>
          <cell r="H2033">
            <v>7.47</v>
          </cell>
          <cell r="I2033">
            <v>0</v>
          </cell>
          <cell r="J2033">
            <v>7.47</v>
          </cell>
          <cell r="K2033">
            <v>-5.7000000000000002E-2</v>
          </cell>
          <cell r="P2033">
            <v>0</v>
          </cell>
        </row>
        <row r="2034">
          <cell r="A2034" t="str">
            <v>LU2344285940</v>
          </cell>
          <cell r="B2034" t="str">
            <v>AMUNDI FUNDS GLOBAL EQUITY SELECT</v>
          </cell>
          <cell r="C2034" t="str">
            <v>Class Z USD (C)</v>
          </cell>
          <cell r="D2034" t="str">
            <v>USD</v>
          </cell>
          <cell r="E2034" t="str">
            <v>01-Dec-2025</v>
          </cell>
          <cell r="F2034">
            <v>12705.11</v>
          </cell>
          <cell r="G2034">
            <v>8.3450000000000006</v>
          </cell>
          <cell r="H2034">
            <v>1522.48</v>
          </cell>
          <cell r="I2034">
            <v>0</v>
          </cell>
          <cell r="J2034">
            <v>1522.48</v>
          </cell>
          <cell r="K2034">
            <v>-8.16</v>
          </cell>
          <cell r="P2034">
            <v>0</v>
          </cell>
        </row>
        <row r="2035">
          <cell r="A2035" t="str">
            <v>LU2344286245</v>
          </cell>
          <cell r="B2035" t="str">
            <v>AMUNDI FUNDS GLOBAL EQUITY SELECT</v>
          </cell>
          <cell r="C2035" t="str">
            <v>Class H EUR (C)</v>
          </cell>
          <cell r="D2035" t="str">
            <v>EUR</v>
          </cell>
          <cell r="E2035" t="str">
            <v>01-Dec-2025</v>
          </cell>
          <cell r="F2035">
            <v>2002468.79</v>
          </cell>
          <cell r="G2035">
            <v>1295.8140000000001</v>
          </cell>
          <cell r="H2035">
            <v>1545.34</v>
          </cell>
          <cell r="I2035">
            <v>0</v>
          </cell>
          <cell r="J2035">
            <v>1545.34</v>
          </cell>
          <cell r="K2035">
            <v>-11.54</v>
          </cell>
          <cell r="P2035">
            <v>0</v>
          </cell>
        </row>
        <row r="2036">
          <cell r="A2036" t="str">
            <v>LU2386146430</v>
          </cell>
          <cell r="B2036" t="str">
            <v>AMUNDI FUNDS EMERGING MARKETS EQUITY SELECT</v>
          </cell>
          <cell r="C2036" t="str">
            <v>Class A2 EUR (C)</v>
          </cell>
          <cell r="D2036" t="str">
            <v>EUR</v>
          </cell>
          <cell r="E2036" t="str">
            <v>01-Dec-2025</v>
          </cell>
          <cell r="F2036">
            <v>7044.2</v>
          </cell>
          <cell r="G2036">
            <v>100</v>
          </cell>
          <cell r="H2036">
            <v>70.44</v>
          </cell>
          <cell r="I2036">
            <v>0</v>
          </cell>
          <cell r="J2036">
            <v>73.61</v>
          </cell>
          <cell r="K2036">
            <v>0.22</v>
          </cell>
          <cell r="P2036">
            <v>0</v>
          </cell>
        </row>
        <row r="2037">
          <cell r="A2037" t="str">
            <v>LU2551097079</v>
          </cell>
          <cell r="B2037" t="str">
            <v>AMUNDI FUNDS EMERGING MARKETS EQUITY SELECT</v>
          </cell>
          <cell r="C2037" t="str">
            <v>Class A3 EUR (C)</v>
          </cell>
          <cell r="D2037" t="str">
            <v>EUR</v>
          </cell>
          <cell r="E2037" t="str">
            <v>01-Dec-2025</v>
          </cell>
          <cell r="F2037">
            <v>176095835.50999999</v>
          </cell>
          <cell r="G2037">
            <v>2294065.9180000001</v>
          </cell>
          <cell r="H2037">
            <v>76.760000000000005</v>
          </cell>
          <cell r="I2037">
            <v>0</v>
          </cell>
          <cell r="J2037">
            <v>76.760000000000005</v>
          </cell>
          <cell r="K2037">
            <v>0.24</v>
          </cell>
          <cell r="P2037">
            <v>0</v>
          </cell>
        </row>
        <row r="2038">
          <cell r="A2038" t="str">
            <v>LU2386146513</v>
          </cell>
          <cell r="B2038" t="str">
            <v>AMUNDI FUNDS EMERGING MARKETS EQUITY SELECT</v>
          </cell>
          <cell r="C2038" t="str">
            <v>Class A2 USD (C)</v>
          </cell>
          <cell r="D2038" t="str">
            <v>USD</v>
          </cell>
          <cell r="E2038" t="str">
            <v>01-Dec-2025</v>
          </cell>
          <cell r="F2038">
            <v>7395.16</v>
          </cell>
          <cell r="G2038">
            <v>100</v>
          </cell>
          <cell r="H2038">
            <v>73.95</v>
          </cell>
          <cell r="I2038">
            <v>0</v>
          </cell>
          <cell r="J2038">
            <v>77.28</v>
          </cell>
          <cell r="K2038">
            <v>0.38</v>
          </cell>
          <cell r="P2038">
            <v>0</v>
          </cell>
        </row>
        <row r="2039">
          <cell r="A2039" t="str">
            <v>LU2386147164</v>
          </cell>
          <cell r="B2039" t="str">
            <v>AMUNDI FUNDS EMERGING MARKETS EQUITY SELECT</v>
          </cell>
          <cell r="C2039" t="str">
            <v>Class E2 EUR (C)</v>
          </cell>
          <cell r="D2039" t="str">
            <v>EUR</v>
          </cell>
          <cell r="E2039" t="str">
            <v>01-Dec-2025</v>
          </cell>
          <cell r="F2039">
            <v>7058.75</v>
          </cell>
          <cell r="G2039">
            <v>1000</v>
          </cell>
          <cell r="H2039">
            <v>7.0590000000000002</v>
          </cell>
          <cell r="I2039">
            <v>0</v>
          </cell>
          <cell r="J2039">
            <v>7.0590000000000002</v>
          </cell>
          <cell r="K2039">
            <v>2.1999999999999999E-2</v>
          </cell>
          <cell r="P2039">
            <v>0</v>
          </cell>
        </row>
        <row r="2040">
          <cell r="A2040" t="str">
            <v>LU2490078628</v>
          </cell>
          <cell r="B2040" t="str">
            <v>AMUNDI FUNDS EMERGING MARKETS EQUITY SELECT</v>
          </cell>
          <cell r="C2040" t="str">
            <v>Class F EUR (C)</v>
          </cell>
          <cell r="D2040" t="str">
            <v>EUR</v>
          </cell>
          <cell r="E2040" t="str">
            <v>01-Dec-2025</v>
          </cell>
          <cell r="F2040">
            <v>793869.82</v>
          </cell>
          <cell r="G2040">
            <v>113367.039</v>
          </cell>
          <cell r="H2040">
            <v>7.0030000000000001</v>
          </cell>
          <cell r="I2040">
            <v>0</v>
          </cell>
          <cell r="J2040">
            <v>7.0030000000000001</v>
          </cell>
          <cell r="K2040">
            <v>2.1000000000000001E-2</v>
          </cell>
          <cell r="P2040">
            <v>0</v>
          </cell>
        </row>
        <row r="2041">
          <cell r="A2041" t="str">
            <v>LU2386146604</v>
          </cell>
          <cell r="B2041" t="str">
            <v>AMUNDI FUNDS EMERGING MARKETS EQUITY SELECT</v>
          </cell>
          <cell r="C2041" t="str">
            <v>Class I2 USD (C)</v>
          </cell>
          <cell r="D2041" t="str">
            <v>USD</v>
          </cell>
          <cell r="E2041" t="str">
            <v>01-Dec-2025</v>
          </cell>
          <cell r="F2041">
            <v>50760110.630000003</v>
          </cell>
          <cell r="G2041">
            <v>32967.428</v>
          </cell>
          <cell r="H2041">
            <v>1539.7</v>
          </cell>
          <cell r="I2041">
            <v>0</v>
          </cell>
          <cell r="J2041">
            <v>1539.7</v>
          </cell>
          <cell r="K2041">
            <v>8.16</v>
          </cell>
          <cell r="P2041">
            <v>0</v>
          </cell>
        </row>
        <row r="2042">
          <cell r="A2042" t="str">
            <v>LU2490078891</v>
          </cell>
          <cell r="B2042" t="str">
            <v>AMUNDI FUNDS EMERGING MARKETS EQUITY SELECT</v>
          </cell>
          <cell r="C2042" t="str">
            <v>Class G EUR (C)</v>
          </cell>
          <cell r="D2042" t="str">
            <v>EUR</v>
          </cell>
          <cell r="E2042" t="str">
            <v>01-Dec-2025</v>
          </cell>
          <cell r="F2042">
            <v>1218200.1399999999</v>
          </cell>
          <cell r="G2042">
            <v>170706.44099999999</v>
          </cell>
          <cell r="H2042">
            <v>7.1360000000000001</v>
          </cell>
          <cell r="I2042">
            <v>0</v>
          </cell>
          <cell r="J2042">
            <v>7.1360000000000001</v>
          </cell>
          <cell r="K2042">
            <v>2.1000000000000001E-2</v>
          </cell>
          <cell r="P2042">
            <v>0</v>
          </cell>
        </row>
        <row r="2043">
          <cell r="A2043" t="str">
            <v>LU2386147081</v>
          </cell>
          <cell r="B2043" t="str">
            <v>AMUNDI FUNDS EMERGING MARKETS EQUITY SELECT</v>
          </cell>
          <cell r="C2043" t="str">
            <v>Class R2 USD (C)</v>
          </cell>
          <cell r="D2043" t="str">
            <v>USD</v>
          </cell>
          <cell r="E2043" t="str">
            <v>01-Dec-2025</v>
          </cell>
          <cell r="F2043">
            <v>7619.12</v>
          </cell>
          <cell r="G2043">
            <v>100</v>
          </cell>
          <cell r="H2043">
            <v>76.19</v>
          </cell>
          <cell r="I2043">
            <v>0</v>
          </cell>
          <cell r="J2043">
            <v>76.19</v>
          </cell>
          <cell r="K2043">
            <v>0.4</v>
          </cell>
          <cell r="P2043">
            <v>0</v>
          </cell>
        </row>
        <row r="2044">
          <cell r="A2044" t="str">
            <v>LU2386146786</v>
          </cell>
          <cell r="B2044" t="str">
            <v>AMUNDI FUNDS EMERGING MARKETS EQUITY SELECT</v>
          </cell>
          <cell r="C2044" t="str">
            <v>Class H USD QD (D)</v>
          </cell>
          <cell r="D2044" t="str">
            <v>USD</v>
          </cell>
          <cell r="E2044" t="str">
            <v>01-Dec-2025</v>
          </cell>
          <cell r="F2044">
            <v>13501751.640000001</v>
          </cell>
          <cell r="G2044">
            <v>9330.86</v>
          </cell>
          <cell r="H2044">
            <v>1447</v>
          </cell>
          <cell r="I2044">
            <v>0</v>
          </cell>
          <cell r="J2044">
            <v>1447</v>
          </cell>
          <cell r="K2044">
            <v>7.73</v>
          </cell>
          <cell r="P2044">
            <v>0</v>
          </cell>
        </row>
        <row r="2045">
          <cell r="A2045" t="str">
            <v>LU2386146943</v>
          </cell>
          <cell r="B2045" t="str">
            <v>AMUNDI FUNDS EMERGING MARKETS EQUITY SELECT</v>
          </cell>
          <cell r="C2045" t="str">
            <v>Class Z USD QD (D)</v>
          </cell>
          <cell r="D2045" t="str">
            <v>USD</v>
          </cell>
          <cell r="E2045" t="str">
            <v>01-Dec-2025</v>
          </cell>
          <cell r="F2045">
            <v>20269664.059999999</v>
          </cell>
          <cell r="G2045">
            <v>13426.418</v>
          </cell>
          <cell r="H2045">
            <v>1509.69</v>
          </cell>
          <cell r="I2045">
            <v>0</v>
          </cell>
          <cell r="J2045">
            <v>1509.69</v>
          </cell>
          <cell r="K2045">
            <v>8.0399999999999991</v>
          </cell>
          <cell r="P2045">
            <v>0</v>
          </cell>
        </row>
        <row r="2046">
          <cell r="A2046" t="str">
            <v>LU2440810880</v>
          </cell>
          <cell r="B2046" t="str">
            <v>AMUNDI FUNDS CHINA A SHARES</v>
          </cell>
          <cell r="C2046" t="str">
            <v>Class A USD (C)</v>
          </cell>
          <cell r="D2046" t="str">
            <v>USD</v>
          </cell>
          <cell r="E2046" t="str">
            <v>01-Dec-2025</v>
          </cell>
          <cell r="F2046">
            <v>4447.8500000000004</v>
          </cell>
          <cell r="G2046">
            <v>100</v>
          </cell>
          <cell r="H2046">
            <v>44.48</v>
          </cell>
          <cell r="I2046">
            <v>0</v>
          </cell>
          <cell r="J2046">
            <v>46.48</v>
          </cell>
          <cell r="K2046">
            <v>0.51</v>
          </cell>
          <cell r="P2046">
            <v>0</v>
          </cell>
        </row>
        <row r="2047">
          <cell r="A2047" t="str">
            <v>LU2440810708</v>
          </cell>
          <cell r="B2047" t="str">
            <v>AMUNDI FUNDS CHINA A SHARES</v>
          </cell>
          <cell r="C2047" t="str">
            <v>Class A2 USD (C)</v>
          </cell>
          <cell r="D2047" t="str">
            <v>USD</v>
          </cell>
          <cell r="E2047" t="str">
            <v>01-Dec-2025</v>
          </cell>
          <cell r="F2047">
            <v>4418.38</v>
          </cell>
          <cell r="G2047">
            <v>100</v>
          </cell>
          <cell r="H2047">
            <v>44.18</v>
          </cell>
          <cell r="I2047">
            <v>0</v>
          </cell>
          <cell r="J2047">
            <v>46.17</v>
          </cell>
          <cell r="K2047">
            <v>0.5</v>
          </cell>
          <cell r="P2047">
            <v>0</v>
          </cell>
        </row>
        <row r="2048">
          <cell r="A2048" t="str">
            <v>LU2440811342</v>
          </cell>
          <cell r="B2048" t="str">
            <v>AMUNDI FUNDS CHINA A SHARES</v>
          </cell>
          <cell r="C2048" t="str">
            <v>Class E2 EUR (C)</v>
          </cell>
          <cell r="D2048" t="str">
            <v>EUR</v>
          </cell>
          <cell r="E2048" t="str">
            <v>01-Dec-2025</v>
          </cell>
          <cell r="F2048">
            <v>141325.07</v>
          </cell>
          <cell r="G2048">
            <v>36173.574000000001</v>
          </cell>
          <cell r="H2048">
            <v>3.907</v>
          </cell>
          <cell r="I2048">
            <v>0</v>
          </cell>
          <cell r="J2048">
            <v>3.907</v>
          </cell>
          <cell r="K2048">
            <v>3.6999999999999998E-2</v>
          </cell>
          <cell r="P2048">
            <v>0</v>
          </cell>
        </row>
        <row r="2049">
          <cell r="A2049" t="str">
            <v>LU2440811698</v>
          </cell>
          <cell r="B2049" t="str">
            <v>AMUNDI FUNDS CHINA A SHARES</v>
          </cell>
          <cell r="C2049" t="str">
            <v>Class F EUR (C)</v>
          </cell>
          <cell r="D2049" t="str">
            <v>EUR</v>
          </cell>
          <cell r="E2049" t="str">
            <v>01-Dec-2025</v>
          </cell>
          <cell r="F2049">
            <v>531572.25</v>
          </cell>
          <cell r="G2049">
            <v>140281.851</v>
          </cell>
          <cell r="H2049">
            <v>3.7890000000000001</v>
          </cell>
          <cell r="I2049">
            <v>0</v>
          </cell>
          <cell r="J2049">
            <v>3.7890000000000001</v>
          </cell>
          <cell r="K2049">
            <v>3.5000000000000003E-2</v>
          </cell>
          <cell r="P2049">
            <v>0</v>
          </cell>
        </row>
        <row r="2050">
          <cell r="A2050" t="str">
            <v>LU2440810963</v>
          </cell>
          <cell r="B2050" t="str">
            <v>AMUNDI FUNDS CHINA A SHARES</v>
          </cell>
          <cell r="C2050" t="str">
            <v>Class I2 USD (C)</v>
          </cell>
          <cell r="D2050" t="str">
            <v>USD</v>
          </cell>
          <cell r="E2050" t="str">
            <v>01-Dec-2025</v>
          </cell>
          <cell r="F2050">
            <v>4580.09</v>
          </cell>
          <cell r="G2050">
            <v>5</v>
          </cell>
          <cell r="H2050">
            <v>916.02</v>
          </cell>
          <cell r="I2050">
            <v>0</v>
          </cell>
          <cell r="J2050">
            <v>916.02</v>
          </cell>
          <cell r="K2050">
            <v>10.56</v>
          </cell>
          <cell r="P2050">
            <v>0</v>
          </cell>
        </row>
        <row r="2051">
          <cell r="A2051" t="str">
            <v>LU2440811003</v>
          </cell>
          <cell r="B2051" t="str">
            <v>AMUNDI FUNDS CHINA A SHARES</v>
          </cell>
          <cell r="C2051" t="str">
            <v>Class I USD (C)</v>
          </cell>
          <cell r="D2051" t="str">
            <v>USD</v>
          </cell>
          <cell r="E2051" t="str">
            <v>01-Dec-2025</v>
          </cell>
          <cell r="F2051">
            <v>4595.6899999999996</v>
          </cell>
          <cell r="G2051">
            <v>5</v>
          </cell>
          <cell r="H2051">
            <v>919.14</v>
          </cell>
          <cell r="I2051">
            <v>0</v>
          </cell>
          <cell r="J2051">
            <v>919.14</v>
          </cell>
          <cell r="K2051">
            <v>10.6</v>
          </cell>
          <cell r="P2051">
            <v>0</v>
          </cell>
        </row>
        <row r="2052">
          <cell r="A2052" t="str">
            <v>LU2440811425</v>
          </cell>
          <cell r="B2052" t="str">
            <v>AMUNDI FUNDS CHINA A SHARES</v>
          </cell>
          <cell r="C2052" t="str">
            <v>Class G EUR (C)</v>
          </cell>
          <cell r="D2052" t="str">
            <v>EUR</v>
          </cell>
          <cell r="E2052" t="str">
            <v>01-Dec-2025</v>
          </cell>
          <cell r="F2052">
            <v>1445434.26</v>
          </cell>
          <cell r="G2052">
            <v>373804.12400000001</v>
          </cell>
          <cell r="H2052">
            <v>3.867</v>
          </cell>
          <cell r="I2052">
            <v>0</v>
          </cell>
          <cell r="J2052">
            <v>3.867</v>
          </cell>
          <cell r="K2052">
            <v>3.5999999999999997E-2</v>
          </cell>
          <cell r="P2052">
            <v>0</v>
          </cell>
        </row>
        <row r="2053">
          <cell r="A2053" t="str">
            <v>LU2440811185</v>
          </cell>
          <cell r="B2053" t="str">
            <v>AMUNDI FUNDS CHINA A SHARES</v>
          </cell>
          <cell r="C2053" t="str">
            <v>Class R2 USD (C)</v>
          </cell>
          <cell r="D2053" t="str">
            <v>USD</v>
          </cell>
          <cell r="E2053" t="str">
            <v>01-Dec-2025</v>
          </cell>
          <cell r="F2053">
            <v>4538.49</v>
          </cell>
          <cell r="G2053">
            <v>100</v>
          </cell>
          <cell r="H2053">
            <v>45.38</v>
          </cell>
          <cell r="I2053">
            <v>0</v>
          </cell>
          <cell r="J2053">
            <v>45.38</v>
          </cell>
          <cell r="K2053">
            <v>0.52</v>
          </cell>
          <cell r="P2053">
            <v>0</v>
          </cell>
        </row>
        <row r="2054">
          <cell r="A2054" t="str">
            <v>LU2440811268</v>
          </cell>
          <cell r="B2054" t="str">
            <v>AMUNDI FUNDS CHINA A SHARES</v>
          </cell>
          <cell r="C2054" t="str">
            <v>Class R USD (C)</v>
          </cell>
          <cell r="D2054" t="str">
            <v>USD</v>
          </cell>
          <cell r="E2054" t="str">
            <v>01-Dec-2025</v>
          </cell>
          <cell r="F2054">
            <v>4560.8900000000003</v>
          </cell>
          <cell r="G2054">
            <v>100</v>
          </cell>
          <cell r="H2054">
            <v>45.61</v>
          </cell>
          <cell r="I2054">
            <v>0</v>
          </cell>
          <cell r="J2054">
            <v>45.61</v>
          </cell>
          <cell r="K2054">
            <v>0.53</v>
          </cell>
          <cell r="P2054">
            <v>0</v>
          </cell>
        </row>
        <row r="2055">
          <cell r="A2055" t="str">
            <v>LU2440811771</v>
          </cell>
          <cell r="B2055" t="str">
            <v>AMUNDI FUNDS CHINA A SHARES</v>
          </cell>
          <cell r="C2055" t="str">
            <v>Class Z USD (C)</v>
          </cell>
          <cell r="D2055" t="str">
            <v>USD</v>
          </cell>
          <cell r="E2055" t="str">
            <v>01-Dec-2025</v>
          </cell>
          <cell r="F2055">
            <v>13181036.939999999</v>
          </cell>
          <cell r="G2055">
            <v>14293.491</v>
          </cell>
          <cell r="H2055">
            <v>922.17</v>
          </cell>
          <cell r="I2055">
            <v>0</v>
          </cell>
          <cell r="J2055">
            <v>922.17</v>
          </cell>
          <cell r="K2055">
            <v>10.64</v>
          </cell>
          <cell r="P2055">
            <v>0</v>
          </cell>
        </row>
        <row r="2056">
          <cell r="A2056" t="str">
            <v>LU2534776955</v>
          </cell>
          <cell r="B2056" t="str">
            <v>AMUNDI FUNDS CHINA RMB AGGREGATE BOND</v>
          </cell>
          <cell r="C2056" t="str">
            <v>Class A2 USD (C)</v>
          </cell>
          <cell r="D2056" t="str">
            <v>USD</v>
          </cell>
          <cell r="E2056" t="str">
            <v>01-Dec-2025</v>
          </cell>
          <cell r="F2056">
            <v>5513.45</v>
          </cell>
          <cell r="G2056">
            <v>100</v>
          </cell>
          <cell r="H2056">
            <v>55.13</v>
          </cell>
          <cell r="I2056">
            <v>0</v>
          </cell>
          <cell r="J2056">
            <v>56.78</v>
          </cell>
          <cell r="K2056">
            <v>0.04</v>
          </cell>
          <cell r="P2056">
            <v>0</v>
          </cell>
        </row>
        <row r="2057">
          <cell r="A2057" t="str">
            <v>LU2534777094</v>
          </cell>
          <cell r="B2057" t="str">
            <v>AMUNDI FUNDS CHINA RMB AGGREGATE BOND</v>
          </cell>
          <cell r="C2057" t="str">
            <v>Class A USD (C)</v>
          </cell>
          <cell r="D2057" t="str">
            <v>USD</v>
          </cell>
          <cell r="E2057" t="str">
            <v>01-Dec-2025</v>
          </cell>
          <cell r="F2057">
            <v>5530.08</v>
          </cell>
          <cell r="G2057">
            <v>100</v>
          </cell>
          <cell r="H2057">
            <v>55.3</v>
          </cell>
          <cell r="I2057">
            <v>0</v>
          </cell>
          <cell r="J2057">
            <v>55.3</v>
          </cell>
          <cell r="K2057">
            <v>0.05</v>
          </cell>
          <cell r="P2057">
            <v>0</v>
          </cell>
        </row>
        <row r="2058">
          <cell r="A2058" t="str">
            <v>LU2534778738</v>
          </cell>
          <cell r="B2058" t="str">
            <v>AMUNDI FUNDS CHINA RMB AGGREGATE BOND</v>
          </cell>
          <cell r="C2058" t="str">
            <v>Class A2 EUR Hgd (C)</v>
          </cell>
          <cell r="D2058" t="str">
            <v>EUR</v>
          </cell>
          <cell r="E2058" t="str">
            <v>01-Dec-2025</v>
          </cell>
          <cell r="F2058">
            <v>113963.9</v>
          </cell>
          <cell r="G2058">
            <v>2000</v>
          </cell>
          <cell r="H2058">
            <v>56.98</v>
          </cell>
          <cell r="I2058">
            <v>0</v>
          </cell>
          <cell r="J2058">
            <v>58.69</v>
          </cell>
          <cell r="K2058">
            <v>0.06</v>
          </cell>
          <cell r="P2058">
            <v>0</v>
          </cell>
        </row>
        <row r="2059">
          <cell r="A2059" t="str">
            <v>LU2534779116</v>
          </cell>
          <cell r="B2059" t="str">
            <v>AMUNDI FUNDS CHINA RMB AGGREGATE BOND</v>
          </cell>
          <cell r="C2059" t="str">
            <v>Class I2 USD (C)</v>
          </cell>
          <cell r="D2059" t="str">
            <v>USD</v>
          </cell>
          <cell r="E2059" t="str">
            <v>01-Dec-2025</v>
          </cell>
          <cell r="F2059">
            <v>5685.52</v>
          </cell>
          <cell r="G2059">
            <v>5</v>
          </cell>
          <cell r="H2059">
            <v>1137.0999999999999</v>
          </cell>
          <cell r="I2059">
            <v>0</v>
          </cell>
          <cell r="J2059">
            <v>1137.0999999999999</v>
          </cell>
          <cell r="K2059">
            <v>1.1100000000000001</v>
          </cell>
          <cell r="P2059">
            <v>0</v>
          </cell>
        </row>
        <row r="2060">
          <cell r="A2060" t="str">
            <v>LU2534779207</v>
          </cell>
          <cell r="B2060" t="str">
            <v>AMUNDI FUNDS CHINA RMB AGGREGATE BOND</v>
          </cell>
          <cell r="C2060" t="str">
            <v>Class I USD (C)</v>
          </cell>
          <cell r="D2060" t="str">
            <v>USD</v>
          </cell>
          <cell r="E2060" t="str">
            <v>01-Dec-2025</v>
          </cell>
          <cell r="F2060">
            <v>5679.05</v>
          </cell>
          <cell r="G2060">
            <v>5</v>
          </cell>
          <cell r="H2060">
            <v>1135.81</v>
          </cell>
          <cell r="I2060">
            <v>0</v>
          </cell>
          <cell r="J2060">
            <v>1135.81</v>
          </cell>
          <cell r="K2060">
            <v>1.1299999999999999</v>
          </cell>
          <cell r="P2060">
            <v>0</v>
          </cell>
        </row>
        <row r="2061">
          <cell r="A2061" t="str">
            <v>LU2534778654</v>
          </cell>
          <cell r="B2061" t="str">
            <v>AMUNDI FUNDS CHINA RMB AGGREGATE BOND</v>
          </cell>
          <cell r="C2061" t="str">
            <v>Class I2 EUR Hgd (C)</v>
          </cell>
          <cell r="D2061" t="str">
            <v>EUR</v>
          </cell>
          <cell r="E2061" t="str">
            <v>01-Dec-2025</v>
          </cell>
          <cell r="F2061">
            <v>117506.45</v>
          </cell>
          <cell r="G2061">
            <v>100</v>
          </cell>
          <cell r="H2061">
            <v>1175.06</v>
          </cell>
          <cell r="I2061">
            <v>0</v>
          </cell>
          <cell r="J2061">
            <v>1175.06</v>
          </cell>
          <cell r="K2061">
            <v>1.4</v>
          </cell>
          <cell r="P2061">
            <v>0</v>
          </cell>
        </row>
        <row r="2062">
          <cell r="A2062" t="str">
            <v>LU2534777680</v>
          </cell>
          <cell r="B2062" t="str">
            <v>AMUNDI FUNDS CHINA RMB AGGREGATE BOND</v>
          </cell>
          <cell r="C2062" t="str">
            <v>Class G EUR Hgd (C)</v>
          </cell>
          <cell r="D2062" t="str">
            <v>EUR</v>
          </cell>
          <cell r="E2062" t="str">
            <v>01-Dec-2025</v>
          </cell>
          <cell r="F2062">
            <v>113450.41</v>
          </cell>
          <cell r="G2062">
            <v>20000</v>
          </cell>
          <cell r="H2062">
            <v>5.673</v>
          </cell>
          <cell r="I2062">
            <v>0</v>
          </cell>
          <cell r="J2062">
            <v>5.673</v>
          </cell>
          <cell r="K2062">
            <v>7.0000000000000001E-3</v>
          </cell>
          <cell r="P2062">
            <v>0</v>
          </cell>
        </row>
        <row r="2063">
          <cell r="A2063" t="str">
            <v>LU2534777334</v>
          </cell>
          <cell r="B2063" t="str">
            <v>AMUNDI FUNDS CHINA RMB AGGREGATE BOND</v>
          </cell>
          <cell r="C2063" t="str">
            <v>Class G EUR AD (D)</v>
          </cell>
          <cell r="D2063" t="str">
            <v>EUR</v>
          </cell>
          <cell r="E2063" t="str">
            <v>01-Dec-2025</v>
          </cell>
          <cell r="F2063">
            <v>20734.22</v>
          </cell>
          <cell r="G2063">
            <v>4422.0649999999996</v>
          </cell>
          <cell r="H2063">
            <v>4.6890000000000001</v>
          </cell>
          <cell r="I2063">
            <v>0</v>
          </cell>
          <cell r="J2063">
            <v>4.6890000000000001</v>
          </cell>
          <cell r="K2063">
            <v>-6.0000000000000001E-3</v>
          </cell>
          <cell r="P2063">
            <v>0</v>
          </cell>
        </row>
        <row r="2064">
          <cell r="A2064" t="str">
            <v>LU2534777177</v>
          </cell>
          <cell r="B2064" t="str">
            <v>AMUNDI FUNDS CHINA RMB AGGREGATE BOND</v>
          </cell>
          <cell r="C2064" t="str">
            <v>Class M2 EUR (C)</v>
          </cell>
          <cell r="D2064" t="str">
            <v>EUR</v>
          </cell>
          <cell r="E2064" t="str">
            <v>01-Dec-2025</v>
          </cell>
          <cell r="F2064">
            <v>5143.72</v>
          </cell>
          <cell r="G2064">
            <v>5</v>
          </cell>
          <cell r="H2064">
            <v>1028.74</v>
          </cell>
          <cell r="I2064">
            <v>0</v>
          </cell>
          <cell r="J2064">
            <v>1028.74</v>
          </cell>
          <cell r="K2064">
            <v>-1.1599999999999999</v>
          </cell>
          <cell r="P2064">
            <v>0</v>
          </cell>
        </row>
        <row r="2065">
          <cell r="A2065" t="str">
            <v>LU2534778902</v>
          </cell>
          <cell r="B2065" t="str">
            <v>AMUNDI FUNDS CHINA RMB AGGREGATE BOND</v>
          </cell>
          <cell r="C2065" t="str">
            <v>Class R2 USD (C)</v>
          </cell>
          <cell r="D2065" t="str">
            <v>USD</v>
          </cell>
          <cell r="E2065" t="str">
            <v>01-Dec-2025</v>
          </cell>
          <cell r="F2065">
            <v>5650.65</v>
          </cell>
          <cell r="G2065">
            <v>100</v>
          </cell>
          <cell r="H2065">
            <v>56.51</v>
          </cell>
          <cell r="I2065">
            <v>0</v>
          </cell>
          <cell r="J2065">
            <v>56.51</v>
          </cell>
          <cell r="K2065">
            <v>0.06</v>
          </cell>
          <cell r="P2065">
            <v>0</v>
          </cell>
        </row>
        <row r="2066">
          <cell r="A2066" t="str">
            <v>LU2534779389</v>
          </cell>
          <cell r="B2066" t="str">
            <v>AMUNDI FUNDS CHINA RMB AGGREGATE BOND</v>
          </cell>
          <cell r="C2066" t="str">
            <v>Class R USD (C)</v>
          </cell>
          <cell r="D2066" t="str">
            <v>USD</v>
          </cell>
          <cell r="E2066" t="str">
            <v>01-Dec-2025</v>
          </cell>
          <cell r="F2066">
            <v>5650.32</v>
          </cell>
          <cell r="G2066">
            <v>100</v>
          </cell>
          <cell r="H2066">
            <v>56.5</v>
          </cell>
          <cell r="I2066">
            <v>0</v>
          </cell>
          <cell r="J2066">
            <v>56.5</v>
          </cell>
          <cell r="K2066">
            <v>0.05</v>
          </cell>
          <cell r="P2066">
            <v>0</v>
          </cell>
        </row>
        <row r="2067">
          <cell r="A2067" t="str">
            <v>LU2534778571</v>
          </cell>
          <cell r="B2067" t="str">
            <v>AMUNDI FUNDS CHINA RMB AGGREGATE BOND</v>
          </cell>
          <cell r="C2067" t="str">
            <v>Class R2 EUR Hgd (C)</v>
          </cell>
          <cell r="D2067" t="str">
            <v>EUR</v>
          </cell>
          <cell r="E2067" t="str">
            <v>01-Dec-2025</v>
          </cell>
          <cell r="F2067">
            <v>116793.62</v>
          </cell>
          <cell r="G2067">
            <v>2000</v>
          </cell>
          <cell r="H2067">
            <v>58.4</v>
          </cell>
          <cell r="I2067">
            <v>0</v>
          </cell>
          <cell r="J2067">
            <v>58.4</v>
          </cell>
          <cell r="K2067">
            <v>7.0000000000000007E-2</v>
          </cell>
          <cell r="P2067">
            <v>0</v>
          </cell>
        </row>
        <row r="2068">
          <cell r="A2068" t="str">
            <v>LU2534778811</v>
          </cell>
          <cell r="B2068" t="str">
            <v>AMUNDI FUNDS CHINA RMB AGGREGATE BOND</v>
          </cell>
          <cell r="C2068" t="str">
            <v>Class Z USD (C)</v>
          </cell>
          <cell r="D2068" t="str">
            <v>USD</v>
          </cell>
          <cell r="E2068" t="str">
            <v>01-Dec-2025</v>
          </cell>
          <cell r="F2068">
            <v>46691871.409999996</v>
          </cell>
          <cell r="G2068">
            <v>41000</v>
          </cell>
          <cell r="H2068">
            <v>1138.83</v>
          </cell>
          <cell r="I2068">
            <v>0</v>
          </cell>
          <cell r="J2068">
            <v>1138.83</v>
          </cell>
          <cell r="K2068">
            <v>1.1399999999999999</v>
          </cell>
          <cell r="P2068">
            <v>0</v>
          </cell>
        </row>
        <row r="2069">
          <cell r="A2069" t="str">
            <v>LU2531474588</v>
          </cell>
          <cell r="B2069" t="str">
            <v>AMUNDI FUNDS GLOBAL EQUITY CLIMATE</v>
          </cell>
          <cell r="C2069" t="str">
            <v>Class A USD (C)</v>
          </cell>
          <cell r="D2069" t="str">
            <v>USD</v>
          </cell>
          <cell r="E2069" t="str">
            <v>01-Dec-2025</v>
          </cell>
          <cell r="F2069">
            <v>8578.1299999999992</v>
          </cell>
          <cell r="G2069">
            <v>100</v>
          </cell>
          <cell r="H2069">
            <v>85.78</v>
          </cell>
          <cell r="I2069">
            <v>0</v>
          </cell>
          <cell r="J2069">
            <v>89.64</v>
          </cell>
          <cell r="K2069">
            <v>-0.64</v>
          </cell>
          <cell r="P2069">
            <v>0</v>
          </cell>
        </row>
        <row r="2070">
          <cell r="A2070" t="str">
            <v>LU2644250693</v>
          </cell>
          <cell r="B2070" t="str">
            <v>AMUNDI FUNDS GLOBAL EQUITY CLIMATE</v>
          </cell>
          <cell r="C2070" t="str">
            <v>Class A2 EUR (C)</v>
          </cell>
          <cell r="D2070" t="str">
            <v>EUR</v>
          </cell>
          <cell r="E2070" t="str">
            <v>01-Dec-2025</v>
          </cell>
          <cell r="F2070">
            <v>1626575.76</v>
          </cell>
          <cell r="G2070">
            <v>28135.381000000001</v>
          </cell>
          <cell r="H2070">
            <v>57.81</v>
          </cell>
          <cell r="I2070">
            <v>0</v>
          </cell>
          <cell r="J2070">
            <v>57.81</v>
          </cell>
          <cell r="K2070">
            <v>-0.56000000000000005</v>
          </cell>
          <cell r="P2070">
            <v>0</v>
          </cell>
        </row>
        <row r="2071">
          <cell r="A2071" t="str">
            <v>LU2762361132</v>
          </cell>
          <cell r="B2071" t="str">
            <v>AMUNDI FUNDS GLOBAL EQUITY CLIMATE</v>
          </cell>
          <cell r="C2071" t="str">
            <v>Class A2 CHF Hgd (C)</v>
          </cell>
          <cell r="D2071" t="str">
            <v>CHF</v>
          </cell>
          <cell r="E2071" t="str">
            <v>01-Dec-2025</v>
          </cell>
          <cell r="F2071">
            <v>336449.85</v>
          </cell>
          <cell r="G2071">
            <v>6075.808</v>
          </cell>
          <cell r="H2071">
            <v>55.38</v>
          </cell>
          <cell r="I2071">
            <v>0</v>
          </cell>
          <cell r="J2071">
            <v>55.38</v>
          </cell>
          <cell r="K2071">
            <v>-0.42</v>
          </cell>
          <cell r="P2071">
            <v>0</v>
          </cell>
        </row>
        <row r="2072">
          <cell r="A2072" t="str">
            <v>LU2531478225</v>
          </cell>
          <cell r="B2072" t="str">
            <v>AMUNDI FUNDS GLOBAL EQUITY CLIMATE</v>
          </cell>
          <cell r="C2072" t="str">
            <v>Class A2 USD (C)</v>
          </cell>
          <cell r="D2072" t="str">
            <v>USD</v>
          </cell>
          <cell r="E2072" t="str">
            <v>01-Dec-2025</v>
          </cell>
          <cell r="F2072">
            <v>8560.2000000000007</v>
          </cell>
          <cell r="G2072">
            <v>100</v>
          </cell>
          <cell r="H2072">
            <v>85.6</v>
          </cell>
          <cell r="I2072">
            <v>0</v>
          </cell>
          <cell r="J2072">
            <v>89.45</v>
          </cell>
          <cell r="K2072">
            <v>-0.64</v>
          </cell>
          <cell r="P2072">
            <v>0</v>
          </cell>
        </row>
        <row r="2073">
          <cell r="A2073" t="str">
            <v>LU2531477250</v>
          </cell>
          <cell r="B2073" t="str">
            <v>AMUNDI FUNDS GLOBAL EQUITY CLIMATE</v>
          </cell>
          <cell r="C2073" t="str">
            <v>Class E2 EUR (C)</v>
          </cell>
          <cell r="D2073" t="str">
            <v>EUR</v>
          </cell>
          <cell r="E2073" t="str">
            <v>01-Dec-2025</v>
          </cell>
          <cell r="F2073">
            <v>11865.13</v>
          </cell>
          <cell r="G2073">
            <v>1553.2719999999999</v>
          </cell>
          <cell r="H2073">
            <v>7.6390000000000002</v>
          </cell>
          <cell r="I2073">
            <v>0</v>
          </cell>
          <cell r="J2073">
            <v>7.6390000000000002</v>
          </cell>
          <cell r="K2073">
            <v>-7.2999999999999995E-2</v>
          </cell>
          <cell r="P2073">
            <v>0</v>
          </cell>
        </row>
        <row r="2074">
          <cell r="A2074" t="str">
            <v>LU2531477508</v>
          </cell>
          <cell r="B2074" t="str">
            <v>AMUNDI FUNDS GLOBAL EQUITY CLIMATE</v>
          </cell>
          <cell r="C2074" t="str">
            <v>Class F EUR (C)</v>
          </cell>
          <cell r="D2074" t="str">
            <v>EUR</v>
          </cell>
          <cell r="E2074" t="str">
            <v>01-Dec-2025</v>
          </cell>
          <cell r="F2074">
            <v>7444.9</v>
          </cell>
          <cell r="G2074">
            <v>1000</v>
          </cell>
          <cell r="H2074">
            <v>7.4450000000000003</v>
          </cell>
          <cell r="I2074">
            <v>0</v>
          </cell>
          <cell r="J2074">
            <v>7.4450000000000003</v>
          </cell>
          <cell r="K2074">
            <v>-7.1999999999999995E-2</v>
          </cell>
          <cell r="P2074">
            <v>0</v>
          </cell>
        </row>
        <row r="2075">
          <cell r="A2075" t="str">
            <v>LU2531478142</v>
          </cell>
          <cell r="B2075" t="str">
            <v>AMUNDI FUNDS GLOBAL EQUITY CLIMATE</v>
          </cell>
          <cell r="C2075" t="str">
            <v>Class I USD (C)</v>
          </cell>
          <cell r="D2075" t="str">
            <v>USD</v>
          </cell>
          <cell r="E2075" t="str">
            <v>01-Dec-2025</v>
          </cell>
          <cell r="F2075">
            <v>8751.83</v>
          </cell>
          <cell r="G2075">
            <v>5</v>
          </cell>
          <cell r="H2075">
            <v>1750.37</v>
          </cell>
          <cell r="I2075">
            <v>0</v>
          </cell>
          <cell r="J2075">
            <v>1750.37</v>
          </cell>
          <cell r="K2075">
            <v>-13</v>
          </cell>
          <cell r="P2075">
            <v>0</v>
          </cell>
        </row>
        <row r="2076">
          <cell r="A2076" t="str">
            <v>LU2531478068</v>
          </cell>
          <cell r="B2076" t="str">
            <v>AMUNDI FUNDS GLOBAL EQUITY CLIMATE</v>
          </cell>
          <cell r="C2076" t="str">
            <v>Class I2 USD (C)</v>
          </cell>
          <cell r="D2076" t="str">
            <v>USD</v>
          </cell>
          <cell r="E2076" t="str">
            <v>01-Dec-2025</v>
          </cell>
          <cell r="F2076">
            <v>8806.3700000000008</v>
          </cell>
          <cell r="G2076">
            <v>5</v>
          </cell>
          <cell r="H2076">
            <v>1761.27</v>
          </cell>
          <cell r="I2076">
            <v>0</v>
          </cell>
          <cell r="J2076">
            <v>1761.27</v>
          </cell>
          <cell r="K2076">
            <v>-13.02</v>
          </cell>
          <cell r="P2076">
            <v>0</v>
          </cell>
        </row>
        <row r="2077">
          <cell r="A2077" t="str">
            <v>LU2531477417</v>
          </cell>
          <cell r="B2077" t="str">
            <v>AMUNDI FUNDS GLOBAL EQUITY CLIMATE</v>
          </cell>
          <cell r="C2077" t="str">
            <v>Class G EUR (C)</v>
          </cell>
          <cell r="D2077" t="str">
            <v>EUR</v>
          </cell>
          <cell r="E2077" t="str">
            <v>01-Dec-2025</v>
          </cell>
          <cell r="F2077">
            <v>29216.59</v>
          </cell>
          <cell r="G2077">
            <v>3859.944</v>
          </cell>
          <cell r="H2077">
            <v>7.569</v>
          </cell>
          <cell r="I2077">
            <v>0</v>
          </cell>
          <cell r="J2077">
            <v>7.569</v>
          </cell>
          <cell r="K2077">
            <v>-7.2999999999999995E-2</v>
          </cell>
          <cell r="P2077">
            <v>0</v>
          </cell>
        </row>
        <row r="2078">
          <cell r="A2078" t="str">
            <v>LU2531477680</v>
          </cell>
          <cell r="B2078" t="str">
            <v>AMUNDI FUNDS GLOBAL EQUITY CLIMATE</v>
          </cell>
          <cell r="C2078" t="str">
            <v>Class M2 EUR (C)</v>
          </cell>
          <cell r="D2078" t="str">
            <v>EUR</v>
          </cell>
          <cell r="E2078" t="str">
            <v>01-Dec-2025</v>
          </cell>
          <cell r="F2078">
            <v>7823.21</v>
          </cell>
          <cell r="G2078">
            <v>5</v>
          </cell>
          <cell r="H2078">
            <v>1564.64</v>
          </cell>
          <cell r="I2078">
            <v>0</v>
          </cell>
          <cell r="J2078">
            <v>1564.64</v>
          </cell>
          <cell r="K2078">
            <v>-14.89</v>
          </cell>
          <cell r="P2078">
            <v>0</v>
          </cell>
        </row>
        <row r="2079">
          <cell r="A2079" t="str">
            <v>LU2531477920</v>
          </cell>
          <cell r="B2079" t="str">
            <v>AMUNDI FUNDS GLOBAL EQUITY CLIMATE</v>
          </cell>
          <cell r="C2079" t="str">
            <v>Class R USD (C)</v>
          </cell>
          <cell r="D2079" t="str">
            <v>USD</v>
          </cell>
          <cell r="E2079" t="str">
            <v>01-Dec-2025</v>
          </cell>
          <cell r="F2079">
            <v>8703.0499999999993</v>
          </cell>
          <cell r="G2079">
            <v>100</v>
          </cell>
          <cell r="H2079">
            <v>87.03</v>
          </cell>
          <cell r="I2079">
            <v>0</v>
          </cell>
          <cell r="J2079">
            <v>87.03</v>
          </cell>
          <cell r="K2079">
            <v>-0.65</v>
          </cell>
          <cell r="P2079">
            <v>0</v>
          </cell>
        </row>
        <row r="2080">
          <cell r="A2080" t="str">
            <v>LU2531477847</v>
          </cell>
          <cell r="B2080" t="str">
            <v>AMUNDI FUNDS GLOBAL EQUITY CLIMATE</v>
          </cell>
          <cell r="C2080" t="str">
            <v>Class R2 USD (C)</v>
          </cell>
          <cell r="D2080" t="str">
            <v>USD</v>
          </cell>
          <cell r="E2080" t="str">
            <v>01-Dec-2025</v>
          </cell>
          <cell r="F2080">
            <v>8731.16</v>
          </cell>
          <cell r="G2080">
            <v>100</v>
          </cell>
          <cell r="H2080">
            <v>87.31</v>
          </cell>
          <cell r="I2080">
            <v>0</v>
          </cell>
          <cell r="J2080">
            <v>87.31</v>
          </cell>
          <cell r="K2080">
            <v>-0.65</v>
          </cell>
          <cell r="P2080">
            <v>0</v>
          </cell>
        </row>
        <row r="2081">
          <cell r="A2081" t="str">
            <v>LU2531477177</v>
          </cell>
          <cell r="B2081" t="str">
            <v>AMUNDI FUNDS GLOBAL EQUITY CLIMATE</v>
          </cell>
          <cell r="C2081" t="str">
            <v>Class Z USD (C)</v>
          </cell>
          <cell r="D2081" t="str">
            <v>USD</v>
          </cell>
          <cell r="E2081" t="str">
            <v>01-Dec-2025</v>
          </cell>
          <cell r="F2081">
            <v>24560761.84</v>
          </cell>
          <cell r="G2081">
            <v>13978.816999999999</v>
          </cell>
          <cell r="H2081">
            <v>1757</v>
          </cell>
          <cell r="I2081">
            <v>0</v>
          </cell>
          <cell r="J2081">
            <v>1757</v>
          </cell>
          <cell r="K2081">
            <v>-13.04</v>
          </cell>
          <cell r="P2081">
            <v>0</v>
          </cell>
        </row>
        <row r="2082">
          <cell r="A2082" t="str">
            <v>LU2531475809</v>
          </cell>
          <cell r="B2082" t="str">
            <v>AMUNDI FUNDS GLOBAL CORPORATE BOND CLIMATE</v>
          </cell>
          <cell r="C2082" t="str">
            <v>Class A2 USD (C)</v>
          </cell>
          <cell r="D2082" t="str">
            <v>USD</v>
          </cell>
          <cell r="E2082" t="str">
            <v>01-Dec-2025</v>
          </cell>
          <cell r="F2082">
            <v>5462.04</v>
          </cell>
          <cell r="G2082">
            <v>100</v>
          </cell>
          <cell r="H2082">
            <v>54.62</v>
          </cell>
          <cell r="I2082">
            <v>0</v>
          </cell>
          <cell r="J2082">
            <v>56.26</v>
          </cell>
          <cell r="K2082">
            <v>-0.2</v>
          </cell>
          <cell r="P2082">
            <v>0</v>
          </cell>
        </row>
        <row r="2083">
          <cell r="A2083" t="str">
            <v>LU2762361306</v>
          </cell>
          <cell r="B2083" t="str">
            <v>AMUNDI FUNDS GLOBAL CORPORATE BOND CLIMATE</v>
          </cell>
          <cell r="C2083" t="str">
            <v>Class A2 CHF Hgd (C)</v>
          </cell>
          <cell r="D2083" t="str">
            <v>CHF</v>
          </cell>
          <cell r="E2083" t="str">
            <v>01-Dec-2025</v>
          </cell>
          <cell r="F2083">
            <v>340731.09</v>
          </cell>
          <cell r="G2083">
            <v>6646.3130000000001</v>
          </cell>
          <cell r="H2083">
            <v>51.27</v>
          </cell>
          <cell r="I2083">
            <v>0</v>
          </cell>
          <cell r="J2083">
            <v>51.27</v>
          </cell>
          <cell r="K2083">
            <v>-0.19</v>
          </cell>
          <cell r="P2083">
            <v>0</v>
          </cell>
        </row>
        <row r="2084">
          <cell r="A2084" t="str">
            <v>LU2531475981</v>
          </cell>
          <cell r="B2084" t="str">
            <v>AMUNDI FUNDS GLOBAL CORPORATE BOND CLIMATE</v>
          </cell>
          <cell r="C2084" t="str">
            <v>Class A USD (C)</v>
          </cell>
          <cell r="D2084" t="str">
            <v>USD</v>
          </cell>
          <cell r="E2084" t="str">
            <v>01-Dec-2025</v>
          </cell>
          <cell r="F2084">
            <v>5469.66</v>
          </cell>
          <cell r="G2084">
            <v>100</v>
          </cell>
          <cell r="H2084">
            <v>54.7</v>
          </cell>
          <cell r="I2084">
            <v>0</v>
          </cell>
          <cell r="J2084">
            <v>56.34</v>
          </cell>
          <cell r="K2084">
            <v>-0.19</v>
          </cell>
          <cell r="P2084">
            <v>0</v>
          </cell>
        </row>
        <row r="2085">
          <cell r="A2085" t="str">
            <v>LU2531475122</v>
          </cell>
          <cell r="B2085" t="str">
            <v>AMUNDI FUNDS GLOBAL CORPORATE BOND CLIMATE</v>
          </cell>
          <cell r="C2085" t="str">
            <v>Class F EUR (C)</v>
          </cell>
          <cell r="D2085" t="str">
            <v>EUR</v>
          </cell>
          <cell r="E2085" t="str">
            <v>01-Dec-2025</v>
          </cell>
          <cell r="F2085">
            <v>4772.79</v>
          </cell>
          <cell r="G2085">
            <v>950</v>
          </cell>
          <cell r="H2085">
            <v>5.024</v>
          </cell>
          <cell r="I2085">
            <v>0</v>
          </cell>
          <cell r="J2085">
            <v>5.024</v>
          </cell>
          <cell r="K2085">
            <v>-2.9000000000000001E-2</v>
          </cell>
          <cell r="P2085">
            <v>0</v>
          </cell>
        </row>
        <row r="2086">
          <cell r="A2086" t="str">
            <v>LU2531475635</v>
          </cell>
          <cell r="B2086" t="str">
            <v>AMUNDI FUNDS GLOBAL CORPORATE BOND CLIMATE</v>
          </cell>
          <cell r="C2086" t="str">
            <v>Class I2 USD (C)</v>
          </cell>
          <cell r="D2086" t="str">
            <v>USD</v>
          </cell>
          <cell r="E2086" t="str">
            <v>01-Dec-2025</v>
          </cell>
          <cell r="F2086">
            <v>5514.23</v>
          </cell>
          <cell r="G2086">
            <v>5</v>
          </cell>
          <cell r="H2086">
            <v>1102.8499999999999</v>
          </cell>
          <cell r="I2086">
            <v>0</v>
          </cell>
          <cell r="J2086">
            <v>1102.8499999999999</v>
          </cell>
          <cell r="K2086">
            <v>-3.88</v>
          </cell>
          <cell r="P2086">
            <v>0</v>
          </cell>
        </row>
        <row r="2087">
          <cell r="A2087" t="str">
            <v>LU2531475718</v>
          </cell>
          <cell r="B2087" t="str">
            <v>AMUNDI FUNDS GLOBAL CORPORATE BOND CLIMATE</v>
          </cell>
          <cell r="C2087" t="str">
            <v>Class I USD (C)</v>
          </cell>
          <cell r="D2087" t="str">
            <v>USD</v>
          </cell>
          <cell r="E2087" t="str">
            <v>01-Dec-2025</v>
          </cell>
          <cell r="F2087">
            <v>5516.38</v>
          </cell>
          <cell r="G2087">
            <v>5</v>
          </cell>
          <cell r="H2087">
            <v>1103.28</v>
          </cell>
          <cell r="I2087">
            <v>0</v>
          </cell>
          <cell r="J2087">
            <v>1103.28</v>
          </cell>
          <cell r="K2087">
            <v>-3.91</v>
          </cell>
          <cell r="P2087">
            <v>0</v>
          </cell>
        </row>
        <row r="2088">
          <cell r="A2088" t="str">
            <v>LU2801257929</v>
          </cell>
          <cell r="B2088" t="str">
            <v>AMUNDI FUNDS GLOBAL CORPORATE BOND CLIMATE</v>
          </cell>
          <cell r="C2088" t="str">
            <v>Class J20 USD (C)</v>
          </cell>
          <cell r="D2088" t="str">
            <v>USD</v>
          </cell>
          <cell r="E2088" t="str">
            <v>01-Dec-2025</v>
          </cell>
          <cell r="F2088">
            <v>147277175.91</v>
          </cell>
          <cell r="G2088">
            <v>132000</v>
          </cell>
          <cell r="H2088">
            <v>1115.74</v>
          </cell>
          <cell r="I2088">
            <v>0</v>
          </cell>
          <cell r="J2088">
            <v>1115.74</v>
          </cell>
          <cell r="K2088">
            <v>-3.89</v>
          </cell>
          <cell r="P2088">
            <v>0</v>
          </cell>
        </row>
        <row r="2089">
          <cell r="A2089" t="str">
            <v>LU2531475049</v>
          </cell>
          <cell r="B2089" t="str">
            <v>AMUNDI FUNDS GLOBAL CORPORATE BOND CLIMATE</v>
          </cell>
          <cell r="C2089" t="str">
            <v>Class G EUR (C)</v>
          </cell>
          <cell r="D2089" t="str">
            <v>EUR</v>
          </cell>
          <cell r="E2089" t="str">
            <v>01-Dec-2025</v>
          </cell>
          <cell r="F2089">
            <v>5044.34</v>
          </cell>
          <cell r="G2089">
            <v>1000</v>
          </cell>
          <cell r="H2089">
            <v>5.0439999999999996</v>
          </cell>
          <cell r="I2089">
            <v>0</v>
          </cell>
          <cell r="J2089">
            <v>5.0439999999999996</v>
          </cell>
          <cell r="K2089">
            <v>-2.9000000000000001E-2</v>
          </cell>
          <cell r="P2089">
            <v>0</v>
          </cell>
        </row>
        <row r="2090">
          <cell r="A2090" t="str">
            <v>LU2531474828</v>
          </cell>
          <cell r="B2090" t="str">
            <v>AMUNDI FUNDS GLOBAL CORPORATE BOND CLIMATE</v>
          </cell>
          <cell r="C2090" t="str">
            <v>Class G EUR Hgd (C)</v>
          </cell>
          <cell r="D2090" t="str">
            <v>EUR</v>
          </cell>
          <cell r="E2090" t="str">
            <v>01-Dec-2025</v>
          </cell>
          <cell r="F2090">
            <v>5049.92</v>
          </cell>
          <cell r="G2090">
            <v>950</v>
          </cell>
          <cell r="H2090">
            <v>5.3159999999999998</v>
          </cell>
          <cell r="I2090">
            <v>0</v>
          </cell>
          <cell r="J2090">
            <v>5.3159999999999998</v>
          </cell>
          <cell r="K2090">
            <v>-1.9E-2</v>
          </cell>
          <cell r="P2090">
            <v>0</v>
          </cell>
        </row>
        <row r="2091">
          <cell r="A2091" t="str">
            <v>LU2531475395</v>
          </cell>
          <cell r="B2091" t="str">
            <v>AMUNDI FUNDS GLOBAL CORPORATE BOND CLIMATE</v>
          </cell>
          <cell r="C2091" t="str">
            <v>Class M2 EUR (C)</v>
          </cell>
          <cell r="D2091" t="str">
            <v>EUR</v>
          </cell>
          <cell r="E2091" t="str">
            <v>01-Dec-2025</v>
          </cell>
          <cell r="F2091">
            <v>5093.3999999999996</v>
          </cell>
          <cell r="G2091">
            <v>5</v>
          </cell>
          <cell r="H2091">
            <v>1018.68</v>
          </cell>
          <cell r="I2091">
            <v>0</v>
          </cell>
          <cell r="J2091">
            <v>1018.68</v>
          </cell>
          <cell r="K2091">
            <v>-5.74</v>
          </cell>
          <cell r="P2091">
            <v>0</v>
          </cell>
        </row>
        <row r="2092">
          <cell r="A2092" t="str">
            <v>LU2531475478</v>
          </cell>
          <cell r="B2092" t="str">
            <v>AMUNDI FUNDS GLOBAL CORPORATE BOND CLIMATE</v>
          </cell>
          <cell r="C2092" t="str">
            <v>Class R2 USD (C)</v>
          </cell>
          <cell r="D2092" t="str">
            <v>USD</v>
          </cell>
          <cell r="E2092" t="str">
            <v>01-Dec-2025</v>
          </cell>
          <cell r="F2092">
            <v>5221.91</v>
          </cell>
          <cell r="G2092">
            <v>95</v>
          </cell>
          <cell r="H2092">
            <v>54.97</v>
          </cell>
          <cell r="I2092">
            <v>0</v>
          </cell>
          <cell r="J2092">
            <v>54.97</v>
          </cell>
          <cell r="K2092">
            <v>-0.19</v>
          </cell>
          <cell r="P2092">
            <v>0</v>
          </cell>
        </row>
        <row r="2093">
          <cell r="A2093" t="str">
            <v>LU2531475551</v>
          </cell>
          <cell r="B2093" t="str">
            <v>AMUNDI FUNDS GLOBAL CORPORATE BOND CLIMATE</v>
          </cell>
          <cell r="C2093" t="str">
            <v>Class R USD (C)</v>
          </cell>
          <cell r="D2093" t="str">
            <v>USD</v>
          </cell>
          <cell r="E2093" t="str">
            <v>01-Dec-2025</v>
          </cell>
          <cell r="F2093">
            <v>5505.26</v>
          </cell>
          <cell r="G2093">
            <v>100</v>
          </cell>
          <cell r="H2093">
            <v>55.05</v>
          </cell>
          <cell r="I2093">
            <v>0</v>
          </cell>
          <cell r="J2093">
            <v>55.05</v>
          </cell>
          <cell r="K2093">
            <v>-0.2</v>
          </cell>
          <cell r="P2093">
            <v>0</v>
          </cell>
        </row>
        <row r="2094">
          <cell r="A2094" t="str">
            <v>LU2531478571</v>
          </cell>
          <cell r="B2094" t="str">
            <v>AMUNDI FUNDS GLOBAL CORPORATE BOND CLIMATE</v>
          </cell>
          <cell r="C2094" t="str">
            <v>Class Z EUR Hgd QTD (D)</v>
          </cell>
          <cell r="D2094" t="str">
            <v>EUR</v>
          </cell>
          <cell r="E2094" t="str">
            <v>01-Dec-2025</v>
          </cell>
          <cell r="F2094">
            <v>5024.45</v>
          </cell>
          <cell r="G2094">
            <v>5</v>
          </cell>
          <cell r="H2094">
            <v>1004.89</v>
          </cell>
          <cell r="I2094">
            <v>0</v>
          </cell>
          <cell r="J2094">
            <v>1004.89</v>
          </cell>
          <cell r="K2094">
            <v>-3.62</v>
          </cell>
          <cell r="P2094">
            <v>0</v>
          </cell>
        </row>
        <row r="2095">
          <cell r="A2095" t="str">
            <v>LU2531478498</v>
          </cell>
          <cell r="B2095" t="str">
            <v>AMUNDI FUNDS GLOBAL CORPORATE BOND CLIMATE</v>
          </cell>
          <cell r="C2095" t="str">
            <v>Class Z EUR Hgd (C)</v>
          </cell>
          <cell r="D2095" t="str">
            <v>EUR</v>
          </cell>
          <cell r="E2095" t="str">
            <v>01-Dec-2025</v>
          </cell>
          <cell r="F2095">
            <v>74620336.260000005</v>
          </cell>
          <cell r="G2095">
            <v>63698.923000000003</v>
          </cell>
          <cell r="H2095">
            <v>1171.45</v>
          </cell>
          <cell r="I2095">
            <v>0</v>
          </cell>
          <cell r="J2095">
            <v>1171.45</v>
          </cell>
          <cell r="K2095">
            <v>-4.21</v>
          </cell>
          <cell r="P2095">
            <v>0</v>
          </cell>
        </row>
        <row r="2096">
          <cell r="A2096" t="str">
            <v>LU2531474745</v>
          </cell>
          <cell r="B2096" t="str">
            <v>AMUNDI FUNDS GLOBAL CORPORATE BOND CLIMATE</v>
          </cell>
          <cell r="C2096" t="str">
            <v>Class Z USD (C)</v>
          </cell>
          <cell r="D2096" t="str">
            <v>USD</v>
          </cell>
          <cell r="E2096" t="str">
            <v>01-Dec-2025</v>
          </cell>
          <cell r="F2096">
            <v>25638123.629999999</v>
          </cell>
          <cell r="G2096">
            <v>20500</v>
          </cell>
          <cell r="H2096">
            <v>1250.6400000000001</v>
          </cell>
          <cell r="I2096">
            <v>0</v>
          </cell>
          <cell r="J2096">
            <v>1250.6400000000001</v>
          </cell>
          <cell r="K2096">
            <v>-4.43</v>
          </cell>
          <cell r="P2096">
            <v>0</v>
          </cell>
        </row>
        <row r="2097">
          <cell r="A2097" t="str">
            <v>LU2531474661</v>
          </cell>
          <cell r="B2097" t="str">
            <v>AMUNDI FUNDS GLOBAL CORPORATE BOND CLIMATE</v>
          </cell>
          <cell r="C2097" t="str">
            <v>Class Z USD QTD (D)</v>
          </cell>
          <cell r="D2097" t="str">
            <v>USD</v>
          </cell>
          <cell r="E2097" t="str">
            <v>01-Dec-2025</v>
          </cell>
          <cell r="F2097">
            <v>5166.75</v>
          </cell>
          <cell r="G2097">
            <v>5</v>
          </cell>
          <cell r="H2097">
            <v>1033.3499999999999</v>
          </cell>
          <cell r="I2097">
            <v>0</v>
          </cell>
          <cell r="J2097">
            <v>1033.3499999999999</v>
          </cell>
          <cell r="K2097">
            <v>-3.66</v>
          </cell>
          <cell r="P2097">
            <v>0</v>
          </cell>
        </row>
        <row r="2098">
          <cell r="A2098" t="str">
            <v>LU2533008764</v>
          </cell>
          <cell r="B2098" t="str">
            <v>AMUNDI FUNDS GLOBAL CORPORATE BOND CLIMATE</v>
          </cell>
          <cell r="C2098" t="str">
            <v>Class H EUR Hgd (C)</v>
          </cell>
          <cell r="D2098" t="str">
            <v>EUR</v>
          </cell>
          <cell r="E2098" t="str">
            <v>01-Dec-2025</v>
          </cell>
          <cell r="F2098">
            <v>43969385.600000001</v>
          </cell>
          <cell r="G2098">
            <v>37465.925999999999</v>
          </cell>
          <cell r="H2098">
            <v>1173.58</v>
          </cell>
          <cell r="I2098">
            <v>0</v>
          </cell>
          <cell r="J2098">
            <v>1173.58</v>
          </cell>
          <cell r="K2098">
            <v>-4.17</v>
          </cell>
          <cell r="P2098">
            <v>0</v>
          </cell>
        </row>
        <row r="2099">
          <cell r="A2099" t="str">
            <v>LU2569079259</v>
          </cell>
          <cell r="B2099" t="str">
            <v>AMUNDI FUNDS EMERGING MARKETS EQUITY CLIMATE</v>
          </cell>
          <cell r="C2099" t="str">
            <v>Class A2 USD (C)</v>
          </cell>
          <cell r="D2099" t="str">
            <v>USD</v>
          </cell>
          <cell r="E2099" t="str">
            <v>01-Dec-2025</v>
          </cell>
          <cell r="F2099">
            <v>6409.23</v>
          </cell>
          <cell r="G2099">
            <v>100</v>
          </cell>
          <cell r="H2099">
            <v>64.09</v>
          </cell>
          <cell r="I2099">
            <v>0</v>
          </cell>
          <cell r="J2099">
            <v>66.97</v>
          </cell>
          <cell r="K2099">
            <v>0.17</v>
          </cell>
          <cell r="P2099">
            <v>0</v>
          </cell>
        </row>
        <row r="2100">
          <cell r="A2100" t="str">
            <v>LU2956482017</v>
          </cell>
          <cell r="B2100" t="str">
            <v>AMUNDI FUNDS EMERGING MARKETS EQUITY CLIMATE</v>
          </cell>
          <cell r="C2100" t="str">
            <v>Class A EUR (C)</v>
          </cell>
          <cell r="D2100" t="str">
            <v>EUR</v>
          </cell>
          <cell r="E2100" t="str">
            <v>01-Dec-2025</v>
          </cell>
          <cell r="F2100">
            <v>233460.45</v>
          </cell>
          <cell r="G2100">
            <v>4119.3680000000004</v>
          </cell>
          <cell r="H2100">
            <v>56.67</v>
          </cell>
          <cell r="I2100">
            <v>0</v>
          </cell>
          <cell r="J2100">
            <v>56.67</v>
          </cell>
          <cell r="K2100">
            <v>0.05</v>
          </cell>
          <cell r="P2100">
            <v>0</v>
          </cell>
        </row>
        <row r="2101">
          <cell r="A2101" t="str">
            <v>LU2762361215</v>
          </cell>
          <cell r="B2101" t="str">
            <v>AMUNDI FUNDS EMERGING MARKETS EQUITY CLIMATE</v>
          </cell>
          <cell r="C2101" t="str">
            <v>Class A2 CHF Hgd (C)</v>
          </cell>
          <cell r="D2101" t="str">
            <v>CHF</v>
          </cell>
          <cell r="E2101" t="str">
            <v>01-Dec-2025</v>
          </cell>
          <cell r="F2101">
            <v>230347.57</v>
          </cell>
          <cell r="G2101">
            <v>3903.8319999999999</v>
          </cell>
          <cell r="H2101">
            <v>59.01</v>
          </cell>
          <cell r="I2101">
            <v>0</v>
          </cell>
          <cell r="J2101">
            <v>59.01</v>
          </cell>
          <cell r="K2101">
            <v>0.16</v>
          </cell>
          <cell r="P2101">
            <v>0</v>
          </cell>
        </row>
        <row r="2102">
          <cell r="A2102" t="str">
            <v>LU2569079176</v>
          </cell>
          <cell r="B2102" t="str">
            <v>AMUNDI FUNDS EMERGING MARKETS EQUITY CLIMATE</v>
          </cell>
          <cell r="C2102" t="str">
            <v>Class A USD (C)</v>
          </cell>
          <cell r="D2102" t="str">
            <v>USD</v>
          </cell>
          <cell r="E2102" t="str">
            <v>01-Dec-2025</v>
          </cell>
          <cell r="F2102">
            <v>6445.34</v>
          </cell>
          <cell r="G2102">
            <v>100</v>
          </cell>
          <cell r="H2102">
            <v>64.45</v>
          </cell>
          <cell r="I2102">
            <v>0</v>
          </cell>
          <cell r="J2102">
            <v>67.349999999999994</v>
          </cell>
          <cell r="K2102">
            <v>0.18</v>
          </cell>
          <cell r="P2102">
            <v>0</v>
          </cell>
        </row>
        <row r="2103">
          <cell r="A2103" t="str">
            <v>LU2569079762</v>
          </cell>
          <cell r="B2103" t="str">
            <v>AMUNDI FUNDS EMERGING MARKETS EQUITY CLIMATE</v>
          </cell>
          <cell r="C2103" t="str">
            <v>Class E2 EUR (C)</v>
          </cell>
          <cell r="D2103" t="str">
            <v>EUR</v>
          </cell>
          <cell r="E2103" t="str">
            <v>01-Dec-2025</v>
          </cell>
          <cell r="F2103">
            <v>6019.01</v>
          </cell>
          <cell r="G2103">
            <v>1000</v>
          </cell>
          <cell r="H2103">
            <v>6.0190000000000001</v>
          </cell>
          <cell r="I2103">
            <v>0</v>
          </cell>
          <cell r="J2103">
            <v>6.0190000000000001</v>
          </cell>
          <cell r="K2103">
            <v>4.0000000000000001E-3</v>
          </cell>
          <cell r="P2103">
            <v>0</v>
          </cell>
        </row>
        <row r="2104">
          <cell r="A2104" t="str">
            <v>LU2569079846</v>
          </cell>
          <cell r="B2104" t="str">
            <v>AMUNDI FUNDS EMERGING MARKETS EQUITY CLIMATE</v>
          </cell>
          <cell r="C2104" t="str">
            <v>Class F EUR (C)</v>
          </cell>
          <cell r="D2104" t="str">
            <v>EUR</v>
          </cell>
          <cell r="E2104" t="str">
            <v>01-Dec-2025</v>
          </cell>
          <cell r="F2104">
            <v>5866.73</v>
          </cell>
          <cell r="G2104">
            <v>1000</v>
          </cell>
          <cell r="H2104">
            <v>5.867</v>
          </cell>
          <cell r="I2104">
            <v>0</v>
          </cell>
          <cell r="J2104">
            <v>5.867</v>
          </cell>
          <cell r="K2104">
            <v>4.0000000000000001E-3</v>
          </cell>
          <cell r="P2104">
            <v>0</v>
          </cell>
        </row>
        <row r="2105">
          <cell r="A2105" t="str">
            <v>LU2569080265</v>
          </cell>
          <cell r="B2105" t="str">
            <v>AMUNDI FUNDS EMERGING MARKETS EQUITY CLIMATE</v>
          </cell>
          <cell r="C2105" t="str">
            <v>Class H EUR (C)</v>
          </cell>
          <cell r="D2105" t="str">
            <v>EUR</v>
          </cell>
          <cell r="E2105" t="str">
            <v>01-Dec-2025</v>
          </cell>
          <cell r="F2105">
            <v>6250.88</v>
          </cell>
          <cell r="G2105">
            <v>5</v>
          </cell>
          <cell r="H2105">
            <v>1250.18</v>
          </cell>
          <cell r="I2105">
            <v>0</v>
          </cell>
          <cell r="J2105">
            <v>1250.18</v>
          </cell>
          <cell r="K2105">
            <v>0.98</v>
          </cell>
          <cell r="P2105">
            <v>0</v>
          </cell>
        </row>
        <row r="2106">
          <cell r="A2106" t="str">
            <v>LU2569079416</v>
          </cell>
          <cell r="B2106" t="str">
            <v>AMUNDI FUNDS EMERGING MARKETS EQUITY CLIMATE</v>
          </cell>
          <cell r="C2106" t="str">
            <v>Class I2 USD (C)</v>
          </cell>
          <cell r="D2106" t="str">
            <v>USD</v>
          </cell>
          <cell r="E2106" t="str">
            <v>01-Dec-2025</v>
          </cell>
          <cell r="F2106">
            <v>6606.01</v>
          </cell>
          <cell r="G2106">
            <v>5</v>
          </cell>
          <cell r="H2106">
            <v>1321.2</v>
          </cell>
          <cell r="I2106">
            <v>0</v>
          </cell>
          <cell r="J2106">
            <v>1321.2</v>
          </cell>
          <cell r="K2106">
            <v>3.76</v>
          </cell>
          <cell r="P2106">
            <v>0</v>
          </cell>
        </row>
        <row r="2107">
          <cell r="A2107" t="str">
            <v>LU2569079333</v>
          </cell>
          <cell r="B2107" t="str">
            <v>AMUNDI FUNDS EMERGING MARKETS EQUITY CLIMATE</v>
          </cell>
          <cell r="C2107" t="str">
            <v>Class I USD (C)</v>
          </cell>
          <cell r="D2107" t="str">
            <v>USD</v>
          </cell>
          <cell r="E2107" t="str">
            <v>01-Dec-2025</v>
          </cell>
          <cell r="F2107">
            <v>6619.99</v>
          </cell>
          <cell r="G2107">
            <v>5</v>
          </cell>
          <cell r="H2107">
            <v>1324</v>
          </cell>
          <cell r="I2107">
            <v>0</v>
          </cell>
          <cell r="J2107">
            <v>1324</v>
          </cell>
          <cell r="K2107">
            <v>3.78</v>
          </cell>
          <cell r="P2107">
            <v>0</v>
          </cell>
        </row>
        <row r="2108">
          <cell r="A2108" t="str">
            <v>LU2569079929</v>
          </cell>
          <cell r="B2108" t="str">
            <v>AMUNDI FUNDS EMERGING MARKETS EQUITY CLIMATE</v>
          </cell>
          <cell r="C2108" t="str">
            <v>Class G EUR (C)</v>
          </cell>
          <cell r="D2108" t="str">
            <v>EUR</v>
          </cell>
          <cell r="E2108" t="str">
            <v>01-Dec-2025</v>
          </cell>
          <cell r="F2108">
            <v>13305.08</v>
          </cell>
          <cell r="G2108">
            <v>2230.0160000000001</v>
          </cell>
          <cell r="H2108">
            <v>5.9660000000000002</v>
          </cell>
          <cell r="I2108">
            <v>0</v>
          </cell>
          <cell r="J2108">
            <v>5.9660000000000002</v>
          </cell>
          <cell r="K2108">
            <v>3.0000000000000001E-3</v>
          </cell>
          <cell r="P2108">
            <v>0</v>
          </cell>
        </row>
        <row r="2109">
          <cell r="A2109" t="str">
            <v>LU2569080000</v>
          </cell>
          <cell r="B2109" t="str">
            <v>AMUNDI FUNDS EMERGING MARKETS EQUITY CLIMATE</v>
          </cell>
          <cell r="C2109" t="str">
            <v>Class M2 EUR (C)</v>
          </cell>
          <cell r="D2109" t="str">
            <v>EUR</v>
          </cell>
          <cell r="E2109" t="str">
            <v>01-Dec-2025</v>
          </cell>
          <cell r="F2109">
            <v>6169.73</v>
          </cell>
          <cell r="G2109">
            <v>5</v>
          </cell>
          <cell r="H2109">
            <v>1233.9469999999999</v>
          </cell>
          <cell r="I2109">
            <v>0</v>
          </cell>
          <cell r="J2109">
            <v>1233.9469999999999</v>
          </cell>
          <cell r="K2109">
            <v>0.91100000000000003</v>
          </cell>
          <cell r="P2109">
            <v>0</v>
          </cell>
        </row>
        <row r="2110">
          <cell r="A2110" t="str">
            <v>LU2569079689</v>
          </cell>
          <cell r="B2110" t="str">
            <v>AMUNDI FUNDS EMERGING MARKETS EQUITY CLIMATE</v>
          </cell>
          <cell r="C2110" t="str">
            <v>Class R2 USD (C)</v>
          </cell>
          <cell r="D2110" t="str">
            <v>USD</v>
          </cell>
          <cell r="E2110" t="str">
            <v>01-Dec-2025</v>
          </cell>
          <cell r="F2110">
            <v>6556.61</v>
          </cell>
          <cell r="G2110">
            <v>100</v>
          </cell>
          <cell r="H2110">
            <v>65.569999999999993</v>
          </cell>
          <cell r="I2110">
            <v>0</v>
          </cell>
          <cell r="J2110">
            <v>65.569999999999993</v>
          </cell>
          <cell r="K2110">
            <v>0.19</v>
          </cell>
          <cell r="P2110">
            <v>0</v>
          </cell>
        </row>
        <row r="2111">
          <cell r="A2111" t="str">
            <v>LU2569079507</v>
          </cell>
          <cell r="B2111" t="str">
            <v>AMUNDI FUNDS EMERGING MARKETS EQUITY CLIMATE</v>
          </cell>
          <cell r="C2111" t="str">
            <v>Class R USD (C)</v>
          </cell>
          <cell r="D2111" t="str">
            <v>USD</v>
          </cell>
          <cell r="E2111" t="str">
            <v>01-Dec-2025</v>
          </cell>
          <cell r="F2111">
            <v>6580.71</v>
          </cell>
          <cell r="G2111">
            <v>100</v>
          </cell>
          <cell r="H2111">
            <v>65.81</v>
          </cell>
          <cell r="I2111">
            <v>0</v>
          </cell>
          <cell r="J2111">
            <v>65.81</v>
          </cell>
          <cell r="K2111">
            <v>0.19</v>
          </cell>
          <cell r="P2111">
            <v>0</v>
          </cell>
        </row>
        <row r="2112">
          <cell r="A2112" t="str">
            <v>LU2569080182</v>
          </cell>
          <cell r="B2112" t="str">
            <v>AMUNDI FUNDS EMERGING MARKETS EQUITY CLIMATE</v>
          </cell>
          <cell r="C2112" t="str">
            <v>Class Z USD (C)</v>
          </cell>
          <cell r="D2112" t="str">
            <v>USD</v>
          </cell>
          <cell r="E2112" t="str">
            <v>01-Dec-2025</v>
          </cell>
          <cell r="F2112">
            <v>14549056.27</v>
          </cell>
          <cell r="G2112">
            <v>10940</v>
          </cell>
          <cell r="H2112">
            <v>1329.9</v>
          </cell>
          <cell r="I2112">
            <v>0</v>
          </cell>
          <cell r="J2112">
            <v>1329.9</v>
          </cell>
          <cell r="K2112">
            <v>3.81</v>
          </cell>
          <cell r="P2112">
            <v>0</v>
          </cell>
        </row>
        <row r="2113">
          <cell r="A2113" t="str">
            <v>LU2559894055</v>
          </cell>
          <cell r="B2113" t="str">
            <v>AMUNDI FUNDS US CORPORATE BOND CLIMATE</v>
          </cell>
          <cell r="C2113" t="str">
            <v>Class A2 USD (C)</v>
          </cell>
          <cell r="D2113" t="str">
            <v>USD</v>
          </cell>
          <cell r="E2113" t="str">
            <v>01-Dec-2025</v>
          </cell>
          <cell r="F2113">
            <v>5710.23</v>
          </cell>
          <cell r="G2113">
            <v>100</v>
          </cell>
          <cell r="H2113">
            <v>57.1</v>
          </cell>
          <cell r="I2113">
            <v>0</v>
          </cell>
          <cell r="J2113">
            <v>58.81</v>
          </cell>
          <cell r="K2113">
            <v>-0.22</v>
          </cell>
          <cell r="P2113">
            <v>0</v>
          </cell>
        </row>
        <row r="2114">
          <cell r="A2114" t="str">
            <v>LU2762361488</v>
          </cell>
          <cell r="B2114" t="str">
            <v>AMUNDI FUNDS US CORPORATE BOND CLIMATE</v>
          </cell>
          <cell r="C2114" t="str">
            <v>Class A2 CHF Hgd (C)</v>
          </cell>
          <cell r="D2114" t="str">
            <v>CHF</v>
          </cell>
          <cell r="E2114" t="str">
            <v>01-Dec-2025</v>
          </cell>
          <cell r="F2114">
            <v>87372.45</v>
          </cell>
          <cell r="G2114">
            <v>1735.9010000000001</v>
          </cell>
          <cell r="H2114">
            <v>50.33</v>
          </cell>
          <cell r="I2114">
            <v>0</v>
          </cell>
          <cell r="J2114">
            <v>50.33</v>
          </cell>
          <cell r="K2114">
            <v>-0.2</v>
          </cell>
          <cell r="P2114">
            <v>0</v>
          </cell>
        </row>
        <row r="2115">
          <cell r="A2115" t="str">
            <v>LU2559893917</v>
          </cell>
          <cell r="B2115" t="str">
            <v>AMUNDI FUNDS US CORPORATE BOND CLIMATE</v>
          </cell>
          <cell r="C2115" t="str">
            <v>Class A USD (C)</v>
          </cell>
          <cell r="D2115" t="str">
            <v>USD</v>
          </cell>
          <cell r="E2115" t="str">
            <v>01-Dec-2025</v>
          </cell>
          <cell r="F2115">
            <v>5727.97</v>
          </cell>
          <cell r="G2115">
            <v>100</v>
          </cell>
          <cell r="H2115">
            <v>57.28</v>
          </cell>
          <cell r="I2115">
            <v>0</v>
          </cell>
          <cell r="J2115">
            <v>59</v>
          </cell>
          <cell r="K2115">
            <v>-0.22</v>
          </cell>
          <cell r="P2115">
            <v>0</v>
          </cell>
        </row>
        <row r="2116">
          <cell r="A2116" t="str">
            <v>LU2559895375</v>
          </cell>
          <cell r="B2116" t="str">
            <v>AMUNDI FUNDS US CORPORATE BOND CLIMATE</v>
          </cell>
          <cell r="C2116" t="str">
            <v>Class E2 EUR (C)</v>
          </cell>
          <cell r="D2116" t="str">
            <v>EUR</v>
          </cell>
          <cell r="E2116" t="str">
            <v>01-Dec-2025</v>
          </cell>
          <cell r="F2116">
            <v>5207.83</v>
          </cell>
          <cell r="G2116">
            <v>1000</v>
          </cell>
          <cell r="H2116">
            <v>5.2080000000000002</v>
          </cell>
          <cell r="I2116">
            <v>0</v>
          </cell>
          <cell r="J2116">
            <v>5.2080000000000002</v>
          </cell>
          <cell r="K2116">
            <v>-3.1E-2</v>
          </cell>
          <cell r="P2116">
            <v>0</v>
          </cell>
        </row>
        <row r="2117">
          <cell r="A2117" t="str">
            <v>LU2559894642</v>
          </cell>
          <cell r="B2117" t="str">
            <v>AMUNDI FUNDS US CORPORATE BOND CLIMATE</v>
          </cell>
          <cell r="C2117" t="str">
            <v>Class F EUR (C)</v>
          </cell>
          <cell r="D2117" t="str">
            <v>EUR</v>
          </cell>
          <cell r="E2117" t="str">
            <v>01-Dec-2025</v>
          </cell>
          <cell r="F2117">
            <v>5131.1899999999996</v>
          </cell>
          <cell r="G2117">
            <v>1000</v>
          </cell>
          <cell r="H2117">
            <v>5.1310000000000002</v>
          </cell>
          <cell r="I2117">
            <v>0</v>
          </cell>
          <cell r="J2117">
            <v>5.1310000000000002</v>
          </cell>
          <cell r="K2117">
            <v>-3.1E-2</v>
          </cell>
          <cell r="P2117">
            <v>0</v>
          </cell>
        </row>
        <row r="2118">
          <cell r="A2118" t="str">
            <v>LU2559894212</v>
          </cell>
          <cell r="B2118" t="str">
            <v>AMUNDI FUNDS US CORPORATE BOND CLIMATE</v>
          </cell>
          <cell r="C2118" t="str">
            <v>Class I2 USD (C)</v>
          </cell>
          <cell r="D2118" t="str">
            <v>USD</v>
          </cell>
          <cell r="E2118" t="str">
            <v>01-Dec-2025</v>
          </cell>
          <cell r="F2118">
            <v>4526509.33</v>
          </cell>
          <cell r="G2118">
            <v>3879.5830000000001</v>
          </cell>
          <cell r="H2118">
            <v>1166.75</v>
          </cell>
          <cell r="I2118">
            <v>0</v>
          </cell>
          <cell r="J2118">
            <v>1166.75</v>
          </cell>
          <cell r="K2118">
            <v>-4.43</v>
          </cell>
          <cell r="P2118">
            <v>0</v>
          </cell>
        </row>
        <row r="2119">
          <cell r="A2119" t="str">
            <v>LU2559894139</v>
          </cell>
          <cell r="B2119" t="str">
            <v>AMUNDI FUNDS US CORPORATE BOND CLIMATE</v>
          </cell>
          <cell r="C2119" t="str">
            <v>Class I USD (C)</v>
          </cell>
          <cell r="D2119" t="str">
            <v>USD</v>
          </cell>
          <cell r="E2119" t="str">
            <v>01-Dec-2025</v>
          </cell>
          <cell r="F2119">
            <v>5835.54</v>
          </cell>
          <cell r="G2119">
            <v>5</v>
          </cell>
          <cell r="H2119">
            <v>1167.1099999999999</v>
          </cell>
          <cell r="I2119">
            <v>0</v>
          </cell>
          <cell r="J2119">
            <v>1167.1099999999999</v>
          </cell>
          <cell r="K2119">
            <v>-4.4400000000000004</v>
          </cell>
          <cell r="P2119">
            <v>0</v>
          </cell>
        </row>
        <row r="2120">
          <cell r="A2120" t="str">
            <v>LU2559894725</v>
          </cell>
          <cell r="B2120" t="str">
            <v>AMUNDI FUNDS US CORPORATE BOND CLIMATE</v>
          </cell>
          <cell r="C2120" t="str">
            <v>Class G EUR (C)</v>
          </cell>
          <cell r="D2120" t="str">
            <v>EUR</v>
          </cell>
          <cell r="E2120" t="str">
            <v>01-Dec-2025</v>
          </cell>
          <cell r="F2120">
            <v>5177.01</v>
          </cell>
          <cell r="G2120">
            <v>1000</v>
          </cell>
          <cell r="H2120">
            <v>5.1769999999999996</v>
          </cell>
          <cell r="I2120">
            <v>0</v>
          </cell>
          <cell r="J2120">
            <v>5.1769999999999996</v>
          </cell>
          <cell r="K2120">
            <v>-3.1E-2</v>
          </cell>
          <cell r="P2120">
            <v>0</v>
          </cell>
        </row>
        <row r="2121">
          <cell r="A2121" t="str">
            <v>LU2559894568</v>
          </cell>
          <cell r="B2121" t="str">
            <v>AMUNDI FUNDS US CORPORATE BOND CLIMATE</v>
          </cell>
          <cell r="C2121" t="str">
            <v>Class M2 EUR (C)</v>
          </cell>
          <cell r="D2121" t="str">
            <v>EUR</v>
          </cell>
          <cell r="E2121" t="str">
            <v>01-Dec-2025</v>
          </cell>
          <cell r="F2121">
            <v>5282.94</v>
          </cell>
          <cell r="G2121">
            <v>5</v>
          </cell>
          <cell r="H2121">
            <v>1056.5899999999999</v>
          </cell>
          <cell r="I2121">
            <v>0</v>
          </cell>
          <cell r="J2121">
            <v>1056.5899999999999</v>
          </cell>
          <cell r="K2121">
            <v>-6.25</v>
          </cell>
          <cell r="P2121">
            <v>0</v>
          </cell>
        </row>
        <row r="2122">
          <cell r="A2122" t="str">
            <v>LU2559894485</v>
          </cell>
          <cell r="B2122" t="str">
            <v>AMUNDI FUNDS US CORPORATE BOND CLIMATE</v>
          </cell>
          <cell r="C2122" t="str">
            <v>Class R2 USD (C)</v>
          </cell>
          <cell r="D2122" t="str">
            <v>USD</v>
          </cell>
          <cell r="E2122" t="str">
            <v>01-Dec-2025</v>
          </cell>
          <cell r="F2122">
            <v>5805.18</v>
          </cell>
          <cell r="G2122">
            <v>100</v>
          </cell>
          <cell r="H2122">
            <v>58.05</v>
          </cell>
          <cell r="I2122">
            <v>0</v>
          </cell>
          <cell r="J2122">
            <v>58.05</v>
          </cell>
          <cell r="K2122">
            <v>-0.22</v>
          </cell>
          <cell r="P2122">
            <v>0</v>
          </cell>
        </row>
        <row r="2123">
          <cell r="A2123" t="str">
            <v>LU2559894303</v>
          </cell>
          <cell r="B2123" t="str">
            <v>AMUNDI FUNDS US CORPORATE BOND CLIMATE</v>
          </cell>
          <cell r="C2123" t="str">
            <v>Class R USD (C)</v>
          </cell>
          <cell r="D2123" t="str">
            <v>USD</v>
          </cell>
          <cell r="E2123" t="str">
            <v>01-Dec-2025</v>
          </cell>
          <cell r="F2123">
            <v>5818.14</v>
          </cell>
          <cell r="G2123">
            <v>100</v>
          </cell>
          <cell r="H2123">
            <v>58.18</v>
          </cell>
          <cell r="I2123">
            <v>0</v>
          </cell>
          <cell r="J2123">
            <v>58.18</v>
          </cell>
          <cell r="K2123">
            <v>-0.22</v>
          </cell>
          <cell r="P2123">
            <v>0</v>
          </cell>
        </row>
        <row r="2124">
          <cell r="A2124" t="str">
            <v>LU2559895029</v>
          </cell>
          <cell r="B2124" t="str">
            <v>AMUNDI FUNDS US CORPORATE BOND CLIMATE</v>
          </cell>
          <cell r="C2124" t="str">
            <v>Class Z USD (C)</v>
          </cell>
          <cell r="D2124" t="str">
            <v>USD</v>
          </cell>
          <cell r="E2124" t="str">
            <v>01-Dec-2025</v>
          </cell>
          <cell r="F2124">
            <v>10933938.32</v>
          </cell>
          <cell r="G2124">
            <v>9352</v>
          </cell>
          <cell r="H2124">
            <v>1169.1600000000001</v>
          </cell>
          <cell r="I2124">
            <v>0</v>
          </cell>
          <cell r="J2124">
            <v>1169.1600000000001</v>
          </cell>
          <cell r="K2124">
            <v>-4.43</v>
          </cell>
          <cell r="P2124">
            <v>0</v>
          </cell>
        </row>
        <row r="2125">
          <cell r="A2125" t="str">
            <v>LU2559894998</v>
          </cell>
          <cell r="B2125" t="str">
            <v>AMUNDI FUNDS US CORPORATE BOND CLIMATE</v>
          </cell>
          <cell r="C2125" t="str">
            <v>Class H USD (C)</v>
          </cell>
          <cell r="D2125" t="str">
            <v>USD</v>
          </cell>
          <cell r="E2125" t="str">
            <v>01-Dec-2025</v>
          </cell>
          <cell r="F2125">
            <v>13415778.039999999</v>
          </cell>
          <cell r="G2125">
            <v>11394.661</v>
          </cell>
          <cell r="H2125">
            <v>1177.3699999999999</v>
          </cell>
          <cell r="I2125">
            <v>0</v>
          </cell>
          <cell r="J2125">
            <v>1177.3699999999999</v>
          </cell>
          <cell r="K2125">
            <v>-4.4400000000000004</v>
          </cell>
          <cell r="P2125">
            <v>0</v>
          </cell>
        </row>
        <row r="2126">
          <cell r="A2126" t="str">
            <v>LU2559895292</v>
          </cell>
          <cell r="B2126" t="str">
            <v>AMUNDI FUNDS US CORPORATE BOND CLIMATE</v>
          </cell>
          <cell r="C2126" t="str">
            <v>Class Z USD QTD (D)</v>
          </cell>
          <cell r="D2126" t="str">
            <v>USD</v>
          </cell>
          <cell r="E2126" t="str">
            <v>01-Dec-2025</v>
          </cell>
          <cell r="F2126">
            <v>5130.8599999999997</v>
          </cell>
          <cell r="G2126">
            <v>5</v>
          </cell>
          <cell r="H2126">
            <v>1026.17</v>
          </cell>
          <cell r="I2126">
            <v>0</v>
          </cell>
          <cell r="J2126">
            <v>1026.17</v>
          </cell>
          <cell r="K2126">
            <v>-3.9</v>
          </cell>
          <cell r="P2126">
            <v>0</v>
          </cell>
        </row>
        <row r="2127">
          <cell r="A2127" t="str">
            <v>LU2665726118</v>
          </cell>
          <cell r="B2127" t="str">
            <v>AMUNDI FUNDS GLOBAL SHORT TERM BOND</v>
          </cell>
          <cell r="C2127" t="str">
            <v>Class A2 USD (C)</v>
          </cell>
          <cell r="D2127" t="str">
            <v>USD</v>
          </cell>
          <cell r="E2127" t="str">
            <v>01-Dec-2025</v>
          </cell>
          <cell r="F2127">
            <v>5612.7</v>
          </cell>
          <cell r="G2127">
            <v>100</v>
          </cell>
          <cell r="H2127">
            <v>56.13</v>
          </cell>
          <cell r="I2127">
            <v>0</v>
          </cell>
          <cell r="J2127">
            <v>56.13</v>
          </cell>
          <cell r="K2127">
            <v>-0.02</v>
          </cell>
          <cell r="P2127">
            <v>0</v>
          </cell>
        </row>
        <row r="2128">
          <cell r="A2128" t="str">
            <v>LU2665725904</v>
          </cell>
          <cell r="B2128" t="str">
            <v>AMUNDI FUNDS GLOBAL SHORT TERM BOND</v>
          </cell>
          <cell r="C2128" t="str">
            <v>Class A USD (C)</v>
          </cell>
          <cell r="D2128" t="str">
            <v>USD</v>
          </cell>
          <cell r="E2128" t="str">
            <v>01-Dec-2025</v>
          </cell>
          <cell r="F2128">
            <v>5610.84</v>
          </cell>
          <cell r="G2128">
            <v>100</v>
          </cell>
          <cell r="H2128">
            <v>56.11</v>
          </cell>
          <cell r="I2128">
            <v>0</v>
          </cell>
          <cell r="J2128">
            <v>56.11</v>
          </cell>
          <cell r="K2128">
            <v>-0.02</v>
          </cell>
          <cell r="P2128">
            <v>0</v>
          </cell>
        </row>
        <row r="2129">
          <cell r="A2129" t="str">
            <v>LU2665726209</v>
          </cell>
          <cell r="B2129" t="str">
            <v>AMUNDI FUNDS GLOBAL SHORT TERM BOND</v>
          </cell>
          <cell r="C2129" t="str">
            <v>Class E2 EUR (C)</v>
          </cell>
          <cell r="D2129" t="str">
            <v>EUR</v>
          </cell>
          <cell r="E2129" t="str">
            <v>01-Dec-2025</v>
          </cell>
          <cell r="F2129">
            <v>214361.11</v>
          </cell>
          <cell r="G2129">
            <v>40484.264000000003</v>
          </cell>
          <cell r="H2129">
            <v>5.2949999999999999</v>
          </cell>
          <cell r="I2129">
            <v>0</v>
          </cell>
          <cell r="J2129">
            <v>5.2949999999999999</v>
          </cell>
          <cell r="K2129">
            <v>-1.4E-2</v>
          </cell>
          <cell r="P2129">
            <v>0</v>
          </cell>
        </row>
        <row r="2130">
          <cell r="A2130" t="str">
            <v>LU2665728163</v>
          </cell>
          <cell r="B2130" t="str">
            <v>AMUNDI FUNDS GLOBAL SHORT TERM BOND</v>
          </cell>
          <cell r="C2130" t="str">
            <v>Class I2 USD (C)</v>
          </cell>
          <cell r="D2130" t="str">
            <v>USD</v>
          </cell>
          <cell r="E2130" t="str">
            <v>01-Dec-2025</v>
          </cell>
          <cell r="F2130">
            <v>5645.35</v>
          </cell>
          <cell r="G2130">
            <v>5</v>
          </cell>
          <cell r="H2130">
            <v>1129.07</v>
          </cell>
          <cell r="I2130">
            <v>0</v>
          </cell>
          <cell r="J2130">
            <v>1129.07</v>
          </cell>
          <cell r="K2130">
            <v>-0.5</v>
          </cell>
          <cell r="P2130">
            <v>0</v>
          </cell>
        </row>
        <row r="2131">
          <cell r="A2131" t="str">
            <v>LU2665726464</v>
          </cell>
          <cell r="B2131" t="str">
            <v>AMUNDI FUNDS GLOBAL SHORT TERM BOND</v>
          </cell>
          <cell r="C2131" t="str">
            <v>Class I USD (C)</v>
          </cell>
          <cell r="D2131" t="str">
            <v>USD</v>
          </cell>
          <cell r="E2131" t="str">
            <v>01-Dec-2025</v>
          </cell>
          <cell r="F2131">
            <v>5633.89</v>
          </cell>
          <cell r="G2131">
            <v>5</v>
          </cell>
          <cell r="H2131">
            <v>1126.78</v>
          </cell>
          <cell r="I2131">
            <v>0</v>
          </cell>
          <cell r="J2131">
            <v>1126.78</v>
          </cell>
          <cell r="K2131">
            <v>-0.43</v>
          </cell>
          <cell r="P2131">
            <v>0</v>
          </cell>
        </row>
        <row r="2132">
          <cell r="A2132" t="str">
            <v>LU2665726035</v>
          </cell>
          <cell r="B2132" t="str">
            <v>AMUNDI FUNDS GLOBAL SHORT TERM BOND</v>
          </cell>
          <cell r="C2132" t="str">
            <v>Class G EUR Hgd (C)</v>
          </cell>
          <cell r="D2132" t="str">
            <v>EUR</v>
          </cell>
          <cell r="E2132" t="str">
            <v>01-Dec-2025</v>
          </cell>
          <cell r="F2132">
            <v>786224.04</v>
          </cell>
          <cell r="G2132">
            <v>145793.54500000001</v>
          </cell>
          <cell r="H2132">
            <v>5.3929999999999998</v>
          </cell>
          <cell r="I2132">
            <v>0</v>
          </cell>
          <cell r="J2132">
            <v>5.3929999999999998</v>
          </cell>
          <cell r="K2132">
            <v>-2E-3</v>
          </cell>
          <cell r="P2132">
            <v>0</v>
          </cell>
        </row>
        <row r="2133">
          <cell r="A2133" t="str">
            <v>LU2665726621</v>
          </cell>
          <cell r="B2133" t="str">
            <v>AMUNDI FUNDS GLOBAL SHORT TERM BOND</v>
          </cell>
          <cell r="C2133" t="str">
            <v>Class M2 EUR (C)</v>
          </cell>
          <cell r="D2133" t="str">
            <v>EUR</v>
          </cell>
          <cell r="E2133" t="str">
            <v>01-Dec-2025</v>
          </cell>
          <cell r="F2133">
            <v>5321.71</v>
          </cell>
          <cell r="G2133">
            <v>5</v>
          </cell>
          <cell r="H2133">
            <v>1064.3399999999999</v>
          </cell>
          <cell r="I2133">
            <v>0</v>
          </cell>
          <cell r="J2133">
            <v>1064.3399999999999</v>
          </cell>
          <cell r="K2133">
            <v>-2.73</v>
          </cell>
          <cell r="P2133">
            <v>0</v>
          </cell>
        </row>
        <row r="2134">
          <cell r="A2134" t="str">
            <v>LU2665726977</v>
          </cell>
          <cell r="B2134" t="str">
            <v>AMUNDI FUNDS GLOBAL SHORT TERM BOND</v>
          </cell>
          <cell r="C2134" t="str">
            <v>Class R USD (C)</v>
          </cell>
          <cell r="D2134" t="str">
            <v>USD</v>
          </cell>
          <cell r="E2134" t="str">
            <v>01-Dec-2025</v>
          </cell>
          <cell r="F2134">
            <v>5629.04</v>
          </cell>
          <cell r="G2134">
            <v>100</v>
          </cell>
          <cell r="H2134">
            <v>56.29</v>
          </cell>
          <cell r="I2134">
            <v>0</v>
          </cell>
          <cell r="J2134">
            <v>56.29</v>
          </cell>
          <cell r="K2134">
            <v>-0.02</v>
          </cell>
          <cell r="P2134">
            <v>0</v>
          </cell>
        </row>
        <row r="2135">
          <cell r="A2135" t="str">
            <v>LU2665727199</v>
          </cell>
          <cell r="B2135" t="str">
            <v>AMUNDI FUNDS GLOBAL SHORT TERM BOND</v>
          </cell>
          <cell r="C2135" t="str">
            <v>Class R2 USD (C)</v>
          </cell>
          <cell r="D2135" t="str">
            <v>USD</v>
          </cell>
          <cell r="E2135" t="str">
            <v>01-Dec-2025</v>
          </cell>
          <cell r="F2135">
            <v>5640.4</v>
          </cell>
          <cell r="G2135">
            <v>100</v>
          </cell>
          <cell r="H2135">
            <v>56.4</v>
          </cell>
          <cell r="I2135">
            <v>0</v>
          </cell>
          <cell r="J2135">
            <v>56.4</v>
          </cell>
          <cell r="K2135">
            <v>-0.03</v>
          </cell>
          <cell r="P2135">
            <v>0</v>
          </cell>
        </row>
        <row r="2136">
          <cell r="A2136" t="str">
            <v>LU2665726894</v>
          </cell>
          <cell r="B2136" t="str">
            <v>AMUNDI FUNDS GLOBAL SHORT TERM BOND</v>
          </cell>
          <cell r="C2136" t="str">
            <v>Class Z USD (C)</v>
          </cell>
          <cell r="D2136" t="str">
            <v>USD</v>
          </cell>
          <cell r="E2136" t="str">
            <v>01-Dec-2025</v>
          </cell>
          <cell r="F2136">
            <v>111359850.7</v>
          </cell>
          <cell r="G2136">
            <v>98789.164000000004</v>
          </cell>
          <cell r="H2136">
            <v>1127.25</v>
          </cell>
          <cell r="I2136">
            <v>0</v>
          </cell>
          <cell r="J2136">
            <v>1127.25</v>
          </cell>
          <cell r="K2136">
            <v>-0.43</v>
          </cell>
          <cell r="P2136">
            <v>0</v>
          </cell>
        </row>
        <row r="2137">
          <cell r="A2137" t="str">
            <v>LU2665726381</v>
          </cell>
          <cell r="B2137" t="str">
            <v>AMUNDI FUNDS GLOBAL SHORT TERM BOND</v>
          </cell>
          <cell r="C2137" t="str">
            <v>Class H EUR (C)</v>
          </cell>
          <cell r="D2137" t="str">
            <v>EUR</v>
          </cell>
          <cell r="E2137" t="str">
            <v>01-Dec-2025</v>
          </cell>
          <cell r="F2137">
            <v>5342.26</v>
          </cell>
          <cell r="G2137">
            <v>5</v>
          </cell>
          <cell r="H2137">
            <v>1068.45</v>
          </cell>
          <cell r="I2137">
            <v>0</v>
          </cell>
          <cell r="J2137">
            <v>1068.45</v>
          </cell>
          <cell r="K2137">
            <v>-2.72</v>
          </cell>
          <cell r="P2137">
            <v>0</v>
          </cell>
        </row>
        <row r="2138">
          <cell r="A2138" t="str">
            <v>LU2762362023</v>
          </cell>
          <cell r="B2138" t="str">
            <v>AMUNDI FUNDS GLOBAL SHORT TERM BOND</v>
          </cell>
          <cell r="C2138" t="str">
            <v>Class Z EUR Hgd (C)</v>
          </cell>
          <cell r="D2138" t="str">
            <v>EUR</v>
          </cell>
          <cell r="E2138" t="str">
            <v>01-Dec-2025</v>
          </cell>
          <cell r="F2138">
            <v>10561474.82</v>
          </cell>
          <cell r="G2138">
            <v>10000</v>
          </cell>
          <cell r="H2138">
            <v>1056.1500000000001</v>
          </cell>
          <cell r="I2138">
            <v>0</v>
          </cell>
          <cell r="J2138">
            <v>1056.1500000000001</v>
          </cell>
          <cell r="K2138">
            <v>-0.48</v>
          </cell>
          <cell r="P2138">
            <v>0</v>
          </cell>
        </row>
        <row r="2139">
          <cell r="A2139" t="str">
            <v>LU2665730904</v>
          </cell>
          <cell r="B2139" t="str">
            <v>AMUNDI FUNDS EMERGING MARKET EQUITY FOCUS EX-CHINA</v>
          </cell>
          <cell r="C2139" t="str">
            <v>Class A2 USD (C)</v>
          </cell>
          <cell r="D2139" t="str">
            <v>USD</v>
          </cell>
          <cell r="E2139" t="str">
            <v>01-Dec-2025</v>
          </cell>
          <cell r="F2139">
            <v>6596338.0300000003</v>
          </cell>
          <cell r="G2139">
            <v>94046.941999999995</v>
          </cell>
          <cell r="H2139">
            <v>70.14</v>
          </cell>
          <cell r="I2139">
            <v>0</v>
          </cell>
          <cell r="J2139">
            <v>70.14</v>
          </cell>
          <cell r="K2139">
            <v>-0.26</v>
          </cell>
          <cell r="P2139">
            <v>0</v>
          </cell>
        </row>
        <row r="2140">
          <cell r="A2140" t="str">
            <v>LU2778930888</v>
          </cell>
          <cell r="B2140" t="str">
            <v>AMUNDI FUNDS EMERGING MARKET EQUITY FOCUS EX-CHINA</v>
          </cell>
          <cell r="C2140" t="str">
            <v>Class A EUR Hgd (C)</v>
          </cell>
          <cell r="D2140" t="str">
            <v>EUR</v>
          </cell>
          <cell r="E2140" t="str">
            <v>01-Dec-2025</v>
          </cell>
          <cell r="F2140">
            <v>2998475.31</v>
          </cell>
          <cell r="G2140">
            <v>49932.451000000001</v>
          </cell>
          <cell r="H2140">
            <v>60.05</v>
          </cell>
          <cell r="I2140">
            <v>0</v>
          </cell>
          <cell r="J2140">
            <v>62.75</v>
          </cell>
          <cell r="K2140">
            <v>-0.23</v>
          </cell>
          <cell r="P2140">
            <v>0</v>
          </cell>
        </row>
        <row r="2141">
          <cell r="A2141" t="str">
            <v>LU2778930706</v>
          </cell>
          <cell r="B2141" t="str">
            <v>AMUNDI FUNDS EMERGING MARKET EQUITY FOCUS EX-CHINA</v>
          </cell>
          <cell r="C2141" t="str">
            <v>Class A EUR (C)</v>
          </cell>
          <cell r="D2141" t="str">
            <v>EUR</v>
          </cell>
          <cell r="E2141" t="str">
            <v>01-Dec-2025</v>
          </cell>
          <cell r="F2141">
            <v>5813.28</v>
          </cell>
          <cell r="G2141">
            <v>100</v>
          </cell>
          <cell r="H2141">
            <v>58.13</v>
          </cell>
          <cell r="I2141">
            <v>0</v>
          </cell>
          <cell r="J2141">
            <v>60.75</v>
          </cell>
          <cell r="K2141">
            <v>-0.34</v>
          </cell>
          <cell r="P2141">
            <v>0</v>
          </cell>
        </row>
        <row r="2142">
          <cell r="A2142" t="str">
            <v>LU2665730813</v>
          </cell>
          <cell r="B2142" t="str">
            <v>AMUNDI FUNDS EMERGING MARKET EQUITY FOCUS EX-CHINA</v>
          </cell>
          <cell r="C2142" t="str">
            <v>Class A USD (C)</v>
          </cell>
          <cell r="D2142" t="str">
            <v>USD</v>
          </cell>
          <cell r="E2142" t="str">
            <v>01-Dec-2025</v>
          </cell>
          <cell r="F2142">
            <v>7031.69</v>
          </cell>
          <cell r="G2142">
            <v>100</v>
          </cell>
          <cell r="H2142">
            <v>70.319999999999993</v>
          </cell>
          <cell r="I2142">
            <v>0</v>
          </cell>
          <cell r="J2142">
            <v>70.319999999999993</v>
          </cell>
          <cell r="K2142">
            <v>-0.26</v>
          </cell>
          <cell r="P2142">
            <v>0</v>
          </cell>
        </row>
        <row r="2143">
          <cell r="A2143" t="str">
            <v>LU2665725227</v>
          </cell>
          <cell r="B2143" t="str">
            <v>AMUNDI FUNDS EMERGING MARKET EQUITY FOCUS EX-CHINA</v>
          </cell>
          <cell r="C2143" t="str">
            <v>Class E2 EUR (C)</v>
          </cell>
          <cell r="D2143" t="str">
            <v>EUR</v>
          </cell>
          <cell r="E2143" t="str">
            <v>01-Dec-2025</v>
          </cell>
          <cell r="F2143">
            <v>6565.19</v>
          </cell>
          <cell r="G2143">
            <v>1000</v>
          </cell>
          <cell r="H2143">
            <v>6.5650000000000004</v>
          </cell>
          <cell r="I2143">
            <v>0</v>
          </cell>
          <cell r="J2143">
            <v>6.5650000000000004</v>
          </cell>
          <cell r="K2143">
            <v>-3.9E-2</v>
          </cell>
          <cell r="P2143">
            <v>0</v>
          </cell>
        </row>
        <row r="2144">
          <cell r="A2144" t="str">
            <v>LU2665725573</v>
          </cell>
          <cell r="B2144" t="str">
            <v>AMUNDI FUNDS EMERGING MARKET EQUITY FOCUS EX-CHINA</v>
          </cell>
          <cell r="C2144" t="str">
            <v>Class F EUR (C)</v>
          </cell>
          <cell r="D2144" t="str">
            <v>EUR</v>
          </cell>
          <cell r="E2144" t="str">
            <v>01-Dec-2025</v>
          </cell>
          <cell r="F2144">
            <v>6430.09</v>
          </cell>
          <cell r="G2144">
            <v>1000</v>
          </cell>
          <cell r="H2144">
            <v>6.43</v>
          </cell>
          <cell r="I2144">
            <v>0</v>
          </cell>
          <cell r="J2144">
            <v>6.43</v>
          </cell>
          <cell r="K2144">
            <v>-3.7999999999999999E-2</v>
          </cell>
          <cell r="P2144">
            <v>0</v>
          </cell>
        </row>
        <row r="2145">
          <cell r="A2145" t="str">
            <v>LU2665725144</v>
          </cell>
          <cell r="B2145" t="str">
            <v>AMUNDI FUNDS EMERGING MARKET EQUITY FOCUS EX-CHINA</v>
          </cell>
          <cell r="C2145" t="str">
            <v>Class I2 USD (C)</v>
          </cell>
          <cell r="D2145" t="str">
            <v>USD</v>
          </cell>
          <cell r="E2145" t="str">
            <v>01-Dec-2025</v>
          </cell>
          <cell r="F2145">
            <v>7175.79</v>
          </cell>
          <cell r="G2145">
            <v>5</v>
          </cell>
          <cell r="H2145">
            <v>1435.16</v>
          </cell>
          <cell r="I2145">
            <v>0</v>
          </cell>
          <cell r="J2145">
            <v>1435.16</v>
          </cell>
          <cell r="K2145">
            <v>-5.25</v>
          </cell>
          <cell r="P2145">
            <v>0</v>
          </cell>
        </row>
        <row r="2146">
          <cell r="A2146" t="str">
            <v>LU2665725060</v>
          </cell>
          <cell r="B2146" t="str">
            <v>AMUNDI FUNDS EMERGING MARKET EQUITY FOCUS EX-CHINA</v>
          </cell>
          <cell r="C2146" t="str">
            <v>Class I USD (C)</v>
          </cell>
          <cell r="D2146" t="str">
            <v>USD</v>
          </cell>
          <cell r="E2146" t="str">
            <v>01-Dec-2025</v>
          </cell>
          <cell r="F2146">
            <v>7157.79</v>
          </cell>
          <cell r="G2146">
            <v>5</v>
          </cell>
          <cell r="H2146">
            <v>1431.56</v>
          </cell>
          <cell r="I2146">
            <v>0</v>
          </cell>
          <cell r="J2146">
            <v>1431.56</v>
          </cell>
          <cell r="K2146">
            <v>-5.31</v>
          </cell>
          <cell r="P2146">
            <v>0</v>
          </cell>
        </row>
        <row r="2147">
          <cell r="A2147" t="str">
            <v>LU2665725730</v>
          </cell>
          <cell r="B2147" t="str">
            <v>AMUNDI FUNDS EMERGING MARKET EQUITY FOCUS EX-CHINA</v>
          </cell>
          <cell r="C2147" t="str">
            <v>Class G EUR (C)</v>
          </cell>
          <cell r="D2147" t="str">
            <v>EUR</v>
          </cell>
          <cell r="E2147" t="str">
            <v>01-Dec-2025</v>
          </cell>
          <cell r="F2147">
            <v>137176.5</v>
          </cell>
          <cell r="G2147">
            <v>21160.325000000001</v>
          </cell>
          <cell r="H2147">
            <v>6.4829999999999997</v>
          </cell>
          <cell r="I2147">
            <v>0</v>
          </cell>
          <cell r="J2147">
            <v>6.4829999999999997</v>
          </cell>
          <cell r="K2147">
            <v>-3.7999999999999999E-2</v>
          </cell>
          <cell r="P2147">
            <v>0</v>
          </cell>
        </row>
        <row r="2148">
          <cell r="A2148" t="str">
            <v>LU2665725656</v>
          </cell>
          <cell r="B2148" t="str">
            <v>AMUNDI FUNDS EMERGING MARKET EQUITY FOCUS EX-CHINA</v>
          </cell>
          <cell r="C2148" t="str">
            <v>Class M2 EUR (C)</v>
          </cell>
          <cell r="D2148" t="str">
            <v>EUR</v>
          </cell>
          <cell r="E2148" t="str">
            <v>01-Dec-2025</v>
          </cell>
          <cell r="F2148">
            <v>6674.02</v>
          </cell>
          <cell r="G2148">
            <v>5</v>
          </cell>
          <cell r="H2148">
            <v>1334.8</v>
          </cell>
          <cell r="I2148">
            <v>0</v>
          </cell>
          <cell r="J2148">
            <v>1334.8</v>
          </cell>
          <cell r="K2148">
            <v>-7.71</v>
          </cell>
          <cell r="P2148">
            <v>0</v>
          </cell>
        </row>
        <row r="2149">
          <cell r="A2149" t="str">
            <v>LU2665725490</v>
          </cell>
          <cell r="B2149" t="str">
            <v>AMUNDI FUNDS EMERGING MARKET EQUITY FOCUS EX-CHINA</v>
          </cell>
          <cell r="C2149" t="str">
            <v>Class R USD (C)</v>
          </cell>
          <cell r="D2149" t="str">
            <v>USD</v>
          </cell>
          <cell r="E2149" t="str">
            <v>01-Dec-2025</v>
          </cell>
          <cell r="F2149">
            <v>7139.09</v>
          </cell>
          <cell r="G2149">
            <v>100</v>
          </cell>
          <cell r="H2149">
            <v>71.39</v>
          </cell>
          <cell r="I2149">
            <v>0</v>
          </cell>
          <cell r="J2149">
            <v>71.39</v>
          </cell>
          <cell r="K2149">
            <v>-0.27</v>
          </cell>
          <cell r="P2149">
            <v>0</v>
          </cell>
        </row>
        <row r="2150">
          <cell r="A2150" t="str">
            <v>LU2665728080</v>
          </cell>
          <cell r="B2150" t="str">
            <v>AMUNDI FUNDS EMERGING MARKET EQUITY FOCUS EX-CHINA</v>
          </cell>
          <cell r="C2150" t="str">
            <v>Class R2 USD (C)</v>
          </cell>
          <cell r="D2150" t="str">
            <v>USD</v>
          </cell>
          <cell r="E2150" t="str">
            <v>01-Dec-2025</v>
          </cell>
          <cell r="F2150">
            <v>7144.03</v>
          </cell>
          <cell r="G2150">
            <v>100</v>
          </cell>
          <cell r="H2150">
            <v>71.44</v>
          </cell>
          <cell r="I2150">
            <v>0</v>
          </cell>
          <cell r="J2150">
            <v>71.44</v>
          </cell>
          <cell r="K2150">
            <v>-0.26</v>
          </cell>
          <cell r="P2150">
            <v>0</v>
          </cell>
        </row>
        <row r="2151">
          <cell r="A2151" t="str">
            <v>LU2778931001</v>
          </cell>
          <cell r="B2151" t="str">
            <v>AMUNDI FUNDS EMERGING MARKET EQUITY FOCUS EX-CHINA</v>
          </cell>
          <cell r="C2151" t="str">
            <v>Class R EUR Hgd (C)</v>
          </cell>
          <cell r="D2151" t="str">
            <v>EUR</v>
          </cell>
          <cell r="E2151" t="str">
            <v>01-Dec-2025</v>
          </cell>
          <cell r="F2151">
            <v>122524.17</v>
          </cell>
          <cell r="G2151">
            <v>2000</v>
          </cell>
          <cell r="H2151">
            <v>61.26</v>
          </cell>
          <cell r="I2151">
            <v>0</v>
          </cell>
          <cell r="J2151">
            <v>61.26</v>
          </cell>
          <cell r="K2151">
            <v>-0.23</v>
          </cell>
          <cell r="P2151">
            <v>0</v>
          </cell>
        </row>
        <row r="2152">
          <cell r="A2152" t="str">
            <v>LU2778930961</v>
          </cell>
          <cell r="B2152" t="str">
            <v>AMUNDI FUNDS EMERGING MARKET EQUITY FOCUS EX-CHINA</v>
          </cell>
          <cell r="C2152" t="str">
            <v>Class R EUR (C)</v>
          </cell>
          <cell r="D2152" t="str">
            <v>EUR</v>
          </cell>
          <cell r="E2152" t="str">
            <v>01-Dec-2025</v>
          </cell>
          <cell r="F2152">
            <v>5899.05</v>
          </cell>
          <cell r="G2152">
            <v>100</v>
          </cell>
          <cell r="H2152">
            <v>58.99</v>
          </cell>
          <cell r="I2152">
            <v>0</v>
          </cell>
          <cell r="J2152">
            <v>58.99</v>
          </cell>
          <cell r="K2152">
            <v>-0.34</v>
          </cell>
          <cell r="P2152">
            <v>0</v>
          </cell>
        </row>
        <row r="2153">
          <cell r="A2153" t="str">
            <v>LU2665725813</v>
          </cell>
          <cell r="B2153" t="str">
            <v>AMUNDI FUNDS EMERGING MARKET EQUITY FOCUS EX-CHINA</v>
          </cell>
          <cell r="C2153" t="str">
            <v>Class Z USD (C)</v>
          </cell>
          <cell r="D2153" t="str">
            <v>USD</v>
          </cell>
          <cell r="E2153" t="str">
            <v>01-Dec-2025</v>
          </cell>
          <cell r="F2153">
            <v>47823039.200000003</v>
          </cell>
          <cell r="G2153">
            <v>33209.536999999997</v>
          </cell>
          <cell r="H2153">
            <v>1440.04</v>
          </cell>
          <cell r="I2153">
            <v>0</v>
          </cell>
          <cell r="J2153">
            <v>1440.04</v>
          </cell>
          <cell r="K2153">
            <v>-5.32</v>
          </cell>
          <cell r="P2153">
            <v>0</v>
          </cell>
        </row>
        <row r="2154">
          <cell r="A2154" t="str">
            <v>LU2665729484</v>
          </cell>
          <cell r="B2154" t="str">
            <v>AMUNDI FUNDS ASIA BOND INCOME RESPONSIBLE</v>
          </cell>
          <cell r="C2154" t="str">
            <v>Class A2 USD (C)</v>
          </cell>
          <cell r="D2154" t="str">
            <v>USD</v>
          </cell>
          <cell r="E2154" t="str">
            <v>01-Dec-2025</v>
          </cell>
          <cell r="F2154">
            <v>1616856.77</v>
          </cell>
          <cell r="G2154">
            <v>28646.133999999998</v>
          </cell>
          <cell r="H2154">
            <v>56.44</v>
          </cell>
          <cell r="I2154">
            <v>0</v>
          </cell>
          <cell r="J2154">
            <v>56.44</v>
          </cell>
          <cell r="K2154">
            <v>-0.09</v>
          </cell>
          <cell r="P2154">
            <v>0</v>
          </cell>
        </row>
        <row r="2155">
          <cell r="A2155" t="str">
            <v>LU2801257762</v>
          </cell>
          <cell r="B2155" t="str">
            <v>AMUNDI FUNDS ASIA BOND INCOME RESPONSIBLE</v>
          </cell>
          <cell r="C2155" t="str">
            <v>Class A2 USD MTD3 (D)</v>
          </cell>
          <cell r="D2155" t="str">
            <v>USD</v>
          </cell>
          <cell r="E2155" t="str">
            <v>01-Dec-2025</v>
          </cell>
          <cell r="F2155">
            <v>5227.28</v>
          </cell>
          <cell r="G2155">
            <v>108.929</v>
          </cell>
          <cell r="H2155">
            <v>47.99</v>
          </cell>
          <cell r="I2155">
            <v>0.28989999999999999</v>
          </cell>
          <cell r="J2155">
            <v>47.99</v>
          </cell>
          <cell r="K2155">
            <v>-0.36</v>
          </cell>
          <cell r="P2155">
            <v>0</v>
          </cell>
        </row>
        <row r="2156">
          <cell r="A2156" t="str">
            <v>LU2665726548</v>
          </cell>
          <cell r="B2156" t="str">
            <v>AMUNDI FUNDS ASIA BOND INCOME RESPONSIBLE</v>
          </cell>
          <cell r="C2156" t="str">
            <v>Class A2 USD MGI (D)</v>
          </cell>
          <cell r="D2156" t="str">
            <v>USD</v>
          </cell>
          <cell r="E2156" t="str">
            <v>01-Dec-2025</v>
          </cell>
          <cell r="F2156">
            <v>560572.31000000006</v>
          </cell>
          <cell r="G2156">
            <v>11260.355</v>
          </cell>
          <cell r="H2156">
            <v>49.78</v>
          </cell>
          <cell r="I2156">
            <v>0.242892</v>
          </cell>
          <cell r="J2156">
            <v>49.78</v>
          </cell>
          <cell r="K2156">
            <v>-0.32</v>
          </cell>
          <cell r="P2156">
            <v>0</v>
          </cell>
        </row>
        <row r="2157">
          <cell r="A2157" t="str">
            <v>LU2801257846</v>
          </cell>
          <cell r="B2157" t="str">
            <v>AMUNDI FUNDS ASIA BOND INCOME RESPONSIBLE</v>
          </cell>
          <cell r="C2157" t="str">
            <v>Class A2 HKD MTD3 (D)</v>
          </cell>
          <cell r="D2157" t="str">
            <v>HKD</v>
          </cell>
          <cell r="E2157" t="str">
            <v>01-Dec-2025</v>
          </cell>
          <cell r="F2157">
            <v>40698.67</v>
          </cell>
          <cell r="G2157">
            <v>848.70799999999997</v>
          </cell>
          <cell r="H2157">
            <v>47.95</v>
          </cell>
          <cell r="I2157">
            <v>0.29170000000000001</v>
          </cell>
          <cell r="J2157">
            <v>47.95</v>
          </cell>
          <cell r="K2157">
            <v>-0.35</v>
          </cell>
          <cell r="P2157">
            <v>0</v>
          </cell>
        </row>
        <row r="2158">
          <cell r="A2158" t="str">
            <v>LU2665729641</v>
          </cell>
          <cell r="B2158" t="str">
            <v>AMUNDI FUNDS ASIA BOND INCOME RESPONSIBLE</v>
          </cell>
          <cell r="C2158" t="str">
            <v>Class A2 SGD HGD MGI (D)</v>
          </cell>
          <cell r="D2158" t="str">
            <v>SGD</v>
          </cell>
          <cell r="E2158" t="str">
            <v>01-Dec-2025</v>
          </cell>
          <cell r="F2158">
            <v>23044782.760000002</v>
          </cell>
          <cell r="G2158">
            <v>483475.54</v>
          </cell>
          <cell r="H2158">
            <v>47.66</v>
          </cell>
          <cell r="I2158">
            <v>0.231462</v>
          </cell>
          <cell r="J2158">
            <v>47.66</v>
          </cell>
          <cell r="K2158">
            <v>-0.31</v>
          </cell>
          <cell r="P2158">
            <v>0</v>
          </cell>
        </row>
        <row r="2159">
          <cell r="A2159" t="str">
            <v>LU2665729302</v>
          </cell>
          <cell r="B2159" t="str">
            <v>AMUNDI FUNDS ASIA BOND INCOME RESPONSIBLE</v>
          </cell>
          <cell r="C2159" t="str">
            <v>Class A USD (C)</v>
          </cell>
          <cell r="D2159" t="str">
            <v>USD</v>
          </cell>
          <cell r="E2159" t="str">
            <v>01-Dec-2025</v>
          </cell>
          <cell r="F2159">
            <v>5660.67</v>
          </cell>
          <cell r="G2159">
            <v>100</v>
          </cell>
          <cell r="H2159">
            <v>56.61</v>
          </cell>
          <cell r="I2159">
            <v>0</v>
          </cell>
          <cell r="J2159">
            <v>56.61</v>
          </cell>
          <cell r="K2159">
            <v>-0.08</v>
          </cell>
          <cell r="P2159">
            <v>0</v>
          </cell>
        </row>
        <row r="2160">
          <cell r="A2160" t="str">
            <v>LU2665729724</v>
          </cell>
          <cell r="B2160" t="str">
            <v>AMUNDI FUNDS ASIA BOND INCOME RESPONSIBLE</v>
          </cell>
          <cell r="C2160" t="str">
            <v>Class E2 EUR (C)</v>
          </cell>
          <cell r="D2160" t="str">
            <v>EUR</v>
          </cell>
          <cell r="E2160" t="str">
            <v>01-Dec-2025</v>
          </cell>
          <cell r="F2160">
            <v>17212.490000000002</v>
          </cell>
          <cell r="G2160">
            <v>3282.9740000000002</v>
          </cell>
          <cell r="H2160">
            <v>5.2430000000000003</v>
          </cell>
          <cell r="I2160">
            <v>0</v>
          </cell>
          <cell r="J2160">
            <v>5.2430000000000003</v>
          </cell>
          <cell r="K2160">
            <v>-1.9E-2</v>
          </cell>
          <cell r="P2160">
            <v>0</v>
          </cell>
        </row>
        <row r="2161">
          <cell r="A2161" t="str">
            <v>LU2665730227</v>
          </cell>
          <cell r="B2161" t="str">
            <v>AMUNDI FUNDS ASIA BOND INCOME RESPONSIBLE</v>
          </cell>
          <cell r="C2161" t="str">
            <v>Class I2 USD (C)</v>
          </cell>
          <cell r="D2161" t="str">
            <v>USD</v>
          </cell>
          <cell r="E2161" t="str">
            <v>01-Dec-2025</v>
          </cell>
          <cell r="F2161">
            <v>5736.93</v>
          </cell>
          <cell r="G2161">
            <v>5</v>
          </cell>
          <cell r="H2161">
            <v>1147.3900000000001</v>
          </cell>
          <cell r="I2161">
            <v>0</v>
          </cell>
          <cell r="J2161">
            <v>1147.3900000000001</v>
          </cell>
          <cell r="K2161">
            <v>-1.67</v>
          </cell>
          <cell r="P2161">
            <v>0</v>
          </cell>
        </row>
        <row r="2162">
          <cell r="A2162" t="str">
            <v>LU2665730144</v>
          </cell>
          <cell r="B2162" t="str">
            <v>AMUNDI FUNDS ASIA BOND INCOME RESPONSIBLE</v>
          </cell>
          <cell r="C2162" t="str">
            <v>Class I USD (C)</v>
          </cell>
          <cell r="D2162" t="str">
            <v>USD</v>
          </cell>
          <cell r="E2162" t="str">
            <v>01-Dec-2025</v>
          </cell>
          <cell r="F2162">
            <v>5743.53</v>
          </cell>
          <cell r="G2162">
            <v>5</v>
          </cell>
          <cell r="H2162">
            <v>1148.71</v>
          </cell>
          <cell r="I2162">
            <v>0</v>
          </cell>
          <cell r="J2162">
            <v>1148.71</v>
          </cell>
          <cell r="K2162">
            <v>-1.66</v>
          </cell>
          <cell r="P2162">
            <v>0</v>
          </cell>
        </row>
        <row r="2163">
          <cell r="A2163" t="str">
            <v>LU2665729997</v>
          </cell>
          <cell r="B2163" t="str">
            <v>AMUNDI FUNDS ASIA BOND INCOME RESPONSIBLE</v>
          </cell>
          <cell r="C2163" t="str">
            <v>Class G EUR Hgd (C)</v>
          </cell>
          <cell r="D2163" t="str">
            <v>EUR</v>
          </cell>
          <cell r="E2163" t="str">
            <v>01-Dec-2025</v>
          </cell>
          <cell r="F2163">
            <v>45924.82</v>
          </cell>
          <cell r="G2163">
            <v>8449.2430000000004</v>
          </cell>
          <cell r="H2163">
            <v>5.4349999999999996</v>
          </cell>
          <cell r="I2163">
            <v>0</v>
          </cell>
          <cell r="J2163">
            <v>5.4349999999999996</v>
          </cell>
          <cell r="K2163">
            <v>-8.9999999999999993E-3</v>
          </cell>
          <cell r="P2163">
            <v>0</v>
          </cell>
        </row>
        <row r="2164">
          <cell r="A2164" t="str">
            <v>LU2665730490</v>
          </cell>
          <cell r="B2164" t="str">
            <v>AMUNDI FUNDS ASIA BOND INCOME RESPONSIBLE</v>
          </cell>
          <cell r="C2164" t="str">
            <v>Class M2 EUR (C)</v>
          </cell>
          <cell r="D2164" t="str">
            <v>EUR</v>
          </cell>
          <cell r="E2164" t="str">
            <v>01-Dec-2025</v>
          </cell>
          <cell r="F2164">
            <v>5319.77</v>
          </cell>
          <cell r="G2164">
            <v>5</v>
          </cell>
          <cell r="H2164">
            <v>1063.95</v>
          </cell>
          <cell r="I2164">
            <v>0</v>
          </cell>
          <cell r="J2164">
            <v>1063.95</v>
          </cell>
          <cell r="K2164">
            <v>-3.8</v>
          </cell>
          <cell r="P2164">
            <v>0</v>
          </cell>
        </row>
        <row r="2165">
          <cell r="A2165" t="str">
            <v>LU2665730573</v>
          </cell>
          <cell r="B2165" t="str">
            <v>AMUNDI FUNDS ASIA BOND INCOME RESPONSIBLE</v>
          </cell>
          <cell r="C2165" t="str">
            <v>Class R USD (C)</v>
          </cell>
          <cell r="D2165" t="str">
            <v>USD</v>
          </cell>
          <cell r="E2165" t="str">
            <v>01-Dec-2025</v>
          </cell>
          <cell r="F2165">
            <v>5718.11</v>
          </cell>
          <cell r="G2165">
            <v>100</v>
          </cell>
          <cell r="H2165">
            <v>57.18</v>
          </cell>
          <cell r="I2165">
            <v>0</v>
          </cell>
          <cell r="J2165">
            <v>57.18</v>
          </cell>
          <cell r="K2165">
            <v>-0.09</v>
          </cell>
          <cell r="P2165">
            <v>0</v>
          </cell>
        </row>
        <row r="2166">
          <cell r="A2166" t="str">
            <v>LU2665730656</v>
          </cell>
          <cell r="B2166" t="str">
            <v>AMUNDI FUNDS ASIA BOND INCOME RESPONSIBLE</v>
          </cell>
          <cell r="C2166" t="str">
            <v>Class R2 USD (C)</v>
          </cell>
          <cell r="D2166" t="str">
            <v>USD</v>
          </cell>
          <cell r="E2166" t="str">
            <v>01-Dec-2025</v>
          </cell>
          <cell r="F2166">
            <v>5706.84</v>
          </cell>
          <cell r="G2166">
            <v>100</v>
          </cell>
          <cell r="H2166">
            <v>57.07</v>
          </cell>
          <cell r="I2166">
            <v>0</v>
          </cell>
          <cell r="J2166">
            <v>57.07</v>
          </cell>
          <cell r="K2166">
            <v>-0.08</v>
          </cell>
          <cell r="P2166">
            <v>0</v>
          </cell>
        </row>
        <row r="2167">
          <cell r="A2167" t="str">
            <v>LU2665730730</v>
          </cell>
          <cell r="B2167" t="str">
            <v>AMUNDI FUNDS ASIA BOND INCOME RESPONSIBLE</v>
          </cell>
          <cell r="C2167" t="str">
            <v>Class Z USD (C)</v>
          </cell>
          <cell r="D2167" t="str">
            <v>USD</v>
          </cell>
          <cell r="E2167" t="str">
            <v>01-Dec-2025</v>
          </cell>
          <cell r="F2167">
            <v>42420153.979999997</v>
          </cell>
          <cell r="G2167">
            <v>36869.394</v>
          </cell>
          <cell r="H2167">
            <v>1150.55</v>
          </cell>
          <cell r="I2167">
            <v>0</v>
          </cell>
          <cell r="J2167">
            <v>1150.55</v>
          </cell>
          <cell r="K2167">
            <v>-1.66</v>
          </cell>
          <cell r="P2167">
            <v>0</v>
          </cell>
        </row>
        <row r="2168">
          <cell r="A2168" t="str">
            <v>LU2665730060</v>
          </cell>
          <cell r="B2168" t="str">
            <v>AMUNDI FUNDS ASIA BOND INCOME RESPONSIBLE</v>
          </cell>
          <cell r="C2168" t="str">
            <v>Class H EUR (C)</v>
          </cell>
          <cell r="D2168" t="str">
            <v>EUR</v>
          </cell>
          <cell r="E2168" t="str">
            <v>01-Dec-2025</v>
          </cell>
          <cell r="F2168">
            <v>3673711.32</v>
          </cell>
          <cell r="G2168">
            <v>3436.0360000000001</v>
          </cell>
          <cell r="H2168">
            <v>1069.17</v>
          </cell>
          <cell r="I2168">
            <v>0</v>
          </cell>
          <cell r="J2168">
            <v>1069.17</v>
          </cell>
          <cell r="K2168">
            <v>-3.8</v>
          </cell>
          <cell r="P2168">
            <v>0</v>
          </cell>
        </row>
        <row r="2169">
          <cell r="A2169" t="str">
            <v>LU2665724923</v>
          </cell>
          <cell r="B2169" t="str">
            <v>AMUNDI FUNDS CHINA NEW ENERGY</v>
          </cell>
          <cell r="C2169" t="str">
            <v>Class A2 USD (C)</v>
          </cell>
          <cell r="D2169" t="str">
            <v>USD</v>
          </cell>
          <cell r="E2169" t="str">
            <v>01-Dec-2025</v>
          </cell>
          <cell r="F2169">
            <v>139040.56</v>
          </cell>
          <cell r="G2169">
            <v>2105.165</v>
          </cell>
          <cell r="H2169">
            <v>66.05</v>
          </cell>
          <cell r="I2169">
            <v>0</v>
          </cell>
          <cell r="J2169">
            <v>69.02</v>
          </cell>
          <cell r="K2169">
            <v>0.68</v>
          </cell>
          <cell r="P2169">
            <v>0</v>
          </cell>
        </row>
        <row r="2170">
          <cell r="A2170" t="str">
            <v>LU2665728916</v>
          </cell>
          <cell r="B2170" t="str">
            <v>AMUNDI FUNDS CHINA NEW ENERGY</v>
          </cell>
          <cell r="C2170" t="str">
            <v>Class E2 EUR (C)</v>
          </cell>
          <cell r="D2170" t="str">
            <v>EUR</v>
          </cell>
          <cell r="E2170" t="str">
            <v>01-Dec-2025</v>
          </cell>
          <cell r="F2170">
            <v>121831.42</v>
          </cell>
          <cell r="G2170">
            <v>19189.812999999998</v>
          </cell>
          <cell r="H2170">
            <v>6.3490000000000002</v>
          </cell>
          <cell r="I2170">
            <v>0</v>
          </cell>
          <cell r="J2170">
            <v>6.3490000000000002</v>
          </cell>
          <cell r="K2170">
            <v>5.1999999999999998E-2</v>
          </cell>
          <cell r="P2170">
            <v>0</v>
          </cell>
        </row>
        <row r="2171">
          <cell r="A2171" t="str">
            <v>LU2764858226</v>
          </cell>
          <cell r="B2171" t="str">
            <v>AMUNDI FUNDS CHINA NEW ENERGY</v>
          </cell>
          <cell r="C2171" t="str">
            <v>Class F2 EUR (C)</v>
          </cell>
          <cell r="D2171" t="str">
            <v>EUR</v>
          </cell>
          <cell r="E2171" t="str">
            <v>01-Dec-2025</v>
          </cell>
          <cell r="F2171">
            <v>98364.39</v>
          </cell>
          <cell r="G2171">
            <v>15699.282999999999</v>
          </cell>
          <cell r="H2171">
            <v>6.266</v>
          </cell>
          <cell r="I2171">
            <v>0</v>
          </cell>
          <cell r="J2171">
            <v>6.266</v>
          </cell>
          <cell r="K2171">
            <v>5.0999999999999997E-2</v>
          </cell>
          <cell r="P2171">
            <v>0</v>
          </cell>
        </row>
        <row r="2172">
          <cell r="A2172" t="str">
            <v>LU2665728676</v>
          </cell>
          <cell r="B2172" t="str">
            <v>AMUNDI FUNDS CHINA NEW ENERGY</v>
          </cell>
          <cell r="C2172" t="str">
            <v>Class I2 USD (C)</v>
          </cell>
          <cell r="D2172" t="str">
            <v>USD</v>
          </cell>
          <cell r="E2172" t="str">
            <v>01-Dec-2025</v>
          </cell>
          <cell r="F2172">
            <v>13466.59</v>
          </cell>
          <cell r="G2172">
            <v>10.064</v>
          </cell>
          <cell r="H2172">
            <v>1338.1</v>
          </cell>
          <cell r="I2172">
            <v>0</v>
          </cell>
          <cell r="J2172">
            <v>1338.1</v>
          </cell>
          <cell r="K2172">
            <v>13.77</v>
          </cell>
          <cell r="P2172">
            <v>0</v>
          </cell>
        </row>
        <row r="2173">
          <cell r="A2173" t="str">
            <v>LU2764858499</v>
          </cell>
          <cell r="B2173" t="str">
            <v>AMUNDI FUNDS CHINA NEW ENERGY</v>
          </cell>
          <cell r="C2173" t="str">
            <v>Class G2 EUR (C)</v>
          </cell>
          <cell r="D2173" t="str">
            <v>EUR</v>
          </cell>
          <cell r="E2173" t="str">
            <v>01-Dec-2025</v>
          </cell>
          <cell r="F2173">
            <v>185383.22</v>
          </cell>
          <cell r="G2173">
            <v>29379.008000000002</v>
          </cell>
          <cell r="H2173">
            <v>6.31</v>
          </cell>
          <cell r="I2173">
            <v>0</v>
          </cell>
          <cell r="J2173">
            <v>6.31</v>
          </cell>
          <cell r="K2173">
            <v>5.0999999999999997E-2</v>
          </cell>
          <cell r="P2173">
            <v>0</v>
          </cell>
        </row>
        <row r="2174">
          <cell r="A2174" t="str">
            <v>LU2764858572</v>
          </cell>
          <cell r="B2174" t="str">
            <v>AMUNDI FUNDS CHINA NEW ENERGY</v>
          </cell>
          <cell r="C2174" t="str">
            <v>Class M2 EUR (C)</v>
          </cell>
          <cell r="D2174" t="str">
            <v>EUR</v>
          </cell>
          <cell r="E2174" t="str">
            <v>01-Dec-2025</v>
          </cell>
          <cell r="F2174">
            <v>13255.57</v>
          </cell>
          <cell r="G2174">
            <v>10.331</v>
          </cell>
          <cell r="H2174">
            <v>1283.0899999999999</v>
          </cell>
          <cell r="I2174">
            <v>0</v>
          </cell>
          <cell r="J2174">
            <v>1283.0899999999999</v>
          </cell>
          <cell r="K2174">
            <v>10.53</v>
          </cell>
          <cell r="P2174">
            <v>0</v>
          </cell>
        </row>
        <row r="2175">
          <cell r="A2175" t="str">
            <v>LU2665728833</v>
          </cell>
          <cell r="B2175" t="str">
            <v>AMUNDI FUNDS CHINA NEW ENERGY</v>
          </cell>
          <cell r="C2175" t="str">
            <v>Class R2 USD (C)</v>
          </cell>
          <cell r="D2175" t="str">
            <v>USD</v>
          </cell>
          <cell r="E2175" t="str">
            <v>01-Dec-2025</v>
          </cell>
          <cell r="F2175">
            <v>13438.1</v>
          </cell>
          <cell r="G2175">
            <v>201.52199999999999</v>
          </cell>
          <cell r="H2175">
            <v>66.680000000000007</v>
          </cell>
          <cell r="I2175">
            <v>0</v>
          </cell>
          <cell r="J2175">
            <v>66.680000000000007</v>
          </cell>
          <cell r="K2175">
            <v>0.68</v>
          </cell>
          <cell r="P2175">
            <v>0</v>
          </cell>
        </row>
        <row r="2176">
          <cell r="A2176" t="str">
            <v>LU2995468456</v>
          </cell>
          <cell r="B2176" t="str">
            <v>AMUNDI FUNDS CHINA NEW ENERGY</v>
          </cell>
          <cell r="C2176" t="str">
            <v>Class Z3 USD (C)</v>
          </cell>
          <cell r="D2176" t="str">
            <v>USD</v>
          </cell>
          <cell r="E2176" t="str">
            <v>01-Dec-2025</v>
          </cell>
          <cell r="F2176">
            <v>759410.43</v>
          </cell>
          <cell r="G2176">
            <v>583.84199999999998</v>
          </cell>
          <cell r="H2176">
            <v>1300.71</v>
          </cell>
          <cell r="I2176">
            <v>0</v>
          </cell>
          <cell r="J2176">
            <v>1300.71</v>
          </cell>
          <cell r="K2176">
            <v>13.42</v>
          </cell>
          <cell r="P2176">
            <v>0</v>
          </cell>
        </row>
        <row r="2177">
          <cell r="A2177" t="str">
            <v>LU2764858655</v>
          </cell>
          <cell r="B2177" t="str">
            <v>AMUNDI FUNDS CHINA NEW ENERGY</v>
          </cell>
          <cell r="C2177" t="str">
            <v>Class H EUR (C)</v>
          </cell>
          <cell r="D2177" t="str">
            <v>EUR</v>
          </cell>
          <cell r="E2177" t="str">
            <v>01-Dec-2025</v>
          </cell>
          <cell r="F2177">
            <v>13302.52</v>
          </cell>
          <cell r="G2177">
            <v>10.311</v>
          </cell>
          <cell r="H2177">
            <v>1290.1300000000001</v>
          </cell>
          <cell r="I2177">
            <v>0</v>
          </cell>
          <cell r="J2177">
            <v>1290.1300000000001</v>
          </cell>
          <cell r="K2177">
            <v>10.63</v>
          </cell>
          <cell r="P2177">
            <v>0</v>
          </cell>
        </row>
        <row r="2178">
          <cell r="A2178" t="str">
            <v>LU2665729211</v>
          </cell>
          <cell r="B2178" t="str">
            <v>AMUNDI FUNDS CHINA NEW ENERGY</v>
          </cell>
          <cell r="C2178" t="str">
            <v>Class Z USD (C)</v>
          </cell>
          <cell r="D2178" t="str">
            <v>USD</v>
          </cell>
          <cell r="E2178" t="str">
            <v>01-Dec-2025</v>
          </cell>
          <cell r="F2178">
            <v>7481158.25</v>
          </cell>
          <cell r="G2178">
            <v>5580</v>
          </cell>
          <cell r="H2178">
            <v>1340.71</v>
          </cell>
          <cell r="I2178">
            <v>0</v>
          </cell>
          <cell r="J2178">
            <v>1340.71</v>
          </cell>
          <cell r="K2178">
            <v>13.82</v>
          </cell>
          <cell r="P2178">
            <v>0</v>
          </cell>
        </row>
        <row r="2179">
          <cell r="A2179" t="str">
            <v>LU2665727355</v>
          </cell>
          <cell r="B2179" t="str">
            <v>AMUNDI FUNDS ASIA MULTI ASSET TARGET INCOME</v>
          </cell>
          <cell r="C2179" t="str">
            <v>Class A2 USD (C)</v>
          </cell>
          <cell r="D2179" t="str">
            <v>USD</v>
          </cell>
          <cell r="E2179" t="str">
            <v>01-Dec-2025</v>
          </cell>
          <cell r="F2179">
            <v>5941.68</v>
          </cell>
          <cell r="G2179">
            <v>100</v>
          </cell>
          <cell r="H2179">
            <v>59.42</v>
          </cell>
          <cell r="I2179">
            <v>0</v>
          </cell>
          <cell r="J2179">
            <v>62.09</v>
          </cell>
          <cell r="K2179">
            <v>-0.08</v>
          </cell>
          <cell r="P2179">
            <v>0</v>
          </cell>
        </row>
        <row r="2180">
          <cell r="A2180" t="str">
            <v>LU2665727439</v>
          </cell>
          <cell r="B2180" t="str">
            <v>AMUNDI FUNDS ASIA MULTI ASSET TARGET INCOME</v>
          </cell>
          <cell r="C2180" t="str">
            <v>Class E2 EUR (C)</v>
          </cell>
          <cell r="D2180" t="str">
            <v>EUR</v>
          </cell>
          <cell r="E2180" t="str">
            <v>01-Dec-2025</v>
          </cell>
          <cell r="F2180">
            <v>1369213.83</v>
          </cell>
          <cell r="G2180">
            <v>247517.85800000001</v>
          </cell>
          <cell r="H2180">
            <v>5.532</v>
          </cell>
          <cell r="I2180">
            <v>0</v>
          </cell>
          <cell r="J2180">
            <v>5.532</v>
          </cell>
          <cell r="K2180">
            <v>-1.9E-2</v>
          </cell>
          <cell r="P2180">
            <v>0</v>
          </cell>
        </row>
        <row r="2181">
          <cell r="A2181" t="str">
            <v>LU2665727785</v>
          </cell>
          <cell r="B2181" t="str">
            <v>AMUNDI FUNDS ASIA MULTI ASSET TARGET INCOME</v>
          </cell>
          <cell r="C2181" t="str">
            <v>Class I2 USD (C)</v>
          </cell>
          <cell r="D2181" t="str">
            <v>USD</v>
          </cell>
          <cell r="E2181" t="str">
            <v>01-Dec-2025</v>
          </cell>
          <cell r="F2181">
            <v>14643898.119999999</v>
          </cell>
          <cell r="G2181">
            <v>12165</v>
          </cell>
          <cell r="H2181">
            <v>1203.77</v>
          </cell>
          <cell r="I2181">
            <v>0</v>
          </cell>
          <cell r="J2181">
            <v>1203.77</v>
          </cell>
          <cell r="K2181">
            <v>-1.57</v>
          </cell>
          <cell r="P2181">
            <v>0</v>
          </cell>
        </row>
        <row r="2182">
          <cell r="A2182" t="str">
            <v>LU2665728247</v>
          </cell>
          <cell r="B2182" t="str">
            <v>AMUNDI FUNDS ASIA MULTI ASSET TARGET INCOME</v>
          </cell>
          <cell r="C2182" t="str">
            <v>Class J2 EUR Hgd (C)</v>
          </cell>
          <cell r="D2182" t="str">
            <v>EUR</v>
          </cell>
          <cell r="E2182" t="str">
            <v>01-Dec-2025</v>
          </cell>
          <cell r="F2182">
            <v>116744.33</v>
          </cell>
          <cell r="G2182">
            <v>100</v>
          </cell>
          <cell r="H2182">
            <v>1167.44</v>
          </cell>
          <cell r="I2182">
            <v>0</v>
          </cell>
          <cell r="J2182">
            <v>1167.44</v>
          </cell>
          <cell r="K2182">
            <v>-1.57</v>
          </cell>
          <cell r="P2182">
            <v>0</v>
          </cell>
        </row>
        <row r="2183">
          <cell r="A2183" t="str">
            <v>LU2665729567</v>
          </cell>
          <cell r="B2183" t="str">
            <v>AMUNDI FUNDS ASIA MULTI ASSET TARGET INCOME</v>
          </cell>
          <cell r="C2183" t="str">
            <v>Class J2 USD (C)</v>
          </cell>
          <cell r="D2183" t="str">
            <v>USD</v>
          </cell>
          <cell r="E2183" t="str">
            <v>01-Dec-2025</v>
          </cell>
          <cell r="F2183">
            <v>18111780.59</v>
          </cell>
          <cell r="G2183">
            <v>15000</v>
          </cell>
          <cell r="H2183">
            <v>1207.45</v>
          </cell>
          <cell r="I2183">
            <v>0</v>
          </cell>
          <cell r="J2183">
            <v>1207.45</v>
          </cell>
          <cell r="K2183">
            <v>-1.55</v>
          </cell>
          <cell r="P2183">
            <v>0</v>
          </cell>
        </row>
        <row r="2184">
          <cell r="A2184" t="str">
            <v>LU2665727512</v>
          </cell>
          <cell r="B2184" t="str">
            <v>AMUNDI FUNDS ASIA MULTI ASSET TARGET INCOME</v>
          </cell>
          <cell r="C2184" t="str">
            <v>Class G2 EUR Hgd (C)</v>
          </cell>
          <cell r="D2184" t="str">
            <v>EUR</v>
          </cell>
          <cell r="E2184" t="str">
            <v>01-Dec-2025</v>
          </cell>
          <cell r="F2184">
            <v>3364644.15</v>
          </cell>
          <cell r="G2184">
            <v>588195.52500000002</v>
          </cell>
          <cell r="H2184">
            <v>5.72</v>
          </cell>
          <cell r="I2184">
            <v>0</v>
          </cell>
          <cell r="J2184">
            <v>5.72</v>
          </cell>
          <cell r="K2184">
            <v>-8.9999999999999993E-3</v>
          </cell>
          <cell r="P2184">
            <v>0</v>
          </cell>
        </row>
        <row r="2185">
          <cell r="A2185" t="str">
            <v>LU2665727868</v>
          </cell>
          <cell r="B2185" t="str">
            <v>AMUNDI FUNDS ASIA MULTI ASSET TARGET INCOME</v>
          </cell>
          <cell r="C2185" t="str">
            <v>Class M2 EUR (C)</v>
          </cell>
          <cell r="D2185" t="str">
            <v>EUR</v>
          </cell>
          <cell r="E2185" t="str">
            <v>01-Dec-2025</v>
          </cell>
          <cell r="F2185">
            <v>5611.51</v>
          </cell>
          <cell r="G2185">
            <v>5</v>
          </cell>
          <cell r="H2185">
            <v>1122.3</v>
          </cell>
          <cell r="I2185">
            <v>0</v>
          </cell>
          <cell r="J2185">
            <v>1122.3</v>
          </cell>
          <cell r="K2185">
            <v>-3.84</v>
          </cell>
          <cell r="P2185">
            <v>0</v>
          </cell>
        </row>
        <row r="2186">
          <cell r="A2186" t="str">
            <v>LU2665727942</v>
          </cell>
          <cell r="B2186" t="str">
            <v>AMUNDI FUNDS ASIA MULTI ASSET TARGET INCOME</v>
          </cell>
          <cell r="C2186" t="str">
            <v>Class R2 USD (C)</v>
          </cell>
          <cell r="D2186" t="str">
            <v>USD</v>
          </cell>
          <cell r="E2186" t="str">
            <v>01-Dec-2025</v>
          </cell>
          <cell r="F2186">
            <v>5991.81</v>
          </cell>
          <cell r="G2186">
            <v>100</v>
          </cell>
          <cell r="H2186">
            <v>59.92</v>
          </cell>
          <cell r="I2186">
            <v>0</v>
          </cell>
          <cell r="J2186">
            <v>59.92</v>
          </cell>
          <cell r="K2186">
            <v>-0.08</v>
          </cell>
          <cell r="P2186">
            <v>0</v>
          </cell>
        </row>
        <row r="2187">
          <cell r="A2187" t="str">
            <v>LU2665727603</v>
          </cell>
          <cell r="B2187" t="str">
            <v>AMUNDI FUNDS ASIA MULTI ASSET TARGET INCOME</v>
          </cell>
          <cell r="C2187" t="str">
            <v>Class H EUR (C)</v>
          </cell>
          <cell r="D2187" t="str">
            <v>EUR</v>
          </cell>
          <cell r="E2187" t="str">
            <v>01-Dec-2025</v>
          </cell>
          <cell r="F2187">
            <v>7926088.0300000003</v>
          </cell>
          <cell r="G2187">
            <v>7015</v>
          </cell>
          <cell r="H2187">
            <v>1129.8800000000001</v>
          </cell>
          <cell r="I2187">
            <v>0</v>
          </cell>
          <cell r="J2187">
            <v>1129.8800000000001</v>
          </cell>
          <cell r="K2187">
            <v>-3.81</v>
          </cell>
          <cell r="P2187">
            <v>0</v>
          </cell>
        </row>
        <row r="2188">
          <cell r="A2188" t="str">
            <v>LU2769868725</v>
          </cell>
          <cell r="B2188" t="str">
            <v>AMUNDI FUNDS EUROPEAN EQUITY</v>
          </cell>
          <cell r="C2188" t="str">
            <v>Class A2 EUR (C)</v>
          </cell>
          <cell r="D2188" t="str">
            <v>EUR</v>
          </cell>
          <cell r="E2188" t="str">
            <v>01-Dec-2025</v>
          </cell>
          <cell r="F2188">
            <v>5684.28</v>
          </cell>
          <cell r="G2188">
            <v>100</v>
          </cell>
          <cell r="H2188">
            <v>56.84</v>
          </cell>
          <cell r="I2188">
            <v>0</v>
          </cell>
          <cell r="J2188">
            <v>56.84</v>
          </cell>
          <cell r="K2188">
            <v>-0.08</v>
          </cell>
          <cell r="P2188">
            <v>0</v>
          </cell>
        </row>
        <row r="2189">
          <cell r="A2189" t="str">
            <v>LU2769868568</v>
          </cell>
          <cell r="B2189" t="str">
            <v>AMUNDI FUNDS EUROPEAN EQUITY</v>
          </cell>
          <cell r="C2189" t="str">
            <v>Class A EUR (C)</v>
          </cell>
          <cell r="D2189" t="str">
            <v>EUR</v>
          </cell>
          <cell r="E2189" t="str">
            <v>01-Dec-2025</v>
          </cell>
          <cell r="F2189">
            <v>58660.44</v>
          </cell>
          <cell r="G2189">
            <v>1030</v>
          </cell>
          <cell r="H2189">
            <v>56.95</v>
          </cell>
          <cell r="I2189">
            <v>0</v>
          </cell>
          <cell r="J2189">
            <v>56.95</v>
          </cell>
          <cell r="K2189">
            <v>-0.08</v>
          </cell>
          <cell r="P2189">
            <v>0</v>
          </cell>
        </row>
        <row r="2190">
          <cell r="A2190" t="str">
            <v>LU2769868998</v>
          </cell>
          <cell r="B2190" t="str">
            <v>AMUNDI FUNDS EUROPEAN EQUITY</v>
          </cell>
          <cell r="C2190" t="str">
            <v>Class E2 EUR (C)</v>
          </cell>
          <cell r="D2190" t="str">
            <v>EUR</v>
          </cell>
          <cell r="E2190" t="str">
            <v>01-Dec-2025</v>
          </cell>
          <cell r="F2190">
            <v>5695.11</v>
          </cell>
          <cell r="G2190">
            <v>1000</v>
          </cell>
          <cell r="H2190">
            <v>5.6950000000000003</v>
          </cell>
          <cell r="I2190">
            <v>0</v>
          </cell>
          <cell r="J2190">
            <v>5.6950000000000003</v>
          </cell>
          <cell r="K2190">
            <v>-8.0000000000000002E-3</v>
          </cell>
          <cell r="P2190">
            <v>0</v>
          </cell>
        </row>
        <row r="2191">
          <cell r="A2191" t="str">
            <v>LU2769869020</v>
          </cell>
          <cell r="B2191" t="str">
            <v>AMUNDI FUNDS EUROPEAN EQUITY</v>
          </cell>
          <cell r="C2191" t="str">
            <v>Class F EUR (C)</v>
          </cell>
          <cell r="D2191" t="str">
            <v>EUR</v>
          </cell>
          <cell r="E2191" t="str">
            <v>01-Dec-2025</v>
          </cell>
          <cell r="F2191">
            <v>129808.82</v>
          </cell>
          <cell r="G2191">
            <v>22919.066999999999</v>
          </cell>
          <cell r="H2191">
            <v>5.6639999999999997</v>
          </cell>
          <cell r="I2191">
            <v>0</v>
          </cell>
          <cell r="J2191">
            <v>5.6639999999999997</v>
          </cell>
          <cell r="K2191">
            <v>-8.0000000000000002E-3</v>
          </cell>
          <cell r="P2191">
            <v>0</v>
          </cell>
        </row>
        <row r="2192">
          <cell r="A2192" t="str">
            <v>LU2769869533</v>
          </cell>
          <cell r="B2192" t="str">
            <v>AMUNDI FUNDS EUROPEAN EQUITY</v>
          </cell>
          <cell r="C2192" t="str">
            <v>Class I2 EUR (C)</v>
          </cell>
          <cell r="D2192" t="str">
            <v>EUR</v>
          </cell>
          <cell r="E2192" t="str">
            <v>01-Dec-2025</v>
          </cell>
          <cell r="F2192">
            <v>11678729.119999999</v>
          </cell>
          <cell r="G2192">
            <v>10174.67</v>
          </cell>
          <cell r="H2192">
            <v>1147.82</v>
          </cell>
          <cell r="I2192">
            <v>0</v>
          </cell>
          <cell r="J2192">
            <v>1147.82</v>
          </cell>
          <cell r="K2192">
            <v>-1.45</v>
          </cell>
          <cell r="P2192">
            <v>0</v>
          </cell>
        </row>
        <row r="2193">
          <cell r="A2193" t="str">
            <v>LU2769869459</v>
          </cell>
          <cell r="B2193" t="str">
            <v>AMUNDI FUNDS EUROPEAN EQUITY</v>
          </cell>
          <cell r="C2193" t="str">
            <v>Class I EUR (C)</v>
          </cell>
          <cell r="D2193" t="str">
            <v>EUR</v>
          </cell>
          <cell r="E2193" t="str">
            <v>01-Dec-2025</v>
          </cell>
          <cell r="F2193">
            <v>5744.87</v>
          </cell>
          <cell r="G2193">
            <v>5</v>
          </cell>
          <cell r="H2193">
            <v>1148.97</v>
          </cell>
          <cell r="I2193">
            <v>0</v>
          </cell>
          <cell r="J2193">
            <v>1148.97</v>
          </cell>
          <cell r="K2193">
            <v>-1.45</v>
          </cell>
          <cell r="P2193">
            <v>0</v>
          </cell>
        </row>
        <row r="2194">
          <cell r="A2194" t="str">
            <v>LU2819203758</v>
          </cell>
          <cell r="B2194" t="str">
            <v>AMUNDI FUNDS EUROPEAN EQUITY</v>
          </cell>
          <cell r="C2194" t="str">
            <v>Class J2 EUR (C)</v>
          </cell>
          <cell r="D2194" t="str">
            <v>EUR</v>
          </cell>
          <cell r="E2194" t="str">
            <v>01-Dec-2025</v>
          </cell>
          <cell r="F2194">
            <v>5799.91</v>
          </cell>
          <cell r="G2194">
            <v>5</v>
          </cell>
          <cell r="H2194">
            <v>1159.98</v>
          </cell>
          <cell r="I2194">
            <v>0</v>
          </cell>
          <cell r="J2194">
            <v>1159.98</v>
          </cell>
          <cell r="K2194">
            <v>-1.46</v>
          </cell>
          <cell r="P2194">
            <v>0</v>
          </cell>
        </row>
        <row r="2195">
          <cell r="A2195" t="str">
            <v>LU2769869293</v>
          </cell>
          <cell r="B2195" t="str">
            <v>AMUNDI FUNDS EUROPEAN EQUITY</v>
          </cell>
          <cell r="C2195" t="str">
            <v>Class G EUR (C)</v>
          </cell>
          <cell r="D2195" t="str">
            <v>EUR</v>
          </cell>
          <cell r="E2195" t="str">
            <v>01-Dec-2025</v>
          </cell>
          <cell r="F2195">
            <v>121155.8</v>
          </cell>
          <cell r="G2195">
            <v>21309.464</v>
          </cell>
          <cell r="H2195">
            <v>5.6859999999999999</v>
          </cell>
          <cell r="I2195">
            <v>0</v>
          </cell>
          <cell r="J2195">
            <v>5.6859999999999999</v>
          </cell>
          <cell r="K2195">
            <v>-7.0000000000000001E-3</v>
          </cell>
          <cell r="P2195">
            <v>0</v>
          </cell>
        </row>
        <row r="2196">
          <cell r="A2196" t="str">
            <v>LU2769869707</v>
          </cell>
          <cell r="B2196" t="str">
            <v>AMUNDI FUNDS EUROPEAN EQUITY</v>
          </cell>
          <cell r="C2196" t="str">
            <v>Class M EUR (C)</v>
          </cell>
          <cell r="D2196" t="str">
            <v>EUR</v>
          </cell>
          <cell r="E2196" t="str">
            <v>01-Dec-2025</v>
          </cell>
          <cell r="F2196">
            <v>5744.87</v>
          </cell>
          <cell r="G2196">
            <v>5</v>
          </cell>
          <cell r="H2196">
            <v>1148.97</v>
          </cell>
          <cell r="I2196">
            <v>0</v>
          </cell>
          <cell r="J2196">
            <v>1148.97</v>
          </cell>
          <cell r="K2196">
            <v>-1.45</v>
          </cell>
          <cell r="P2196">
            <v>0</v>
          </cell>
        </row>
        <row r="2197">
          <cell r="A2197" t="str">
            <v>LU2769869962</v>
          </cell>
          <cell r="B2197" t="str">
            <v>AMUNDI FUNDS EUROPEAN EQUITY</v>
          </cell>
          <cell r="C2197" t="str">
            <v>Class R2 EUR (C)</v>
          </cell>
          <cell r="D2197" t="str">
            <v>EUR</v>
          </cell>
          <cell r="E2197" t="str">
            <v>01-Dec-2025</v>
          </cell>
          <cell r="F2197">
            <v>5724.64</v>
          </cell>
          <cell r="G2197">
            <v>100</v>
          </cell>
          <cell r="H2197">
            <v>57.25</v>
          </cell>
          <cell r="I2197">
            <v>0</v>
          </cell>
          <cell r="J2197">
            <v>57.25</v>
          </cell>
          <cell r="K2197">
            <v>-7.0000000000000007E-2</v>
          </cell>
          <cell r="P2197">
            <v>0</v>
          </cell>
        </row>
        <row r="2198">
          <cell r="A2198" t="str">
            <v>LU2769869889</v>
          </cell>
          <cell r="B2198" t="str">
            <v>AMUNDI FUNDS EUROPEAN EQUITY</v>
          </cell>
          <cell r="C2198" t="str">
            <v>Class R EUR (C)</v>
          </cell>
          <cell r="D2198" t="str">
            <v>EUR</v>
          </cell>
          <cell r="E2198" t="str">
            <v>01-Dec-2025</v>
          </cell>
          <cell r="F2198">
            <v>5732.73</v>
          </cell>
          <cell r="G2198">
            <v>100</v>
          </cell>
          <cell r="H2198">
            <v>57.33</v>
          </cell>
          <cell r="I2198">
            <v>0</v>
          </cell>
          <cell r="J2198">
            <v>57.33</v>
          </cell>
          <cell r="K2198">
            <v>-7.0000000000000007E-2</v>
          </cell>
          <cell r="P2198">
            <v>0</v>
          </cell>
        </row>
        <row r="2199">
          <cell r="A2199" t="str">
            <v>LU2819203675</v>
          </cell>
          <cell r="B2199" t="str">
            <v>AMUNDI FUNDS EUROPEAN EQUITY</v>
          </cell>
          <cell r="C2199" t="str">
            <v>Class SE2 EUR (C)</v>
          </cell>
          <cell r="D2199" t="str">
            <v>EUR</v>
          </cell>
          <cell r="E2199" t="str">
            <v>01-Dec-2025</v>
          </cell>
          <cell r="F2199">
            <v>31674771.199999999</v>
          </cell>
          <cell r="G2199">
            <v>29430</v>
          </cell>
          <cell r="H2199">
            <v>1076.27</v>
          </cell>
          <cell r="I2199">
            <v>0</v>
          </cell>
          <cell r="J2199">
            <v>1076.27</v>
          </cell>
          <cell r="K2199">
            <v>-1.33</v>
          </cell>
          <cell r="P2199">
            <v>0</v>
          </cell>
        </row>
        <row r="2200">
          <cell r="A2200" t="str">
            <v>LU2769870036</v>
          </cell>
          <cell r="B2200" t="str">
            <v>AMUNDI FUNDS EUROPEAN EQUITY</v>
          </cell>
          <cell r="C2200" t="str">
            <v>Class Z EUR (C)</v>
          </cell>
          <cell r="D2200" t="str">
            <v>EUR</v>
          </cell>
          <cell r="E2200" t="str">
            <v>01-Dec-2025</v>
          </cell>
          <cell r="F2200">
            <v>41702979.880000003</v>
          </cell>
          <cell r="G2200">
            <v>37079.260999999999</v>
          </cell>
          <cell r="H2200">
            <v>1124.7</v>
          </cell>
          <cell r="I2200">
            <v>0</v>
          </cell>
          <cell r="J2200">
            <v>1124.7</v>
          </cell>
          <cell r="K2200">
            <v>-1.4</v>
          </cell>
          <cell r="P2200">
            <v>0</v>
          </cell>
        </row>
        <row r="2201">
          <cell r="A2201" t="str">
            <v>LU2769869376</v>
          </cell>
          <cell r="B2201" t="str">
            <v>AMUNDI FUNDS EUROPEAN EQUITY</v>
          </cell>
          <cell r="C2201" t="str">
            <v>Class H EUR (C)</v>
          </cell>
          <cell r="D2201" t="str">
            <v>EUR</v>
          </cell>
          <cell r="E2201" t="str">
            <v>01-Dec-2025</v>
          </cell>
          <cell r="F2201">
            <v>13402300.26</v>
          </cell>
          <cell r="G2201">
            <v>11861.429</v>
          </cell>
          <cell r="H2201">
            <v>1129.9100000000001</v>
          </cell>
          <cell r="I2201">
            <v>0</v>
          </cell>
          <cell r="J2201">
            <v>1129.9100000000001</v>
          </cell>
          <cell r="K2201">
            <v>-1.38</v>
          </cell>
          <cell r="P2201">
            <v>0</v>
          </cell>
        </row>
        <row r="2202">
          <cell r="A2202" t="str">
            <v>LU2823264341</v>
          </cell>
          <cell r="B2202" t="str">
            <v>AMUNDI FUNDS - EUROPE EX UK EQUITY</v>
          </cell>
          <cell r="C2202" t="str">
            <v>Class A2 EUR (C)</v>
          </cell>
          <cell r="D2202" t="str">
            <v>EUR</v>
          </cell>
          <cell r="E2202" t="str">
            <v>01-Dec-2025</v>
          </cell>
          <cell r="F2202">
            <v>5258.71</v>
          </cell>
          <cell r="G2202">
            <v>100</v>
          </cell>
          <cell r="H2202">
            <v>52.59</v>
          </cell>
          <cell r="I2202">
            <v>0</v>
          </cell>
          <cell r="J2202">
            <v>52.59</v>
          </cell>
          <cell r="K2202">
            <v>0.04</v>
          </cell>
          <cell r="P2202">
            <v>0</v>
          </cell>
        </row>
        <row r="2203">
          <cell r="A2203" t="str">
            <v>LU2823264267</v>
          </cell>
          <cell r="B2203" t="str">
            <v>AMUNDI FUNDS - EUROPE EX UK EQUITY</v>
          </cell>
          <cell r="C2203" t="str">
            <v>Class A EUR (C)</v>
          </cell>
          <cell r="D2203" t="str">
            <v>EUR</v>
          </cell>
          <cell r="E2203" t="str">
            <v>01-Dec-2025</v>
          </cell>
          <cell r="F2203">
            <v>5273.45</v>
          </cell>
          <cell r="G2203">
            <v>100</v>
          </cell>
          <cell r="H2203">
            <v>52.73</v>
          </cell>
          <cell r="I2203">
            <v>0</v>
          </cell>
          <cell r="J2203">
            <v>52.73</v>
          </cell>
          <cell r="K2203">
            <v>0.03</v>
          </cell>
          <cell r="P2203">
            <v>0</v>
          </cell>
        </row>
        <row r="2204">
          <cell r="A2204" t="str">
            <v>LU2823264853</v>
          </cell>
          <cell r="B2204" t="str">
            <v>AMUNDI FUNDS - EUROPE EX UK EQUITY</v>
          </cell>
          <cell r="C2204" t="str">
            <v>Class I2 EUR (C)</v>
          </cell>
          <cell r="D2204" t="str">
            <v>EUR</v>
          </cell>
          <cell r="E2204" t="str">
            <v>01-Dec-2025</v>
          </cell>
          <cell r="F2204">
            <v>5336.51</v>
          </cell>
          <cell r="G2204">
            <v>5</v>
          </cell>
          <cell r="H2204">
            <v>1067.3</v>
          </cell>
          <cell r="I2204">
            <v>0</v>
          </cell>
          <cell r="J2204">
            <v>1067.3</v>
          </cell>
          <cell r="K2204">
            <v>0.87</v>
          </cell>
          <cell r="P2204">
            <v>0</v>
          </cell>
        </row>
        <row r="2205">
          <cell r="A2205" t="str">
            <v>LU2823264770</v>
          </cell>
          <cell r="B2205" t="str">
            <v>AMUNDI FUNDS - EUROPE EX UK EQUITY</v>
          </cell>
          <cell r="C2205" t="str">
            <v>Class I EUR (C)</v>
          </cell>
          <cell r="D2205" t="str">
            <v>EUR</v>
          </cell>
          <cell r="E2205" t="str">
            <v>01-Dec-2025</v>
          </cell>
          <cell r="F2205">
            <v>5344.29</v>
          </cell>
          <cell r="G2205">
            <v>5</v>
          </cell>
          <cell r="H2205">
            <v>1068.8599999999999</v>
          </cell>
          <cell r="I2205">
            <v>0</v>
          </cell>
          <cell r="J2205">
            <v>1068.8599999999999</v>
          </cell>
          <cell r="K2205">
            <v>0.88</v>
          </cell>
          <cell r="P2205">
            <v>0</v>
          </cell>
        </row>
        <row r="2206">
          <cell r="A2206" t="str">
            <v>LU2995469181</v>
          </cell>
          <cell r="B2206" t="str">
            <v>AMUNDI FUNDS - EUROPE EX UK EQUITY</v>
          </cell>
          <cell r="C2206" t="str">
            <v>Class J22 GBP (C)</v>
          </cell>
          <cell r="D2206" t="str">
            <v>GBP</v>
          </cell>
          <cell r="E2206" t="str">
            <v>01-Dec-2025</v>
          </cell>
          <cell r="F2206">
            <v>181154.74</v>
          </cell>
          <cell r="G2206">
            <v>169.03</v>
          </cell>
          <cell r="H2206">
            <v>1071.73</v>
          </cell>
          <cell r="I2206">
            <v>0</v>
          </cell>
          <cell r="J2206">
            <v>1071.73</v>
          </cell>
          <cell r="K2206">
            <v>2.97</v>
          </cell>
          <cell r="P2206">
            <v>0</v>
          </cell>
        </row>
        <row r="2207">
          <cell r="A2207" t="str">
            <v>LU2823265587</v>
          </cell>
          <cell r="B2207" t="str">
            <v>AMUNDI FUNDS - EUROPE EX UK EQUITY</v>
          </cell>
          <cell r="C2207" t="str">
            <v>Class J14 EUR AD (D)</v>
          </cell>
          <cell r="D2207" t="str">
            <v>EUR</v>
          </cell>
          <cell r="E2207" t="str">
            <v>01-Dec-2025</v>
          </cell>
          <cell r="F2207">
            <v>4447195.71</v>
          </cell>
          <cell r="G2207">
            <v>4207.3519999999999</v>
          </cell>
          <cell r="H2207">
            <v>1057.01</v>
          </cell>
          <cell r="I2207">
            <v>0</v>
          </cell>
          <cell r="J2207">
            <v>1057.01</v>
          </cell>
          <cell r="K2207">
            <v>0.94</v>
          </cell>
          <cell r="P2207">
            <v>0</v>
          </cell>
        </row>
        <row r="2208">
          <cell r="A2208" t="str">
            <v>LU2823265660</v>
          </cell>
          <cell r="B2208" t="str">
            <v>AMUNDI FUNDS - EUROPE EX UK EQUITY</v>
          </cell>
          <cell r="C2208" t="str">
            <v>Class J14 GBP AD (D)</v>
          </cell>
          <cell r="D2208" t="str">
            <v>GBP</v>
          </cell>
          <cell r="E2208" t="str">
            <v>01-Dec-2025</v>
          </cell>
          <cell r="F2208">
            <v>1055684577.65</v>
          </cell>
          <cell r="G2208">
            <v>960862.32799999998</v>
          </cell>
          <cell r="H2208">
            <v>1098.68</v>
          </cell>
          <cell r="I2208">
            <v>0</v>
          </cell>
          <cell r="J2208">
            <v>1098.68</v>
          </cell>
          <cell r="K2208">
            <v>3.09</v>
          </cell>
          <cell r="P2208">
            <v>0</v>
          </cell>
        </row>
        <row r="2209">
          <cell r="A2209" t="str">
            <v>LU2823265744</v>
          </cell>
          <cell r="B2209" t="str">
            <v>AMUNDI FUNDS - EUROPE EX UK EQUITY</v>
          </cell>
          <cell r="C2209" t="str">
            <v>Class J14 USD AD (D)</v>
          </cell>
          <cell r="D2209" t="str">
            <v>USD</v>
          </cell>
          <cell r="E2209" t="str">
            <v>01-Dec-2025</v>
          </cell>
          <cell r="F2209">
            <v>180899708.72</v>
          </cell>
          <cell r="G2209">
            <v>157476.704</v>
          </cell>
          <cell r="H2209">
            <v>1148.74</v>
          </cell>
          <cell r="I2209">
            <v>0</v>
          </cell>
          <cell r="J2209">
            <v>1148.74</v>
          </cell>
          <cell r="K2209">
            <v>3.43</v>
          </cell>
          <cell r="P2209">
            <v>0</v>
          </cell>
        </row>
        <row r="2210">
          <cell r="A2210" t="str">
            <v>LU2995469264</v>
          </cell>
          <cell r="B2210" t="str">
            <v>AMUNDI FUNDS - EUROPE EX UK EQUITY</v>
          </cell>
          <cell r="C2210" t="str">
            <v>Class J22 EUR (C)</v>
          </cell>
          <cell r="D2210" t="str">
            <v>EUR</v>
          </cell>
          <cell r="E2210" t="str">
            <v>01-Dec-2025</v>
          </cell>
          <cell r="F2210">
            <v>5066.1899999999996</v>
          </cell>
          <cell r="G2210">
            <v>5</v>
          </cell>
          <cell r="H2210">
            <v>1013.24</v>
          </cell>
          <cell r="I2210">
            <v>0</v>
          </cell>
          <cell r="J2210">
            <v>1013.24</v>
          </cell>
          <cell r="K2210">
            <v>0.84</v>
          </cell>
          <cell r="P2210">
            <v>0</v>
          </cell>
        </row>
        <row r="2211">
          <cell r="A2211" t="str">
            <v>LU2823265314</v>
          </cell>
          <cell r="B2211" t="str">
            <v>AMUNDI FUNDS - EUROPE EX UK EQUITY</v>
          </cell>
          <cell r="C2211" t="str">
            <v>Class R2 EUR (C)</v>
          </cell>
          <cell r="D2211" t="str">
            <v>EUR</v>
          </cell>
          <cell r="E2211" t="str">
            <v>01-Dec-2025</v>
          </cell>
          <cell r="F2211">
            <v>5315.72</v>
          </cell>
          <cell r="G2211">
            <v>100</v>
          </cell>
          <cell r="H2211">
            <v>53.16</v>
          </cell>
          <cell r="I2211">
            <v>0</v>
          </cell>
          <cell r="J2211">
            <v>53.16</v>
          </cell>
          <cell r="K2211">
            <v>0.04</v>
          </cell>
          <cell r="P2211">
            <v>0</v>
          </cell>
        </row>
        <row r="2212">
          <cell r="A2212" t="str">
            <v>LU2823265405</v>
          </cell>
          <cell r="B2212" t="str">
            <v>AMUNDI FUNDS - EUROPE EX UK EQUITY</v>
          </cell>
          <cell r="C2212" t="str">
            <v>Class R2 GBP (C)</v>
          </cell>
          <cell r="D2212" t="str">
            <v>GBP</v>
          </cell>
          <cell r="E2212" t="str">
            <v>01-Dec-2025</v>
          </cell>
          <cell r="F2212">
            <v>7706.63</v>
          </cell>
          <cell r="G2212">
            <v>139.51400000000001</v>
          </cell>
          <cell r="H2212">
            <v>55.24</v>
          </cell>
          <cell r="I2212">
            <v>0</v>
          </cell>
          <cell r="J2212">
            <v>55.24</v>
          </cell>
          <cell r="K2212">
            <v>0.15</v>
          </cell>
          <cell r="P2212">
            <v>0</v>
          </cell>
        </row>
        <row r="2213">
          <cell r="A2213" t="str">
            <v>LU2823265231</v>
          </cell>
          <cell r="B2213" t="str">
            <v>AMUNDI FUNDS - EUROPE EX UK EQUITY</v>
          </cell>
          <cell r="C2213" t="str">
            <v>Class R EUR (C)</v>
          </cell>
          <cell r="D2213" t="str">
            <v>EUR</v>
          </cell>
          <cell r="E2213" t="str">
            <v>01-Dec-2025</v>
          </cell>
          <cell r="F2213">
            <v>5327.08</v>
          </cell>
          <cell r="G2213">
            <v>100</v>
          </cell>
          <cell r="H2213">
            <v>53.27</v>
          </cell>
          <cell r="I2213">
            <v>0</v>
          </cell>
          <cell r="J2213">
            <v>53.27</v>
          </cell>
          <cell r="K2213">
            <v>0.04</v>
          </cell>
          <cell r="P2213">
            <v>0</v>
          </cell>
        </row>
        <row r="2214">
          <cell r="A2214" t="str">
            <v>LU2823265827</v>
          </cell>
          <cell r="B2214" t="str">
            <v>AMUNDI FUNDS - EUROPE EX UK EQUITY</v>
          </cell>
          <cell r="C2214" t="str">
            <v>Class Z EUR (C)</v>
          </cell>
          <cell r="D2214" t="str">
            <v>EUR</v>
          </cell>
          <cell r="E2214" t="str">
            <v>01-Dec-2025</v>
          </cell>
          <cell r="F2214">
            <v>1072.25</v>
          </cell>
          <cell r="G2214">
            <v>1</v>
          </cell>
          <cell r="H2214">
            <v>1072.25</v>
          </cell>
          <cell r="I2214">
            <v>0</v>
          </cell>
          <cell r="J2214">
            <v>1072.25</v>
          </cell>
          <cell r="K2214">
            <v>0.91</v>
          </cell>
          <cell r="P2214">
            <v>0</v>
          </cell>
        </row>
        <row r="2215">
          <cell r="A2215" t="str">
            <v>LU2899521525</v>
          </cell>
          <cell r="B2215" t="str">
            <v>AMUNDI FUNDS INDIA EQUITY CONTRA</v>
          </cell>
          <cell r="C2215" t="str">
            <v>Class A USD (C)</v>
          </cell>
          <cell r="D2215" t="str">
            <v>USD</v>
          </cell>
          <cell r="E2215" t="str">
            <v>01-Dec-2025</v>
          </cell>
          <cell r="F2215">
            <v>5404.32</v>
          </cell>
          <cell r="G2215">
            <v>100</v>
          </cell>
          <cell r="H2215">
            <v>54.04</v>
          </cell>
          <cell r="I2215">
            <v>0</v>
          </cell>
          <cell r="J2215">
            <v>54.04</v>
          </cell>
          <cell r="K2215">
            <v>0.06</v>
          </cell>
          <cell r="P2215">
            <v>0</v>
          </cell>
        </row>
        <row r="2216">
          <cell r="A2216" t="str">
            <v>LU2899521871</v>
          </cell>
          <cell r="B2216" t="str">
            <v>AMUNDI FUNDS INDIA EQUITY CONTRA</v>
          </cell>
          <cell r="C2216" t="str">
            <v>Class A2 USD (C)</v>
          </cell>
          <cell r="D2216" t="str">
            <v>USD</v>
          </cell>
          <cell r="E2216" t="str">
            <v>01-Dec-2025</v>
          </cell>
          <cell r="F2216">
            <v>5394.16</v>
          </cell>
          <cell r="G2216">
            <v>100</v>
          </cell>
          <cell r="H2216">
            <v>53.94</v>
          </cell>
          <cell r="I2216">
            <v>0</v>
          </cell>
          <cell r="J2216">
            <v>53.94</v>
          </cell>
          <cell r="K2216">
            <v>0.06</v>
          </cell>
          <cell r="P2216">
            <v>0</v>
          </cell>
        </row>
        <row r="2217">
          <cell r="A2217" t="str">
            <v>LU2899521954</v>
          </cell>
          <cell r="B2217" t="str">
            <v>AMUNDI FUNDS INDIA EQUITY CONTRA</v>
          </cell>
          <cell r="C2217" t="str">
            <v>Class A2 EUR (C)</v>
          </cell>
          <cell r="D2217" t="str">
            <v>EUR</v>
          </cell>
          <cell r="E2217" t="str">
            <v>01-Dec-2025</v>
          </cell>
          <cell r="F2217">
            <v>4869.17</v>
          </cell>
          <cell r="G2217">
            <v>100</v>
          </cell>
          <cell r="H2217">
            <v>48.69</v>
          </cell>
          <cell r="I2217">
            <v>0</v>
          </cell>
          <cell r="J2217">
            <v>48.69</v>
          </cell>
          <cell r="K2217">
            <v>-0.05</v>
          </cell>
          <cell r="P2217">
            <v>0</v>
          </cell>
        </row>
        <row r="2218">
          <cell r="A2218" t="str">
            <v>LU2899521798</v>
          </cell>
          <cell r="B2218" t="str">
            <v>AMUNDI FUNDS INDIA EQUITY CONTRA</v>
          </cell>
          <cell r="C2218" t="str">
            <v>Class A EUR (C)</v>
          </cell>
          <cell r="D2218" t="str">
            <v>EUR</v>
          </cell>
          <cell r="E2218" t="str">
            <v>01-Dec-2025</v>
          </cell>
          <cell r="F2218">
            <v>4878.49</v>
          </cell>
          <cell r="G2218">
            <v>100</v>
          </cell>
          <cell r="H2218">
            <v>48.78</v>
          </cell>
          <cell r="I2218">
            <v>0</v>
          </cell>
          <cell r="J2218">
            <v>48.78</v>
          </cell>
          <cell r="K2218">
            <v>-0.05</v>
          </cell>
          <cell r="P2218">
            <v>0</v>
          </cell>
        </row>
        <row r="2219">
          <cell r="A2219" t="str">
            <v>LU2899522176</v>
          </cell>
          <cell r="B2219" t="str">
            <v>AMUNDI FUNDS INDIA EQUITY CONTRA</v>
          </cell>
          <cell r="C2219" t="str">
            <v>Class E2 EUR (C)</v>
          </cell>
          <cell r="D2219" t="str">
            <v>EUR</v>
          </cell>
          <cell r="E2219" t="str">
            <v>01-Dec-2025</v>
          </cell>
          <cell r="F2219">
            <v>4885.99</v>
          </cell>
          <cell r="G2219">
            <v>1000</v>
          </cell>
          <cell r="H2219">
            <v>4.8860000000000001</v>
          </cell>
          <cell r="I2219">
            <v>0</v>
          </cell>
          <cell r="J2219">
            <v>4.8860000000000001</v>
          </cell>
          <cell r="K2219">
            <v>-4.0000000000000001E-3</v>
          </cell>
          <cell r="P2219">
            <v>0</v>
          </cell>
        </row>
        <row r="2220">
          <cell r="A2220" t="str">
            <v>LU3015123337</v>
          </cell>
          <cell r="B2220" t="str">
            <v>AMUNDI FUNDS INDIA EQUITY CONTRA</v>
          </cell>
          <cell r="C2220" t="str">
            <v>Class F EUR (C)</v>
          </cell>
          <cell r="D2220" t="str">
            <v>EUR</v>
          </cell>
          <cell r="E2220" t="str">
            <v>01-Dec-2025</v>
          </cell>
          <cell r="F2220">
            <v>65581.2</v>
          </cell>
          <cell r="G2220">
            <v>13009.271000000001</v>
          </cell>
          <cell r="H2220">
            <v>5.0410000000000004</v>
          </cell>
          <cell r="I2220">
            <v>0</v>
          </cell>
          <cell r="J2220">
            <v>5.0410000000000004</v>
          </cell>
          <cell r="K2220">
            <v>-3.0000000000000001E-3</v>
          </cell>
          <cell r="P2220">
            <v>0</v>
          </cell>
        </row>
        <row r="2221">
          <cell r="A2221" t="str">
            <v>LU2899522416</v>
          </cell>
          <cell r="B2221" t="str">
            <v>AMUNDI FUNDS INDIA EQUITY CONTRA</v>
          </cell>
          <cell r="C2221" t="str">
            <v>Class I USD (C)</v>
          </cell>
          <cell r="D2221" t="str">
            <v>USD</v>
          </cell>
          <cell r="E2221" t="str">
            <v>01-Dec-2025</v>
          </cell>
          <cell r="F2221">
            <v>5451.17</v>
          </cell>
          <cell r="G2221">
            <v>5</v>
          </cell>
          <cell r="H2221">
            <v>1090.23</v>
          </cell>
          <cell r="I2221">
            <v>0</v>
          </cell>
          <cell r="J2221">
            <v>1090.23</v>
          </cell>
          <cell r="K2221">
            <v>1.42</v>
          </cell>
          <cell r="P2221">
            <v>0</v>
          </cell>
        </row>
        <row r="2222">
          <cell r="A2222" t="str">
            <v>LU2899522507</v>
          </cell>
          <cell r="B2222" t="str">
            <v>AMUNDI FUNDS INDIA EQUITY CONTRA</v>
          </cell>
          <cell r="C2222" t="str">
            <v>Class I2 USD (C)</v>
          </cell>
          <cell r="D2222" t="str">
            <v>USD</v>
          </cell>
          <cell r="E2222" t="str">
            <v>01-Dec-2025</v>
          </cell>
          <cell r="F2222">
            <v>12206288.810000001</v>
          </cell>
          <cell r="G2222">
            <v>11204.394</v>
          </cell>
          <cell r="H2222">
            <v>1089.42</v>
          </cell>
          <cell r="I2222">
            <v>0</v>
          </cell>
          <cell r="J2222">
            <v>1089.42</v>
          </cell>
          <cell r="K2222">
            <v>1.41</v>
          </cell>
          <cell r="P2222">
            <v>0</v>
          </cell>
        </row>
        <row r="2223">
          <cell r="A2223" t="str">
            <v>LU2899522689</v>
          </cell>
          <cell r="B2223" t="str">
            <v>AMUNDI FUNDS INDIA EQUITY CONTRA</v>
          </cell>
          <cell r="C2223" t="str">
            <v>Class J USD (C)</v>
          </cell>
          <cell r="D2223" t="str">
            <v>USD</v>
          </cell>
          <cell r="E2223" t="str">
            <v>01-Dec-2025</v>
          </cell>
          <cell r="F2223">
            <v>5460.03</v>
          </cell>
          <cell r="G2223">
            <v>5</v>
          </cell>
          <cell r="H2223">
            <v>1092.01</v>
          </cell>
          <cell r="I2223">
            <v>0</v>
          </cell>
          <cell r="J2223">
            <v>1092.01</v>
          </cell>
          <cell r="K2223">
            <v>1.45</v>
          </cell>
          <cell r="P2223">
            <v>0</v>
          </cell>
        </row>
        <row r="2224">
          <cell r="A2224" t="str">
            <v>LU2899522762</v>
          </cell>
          <cell r="B2224" t="str">
            <v>AMUNDI FUNDS INDIA EQUITY CONTRA</v>
          </cell>
          <cell r="C2224" t="str">
            <v>Class J2 USD (C)</v>
          </cell>
          <cell r="D2224" t="str">
            <v>USD</v>
          </cell>
          <cell r="E2224" t="str">
            <v>01-Dec-2025</v>
          </cell>
          <cell r="F2224">
            <v>5456.9</v>
          </cell>
          <cell r="G2224">
            <v>5</v>
          </cell>
          <cell r="H2224">
            <v>1091.3800000000001</v>
          </cell>
          <cell r="I2224">
            <v>0</v>
          </cell>
          <cell r="J2224">
            <v>1091.3800000000001</v>
          </cell>
          <cell r="K2224">
            <v>1.43</v>
          </cell>
          <cell r="P2224">
            <v>0</v>
          </cell>
        </row>
        <row r="2225">
          <cell r="A2225" t="str">
            <v>LU2899522259</v>
          </cell>
          <cell r="B2225" t="str">
            <v>AMUNDI FUNDS INDIA EQUITY CONTRA</v>
          </cell>
          <cell r="C2225" t="str">
            <v>Class G EUR (C)</v>
          </cell>
          <cell r="D2225" t="str">
            <v>EUR</v>
          </cell>
          <cell r="E2225" t="str">
            <v>01-Dec-2025</v>
          </cell>
          <cell r="F2225">
            <v>48002.34</v>
          </cell>
          <cell r="G2225">
            <v>9853.7849999999999</v>
          </cell>
          <cell r="H2225">
            <v>4.8710000000000004</v>
          </cell>
          <cell r="I2225">
            <v>0</v>
          </cell>
          <cell r="J2225">
            <v>4.8710000000000004</v>
          </cell>
          <cell r="K2225">
            <v>-3.0000000000000001E-3</v>
          </cell>
          <cell r="P2225">
            <v>0</v>
          </cell>
        </row>
        <row r="2226">
          <cell r="A2226" t="str">
            <v>LU2899522846</v>
          </cell>
          <cell r="B2226" t="str">
            <v>AMUNDI FUNDS INDIA EQUITY CONTRA</v>
          </cell>
          <cell r="C2226" t="str">
            <v>Class M EUR (C)</v>
          </cell>
          <cell r="D2226" t="str">
            <v>EUR</v>
          </cell>
          <cell r="E2226" t="str">
            <v>01-Dec-2025</v>
          </cell>
          <cell r="F2226">
            <v>4919.05</v>
          </cell>
          <cell r="G2226">
            <v>5</v>
          </cell>
          <cell r="H2226">
            <v>983.81</v>
          </cell>
          <cell r="I2226">
            <v>0</v>
          </cell>
          <cell r="J2226">
            <v>983.81</v>
          </cell>
          <cell r="K2226">
            <v>-0.8</v>
          </cell>
          <cell r="P2226">
            <v>0</v>
          </cell>
        </row>
        <row r="2227">
          <cell r="A2227" t="str">
            <v>LU2899522929</v>
          </cell>
          <cell r="B2227" t="str">
            <v>AMUNDI FUNDS INDIA EQUITY CONTRA</v>
          </cell>
          <cell r="C2227" t="str">
            <v>Class M2 EUR (C)</v>
          </cell>
          <cell r="D2227" t="str">
            <v>EUR</v>
          </cell>
          <cell r="E2227" t="str">
            <v>01-Dec-2025</v>
          </cell>
          <cell r="F2227">
            <v>4917.1899999999996</v>
          </cell>
          <cell r="G2227">
            <v>5</v>
          </cell>
          <cell r="H2227">
            <v>983.44</v>
          </cell>
          <cell r="I2227">
            <v>0</v>
          </cell>
          <cell r="J2227">
            <v>983.44</v>
          </cell>
          <cell r="K2227">
            <v>-0.8</v>
          </cell>
          <cell r="P2227">
            <v>0</v>
          </cell>
        </row>
        <row r="2228">
          <cell r="A2228" t="str">
            <v>LU2899523067</v>
          </cell>
          <cell r="B2228" t="str">
            <v>AMUNDI FUNDS INDIA EQUITY CONTRA</v>
          </cell>
          <cell r="C2228" t="str">
            <v>Class R USD (C)</v>
          </cell>
          <cell r="D2228" t="str">
            <v>USD</v>
          </cell>
          <cell r="E2228" t="str">
            <v>01-Dec-2025</v>
          </cell>
          <cell r="F2228">
            <v>5439.73</v>
          </cell>
          <cell r="G2228">
            <v>100</v>
          </cell>
          <cell r="H2228">
            <v>54.4</v>
          </cell>
          <cell r="I2228">
            <v>0</v>
          </cell>
          <cell r="J2228">
            <v>54.4</v>
          </cell>
          <cell r="K2228">
            <v>7.0000000000000007E-2</v>
          </cell>
          <cell r="P2228">
            <v>0</v>
          </cell>
        </row>
        <row r="2229">
          <cell r="A2229" t="str">
            <v>LU2899523141</v>
          </cell>
          <cell r="B2229" t="str">
            <v>AMUNDI FUNDS INDIA EQUITY CONTRA</v>
          </cell>
          <cell r="C2229" t="str">
            <v>Class R2 USD (C)</v>
          </cell>
          <cell r="D2229" t="str">
            <v>USD</v>
          </cell>
          <cell r="E2229" t="str">
            <v>01-Dec-2025</v>
          </cell>
          <cell r="F2229">
            <v>5433.4</v>
          </cell>
          <cell r="G2229">
            <v>100</v>
          </cell>
          <cell r="H2229">
            <v>54.33</v>
          </cell>
          <cell r="I2229">
            <v>0</v>
          </cell>
          <cell r="J2229">
            <v>54.33</v>
          </cell>
          <cell r="K2229">
            <v>0.06</v>
          </cell>
          <cell r="P2229">
            <v>0</v>
          </cell>
        </row>
        <row r="2230">
          <cell r="A2230" t="str">
            <v>LU2995468530</v>
          </cell>
          <cell r="B2230" t="str">
            <v>AMUNDI FUNDS INDIA EQUITY CONTRA</v>
          </cell>
          <cell r="C2230" t="str">
            <v>Class Z3 USD (C)</v>
          </cell>
          <cell r="D2230" t="str">
            <v>USD</v>
          </cell>
          <cell r="E2230" t="str">
            <v>01-Dec-2025</v>
          </cell>
          <cell r="F2230">
            <v>15411152.119999999</v>
          </cell>
          <cell r="G2230">
            <v>14100</v>
          </cell>
          <cell r="H2230">
            <v>1092.99</v>
          </cell>
          <cell r="I2230">
            <v>0</v>
          </cell>
          <cell r="J2230">
            <v>1092.99</v>
          </cell>
          <cell r="K2230">
            <v>1.45</v>
          </cell>
          <cell r="P2230">
            <v>0</v>
          </cell>
        </row>
        <row r="2231">
          <cell r="A2231" t="str">
            <v>LU2899523224</v>
          </cell>
          <cell r="B2231" t="str">
            <v>AMUNDI FUNDS INDIA EQUITY CONTRA</v>
          </cell>
          <cell r="C2231" t="str">
            <v>Class Z USD (C)</v>
          </cell>
          <cell r="D2231" t="str">
            <v>USD</v>
          </cell>
          <cell r="E2231" t="str">
            <v>01-Dec-2025</v>
          </cell>
          <cell r="F2231">
            <v>5457.29</v>
          </cell>
          <cell r="G2231">
            <v>5</v>
          </cell>
          <cell r="H2231">
            <v>1091.46</v>
          </cell>
          <cell r="I2231">
            <v>0</v>
          </cell>
          <cell r="J2231">
            <v>1091.46</v>
          </cell>
          <cell r="K2231">
            <v>1.44</v>
          </cell>
          <cell r="P2231">
            <v>0</v>
          </cell>
        </row>
        <row r="2232">
          <cell r="A2232" t="str">
            <v>LU2899522333</v>
          </cell>
          <cell r="B2232" t="str">
            <v>AMUNDI FUNDS INDIA EQUITY CONTRA</v>
          </cell>
          <cell r="C2232" t="str">
            <v>Class H EUR (C)</v>
          </cell>
          <cell r="D2232" t="str">
            <v>EUR</v>
          </cell>
          <cell r="E2232" t="str">
            <v>01-Dec-2025</v>
          </cell>
          <cell r="F2232">
            <v>4936.6899999999996</v>
          </cell>
          <cell r="G2232">
            <v>5</v>
          </cell>
          <cell r="H2232">
            <v>987.34</v>
          </cell>
          <cell r="I2232">
            <v>0</v>
          </cell>
          <cell r="J2232">
            <v>987.34</v>
          </cell>
          <cell r="K2232">
            <v>-0.76</v>
          </cell>
          <cell r="P2232">
            <v>0</v>
          </cell>
        </row>
        <row r="2233">
          <cell r="A2233" t="str">
            <v>LU3023903639</v>
          </cell>
          <cell r="B2233" t="str">
            <v>AMUNDI FUNDS GLOBAL BOND INCOME</v>
          </cell>
          <cell r="C2233" t="str">
            <v>Class A2 USD (C)</v>
          </cell>
          <cell r="D2233" t="str">
            <v>USD</v>
          </cell>
          <cell r="E2233" t="str">
            <v>01-Dec-2025</v>
          </cell>
          <cell r="F2233">
            <v>5154.5</v>
          </cell>
          <cell r="G2233">
            <v>100</v>
          </cell>
          <cell r="H2233">
            <v>51.55</v>
          </cell>
          <cell r="I2233">
            <v>0</v>
          </cell>
          <cell r="J2233">
            <v>51.55</v>
          </cell>
          <cell r="K2233">
            <v>-0.06</v>
          </cell>
          <cell r="P2233">
            <v>0</v>
          </cell>
        </row>
        <row r="2234">
          <cell r="A2234" t="str">
            <v>LU3023903985</v>
          </cell>
          <cell r="B2234" t="str">
            <v>AMUNDI FUNDS GLOBAL BOND INCOME</v>
          </cell>
          <cell r="C2234" t="str">
            <v>Class A2 HKD MTD3 (D)</v>
          </cell>
          <cell r="D2234" t="str">
            <v>HKD</v>
          </cell>
          <cell r="E2234" t="str">
            <v>01-Dec-2025</v>
          </cell>
          <cell r="F2234">
            <v>39756.68</v>
          </cell>
          <cell r="G2234">
            <v>800</v>
          </cell>
          <cell r="H2234">
            <v>49.7</v>
          </cell>
          <cell r="I2234">
            <v>0.28660000000000002</v>
          </cell>
          <cell r="J2234">
            <v>49.7</v>
          </cell>
          <cell r="K2234">
            <v>-0.33</v>
          </cell>
          <cell r="P2234">
            <v>0</v>
          </cell>
        </row>
        <row r="2235">
          <cell r="A2235" t="str">
            <v>LU3023903803</v>
          </cell>
          <cell r="B2235" t="str">
            <v>AMUNDI FUNDS GLOBAL BOND INCOME</v>
          </cell>
          <cell r="C2235" t="str">
            <v>Class A2 USD MTD3 (D)</v>
          </cell>
          <cell r="D2235" t="str">
            <v>USD</v>
          </cell>
          <cell r="E2235" t="str">
            <v>01-Dec-2025</v>
          </cell>
          <cell r="F2235">
            <v>5009.6400000000003</v>
          </cell>
          <cell r="G2235">
            <v>100</v>
          </cell>
          <cell r="H2235">
            <v>50.1</v>
          </cell>
          <cell r="I2235">
            <v>0.28660000000000002</v>
          </cell>
          <cell r="J2235">
            <v>50.1</v>
          </cell>
          <cell r="K2235">
            <v>-0.34</v>
          </cell>
          <cell r="P2235">
            <v>0</v>
          </cell>
        </row>
        <row r="2236">
          <cell r="A2236" t="str">
            <v>LU3023900452</v>
          </cell>
          <cell r="B2236" t="str">
            <v>AMUNDI FUNDS GLOBAL BOND INCOME</v>
          </cell>
          <cell r="C2236" t="str">
            <v>Class E2 EUR (C)</v>
          </cell>
          <cell r="D2236" t="str">
            <v>EUR</v>
          </cell>
          <cell r="E2236" t="str">
            <v>01-Dec-2025</v>
          </cell>
          <cell r="F2236">
            <v>5204.33</v>
          </cell>
          <cell r="G2236">
            <v>1000</v>
          </cell>
          <cell r="H2236">
            <v>5.2039999999999997</v>
          </cell>
          <cell r="I2236">
            <v>0</v>
          </cell>
          <cell r="J2236">
            <v>5.2039999999999997</v>
          </cell>
          <cell r="K2236">
            <v>-1.7000000000000001E-2</v>
          </cell>
          <cell r="P2236">
            <v>0</v>
          </cell>
        </row>
        <row r="2237">
          <cell r="A2237" t="str">
            <v>LU3023900536</v>
          </cell>
          <cell r="B2237" t="str">
            <v>AMUNDI FUNDS GLOBAL BOND INCOME</v>
          </cell>
          <cell r="C2237" t="str">
            <v>Class E2 EUR QTD (D)</v>
          </cell>
          <cell r="D2237" t="str">
            <v>EUR</v>
          </cell>
          <cell r="E2237" t="str">
            <v>01-Dec-2025</v>
          </cell>
          <cell r="F2237">
            <v>5121.59</v>
          </cell>
          <cell r="G2237">
            <v>1000</v>
          </cell>
          <cell r="H2237">
            <v>5.1219999999999999</v>
          </cell>
          <cell r="I2237">
            <v>0</v>
          </cell>
          <cell r="J2237">
            <v>5.1219999999999999</v>
          </cell>
          <cell r="K2237">
            <v>-1.6E-2</v>
          </cell>
          <cell r="P2237">
            <v>0</v>
          </cell>
        </row>
        <row r="2238">
          <cell r="A2238" t="str">
            <v>LU3027219800</v>
          </cell>
          <cell r="B2238" t="str">
            <v>AMUNDI FUNDS GLOBAL BOND INCOME</v>
          </cell>
          <cell r="C2238" t="str">
            <v>Class I2 USD (C)</v>
          </cell>
          <cell r="D2238" t="str">
            <v>USD</v>
          </cell>
          <cell r="E2238" t="str">
            <v>01-Dec-2025</v>
          </cell>
          <cell r="F2238">
            <v>5168.72</v>
          </cell>
          <cell r="G2238">
            <v>5</v>
          </cell>
          <cell r="H2238">
            <v>1033.74</v>
          </cell>
          <cell r="I2238">
            <v>0</v>
          </cell>
          <cell r="J2238">
            <v>1033.74</v>
          </cell>
          <cell r="K2238">
            <v>-1.17</v>
          </cell>
          <cell r="P2238">
            <v>0</v>
          </cell>
        </row>
        <row r="2239">
          <cell r="A2239" t="str">
            <v>LU3023901427</v>
          </cell>
          <cell r="B2239" t="str">
            <v>AMUNDI FUNDS GLOBAL BOND INCOME</v>
          </cell>
          <cell r="C2239" t="str">
            <v>Class M2 EUR (C)</v>
          </cell>
          <cell r="D2239" t="str">
            <v>EUR</v>
          </cell>
          <cell r="E2239" t="str">
            <v>01-Dec-2025</v>
          </cell>
          <cell r="F2239">
            <v>5216.04</v>
          </cell>
          <cell r="G2239">
            <v>5</v>
          </cell>
          <cell r="H2239">
            <v>1043.21</v>
          </cell>
          <cell r="I2239">
            <v>0</v>
          </cell>
          <cell r="J2239">
            <v>1043.21</v>
          </cell>
          <cell r="K2239">
            <v>-3.39</v>
          </cell>
          <cell r="P2239">
            <v>0</v>
          </cell>
        </row>
        <row r="2240">
          <cell r="A2240" t="str">
            <v>LU3023901690</v>
          </cell>
          <cell r="B2240" t="str">
            <v>AMUNDI FUNDS GLOBAL BOND INCOME</v>
          </cell>
          <cell r="C2240" t="str">
            <v>Class R2 USD (C)</v>
          </cell>
          <cell r="D2240" t="str">
            <v>USD</v>
          </cell>
          <cell r="E2240" t="str">
            <v>01-Dec-2025</v>
          </cell>
          <cell r="F2240">
            <v>5165.8999999999996</v>
          </cell>
          <cell r="G2240">
            <v>100</v>
          </cell>
          <cell r="H2240">
            <v>51.66</v>
          </cell>
          <cell r="I2240">
            <v>0</v>
          </cell>
          <cell r="J2240">
            <v>51.66</v>
          </cell>
          <cell r="K2240">
            <v>-0.06</v>
          </cell>
          <cell r="P2240">
            <v>0</v>
          </cell>
        </row>
        <row r="2241">
          <cell r="A2241" t="str">
            <v>LU3047981579</v>
          </cell>
          <cell r="B2241" t="str">
            <v>AMUNDI FUNDS GLOBAL BOND INCOME</v>
          </cell>
          <cell r="C2241" t="str">
            <v>Class Z3 USD (C)</v>
          </cell>
          <cell r="D2241" t="str">
            <v>USD</v>
          </cell>
          <cell r="E2241" t="str">
            <v>01-Dec-2025</v>
          </cell>
          <cell r="F2241">
            <v>20697669.18</v>
          </cell>
          <cell r="G2241">
            <v>20005</v>
          </cell>
          <cell r="H2241">
            <v>1034.6199999999999</v>
          </cell>
          <cell r="I2241">
            <v>0</v>
          </cell>
          <cell r="J2241">
            <v>1034.6199999999999</v>
          </cell>
          <cell r="K2241">
            <v>-1.1599999999999999</v>
          </cell>
          <cell r="P2241">
            <v>0</v>
          </cell>
        </row>
        <row r="2242">
          <cell r="A2242" t="str">
            <v>LU3047983435</v>
          </cell>
          <cell r="B2242" t="str">
            <v>AMUNDI FUNDS GLOBAL BOND INCOME</v>
          </cell>
          <cell r="C2242" t="str">
            <v>Class Z3 EUR Hgd (C)</v>
          </cell>
          <cell r="D2242" t="str">
            <v>EUR</v>
          </cell>
          <cell r="E2242" t="str">
            <v>01-Dec-2025</v>
          </cell>
          <cell r="F2242">
            <v>31781408.109999999</v>
          </cell>
          <cell r="G2242">
            <v>31000</v>
          </cell>
          <cell r="H2242">
            <v>1025.21</v>
          </cell>
          <cell r="I2242">
            <v>0</v>
          </cell>
          <cell r="J2242">
            <v>1025.21</v>
          </cell>
          <cell r="K2242">
            <v>-1.19</v>
          </cell>
          <cell r="P2242">
            <v>0</v>
          </cell>
        </row>
        <row r="2243">
          <cell r="A2243" t="str">
            <v>LU3023901856</v>
          </cell>
          <cell r="B2243" t="str">
            <v>AMUNDI FUNDS US BOND INCOME</v>
          </cell>
          <cell r="C2243" t="str">
            <v>Class A2 USD (C)</v>
          </cell>
          <cell r="D2243" t="str">
            <v>USD</v>
          </cell>
          <cell r="E2243" t="str">
            <v>01-Dec-2025</v>
          </cell>
          <cell r="F2243">
            <v>5031.28</v>
          </cell>
          <cell r="G2243">
            <v>100</v>
          </cell>
          <cell r="H2243">
            <v>50.31</v>
          </cell>
          <cell r="I2243">
            <v>0</v>
          </cell>
          <cell r="J2243">
            <v>50.31</v>
          </cell>
          <cell r="K2243">
            <v>0.03</v>
          </cell>
          <cell r="P2243">
            <v>0</v>
          </cell>
        </row>
        <row r="2244">
          <cell r="A2244" t="str">
            <v>LU3023902409</v>
          </cell>
          <cell r="B2244" t="str">
            <v>AMUNDI FUNDS US BOND INCOME</v>
          </cell>
          <cell r="C2244" t="str">
            <v>Class A2 USD MGI (D)</v>
          </cell>
          <cell r="D2244" t="str">
            <v>USD</v>
          </cell>
          <cell r="E2244" t="str">
            <v>01-Dec-2025</v>
          </cell>
          <cell r="F2244">
            <v>4997.07</v>
          </cell>
          <cell r="G2244">
            <v>100</v>
          </cell>
          <cell r="H2244">
            <v>49.97</v>
          </cell>
          <cell r="I2244">
            <v>0.2077</v>
          </cell>
          <cell r="J2244">
            <v>49.97</v>
          </cell>
          <cell r="K2244">
            <v>-0.17</v>
          </cell>
          <cell r="P2244">
            <v>0</v>
          </cell>
        </row>
        <row r="2245">
          <cell r="A2245" t="str">
            <v>LU3023902235</v>
          </cell>
          <cell r="B2245" t="str">
            <v>AMUNDI FUNDS US BOND INCOME</v>
          </cell>
          <cell r="C2245" t="str">
            <v>Class A2 HKD MTD3 (D)</v>
          </cell>
          <cell r="D2245" t="str">
            <v>HKD</v>
          </cell>
          <cell r="E2245" t="str">
            <v>01-Dec-2025</v>
          </cell>
          <cell r="F2245">
            <v>38799.589999999997</v>
          </cell>
          <cell r="G2245">
            <v>780</v>
          </cell>
          <cell r="H2245">
            <v>49.74</v>
          </cell>
          <cell r="I2245">
            <v>0.30220000000000002</v>
          </cell>
          <cell r="J2245">
            <v>49.74</v>
          </cell>
          <cell r="K2245">
            <v>-0.25</v>
          </cell>
          <cell r="P2245">
            <v>0</v>
          </cell>
        </row>
        <row r="2246">
          <cell r="A2246" t="str">
            <v>LU3023902581</v>
          </cell>
          <cell r="B2246" t="str">
            <v>AMUNDI FUNDS US BOND INCOME</v>
          </cell>
          <cell r="C2246" t="str">
            <v>Class A2 USD MD (D)</v>
          </cell>
          <cell r="D2246" t="str">
            <v>USD</v>
          </cell>
          <cell r="E2246" t="str">
            <v>01-Dec-2025</v>
          </cell>
          <cell r="F2246">
            <v>5009.6499999999996</v>
          </cell>
          <cell r="G2246">
            <v>100</v>
          </cell>
          <cell r="H2246">
            <v>50.1</v>
          </cell>
          <cell r="I2246">
            <v>0</v>
          </cell>
          <cell r="J2246">
            <v>50.1</v>
          </cell>
          <cell r="K2246">
            <v>0.04</v>
          </cell>
          <cell r="P2246">
            <v>0</v>
          </cell>
        </row>
        <row r="2247">
          <cell r="A2247" t="str">
            <v>LU3023902151</v>
          </cell>
          <cell r="B2247" t="str">
            <v>AMUNDI FUNDS US BOND INCOME</v>
          </cell>
          <cell r="C2247" t="str">
            <v>Class A2 USD MTD3 (D)</v>
          </cell>
          <cell r="D2247" t="str">
            <v>USD</v>
          </cell>
          <cell r="E2247" t="str">
            <v>01-Dec-2025</v>
          </cell>
          <cell r="F2247">
            <v>4970.6899999999996</v>
          </cell>
          <cell r="G2247">
            <v>100</v>
          </cell>
          <cell r="H2247">
            <v>49.71</v>
          </cell>
          <cell r="I2247">
            <v>0.30220000000000002</v>
          </cell>
          <cell r="J2247">
            <v>49.71</v>
          </cell>
          <cell r="K2247">
            <v>-0.26</v>
          </cell>
          <cell r="P2247">
            <v>0</v>
          </cell>
        </row>
        <row r="2248">
          <cell r="A2248" t="str">
            <v>LU3023902821</v>
          </cell>
          <cell r="B2248" t="str">
            <v>AMUNDI FUNDS US BOND INCOME</v>
          </cell>
          <cell r="C2248" t="str">
            <v>Class E2 EUR (C)</v>
          </cell>
          <cell r="D2248" t="str">
            <v>EUR</v>
          </cell>
          <cell r="E2248" t="str">
            <v>01-Dec-2025</v>
          </cell>
          <cell r="F2248">
            <v>5068.34</v>
          </cell>
          <cell r="G2248">
            <v>1000</v>
          </cell>
          <cell r="H2248">
            <v>5.0679999999999996</v>
          </cell>
          <cell r="I2248">
            <v>0</v>
          </cell>
          <cell r="J2248">
            <v>5.0679999999999996</v>
          </cell>
          <cell r="K2248">
            <v>-7.0000000000000001E-3</v>
          </cell>
          <cell r="P2248">
            <v>0</v>
          </cell>
        </row>
        <row r="2249">
          <cell r="A2249" t="str">
            <v>LU3017967145</v>
          </cell>
          <cell r="B2249" t="str">
            <v>AMUNDI FUNDS US BOND INCOME</v>
          </cell>
          <cell r="C2249" t="str">
            <v>Class I2 USD MGI (D)</v>
          </cell>
          <cell r="D2249" t="str">
            <v>USD</v>
          </cell>
          <cell r="E2249" t="str">
            <v>01-Dec-2025</v>
          </cell>
          <cell r="F2249">
            <v>5002.6400000000003</v>
          </cell>
          <cell r="G2249">
            <v>5</v>
          </cell>
          <cell r="H2249">
            <v>1000.53</v>
          </cell>
          <cell r="I2249">
            <v>4.1580000000000004</v>
          </cell>
          <cell r="J2249">
            <v>1000.53</v>
          </cell>
          <cell r="K2249">
            <v>-3.39</v>
          </cell>
          <cell r="P2249">
            <v>0</v>
          </cell>
        </row>
        <row r="2250">
          <cell r="A2250" t="str">
            <v>LU3017967228</v>
          </cell>
          <cell r="B2250" t="str">
            <v>AMUNDI FUNDS US BOND INCOME</v>
          </cell>
          <cell r="C2250" t="str">
            <v>Class I2 USD (C)</v>
          </cell>
          <cell r="D2250" t="str">
            <v>USD</v>
          </cell>
          <cell r="E2250" t="str">
            <v>01-Dec-2025</v>
          </cell>
          <cell r="F2250">
            <v>5036.8999999999996</v>
          </cell>
          <cell r="G2250">
            <v>5</v>
          </cell>
          <cell r="H2250">
            <v>1007.38</v>
          </cell>
          <cell r="I2250">
            <v>0</v>
          </cell>
          <cell r="J2250">
            <v>1007.38</v>
          </cell>
          <cell r="K2250">
            <v>0.76</v>
          </cell>
          <cell r="P2250">
            <v>0</v>
          </cell>
        </row>
        <row r="2251">
          <cell r="A2251" t="str">
            <v>LU3017967657</v>
          </cell>
          <cell r="B2251" t="str">
            <v>AMUNDI FUNDS US BOND INCOME</v>
          </cell>
          <cell r="C2251" t="str">
            <v>Class M2 EUR (C)</v>
          </cell>
          <cell r="D2251" t="str">
            <v>EUR</v>
          </cell>
          <cell r="E2251" t="str">
            <v>01-Dec-2025</v>
          </cell>
          <cell r="F2251">
            <v>5072.6899999999996</v>
          </cell>
          <cell r="G2251">
            <v>5</v>
          </cell>
          <cell r="H2251">
            <v>1014.54</v>
          </cell>
          <cell r="I2251">
            <v>0</v>
          </cell>
          <cell r="J2251">
            <v>1014.54</v>
          </cell>
          <cell r="K2251">
            <v>-1.37</v>
          </cell>
          <cell r="P2251">
            <v>0</v>
          </cell>
        </row>
        <row r="2252">
          <cell r="A2252" t="str">
            <v>LU3023903472</v>
          </cell>
          <cell r="B2252" t="str">
            <v>AMUNDI FUNDS US BOND INCOME</v>
          </cell>
          <cell r="C2252" t="str">
            <v>Class P2 USD (C)</v>
          </cell>
          <cell r="D2252" t="str">
            <v>USD</v>
          </cell>
          <cell r="E2252" t="str">
            <v>01-Dec-2025</v>
          </cell>
          <cell r="F2252">
            <v>5034.72</v>
          </cell>
          <cell r="G2252">
            <v>100</v>
          </cell>
          <cell r="H2252">
            <v>50.35</v>
          </cell>
          <cell r="I2252">
            <v>0</v>
          </cell>
          <cell r="J2252">
            <v>50.35</v>
          </cell>
          <cell r="K2252">
            <v>0.04</v>
          </cell>
          <cell r="P2252">
            <v>0</v>
          </cell>
        </row>
        <row r="2253">
          <cell r="A2253" t="str">
            <v>LU3023903555</v>
          </cell>
          <cell r="B2253" t="str">
            <v>AMUNDI FUNDS US BOND INCOME</v>
          </cell>
          <cell r="C2253" t="str">
            <v>Class R2 USD (C)</v>
          </cell>
          <cell r="D2253" t="str">
            <v>USD</v>
          </cell>
          <cell r="E2253" t="str">
            <v>01-Dec-2025</v>
          </cell>
          <cell r="F2253">
            <v>5035.42</v>
          </cell>
          <cell r="G2253">
            <v>100</v>
          </cell>
          <cell r="H2253">
            <v>50.35</v>
          </cell>
          <cell r="I2253">
            <v>0</v>
          </cell>
          <cell r="J2253">
            <v>50.35</v>
          </cell>
          <cell r="K2253">
            <v>0.03</v>
          </cell>
          <cell r="P2253">
            <v>0</v>
          </cell>
        </row>
        <row r="2254">
          <cell r="A2254" t="str">
            <v>LU3023903399</v>
          </cell>
          <cell r="B2254" t="str">
            <v>AMUNDI FUNDS US BOND INCOME</v>
          </cell>
          <cell r="C2254" t="str">
            <v>Class H EUR (C)</v>
          </cell>
          <cell r="D2254" t="str">
            <v>EUR</v>
          </cell>
          <cell r="E2254" t="str">
            <v>01-Dec-2025</v>
          </cell>
          <cell r="F2254">
            <v>5074.4799999999996</v>
          </cell>
          <cell r="G2254">
            <v>5</v>
          </cell>
          <cell r="H2254">
            <v>1014.9</v>
          </cell>
          <cell r="I2254">
            <v>0</v>
          </cell>
          <cell r="J2254">
            <v>1014.9</v>
          </cell>
          <cell r="K2254">
            <v>-1.35</v>
          </cell>
          <cell r="P2254">
            <v>0</v>
          </cell>
        </row>
        <row r="2255">
          <cell r="A2255" t="str">
            <v>LU3035886988</v>
          </cell>
          <cell r="B2255" t="str">
            <v>AMUNDI FUNDS US BOND INCOME</v>
          </cell>
          <cell r="C2255" t="str">
            <v>Class Z3 USD (C)</v>
          </cell>
          <cell r="D2255" t="str">
            <v>USD</v>
          </cell>
          <cell r="E2255" t="str">
            <v>01-Dec-2025</v>
          </cell>
          <cell r="F2255">
            <v>10016965.9</v>
          </cell>
          <cell r="G2255">
            <v>9940</v>
          </cell>
          <cell r="H2255">
            <v>1007.74</v>
          </cell>
          <cell r="I2255">
            <v>0</v>
          </cell>
          <cell r="J2255">
            <v>1007.74</v>
          </cell>
          <cell r="K2255">
            <v>0.78</v>
          </cell>
          <cell r="P2255">
            <v>0</v>
          </cell>
        </row>
        <row r="2256">
          <cell r="A2256" t="str">
            <v>LU3138719839</v>
          </cell>
          <cell r="B2256" t="str">
            <v>AMUNDI FUNDS US EQUITY HIGH INCOME</v>
          </cell>
          <cell r="C2256" t="str">
            <v>Class A2 USD (C)</v>
          </cell>
          <cell r="D2256" t="str">
            <v>USD</v>
          </cell>
          <cell r="E2256" t="str">
            <v>01-Dec-2025</v>
          </cell>
          <cell r="F2256">
            <v>5046.8900000000003</v>
          </cell>
          <cell r="G2256">
            <v>100</v>
          </cell>
          <cell r="H2256">
            <v>50.47</v>
          </cell>
          <cell r="I2256">
            <v>0</v>
          </cell>
          <cell r="J2256">
            <v>50.47</v>
          </cell>
          <cell r="K2256">
            <v>-0.04</v>
          </cell>
          <cell r="P2256">
            <v>0</v>
          </cell>
        </row>
        <row r="2257">
          <cell r="A2257" t="str">
            <v>LU3138720175</v>
          </cell>
          <cell r="B2257" t="str">
            <v>AMUNDI FUNDS US EQUITY HIGH INCOME</v>
          </cell>
          <cell r="C2257" t="str">
            <v>Class A2 USD MTD3 (D)</v>
          </cell>
          <cell r="D2257" t="str">
            <v>USD</v>
          </cell>
          <cell r="E2257" t="str">
            <v>01-Dec-2025</v>
          </cell>
          <cell r="F2257">
            <v>5006.66</v>
          </cell>
          <cell r="G2257">
            <v>100.807</v>
          </cell>
          <cell r="H2257">
            <v>49.67</v>
          </cell>
          <cell r="I2257">
            <v>0.3987</v>
          </cell>
          <cell r="J2257">
            <v>49.67</v>
          </cell>
          <cell r="K2257">
            <v>-0.44</v>
          </cell>
          <cell r="P2257">
            <v>0</v>
          </cell>
        </row>
        <row r="2258">
          <cell r="A2258" t="str">
            <v>LU3138719326</v>
          </cell>
          <cell r="B2258" t="str">
            <v>AMUNDI FUNDS US EQUITY HIGH INCOME</v>
          </cell>
          <cell r="C2258" t="str">
            <v>Class A2 HKD MTD3 (D)</v>
          </cell>
          <cell r="D2258" t="str">
            <v>HKD</v>
          </cell>
          <cell r="E2258" t="str">
            <v>01-Dec-2025</v>
          </cell>
          <cell r="F2258">
            <v>40141.5</v>
          </cell>
          <cell r="G2258">
            <v>806.46</v>
          </cell>
          <cell r="H2258">
            <v>49.77</v>
          </cell>
          <cell r="I2258">
            <v>0.3987</v>
          </cell>
          <cell r="J2258">
            <v>49.77</v>
          </cell>
          <cell r="K2258">
            <v>-0.43</v>
          </cell>
          <cell r="P2258">
            <v>0</v>
          </cell>
        </row>
        <row r="2259">
          <cell r="A2259" t="str">
            <v>LU3208824949</v>
          </cell>
          <cell r="B2259" t="str">
            <v>AMUNDI FUNDS US EQUITY HIGH INCOME</v>
          </cell>
          <cell r="C2259" t="str">
            <v>Class E2 EUR (C)</v>
          </cell>
          <cell r="D2259" t="str">
            <v>EUR</v>
          </cell>
          <cell r="E2259" t="str">
            <v>01-Dec-2025</v>
          </cell>
          <cell r="F2259">
            <v>5015.9399999999996</v>
          </cell>
          <cell r="G2259">
            <v>1000</v>
          </cell>
          <cell r="H2259">
            <v>5.016</v>
          </cell>
          <cell r="I2259">
            <v>0</v>
          </cell>
          <cell r="J2259">
            <v>5.016</v>
          </cell>
          <cell r="K2259">
            <v>-1.4999999999999999E-2</v>
          </cell>
          <cell r="P2259">
            <v>0</v>
          </cell>
        </row>
        <row r="2260">
          <cell r="A2260" t="str">
            <v>LU3208825912</v>
          </cell>
          <cell r="B2260" t="str">
            <v>AMUNDI FUNDS US EQUITY HIGH INCOME</v>
          </cell>
          <cell r="C2260" t="str">
            <v>Class E2 EUR QTD (D)</v>
          </cell>
          <cell r="D2260" t="str">
            <v>EUR</v>
          </cell>
          <cell r="E2260" t="str">
            <v>01-Dec-2025</v>
          </cell>
          <cell r="F2260">
            <v>5015.9399999999996</v>
          </cell>
          <cell r="G2260">
            <v>1000</v>
          </cell>
          <cell r="H2260">
            <v>5.016</v>
          </cell>
          <cell r="I2260">
            <v>0</v>
          </cell>
          <cell r="J2260">
            <v>5.016</v>
          </cell>
          <cell r="K2260">
            <v>-1.4999999999999999E-2</v>
          </cell>
          <cell r="P2260">
            <v>0</v>
          </cell>
        </row>
        <row r="2261">
          <cell r="A2261" t="str">
            <v>LU3208835473</v>
          </cell>
          <cell r="B2261" t="str">
            <v>AMUNDI FUNDS US EQUITY HIGH INCOME</v>
          </cell>
          <cell r="C2261" t="str">
            <v>Class F2 EUR (C)</v>
          </cell>
          <cell r="D2261" t="str">
            <v>EUR</v>
          </cell>
          <cell r="E2261" t="str">
            <v>01-Dec-2025</v>
          </cell>
          <cell r="F2261">
            <v>5015.08</v>
          </cell>
          <cell r="G2261">
            <v>1000</v>
          </cell>
          <cell r="H2261">
            <v>5.0149999999999997</v>
          </cell>
          <cell r="I2261">
            <v>0</v>
          </cell>
          <cell r="J2261">
            <v>5.0149999999999997</v>
          </cell>
          <cell r="K2261">
            <v>-1.4999999999999999E-2</v>
          </cell>
          <cell r="P2261">
            <v>0</v>
          </cell>
        </row>
        <row r="2262">
          <cell r="A2262" t="str">
            <v>LU3208838220</v>
          </cell>
          <cell r="B2262" t="str">
            <v>AMUNDI FUNDS US EQUITY HIGH INCOME</v>
          </cell>
          <cell r="C2262" t="str">
            <v>Class F2 EUR QTD (D)</v>
          </cell>
          <cell r="D2262" t="str">
            <v>EUR</v>
          </cell>
          <cell r="E2262" t="str">
            <v>01-Dec-2025</v>
          </cell>
          <cell r="F2262">
            <v>5015.08</v>
          </cell>
          <cell r="G2262">
            <v>1000</v>
          </cell>
          <cell r="H2262">
            <v>5.0149999999999997</v>
          </cell>
          <cell r="I2262">
            <v>0</v>
          </cell>
          <cell r="J2262">
            <v>5.0149999999999997</v>
          </cell>
          <cell r="K2262">
            <v>-1.4999999999999999E-2</v>
          </cell>
          <cell r="P2262">
            <v>0</v>
          </cell>
        </row>
        <row r="2263">
          <cell r="A2263" t="str">
            <v>LU3138720415</v>
          </cell>
          <cell r="B2263" t="str">
            <v>AMUNDI FUNDS US EQUITY HIGH INCOME</v>
          </cell>
          <cell r="C2263" t="str">
            <v>Class I2 USD (C)</v>
          </cell>
          <cell r="D2263" t="str">
            <v>USD</v>
          </cell>
          <cell r="E2263" t="str">
            <v>01-Dec-2025</v>
          </cell>
          <cell r="F2263">
            <v>5139520.3600000003</v>
          </cell>
          <cell r="G2263">
            <v>5086.192</v>
          </cell>
          <cell r="H2263">
            <v>1010.48</v>
          </cell>
          <cell r="I2263">
            <v>0</v>
          </cell>
          <cell r="J2263">
            <v>1010.48</v>
          </cell>
          <cell r="K2263">
            <v>-0.79</v>
          </cell>
          <cell r="P2263">
            <v>0</v>
          </cell>
        </row>
        <row r="2264">
          <cell r="A2264" t="str">
            <v>LU3208828932</v>
          </cell>
          <cell r="B2264" t="str">
            <v>AMUNDI FUNDS US EQUITY HIGH INCOME</v>
          </cell>
          <cell r="C2264" t="str">
            <v>Class G2 EUR QTD (D)</v>
          </cell>
          <cell r="D2264" t="str">
            <v>EUR</v>
          </cell>
          <cell r="E2264" t="str">
            <v>01-Dec-2025</v>
          </cell>
          <cell r="F2264">
            <v>5015.6099999999997</v>
          </cell>
          <cell r="G2264">
            <v>1000</v>
          </cell>
          <cell r="H2264">
            <v>5.016</v>
          </cell>
          <cell r="I2264">
            <v>0</v>
          </cell>
          <cell r="J2264">
            <v>5.016</v>
          </cell>
          <cell r="K2264">
            <v>-1.4999999999999999E-2</v>
          </cell>
          <cell r="P2264">
            <v>0</v>
          </cell>
        </row>
        <row r="2265">
          <cell r="A2265" t="str">
            <v>LU3208827298</v>
          </cell>
          <cell r="B2265" t="str">
            <v>AMUNDI FUNDS US EQUITY HIGH INCOME</v>
          </cell>
          <cell r="C2265" t="str">
            <v>Class G2 EUR (C)</v>
          </cell>
          <cell r="D2265" t="str">
            <v>EUR</v>
          </cell>
          <cell r="E2265" t="str">
            <v>01-Dec-2025</v>
          </cell>
          <cell r="F2265">
            <v>5015.6099999999997</v>
          </cell>
          <cell r="G2265">
            <v>1000</v>
          </cell>
          <cell r="H2265">
            <v>5.016</v>
          </cell>
          <cell r="I2265">
            <v>0</v>
          </cell>
          <cell r="J2265">
            <v>5.016</v>
          </cell>
          <cell r="K2265">
            <v>-1.4999999999999999E-2</v>
          </cell>
          <cell r="P2265">
            <v>0</v>
          </cell>
        </row>
        <row r="2266">
          <cell r="A2266" t="str">
            <v>LU3138720506</v>
          </cell>
          <cell r="B2266" t="str">
            <v>AMUNDI FUNDS US EQUITY HIGH INCOME</v>
          </cell>
          <cell r="C2266" t="str">
            <v>Class R2 USD (C)</v>
          </cell>
          <cell r="D2266" t="str">
            <v>USD</v>
          </cell>
          <cell r="E2266" t="str">
            <v>01-Dec-2025</v>
          </cell>
          <cell r="F2266">
            <v>5050.8599999999997</v>
          </cell>
          <cell r="G2266">
            <v>100</v>
          </cell>
          <cell r="H2266">
            <v>50.51</v>
          </cell>
          <cell r="I2266">
            <v>0</v>
          </cell>
          <cell r="J2266">
            <v>50.51</v>
          </cell>
          <cell r="K2266">
            <v>-0.04</v>
          </cell>
          <cell r="P2266">
            <v>0</v>
          </cell>
        </row>
        <row r="2267">
          <cell r="A2267" t="str">
            <v>LU3138720761</v>
          </cell>
          <cell r="B2267" t="str">
            <v>AMUNDI FUNDS US EQUITY HIGH INCOME</v>
          </cell>
          <cell r="C2267" t="str">
            <v>Class Z3 USD (C)</v>
          </cell>
          <cell r="D2267" t="str">
            <v>USD</v>
          </cell>
          <cell r="E2267" t="str">
            <v>01-Dec-2025</v>
          </cell>
          <cell r="F2267">
            <v>21872469.57</v>
          </cell>
          <cell r="G2267">
            <v>21637.319</v>
          </cell>
          <cell r="H2267">
            <v>1010.87</v>
          </cell>
          <cell r="I2267">
            <v>0</v>
          </cell>
          <cell r="J2267">
            <v>1010.87</v>
          </cell>
          <cell r="K2267">
            <v>-0.76</v>
          </cell>
          <cell r="P2267">
            <v>0</v>
          </cell>
        </row>
        <row r="2268">
          <cell r="A2268" t="str">
            <v>LU0281585215</v>
          </cell>
          <cell r="B2268" t="str">
            <v>Amundi S.F. - Euro Curve 10 + Year</v>
          </cell>
          <cell r="C2268" t="str">
            <v>Class A Distributing Annually</v>
          </cell>
          <cell r="D2268" t="str">
            <v>EUR</v>
          </cell>
          <cell r="E2268" t="str">
            <v>01-Dec-2025</v>
          </cell>
          <cell r="F2268">
            <v>1013815.38</v>
          </cell>
          <cell r="G2268">
            <v>13554.2</v>
          </cell>
          <cell r="H2268">
            <v>74.8</v>
          </cell>
          <cell r="I2268">
            <v>0</v>
          </cell>
          <cell r="J2268">
            <v>77.040000000000006</v>
          </cell>
          <cell r="K2268">
            <v>-0.69</v>
          </cell>
          <cell r="P2268">
            <v>0</v>
          </cell>
        </row>
        <row r="2269">
          <cell r="A2269" t="str">
            <v>LU0271691981</v>
          </cell>
          <cell r="B2269" t="str">
            <v>Amundi S.F. - Euro Curve 10 + Year</v>
          </cell>
          <cell r="C2269" t="str">
            <v>Class E Non - Distributing</v>
          </cell>
          <cell r="D2269" t="str">
            <v>EUR</v>
          </cell>
          <cell r="E2269" t="str">
            <v>01-Dec-2025</v>
          </cell>
          <cell r="F2269">
            <v>18041357.949999999</v>
          </cell>
          <cell r="G2269">
            <v>2536409.08</v>
          </cell>
          <cell r="H2269">
            <v>7.1130000000000004</v>
          </cell>
          <cell r="I2269">
            <v>0</v>
          </cell>
          <cell r="J2269">
            <v>7.1130000000000004</v>
          </cell>
          <cell r="K2269">
            <v>-6.6000000000000003E-2</v>
          </cell>
          <cell r="P2269">
            <v>0</v>
          </cell>
        </row>
        <row r="2270">
          <cell r="A2270" t="str">
            <v>LU0857391741</v>
          </cell>
          <cell r="B2270" t="str">
            <v>Amundi S.F. - Euro Curve 10 + Year</v>
          </cell>
          <cell r="C2270" t="str">
            <v>Class E Distributing Quarterly Target</v>
          </cell>
          <cell r="D2270" t="str">
            <v>EUR</v>
          </cell>
          <cell r="E2270" t="str">
            <v>01-Dec-2025</v>
          </cell>
          <cell r="F2270">
            <v>2485228.48</v>
          </cell>
          <cell r="G2270">
            <v>552392.72100000002</v>
          </cell>
          <cell r="H2270">
            <v>4.4989999999999997</v>
          </cell>
          <cell r="I2270">
            <v>0</v>
          </cell>
          <cell r="J2270">
            <v>4.4989999999999997</v>
          </cell>
          <cell r="K2270">
            <v>-4.2000000000000003E-2</v>
          </cell>
          <cell r="P2270">
            <v>0</v>
          </cell>
        </row>
        <row r="2271">
          <cell r="A2271" t="str">
            <v>LU0271692013</v>
          </cell>
          <cell r="B2271" t="str">
            <v>Amundi S.F. - Euro Curve 10 + Year</v>
          </cell>
          <cell r="C2271" t="str">
            <v>Class F Non - Distributing</v>
          </cell>
          <cell r="D2271" t="str">
            <v>EUR</v>
          </cell>
          <cell r="E2271" t="str">
            <v>01-Dec-2025</v>
          </cell>
          <cell r="F2271">
            <v>6397238.6699999999</v>
          </cell>
          <cell r="G2271">
            <v>1004519.775</v>
          </cell>
          <cell r="H2271">
            <v>6.3680000000000003</v>
          </cell>
          <cell r="I2271">
            <v>0</v>
          </cell>
          <cell r="J2271">
            <v>6.3680000000000003</v>
          </cell>
          <cell r="K2271">
            <v>-0.06</v>
          </cell>
          <cell r="P2271">
            <v>0</v>
          </cell>
        </row>
        <row r="2272">
          <cell r="A2272" t="str">
            <v>LU0433266516</v>
          </cell>
          <cell r="B2272" t="str">
            <v>Amundi S.F. - Euro Curve 10 + Year</v>
          </cell>
          <cell r="C2272" t="str">
            <v>Class I Non - Distributing</v>
          </cell>
          <cell r="D2272" t="str">
            <v>EUR</v>
          </cell>
          <cell r="E2272" t="str">
            <v>01-Dec-2025</v>
          </cell>
          <cell r="F2272">
            <v>7936.78</v>
          </cell>
          <cell r="G2272">
            <v>5</v>
          </cell>
          <cell r="H2272">
            <v>1587.36</v>
          </cell>
          <cell r="I2272">
            <v>0</v>
          </cell>
          <cell r="J2272">
            <v>1587.36</v>
          </cell>
          <cell r="K2272">
            <v>-14.64</v>
          </cell>
          <cell r="P2272">
            <v>0</v>
          </cell>
        </row>
        <row r="2273">
          <cell r="A2273" t="str">
            <v>LU0332132397</v>
          </cell>
          <cell r="B2273" t="str">
            <v>Amundi S.F. - Euro Curve 10 + Year</v>
          </cell>
          <cell r="C2273" t="str">
            <v>Class H Non - Distributing</v>
          </cell>
          <cell r="D2273" t="str">
            <v>EUR</v>
          </cell>
          <cell r="E2273" t="str">
            <v>01-Dec-2025</v>
          </cell>
          <cell r="F2273">
            <v>24211665.120000001</v>
          </cell>
          <cell r="G2273">
            <v>14670.123</v>
          </cell>
          <cell r="H2273">
            <v>1650.41</v>
          </cell>
          <cell r="I2273">
            <v>0</v>
          </cell>
          <cell r="J2273">
            <v>1683.42</v>
          </cell>
          <cell r="K2273">
            <v>-15.25</v>
          </cell>
          <cell r="P2273">
            <v>0</v>
          </cell>
        </row>
        <row r="2274">
          <cell r="A2274" t="str">
            <v>LU0536711285</v>
          </cell>
          <cell r="B2274" t="str">
            <v>Amundi S.F. - Euro Curve 7-10 Year</v>
          </cell>
          <cell r="C2274" t="str">
            <v>Class A Distributing</v>
          </cell>
          <cell r="D2274" t="str">
            <v>EUR</v>
          </cell>
          <cell r="E2274" t="str">
            <v>01-Dec-2025</v>
          </cell>
          <cell r="F2274">
            <v>9091.2999999999993</v>
          </cell>
          <cell r="G2274">
            <v>140.005</v>
          </cell>
          <cell r="H2274">
            <v>64.94</v>
          </cell>
          <cell r="I2274">
            <v>8.8570000000000003E-3</v>
          </cell>
          <cell r="J2274">
            <v>66.89</v>
          </cell>
          <cell r="K2274">
            <v>-0.32</v>
          </cell>
          <cell r="P2274">
            <v>0</v>
          </cell>
        </row>
        <row r="2275">
          <cell r="A2275" t="str">
            <v>LU0536711103</v>
          </cell>
          <cell r="B2275" t="str">
            <v>Amundi S.F. - Euro Curve 7-10 Year</v>
          </cell>
          <cell r="C2275" t="str">
            <v>Class A Distributing Annually</v>
          </cell>
          <cell r="D2275" t="str">
            <v>EUR</v>
          </cell>
          <cell r="E2275" t="str">
            <v>01-Dec-2025</v>
          </cell>
          <cell r="F2275">
            <v>11012663.35</v>
          </cell>
          <cell r="G2275">
            <v>158618.171</v>
          </cell>
          <cell r="H2275">
            <v>69.430000000000007</v>
          </cell>
          <cell r="I2275">
            <v>0</v>
          </cell>
          <cell r="J2275">
            <v>71.510000000000005</v>
          </cell>
          <cell r="K2275">
            <v>-0.34</v>
          </cell>
          <cell r="P2275">
            <v>0</v>
          </cell>
        </row>
        <row r="2276">
          <cell r="A2276" t="str">
            <v>LU0367810172</v>
          </cell>
          <cell r="B2276" t="str">
            <v>Amundi S.F. - Euro Curve 7-10 Year</v>
          </cell>
          <cell r="C2276" t="str">
            <v>Class A Non - Distributing</v>
          </cell>
          <cell r="D2276" t="str">
            <v>EUR</v>
          </cell>
          <cell r="E2276" t="str">
            <v>01-Dec-2025</v>
          </cell>
          <cell r="F2276">
            <v>6727549.3200000003</v>
          </cell>
          <cell r="G2276">
            <v>82522.201000000001</v>
          </cell>
          <cell r="H2276">
            <v>81.52</v>
          </cell>
          <cell r="I2276">
            <v>0</v>
          </cell>
          <cell r="J2276">
            <v>83.97</v>
          </cell>
          <cell r="K2276">
            <v>-0.4</v>
          </cell>
          <cell r="P2276">
            <v>0</v>
          </cell>
        </row>
        <row r="2277">
          <cell r="A2277" t="str">
            <v>LU0536711442</v>
          </cell>
          <cell r="B2277" t="str">
            <v>Amundi S.F. - Euro Curve 7-10 Year</v>
          </cell>
          <cell r="C2277" t="str">
            <v>Class C Non - Distributing</v>
          </cell>
          <cell r="D2277" t="str">
            <v>EUR</v>
          </cell>
          <cell r="E2277" t="str">
            <v>01-Dec-2025</v>
          </cell>
          <cell r="F2277">
            <v>8828.19</v>
          </cell>
          <cell r="G2277">
            <v>145.167</v>
          </cell>
          <cell r="H2277">
            <v>60.81</v>
          </cell>
          <cell r="I2277">
            <v>0</v>
          </cell>
          <cell r="J2277">
            <v>60.81</v>
          </cell>
          <cell r="K2277">
            <v>-0.31</v>
          </cell>
          <cell r="P2277">
            <v>0</v>
          </cell>
        </row>
        <row r="2278">
          <cell r="A2278" t="str">
            <v>LU0271693920</v>
          </cell>
          <cell r="B2278" t="str">
            <v>Amundi S.F. - Euro Curve 7-10 Year</v>
          </cell>
          <cell r="C2278" t="str">
            <v>Class E Non - Distributing</v>
          </cell>
          <cell r="D2278" t="str">
            <v>EUR</v>
          </cell>
          <cell r="E2278" t="str">
            <v>01-Dec-2025</v>
          </cell>
          <cell r="F2278">
            <v>17125531.949999999</v>
          </cell>
          <cell r="G2278">
            <v>2276083.2930000001</v>
          </cell>
          <cell r="H2278">
            <v>7.524</v>
          </cell>
          <cell r="I2278">
            <v>0</v>
          </cell>
          <cell r="J2278">
            <v>7.524</v>
          </cell>
          <cell r="K2278">
            <v>-3.6999999999999998E-2</v>
          </cell>
          <cell r="P2278">
            <v>0</v>
          </cell>
        </row>
        <row r="2279">
          <cell r="A2279" t="str">
            <v>LU0857391824</v>
          </cell>
          <cell r="B2279" t="str">
            <v>Amundi S.F. - Euro Curve 7-10 Year</v>
          </cell>
          <cell r="C2279" t="str">
            <v>Class E Distributing Quarterly Target</v>
          </cell>
          <cell r="D2279" t="str">
            <v>EUR</v>
          </cell>
          <cell r="E2279" t="str">
            <v>01-Dec-2025</v>
          </cell>
          <cell r="F2279">
            <v>507229.59</v>
          </cell>
          <cell r="G2279">
            <v>105563.114</v>
          </cell>
          <cell r="H2279">
            <v>4.8049999999999997</v>
          </cell>
          <cell r="I2279">
            <v>0</v>
          </cell>
          <cell r="J2279">
            <v>4.8049999999999997</v>
          </cell>
          <cell r="K2279">
            <v>-2.4E-2</v>
          </cell>
          <cell r="P2279">
            <v>0</v>
          </cell>
        </row>
        <row r="2280">
          <cell r="A2280" t="str">
            <v>LU0271694654</v>
          </cell>
          <cell r="B2280" t="str">
            <v>Amundi S.F. - Euro Curve 7-10 Year</v>
          </cell>
          <cell r="C2280" t="str">
            <v>Class F Non - Distributing</v>
          </cell>
          <cell r="D2280" t="str">
            <v>EUR</v>
          </cell>
          <cell r="E2280" t="str">
            <v>01-Dec-2025</v>
          </cell>
          <cell r="F2280">
            <v>2105997.65</v>
          </cell>
          <cell r="G2280">
            <v>312729.41600000003</v>
          </cell>
          <cell r="H2280">
            <v>6.734</v>
          </cell>
          <cell r="I2280">
            <v>0</v>
          </cell>
          <cell r="J2280">
            <v>6.734</v>
          </cell>
          <cell r="K2280">
            <v>-3.4000000000000002E-2</v>
          </cell>
          <cell r="P2280">
            <v>0</v>
          </cell>
        </row>
        <row r="2281">
          <cell r="A2281" t="str">
            <v>LU0433266433</v>
          </cell>
          <cell r="B2281" t="str">
            <v>Amundi S.F. - Euro Curve 7-10 Year</v>
          </cell>
          <cell r="C2281" t="str">
            <v>Class I Non - Distributing</v>
          </cell>
          <cell r="D2281" t="str">
            <v>EUR</v>
          </cell>
          <cell r="E2281" t="str">
            <v>01-Dec-2025</v>
          </cell>
          <cell r="F2281">
            <v>459633.94</v>
          </cell>
          <cell r="G2281">
            <v>304.01100000000002</v>
          </cell>
          <cell r="H2281">
            <v>1511.9</v>
          </cell>
          <cell r="I2281">
            <v>0</v>
          </cell>
          <cell r="J2281">
            <v>1511.9</v>
          </cell>
          <cell r="K2281">
            <v>-7.3</v>
          </cell>
          <cell r="P2281">
            <v>0</v>
          </cell>
        </row>
        <row r="2282">
          <cell r="A2282" t="str">
            <v>LU1706854665</v>
          </cell>
          <cell r="B2282" t="str">
            <v>Amundi S.F. - Euro Curve 7-10 Year</v>
          </cell>
          <cell r="C2282" t="str">
            <v>Class R Distributing</v>
          </cell>
          <cell r="D2282" t="str">
            <v>EUR</v>
          </cell>
          <cell r="E2282" t="str">
            <v>01-Dec-2025</v>
          </cell>
          <cell r="F2282">
            <v>4829.26</v>
          </cell>
          <cell r="G2282">
            <v>105.64700000000001</v>
          </cell>
          <cell r="H2282">
            <v>45.71</v>
          </cell>
          <cell r="I2282">
            <v>6.8149999999999999E-3</v>
          </cell>
          <cell r="J2282">
            <v>45.71</v>
          </cell>
          <cell r="K2282">
            <v>-0.23</v>
          </cell>
          <cell r="P2282">
            <v>0</v>
          </cell>
        </row>
        <row r="2283">
          <cell r="A2283" t="str">
            <v>LU1706853857</v>
          </cell>
          <cell r="B2283" t="str">
            <v>Amundi S.F. - Euro Curve 7-10 Year</v>
          </cell>
          <cell r="C2283" t="str">
            <v>Class R Non - Distributing</v>
          </cell>
          <cell r="D2283" t="str">
            <v>EUR</v>
          </cell>
          <cell r="E2283" t="str">
            <v>01-Dec-2025</v>
          </cell>
          <cell r="F2283">
            <v>59842.89</v>
          </cell>
          <cell r="G2283">
            <v>1227.8489999999999</v>
          </cell>
          <cell r="H2283">
            <v>48.74</v>
          </cell>
          <cell r="I2283">
            <v>0</v>
          </cell>
          <cell r="J2283">
            <v>48.74</v>
          </cell>
          <cell r="K2283">
            <v>-0.23</v>
          </cell>
          <cell r="P2283">
            <v>0</v>
          </cell>
        </row>
        <row r="2284">
          <cell r="A2284" t="str">
            <v>LU0332132041</v>
          </cell>
          <cell r="B2284" t="str">
            <v>Amundi S.F. - Euro Curve 7-10 Year</v>
          </cell>
          <cell r="C2284" t="str">
            <v>Class H Non - Distributing</v>
          </cell>
          <cell r="D2284" t="str">
            <v>EUR</v>
          </cell>
          <cell r="E2284" t="str">
            <v>01-Dec-2025</v>
          </cell>
          <cell r="F2284">
            <v>20329536.039999999</v>
          </cell>
          <cell r="G2284">
            <v>12422.475</v>
          </cell>
          <cell r="H2284">
            <v>1636.51</v>
          </cell>
          <cell r="I2284">
            <v>0</v>
          </cell>
          <cell r="J2284">
            <v>1669.24</v>
          </cell>
          <cell r="K2284">
            <v>-7.93</v>
          </cell>
          <cell r="P2284">
            <v>0</v>
          </cell>
        </row>
        <row r="2285">
          <cell r="A2285" t="str">
            <v>LU0271695388</v>
          </cell>
          <cell r="B2285" t="str">
            <v>Amundi S.F. - EUR Commodities</v>
          </cell>
          <cell r="C2285" t="str">
            <v>Class A Non - Distributing</v>
          </cell>
          <cell r="D2285" t="str">
            <v>EUR</v>
          </cell>
          <cell r="E2285" t="str">
            <v>01-Dec-2025</v>
          </cell>
          <cell r="F2285">
            <v>32725769.09</v>
          </cell>
          <cell r="G2285">
            <v>1064090.165</v>
          </cell>
          <cell r="H2285">
            <v>30.75</v>
          </cell>
          <cell r="I2285">
            <v>0</v>
          </cell>
          <cell r="J2285">
            <v>31.98</v>
          </cell>
          <cell r="K2285">
            <v>0.44</v>
          </cell>
          <cell r="P2285">
            <v>0</v>
          </cell>
        </row>
        <row r="2286">
          <cell r="A2286" t="str">
            <v>LU1694769693</v>
          </cell>
          <cell r="B2286" t="str">
            <v>Amundi S.F. - EUR Commodities</v>
          </cell>
          <cell r="C2286" t="str">
            <v>Class A Hedged Non - Distributing</v>
          </cell>
          <cell r="D2286" t="str">
            <v>CHF</v>
          </cell>
          <cell r="E2286" t="str">
            <v>01-Dec-2025</v>
          </cell>
          <cell r="F2286">
            <v>189015.66</v>
          </cell>
          <cell r="G2286">
            <v>4979.1490000000003</v>
          </cell>
          <cell r="H2286">
            <v>37.96</v>
          </cell>
          <cell r="I2286">
            <v>0</v>
          </cell>
          <cell r="J2286">
            <v>39.479999999999997</v>
          </cell>
          <cell r="K2286">
            <v>0.55000000000000004</v>
          </cell>
          <cell r="P2286">
            <v>0</v>
          </cell>
        </row>
        <row r="2287">
          <cell r="A2287" t="str">
            <v>LU1694769859</v>
          </cell>
          <cell r="B2287" t="str">
            <v>Amundi S.F. - EUR Commodities</v>
          </cell>
          <cell r="C2287" t="str">
            <v>Class A Hedged Non - Distributing</v>
          </cell>
          <cell r="D2287" t="str">
            <v>USD</v>
          </cell>
          <cell r="E2287" t="str">
            <v>01-Dec-2025</v>
          </cell>
          <cell r="F2287">
            <v>19016054.059999999</v>
          </cell>
          <cell r="G2287">
            <v>407165.26</v>
          </cell>
          <cell r="H2287">
            <v>46.7</v>
          </cell>
          <cell r="I2287">
            <v>0</v>
          </cell>
          <cell r="J2287">
            <v>48.57</v>
          </cell>
          <cell r="K2287">
            <v>0.68</v>
          </cell>
          <cell r="P2287">
            <v>0</v>
          </cell>
        </row>
        <row r="2288">
          <cell r="A2288" t="str">
            <v>LU0372625102</v>
          </cell>
          <cell r="B2288" t="str">
            <v>Amundi S.F. - EUR Commodities</v>
          </cell>
          <cell r="C2288" t="str">
            <v>Class C Non - Distributing</v>
          </cell>
          <cell r="D2288" t="str">
            <v>EUR</v>
          </cell>
          <cell r="E2288" t="str">
            <v>01-Dec-2025</v>
          </cell>
          <cell r="F2288">
            <v>457772.51</v>
          </cell>
          <cell r="G2288">
            <v>27070.047999999999</v>
          </cell>
          <cell r="H2288">
            <v>16.91</v>
          </cell>
          <cell r="I2288">
            <v>0</v>
          </cell>
          <cell r="J2288">
            <v>16.91</v>
          </cell>
          <cell r="K2288">
            <v>0.24</v>
          </cell>
          <cell r="P2288">
            <v>0</v>
          </cell>
        </row>
        <row r="2289">
          <cell r="A2289" t="str">
            <v>LU1694770196</v>
          </cell>
          <cell r="B2289" t="str">
            <v>Amundi S.F. - EUR Commodities</v>
          </cell>
          <cell r="C2289" t="str">
            <v>Class C Hedged Non - Distributing</v>
          </cell>
          <cell r="D2289" t="str">
            <v>USD</v>
          </cell>
          <cell r="E2289" t="str">
            <v>01-Dec-2025</v>
          </cell>
          <cell r="F2289">
            <v>123986.39</v>
          </cell>
          <cell r="G2289">
            <v>2507.5439999999999</v>
          </cell>
          <cell r="H2289">
            <v>49.45</v>
          </cell>
          <cell r="I2289">
            <v>0</v>
          </cell>
          <cell r="J2289">
            <v>49.45</v>
          </cell>
          <cell r="K2289">
            <v>0.72</v>
          </cell>
          <cell r="P2289">
            <v>0</v>
          </cell>
        </row>
        <row r="2290">
          <cell r="A2290" t="str">
            <v>LU0273973874</v>
          </cell>
          <cell r="B2290" t="str">
            <v>Amundi S.F. - EUR Commodities</v>
          </cell>
          <cell r="C2290" t="str">
            <v>Class E Non - Distributing</v>
          </cell>
          <cell r="D2290" t="str">
            <v>EUR</v>
          </cell>
          <cell r="E2290" t="str">
            <v>01-Dec-2025</v>
          </cell>
          <cell r="F2290">
            <v>2639555.98</v>
          </cell>
          <cell r="G2290">
            <v>959585.52800000005</v>
          </cell>
          <cell r="H2290">
            <v>2.7509999999999999</v>
          </cell>
          <cell r="I2290">
            <v>0</v>
          </cell>
          <cell r="J2290">
            <v>2.7509999999999999</v>
          </cell>
          <cell r="K2290">
            <v>0.04</v>
          </cell>
          <cell r="P2290">
            <v>0</v>
          </cell>
        </row>
        <row r="2291">
          <cell r="A2291" t="str">
            <v>LU0273974336</v>
          </cell>
          <cell r="B2291" t="str">
            <v>Amundi S.F. - EUR Commodities</v>
          </cell>
          <cell r="C2291" t="str">
            <v>Class F Non - Distributing</v>
          </cell>
          <cell r="D2291" t="str">
            <v>EUR</v>
          </cell>
          <cell r="E2291" t="str">
            <v>01-Dec-2025</v>
          </cell>
          <cell r="F2291">
            <v>2220567.9700000002</v>
          </cell>
          <cell r="G2291">
            <v>929331.19200000004</v>
          </cell>
          <cell r="H2291">
            <v>2.3889999999999998</v>
          </cell>
          <cell r="I2291">
            <v>0</v>
          </cell>
          <cell r="J2291">
            <v>2.3889999999999998</v>
          </cell>
          <cell r="K2291">
            <v>3.4000000000000002E-2</v>
          </cell>
          <cell r="P2291">
            <v>0</v>
          </cell>
        </row>
        <row r="2292">
          <cell r="A2292" t="str">
            <v>LU1694770352</v>
          </cell>
          <cell r="B2292" t="str">
            <v>Amundi S.F. - EUR Commodities</v>
          </cell>
          <cell r="C2292" t="str">
            <v>Class I Distributing Annually</v>
          </cell>
          <cell r="D2292" t="str">
            <v>EUR</v>
          </cell>
          <cell r="E2292" t="str">
            <v>01-Dec-2025</v>
          </cell>
          <cell r="F2292">
            <v>97085.81</v>
          </cell>
          <cell r="G2292">
            <v>176</v>
          </cell>
          <cell r="H2292">
            <v>551.62</v>
          </cell>
          <cell r="I2292">
            <v>0</v>
          </cell>
          <cell r="J2292">
            <v>551.62</v>
          </cell>
          <cell r="K2292">
            <v>8.0500000000000007</v>
          </cell>
          <cell r="P2292">
            <v>0</v>
          </cell>
        </row>
        <row r="2293">
          <cell r="A2293" t="str">
            <v>LU0271695461</v>
          </cell>
          <cell r="B2293" t="str">
            <v>Amundi S.F. - EUR Commodities</v>
          </cell>
          <cell r="C2293" t="str">
            <v>Class I Non - Distributing</v>
          </cell>
          <cell r="D2293" t="str">
            <v>EUR</v>
          </cell>
          <cell r="E2293" t="str">
            <v>01-Dec-2025</v>
          </cell>
          <cell r="F2293">
            <v>35693629.600000001</v>
          </cell>
          <cell r="G2293">
            <v>57342.661</v>
          </cell>
          <cell r="H2293">
            <v>622.46</v>
          </cell>
          <cell r="I2293">
            <v>0</v>
          </cell>
          <cell r="J2293">
            <v>622.46</v>
          </cell>
          <cell r="K2293">
            <v>9.08</v>
          </cell>
          <cell r="P2293">
            <v>0</v>
          </cell>
        </row>
        <row r="2294">
          <cell r="A2294" t="str">
            <v>LU0419230916</v>
          </cell>
          <cell r="B2294" t="str">
            <v>Amundi S.F. - EUR Commodities</v>
          </cell>
          <cell r="C2294" t="str">
            <v>Class I Hedge Non - Distributing</v>
          </cell>
          <cell r="D2294" t="str">
            <v>USD</v>
          </cell>
          <cell r="E2294" t="str">
            <v>01-Dec-2025</v>
          </cell>
          <cell r="F2294">
            <v>13010613.27</v>
          </cell>
          <cell r="G2294">
            <v>11814.223</v>
          </cell>
          <cell r="H2294">
            <v>1101.27</v>
          </cell>
          <cell r="I2294">
            <v>0</v>
          </cell>
          <cell r="J2294">
            <v>1101.27</v>
          </cell>
          <cell r="K2294">
            <v>16.16</v>
          </cell>
          <cell r="P2294">
            <v>0</v>
          </cell>
        </row>
        <row r="2295">
          <cell r="A2295" t="str">
            <v>LU1706853931</v>
          </cell>
          <cell r="B2295" t="str">
            <v>Amundi S.F. - EUR Commodities</v>
          </cell>
          <cell r="C2295" t="str">
            <v>Class R Non - Distributing</v>
          </cell>
          <cell r="D2295" t="str">
            <v>EUR</v>
          </cell>
          <cell r="E2295" t="str">
            <v>01-Dec-2025</v>
          </cell>
          <cell r="F2295">
            <v>7285773.21</v>
          </cell>
          <cell r="G2295">
            <v>113879.823</v>
          </cell>
          <cell r="H2295">
            <v>63.98</v>
          </cell>
          <cell r="I2295">
            <v>0</v>
          </cell>
          <cell r="J2295">
            <v>63.98</v>
          </cell>
          <cell r="K2295">
            <v>0.94</v>
          </cell>
          <cell r="P2295">
            <v>0</v>
          </cell>
        </row>
        <row r="2296">
          <cell r="A2296" t="str">
            <v>LU1706854582</v>
          </cell>
          <cell r="B2296" t="str">
            <v>Amundi S.F. - EUR Commodities</v>
          </cell>
          <cell r="C2296" t="str">
            <v>Class R Hedged Non - Distributing</v>
          </cell>
          <cell r="D2296" t="str">
            <v>USD</v>
          </cell>
          <cell r="E2296" t="str">
            <v>01-Dec-2025</v>
          </cell>
          <cell r="F2296">
            <v>405667.62</v>
          </cell>
          <cell r="G2296">
            <v>6358.3760000000002</v>
          </cell>
          <cell r="H2296">
            <v>63.8</v>
          </cell>
          <cell r="I2296">
            <v>0</v>
          </cell>
          <cell r="J2296">
            <v>66.349999999999994</v>
          </cell>
          <cell r="K2296">
            <v>0.93</v>
          </cell>
          <cell r="P2296">
            <v>0</v>
          </cell>
        </row>
        <row r="2297">
          <cell r="A2297" t="str">
            <v>LU0484923635</v>
          </cell>
          <cell r="B2297" t="str">
            <v>Amundi S.F. - EUR Commodities</v>
          </cell>
          <cell r="C2297" t="str">
            <v>Class H Distributing Annually</v>
          </cell>
          <cell r="D2297" t="str">
            <v>EUR</v>
          </cell>
          <cell r="E2297" t="str">
            <v>01-Dec-2025</v>
          </cell>
          <cell r="F2297">
            <v>2370.12</v>
          </cell>
          <cell r="G2297">
            <v>3</v>
          </cell>
          <cell r="H2297">
            <v>790.04</v>
          </cell>
          <cell r="I2297">
            <v>0</v>
          </cell>
          <cell r="J2297">
            <v>805.84</v>
          </cell>
          <cell r="K2297">
            <v>11.53</v>
          </cell>
          <cell r="P2297">
            <v>0</v>
          </cell>
        </row>
        <row r="2298">
          <cell r="A2298" t="str">
            <v>LU0271872185</v>
          </cell>
          <cell r="B2298" t="str">
            <v>Amundi S.F. - EUR Commodities</v>
          </cell>
          <cell r="C2298" t="str">
            <v>Class H Non - Distributing</v>
          </cell>
          <cell r="D2298" t="str">
            <v>EUR</v>
          </cell>
          <cell r="E2298" t="str">
            <v>01-Dec-2025</v>
          </cell>
          <cell r="F2298">
            <v>29131169.5</v>
          </cell>
          <cell r="G2298">
            <v>48507.567000000003</v>
          </cell>
          <cell r="H2298">
            <v>600.54999999999995</v>
          </cell>
          <cell r="I2298">
            <v>0</v>
          </cell>
          <cell r="J2298">
            <v>612.55999999999995</v>
          </cell>
          <cell r="K2298">
            <v>8.76</v>
          </cell>
          <cell r="P2298">
            <v>0</v>
          </cell>
        </row>
        <row r="2299">
          <cell r="A2299" t="str">
            <v>LU1772191695</v>
          </cell>
          <cell r="B2299" t="str">
            <v>Amundi S.F. - EUR Commodities</v>
          </cell>
          <cell r="C2299" t="str">
            <v>Class H Hedged Non - Distributing</v>
          </cell>
          <cell r="D2299" t="str">
            <v>USD</v>
          </cell>
          <cell r="E2299" t="str">
            <v>01-Dec-2025</v>
          </cell>
          <cell r="F2299">
            <v>18107.61</v>
          </cell>
          <cell r="G2299">
            <v>12.641999999999999</v>
          </cell>
          <cell r="H2299">
            <v>1432.34</v>
          </cell>
          <cell r="I2299">
            <v>0</v>
          </cell>
          <cell r="J2299">
            <v>1432.34</v>
          </cell>
          <cell r="K2299">
            <v>21.02</v>
          </cell>
          <cell r="P2299">
            <v>0</v>
          </cell>
        </row>
        <row r="2300">
          <cell r="A2300" t="str">
            <v>LU1410363276</v>
          </cell>
          <cell r="B2300" t="str">
            <v>Amundi S.F. - Abs Return Multi-Strategy Control</v>
          </cell>
          <cell r="C2300" t="str">
            <v>Class A Non - Distributing</v>
          </cell>
          <cell r="D2300" t="str">
            <v>EUR</v>
          </cell>
          <cell r="E2300" t="str">
            <v>01-Dec-2025</v>
          </cell>
          <cell r="F2300">
            <v>5478.22</v>
          </cell>
          <cell r="G2300">
            <v>102.208</v>
          </cell>
          <cell r="H2300">
            <v>53.6</v>
          </cell>
          <cell r="I2300">
            <v>0</v>
          </cell>
          <cell r="J2300">
            <v>55.74</v>
          </cell>
          <cell r="K2300">
            <v>-0.11</v>
          </cell>
          <cell r="P2300">
            <v>0</v>
          </cell>
        </row>
        <row r="2301">
          <cell r="A2301" t="str">
            <v>LU1410363359</v>
          </cell>
          <cell r="B2301" t="str">
            <v>Amundi S.F. - Abs Return Multi-Strategy Control</v>
          </cell>
          <cell r="C2301" t="str">
            <v>Class E Non - Distributing</v>
          </cell>
          <cell r="D2301" t="str">
            <v>EUR</v>
          </cell>
          <cell r="E2301" t="str">
            <v>01-Dec-2025</v>
          </cell>
          <cell r="F2301">
            <v>211686.66</v>
          </cell>
          <cell r="G2301">
            <v>39708.652000000002</v>
          </cell>
          <cell r="H2301">
            <v>5.3310000000000004</v>
          </cell>
          <cell r="I2301">
            <v>0</v>
          </cell>
          <cell r="J2301">
            <v>5.3310000000000004</v>
          </cell>
          <cell r="K2301">
            <v>-1.2E-2</v>
          </cell>
          <cell r="P2301">
            <v>0</v>
          </cell>
        </row>
        <row r="2302">
          <cell r="A2302" t="str">
            <v>LU1706854822</v>
          </cell>
          <cell r="B2302" t="str">
            <v>Amundi S.F. - Abs Return Multi-Strategy Control</v>
          </cell>
          <cell r="C2302" t="str">
            <v>Class R Non - Distributing</v>
          </cell>
          <cell r="D2302" t="str">
            <v>EUR</v>
          </cell>
          <cell r="E2302" t="str">
            <v>01-Dec-2025</v>
          </cell>
          <cell r="F2302">
            <v>5472.58</v>
          </cell>
          <cell r="G2302">
            <v>100</v>
          </cell>
          <cell r="H2302">
            <v>54.73</v>
          </cell>
          <cell r="I2302">
            <v>0</v>
          </cell>
          <cell r="J2302">
            <v>54.73</v>
          </cell>
          <cell r="K2302">
            <v>-0.11</v>
          </cell>
          <cell r="P2302">
            <v>0</v>
          </cell>
        </row>
        <row r="2303">
          <cell r="A2303" t="str">
            <v>LU1410363433</v>
          </cell>
          <cell r="B2303" t="str">
            <v>Amundi S.F. - Abs Return Multi-Strategy Control</v>
          </cell>
          <cell r="C2303" t="str">
            <v>Class H Non - Distributing</v>
          </cell>
          <cell r="D2303" t="str">
            <v>EUR</v>
          </cell>
          <cell r="E2303" t="str">
            <v>01-Dec-2025</v>
          </cell>
          <cell r="F2303">
            <v>96731761.140000001</v>
          </cell>
          <cell r="G2303">
            <v>86717.963000000003</v>
          </cell>
          <cell r="H2303">
            <v>1115.48</v>
          </cell>
          <cell r="I2303">
            <v>0</v>
          </cell>
          <cell r="J2303">
            <v>1137.79</v>
          </cell>
          <cell r="K2303">
            <v>-2.38</v>
          </cell>
          <cell r="P2303">
            <v>0</v>
          </cell>
        </row>
        <row r="2304">
          <cell r="A2304" t="str">
            <v>LU2357810188</v>
          </cell>
          <cell r="B2304" t="str">
            <v>Amundi S.F. - Diversified Short-Term Bond Select</v>
          </cell>
          <cell r="C2304" t="str">
            <v>Class A Distributing Annually</v>
          </cell>
          <cell r="D2304" t="str">
            <v>EUR</v>
          </cell>
          <cell r="E2304" t="str">
            <v>01-Dec-2025</v>
          </cell>
          <cell r="F2304">
            <v>32106250.300000001</v>
          </cell>
          <cell r="G2304">
            <v>615418.21299999999</v>
          </cell>
          <cell r="H2304">
            <v>52.17</v>
          </cell>
          <cell r="I2304">
            <v>0</v>
          </cell>
          <cell r="J2304">
            <v>53.21</v>
          </cell>
          <cell r="K2304">
            <v>0.01</v>
          </cell>
          <cell r="P2304">
            <v>0</v>
          </cell>
        </row>
        <row r="2305">
          <cell r="A2305" t="str">
            <v>LU1706854152</v>
          </cell>
          <cell r="B2305" t="str">
            <v>Amundi S.F. - Diversified Short-Term Bond Select</v>
          </cell>
          <cell r="C2305" t="str">
            <v>Class A Non - Distributing</v>
          </cell>
          <cell r="D2305" t="str">
            <v>EUR</v>
          </cell>
          <cell r="E2305" t="str">
            <v>01-Dec-2025</v>
          </cell>
          <cell r="F2305">
            <v>679831252.35000002</v>
          </cell>
          <cell r="G2305">
            <v>11699151.753</v>
          </cell>
          <cell r="H2305">
            <v>58.11</v>
          </cell>
          <cell r="I2305">
            <v>0</v>
          </cell>
          <cell r="J2305">
            <v>59.27</v>
          </cell>
          <cell r="K2305">
            <v>0.01</v>
          </cell>
          <cell r="P2305">
            <v>0</v>
          </cell>
        </row>
        <row r="2306">
          <cell r="A2306" t="str">
            <v>LU1499628912</v>
          </cell>
          <cell r="B2306" t="str">
            <v>Amundi S.F. - Diversified Short-Term Bond Select</v>
          </cell>
          <cell r="C2306" t="str">
            <v>Class E Non - Distributing</v>
          </cell>
          <cell r="D2306" t="str">
            <v>EUR</v>
          </cell>
          <cell r="E2306" t="str">
            <v>01-Dec-2025</v>
          </cell>
          <cell r="F2306">
            <v>437243239.95999998</v>
          </cell>
          <cell r="G2306">
            <v>74396272.755999997</v>
          </cell>
          <cell r="H2306">
            <v>5.8769999999999998</v>
          </cell>
          <cell r="I2306">
            <v>0</v>
          </cell>
          <cell r="J2306">
            <v>5.8769999999999998</v>
          </cell>
          <cell r="K2306">
            <v>1E-3</v>
          </cell>
          <cell r="P2306">
            <v>0</v>
          </cell>
        </row>
        <row r="2307">
          <cell r="A2307" t="str">
            <v>LU1706854319</v>
          </cell>
          <cell r="B2307" t="str">
            <v>Amundi S.F. - Diversified Short-Term Bond Select</v>
          </cell>
          <cell r="C2307" t="str">
            <v>Class E Non - Distributing</v>
          </cell>
          <cell r="D2307" t="str">
            <v>USD</v>
          </cell>
          <cell r="E2307" t="str">
            <v>01-Dec-2025</v>
          </cell>
          <cell r="F2307">
            <v>508513888.06999999</v>
          </cell>
          <cell r="G2307">
            <v>74396272.755999997</v>
          </cell>
          <cell r="H2307">
            <v>6.835</v>
          </cell>
          <cell r="I2307">
            <v>0</v>
          </cell>
          <cell r="J2307">
            <v>6.835</v>
          </cell>
          <cell r="K2307">
            <v>1.4999999999999999E-2</v>
          </cell>
          <cell r="P2307">
            <v>0</v>
          </cell>
        </row>
        <row r="2308">
          <cell r="A2308" t="str">
            <v>LU1706854236</v>
          </cell>
          <cell r="B2308" t="str">
            <v>Amundi S.F. - Diversified Short-Term Bond Select</v>
          </cell>
          <cell r="C2308" t="str">
            <v>Class E Distributing Quarterly</v>
          </cell>
          <cell r="D2308" t="str">
            <v>EUR</v>
          </cell>
          <cell r="E2308" t="str">
            <v>01-Dec-2025</v>
          </cell>
          <cell r="F2308">
            <v>5904.56</v>
          </cell>
          <cell r="G2308">
            <v>1136.277</v>
          </cell>
          <cell r="H2308">
            <v>5.1959999999999997</v>
          </cell>
          <cell r="I2308">
            <v>0</v>
          </cell>
          <cell r="J2308">
            <v>5.1959999999999997</v>
          </cell>
          <cell r="K2308">
            <v>1E-3</v>
          </cell>
          <cell r="P2308">
            <v>0</v>
          </cell>
        </row>
        <row r="2309">
          <cell r="A2309" t="str">
            <v>LU2357810428</v>
          </cell>
          <cell r="B2309" t="str">
            <v>Amundi S.F. - Diversified Short-Term Bond Select</v>
          </cell>
          <cell r="C2309" t="str">
            <v>Class F Non - Distributing</v>
          </cell>
          <cell r="D2309" t="str">
            <v>EUR</v>
          </cell>
          <cell r="E2309" t="str">
            <v>01-Dec-2025</v>
          </cell>
          <cell r="F2309">
            <v>21697597.210000001</v>
          </cell>
          <cell r="G2309">
            <v>3854024.2760000001</v>
          </cell>
          <cell r="H2309">
            <v>5.63</v>
          </cell>
          <cell r="I2309">
            <v>0</v>
          </cell>
          <cell r="J2309">
            <v>5.63</v>
          </cell>
          <cell r="K2309">
            <v>2E-3</v>
          </cell>
          <cell r="P2309">
            <v>0</v>
          </cell>
        </row>
        <row r="2310">
          <cell r="A2310" t="str">
            <v>LU1706854400</v>
          </cell>
          <cell r="B2310" t="str">
            <v>Amundi S.F. - Diversified Short-Term Bond Select</v>
          </cell>
          <cell r="C2310" t="str">
            <v>Class I Non - Distributing</v>
          </cell>
          <cell r="D2310" t="str">
            <v>EUR</v>
          </cell>
          <cell r="E2310" t="str">
            <v>01-Dec-2025</v>
          </cell>
          <cell r="F2310">
            <v>327749046.60000002</v>
          </cell>
          <cell r="G2310">
            <v>272812.74699999997</v>
          </cell>
          <cell r="H2310">
            <v>1201.3699999999999</v>
          </cell>
          <cell r="I2310">
            <v>0</v>
          </cell>
          <cell r="J2310">
            <v>1201.3699999999999</v>
          </cell>
          <cell r="K2310">
            <v>0.4</v>
          </cell>
          <cell r="P2310">
            <v>0</v>
          </cell>
        </row>
        <row r="2311">
          <cell r="A2311" t="str">
            <v>LU2357810931</v>
          </cell>
          <cell r="B2311" t="str">
            <v>Amundi S.F. - Diversified Short-Term Bond Select</v>
          </cell>
          <cell r="C2311" t="str">
            <v>Class R Distributing Annually</v>
          </cell>
          <cell r="D2311" t="str">
            <v>EUR</v>
          </cell>
          <cell r="E2311" t="str">
            <v>01-Dec-2025</v>
          </cell>
          <cell r="F2311">
            <v>11616.09</v>
          </cell>
          <cell r="G2311">
            <v>219.98099999999999</v>
          </cell>
          <cell r="H2311">
            <v>52.8</v>
          </cell>
          <cell r="I2311">
            <v>0</v>
          </cell>
          <cell r="J2311">
            <v>52.8</v>
          </cell>
          <cell r="K2311">
            <v>0.01</v>
          </cell>
          <cell r="P2311">
            <v>0</v>
          </cell>
        </row>
        <row r="2312">
          <cell r="A2312" t="str">
            <v>LU2357810774</v>
          </cell>
          <cell r="B2312" t="str">
            <v>Amundi S.F. - Diversified Short-Term Bond Select</v>
          </cell>
          <cell r="C2312" t="str">
            <v>Class R Non - Distributing</v>
          </cell>
          <cell r="D2312" t="str">
            <v>EUR</v>
          </cell>
          <cell r="E2312" t="str">
            <v>01-Dec-2025</v>
          </cell>
          <cell r="F2312">
            <v>288224997.31</v>
          </cell>
          <cell r="G2312">
            <v>4941115.1780000003</v>
          </cell>
          <cell r="H2312">
            <v>58.33</v>
          </cell>
          <cell r="I2312">
            <v>0</v>
          </cell>
          <cell r="J2312">
            <v>58.33</v>
          </cell>
          <cell r="K2312">
            <v>0.02</v>
          </cell>
          <cell r="P2312">
            <v>0</v>
          </cell>
        </row>
        <row r="2313">
          <cell r="A2313" t="str">
            <v>LU2357810691</v>
          </cell>
          <cell r="B2313" t="str">
            <v>Amundi S.F. - Diversified Short-Term Bond Select</v>
          </cell>
          <cell r="C2313" t="str">
            <v>Class H Distributing Annually</v>
          </cell>
          <cell r="D2313" t="str">
            <v>EUR</v>
          </cell>
          <cell r="E2313" t="str">
            <v>01-Dec-2025</v>
          </cell>
          <cell r="F2313">
            <v>398832.89</v>
          </cell>
          <cell r="G2313">
            <v>378.4</v>
          </cell>
          <cell r="H2313">
            <v>1054</v>
          </cell>
          <cell r="I2313">
            <v>0</v>
          </cell>
          <cell r="J2313">
            <v>1075.08</v>
          </cell>
          <cell r="K2313">
            <v>0.35</v>
          </cell>
          <cell r="P2313">
            <v>0</v>
          </cell>
        </row>
        <row r="2314">
          <cell r="A2314" t="str">
            <v>LU1503126044</v>
          </cell>
          <cell r="B2314" t="str">
            <v>Amundi S.F. - Diversified Short-Term Bond Select</v>
          </cell>
          <cell r="C2314" t="str">
            <v>Class H Non - Distributing</v>
          </cell>
          <cell r="D2314" t="str">
            <v>EUR</v>
          </cell>
          <cell r="E2314" t="str">
            <v>01-Dec-2025</v>
          </cell>
          <cell r="F2314">
            <v>99104342.069999993</v>
          </cell>
          <cell r="G2314">
            <v>81634.892000000007</v>
          </cell>
          <cell r="H2314">
            <v>1213.99</v>
          </cell>
          <cell r="I2314">
            <v>0</v>
          </cell>
          <cell r="J2314">
            <v>1238.27</v>
          </cell>
          <cell r="K2314">
            <v>0.39</v>
          </cell>
          <cell r="P2314">
            <v>0</v>
          </cell>
        </row>
        <row r="2315">
          <cell r="A2315" t="str">
            <v>LU1889052269</v>
          </cell>
          <cell r="B2315" t="str">
            <v>Amundi S.F. - Diversified Short-Term Bond Select</v>
          </cell>
          <cell r="C2315" t="str">
            <v>Class H Distributing Quarterly</v>
          </cell>
          <cell r="D2315" t="str">
            <v>EUR</v>
          </cell>
          <cell r="E2315" t="str">
            <v>01-Dec-2025</v>
          </cell>
          <cell r="F2315">
            <v>1325.67</v>
          </cell>
          <cell r="G2315">
            <v>1.26</v>
          </cell>
          <cell r="H2315">
            <v>1052.1199999999999</v>
          </cell>
          <cell r="I2315">
            <v>0</v>
          </cell>
          <cell r="J2315">
            <v>1052.1199999999999</v>
          </cell>
          <cell r="K2315">
            <v>0.28999999999999998</v>
          </cell>
          <cell r="P2315">
            <v>0</v>
          </cell>
        </row>
        <row r="2316">
          <cell r="A2316" t="str">
            <v>LU2345345560</v>
          </cell>
          <cell r="B2316" t="str">
            <v>Amundi S.F. - High Potential Bond</v>
          </cell>
          <cell r="C2316" t="str">
            <v>Class A Distributing Annually</v>
          </cell>
          <cell r="D2316" t="str">
            <v>EUR</v>
          </cell>
          <cell r="E2316" t="str">
            <v>01-Dec-2025</v>
          </cell>
          <cell r="F2316">
            <v>2797496.12</v>
          </cell>
          <cell r="G2316">
            <v>53070.216999999997</v>
          </cell>
          <cell r="H2316">
            <v>52.71</v>
          </cell>
          <cell r="I2316">
            <v>0</v>
          </cell>
          <cell r="J2316">
            <v>54.29</v>
          </cell>
          <cell r="K2316">
            <v>-0.12</v>
          </cell>
          <cell r="P2316">
            <v>0</v>
          </cell>
        </row>
        <row r="2317">
          <cell r="A2317" t="str">
            <v>LU2345346022</v>
          </cell>
          <cell r="B2317" t="str">
            <v>Amundi S.F. - High Potential Bond</v>
          </cell>
          <cell r="C2317" t="str">
            <v>Class A Non - Distributing</v>
          </cell>
          <cell r="D2317" t="str">
            <v>EUR</v>
          </cell>
          <cell r="E2317" t="str">
            <v>01-Dec-2025</v>
          </cell>
          <cell r="F2317">
            <v>994946.01</v>
          </cell>
          <cell r="G2317">
            <v>17200</v>
          </cell>
          <cell r="H2317">
            <v>57.85</v>
          </cell>
          <cell r="I2317">
            <v>0</v>
          </cell>
          <cell r="J2317">
            <v>59.59</v>
          </cell>
          <cell r="K2317">
            <v>-0.13</v>
          </cell>
          <cell r="P2317">
            <v>0</v>
          </cell>
        </row>
        <row r="2318">
          <cell r="A2318" t="str">
            <v>LU2345345727</v>
          </cell>
          <cell r="B2318" t="str">
            <v>Amundi S.F. - High Potential Bond</v>
          </cell>
          <cell r="C2318" t="str">
            <v>Class A Hedged Non - Distributing</v>
          </cell>
          <cell r="D2318" t="str">
            <v>EUR</v>
          </cell>
          <cell r="E2318" t="str">
            <v>01-Dec-2025</v>
          </cell>
          <cell r="F2318">
            <v>134430.67000000001</v>
          </cell>
          <cell r="G2318">
            <v>2419</v>
          </cell>
          <cell r="H2318">
            <v>55.57</v>
          </cell>
          <cell r="I2318">
            <v>0</v>
          </cell>
          <cell r="J2318">
            <v>57.24</v>
          </cell>
          <cell r="K2318">
            <v>-7.0000000000000007E-2</v>
          </cell>
          <cell r="P2318">
            <v>0</v>
          </cell>
        </row>
        <row r="2319">
          <cell r="A2319" t="str">
            <v>LU2345345487</v>
          </cell>
          <cell r="B2319" t="str">
            <v>Amundi S.F. - High Potential Bond</v>
          </cell>
          <cell r="C2319" t="str">
            <v>Class A Hedged Distributing Annually</v>
          </cell>
          <cell r="D2319" t="str">
            <v>EUR</v>
          </cell>
          <cell r="E2319" t="str">
            <v>01-Dec-2025</v>
          </cell>
          <cell r="F2319">
            <v>327663.77</v>
          </cell>
          <cell r="G2319">
            <v>6459.7520000000004</v>
          </cell>
          <cell r="H2319">
            <v>50.72</v>
          </cell>
          <cell r="I2319">
            <v>0</v>
          </cell>
          <cell r="J2319">
            <v>52.24</v>
          </cell>
          <cell r="K2319">
            <v>-7.0000000000000007E-2</v>
          </cell>
          <cell r="P2319">
            <v>0</v>
          </cell>
        </row>
        <row r="2320">
          <cell r="A2320" t="str">
            <v>LU2338909281</v>
          </cell>
          <cell r="B2320" t="str">
            <v>Amundi S.F. - High Potential Bond</v>
          </cell>
          <cell r="C2320" t="str">
            <v>Class E Non - Distributing</v>
          </cell>
          <cell r="D2320" t="str">
            <v>EUR</v>
          </cell>
          <cell r="E2320" t="str">
            <v>01-Dec-2025</v>
          </cell>
          <cell r="F2320">
            <v>15092772.5</v>
          </cell>
          <cell r="G2320">
            <v>2592293.3020000001</v>
          </cell>
          <cell r="H2320">
            <v>5.8220000000000001</v>
          </cell>
          <cell r="I2320">
            <v>0</v>
          </cell>
          <cell r="J2320">
            <v>5.8220000000000001</v>
          </cell>
          <cell r="K2320">
            <v>-1.2999999999999999E-2</v>
          </cell>
          <cell r="P2320">
            <v>0</v>
          </cell>
        </row>
        <row r="2321">
          <cell r="A2321" t="str">
            <v>LU2321584760</v>
          </cell>
          <cell r="B2321" t="str">
            <v>Amundi S.F. - High Potential Bond</v>
          </cell>
          <cell r="C2321" t="str">
            <v>Class E Hedged Distributing Annually</v>
          </cell>
          <cell r="D2321" t="str">
            <v>EUR</v>
          </cell>
          <cell r="E2321" t="str">
            <v>01-Dec-2025</v>
          </cell>
          <cell r="F2321">
            <v>9909069.1400000006</v>
          </cell>
          <cell r="G2321">
            <v>1949275.321</v>
          </cell>
          <cell r="H2321">
            <v>5.0830000000000002</v>
          </cell>
          <cell r="I2321">
            <v>0</v>
          </cell>
          <cell r="J2321">
            <v>5.0830000000000002</v>
          </cell>
          <cell r="K2321">
            <v>-7.0000000000000001E-3</v>
          </cell>
          <cell r="P2321">
            <v>0</v>
          </cell>
        </row>
        <row r="2322">
          <cell r="A2322" t="str">
            <v>LU2321588597</v>
          </cell>
          <cell r="B2322" t="str">
            <v>Amundi S.F. - High Potential Bond</v>
          </cell>
          <cell r="C2322" t="str">
            <v>Class G Distributing Annually</v>
          </cell>
          <cell r="D2322" t="str">
            <v>EUR</v>
          </cell>
          <cell r="E2322" t="str">
            <v>01-Dec-2025</v>
          </cell>
          <cell r="F2322">
            <v>3539189.62</v>
          </cell>
          <cell r="G2322">
            <v>671899.84699999995</v>
          </cell>
          <cell r="H2322">
            <v>5.2670000000000003</v>
          </cell>
          <cell r="I2322">
            <v>0</v>
          </cell>
          <cell r="J2322">
            <v>5.2670000000000003</v>
          </cell>
          <cell r="K2322">
            <v>-1.2999999999999999E-2</v>
          </cell>
          <cell r="P2322">
            <v>0</v>
          </cell>
        </row>
        <row r="2323">
          <cell r="A2323" t="str">
            <v>LU2338909364</v>
          </cell>
          <cell r="B2323" t="str">
            <v>Amundi S.F. - High Potential Bond</v>
          </cell>
          <cell r="C2323" t="str">
            <v>Class G Hedged Non - Distributing</v>
          </cell>
          <cell r="D2323" t="str">
            <v>EUR</v>
          </cell>
          <cell r="E2323" t="str">
            <v>01-Dec-2025</v>
          </cell>
          <cell r="F2323">
            <v>3989520.06</v>
          </cell>
          <cell r="G2323">
            <v>718550.59400000004</v>
          </cell>
          <cell r="H2323">
            <v>5.5519999999999996</v>
          </cell>
          <cell r="I2323">
            <v>0</v>
          </cell>
          <cell r="J2323">
            <v>5.5519999999999996</v>
          </cell>
          <cell r="K2323">
            <v>-7.0000000000000001E-3</v>
          </cell>
          <cell r="P2323">
            <v>0</v>
          </cell>
        </row>
        <row r="2324">
          <cell r="A2324" t="str">
            <v>LU2321590148</v>
          </cell>
          <cell r="B2324" t="str">
            <v>Amundi S.F. - High Potential Bond</v>
          </cell>
          <cell r="C2324" t="str">
            <v>Class G Hedged Distributing Annually</v>
          </cell>
          <cell r="D2324" t="str">
            <v>EUR</v>
          </cell>
          <cell r="E2324" t="str">
            <v>01-Dec-2025</v>
          </cell>
          <cell r="F2324">
            <v>1825037.04</v>
          </cell>
          <cell r="G2324">
            <v>359885.424</v>
          </cell>
          <cell r="H2324">
            <v>5.0709999999999997</v>
          </cell>
          <cell r="I2324">
            <v>0</v>
          </cell>
          <cell r="J2324">
            <v>5.0709999999999997</v>
          </cell>
          <cell r="K2324">
            <v>-7.0000000000000001E-3</v>
          </cell>
          <cell r="P2324">
            <v>0</v>
          </cell>
        </row>
        <row r="2325">
          <cell r="A2325" t="str">
            <v>LU1437672998</v>
          </cell>
          <cell r="B2325" t="str">
            <v>Amundi Investment Funds - Tactical Allocation Fund</v>
          </cell>
          <cell r="C2325" t="str">
            <v>Class E Non - Distributing</v>
          </cell>
          <cell r="D2325" t="str">
            <v>EUR</v>
          </cell>
          <cell r="E2325" t="str">
            <v>01-Dec-2025</v>
          </cell>
          <cell r="F2325">
            <v>9342355.6699999999</v>
          </cell>
          <cell r="G2325">
            <v>2088297.0449999999</v>
          </cell>
          <cell r="H2325">
            <v>4.4740000000000002</v>
          </cell>
          <cell r="I2325">
            <v>0</v>
          </cell>
          <cell r="J2325">
            <v>4.6529999999999996</v>
          </cell>
          <cell r="K2325">
            <v>-1.2E-2</v>
          </cell>
          <cell r="P2325">
            <v>0</v>
          </cell>
        </row>
        <row r="2326">
          <cell r="A2326" t="str">
            <v>LU2091515960</v>
          </cell>
          <cell r="B2326" t="str">
            <v>Amundi Investment Funds - Tactical Allocation Fund</v>
          </cell>
          <cell r="C2326" t="str">
            <v>Class H Non - Distributing</v>
          </cell>
          <cell r="D2326" t="str">
            <v>EUR</v>
          </cell>
          <cell r="E2326" t="str">
            <v>01-Dec-2025</v>
          </cell>
          <cell r="F2326">
            <v>3993.62</v>
          </cell>
          <cell r="G2326">
            <v>5</v>
          </cell>
          <cell r="H2326">
            <v>798.72</v>
          </cell>
          <cell r="I2326">
            <v>0</v>
          </cell>
          <cell r="J2326">
            <v>798.72</v>
          </cell>
          <cell r="K2326">
            <v>-2.2000000000000002</v>
          </cell>
          <cell r="P2326">
            <v>0</v>
          </cell>
        </row>
        <row r="2327">
          <cell r="A2327" t="str">
            <v>LU1437673020</v>
          </cell>
          <cell r="B2327" t="str">
            <v>Amundi Investment Funds - Tactical Allocation Fund</v>
          </cell>
          <cell r="C2327" t="str">
            <v>Class M Non - Distributing</v>
          </cell>
          <cell r="D2327" t="str">
            <v>EUR</v>
          </cell>
          <cell r="E2327" t="str">
            <v>01-Dec-2025</v>
          </cell>
          <cell r="F2327">
            <v>47314622.229999997</v>
          </cell>
          <cell r="G2327">
            <v>956274.95499999996</v>
          </cell>
          <cell r="H2327">
            <v>49.48</v>
          </cell>
          <cell r="I2327">
            <v>0</v>
          </cell>
          <cell r="J2327">
            <v>49.48</v>
          </cell>
          <cell r="K2327">
            <v>-0.14000000000000001</v>
          </cell>
          <cell r="P2327">
            <v>0</v>
          </cell>
        </row>
        <row r="2328">
          <cell r="A2328" t="str">
            <v>LU1437673293</v>
          </cell>
          <cell r="B2328" t="str">
            <v>Amundi Investment Funds - Tactical Alloc Bond Fund</v>
          </cell>
          <cell r="C2328" t="str">
            <v>Class E Non - Distributing</v>
          </cell>
          <cell r="D2328" t="str">
            <v>EUR</v>
          </cell>
          <cell r="E2328" t="str">
            <v>01-Dec-2025</v>
          </cell>
          <cell r="F2328">
            <v>8940727.1400000006</v>
          </cell>
          <cell r="G2328">
            <v>1250651.1669999999</v>
          </cell>
          <cell r="H2328">
            <v>7.149</v>
          </cell>
          <cell r="I2328">
            <v>0</v>
          </cell>
          <cell r="J2328">
            <v>7.149</v>
          </cell>
          <cell r="K2328">
            <v>-1.9E-2</v>
          </cell>
          <cell r="P2328">
            <v>0</v>
          </cell>
        </row>
        <row r="2329">
          <cell r="A2329" t="str">
            <v>LU2091515887</v>
          </cell>
          <cell r="B2329" t="str">
            <v>Amundi Investment Funds - Tactical Alloc Bond Fund</v>
          </cell>
          <cell r="C2329" t="str">
            <v>Class H Non - Distributing</v>
          </cell>
          <cell r="D2329" t="str">
            <v>EUR</v>
          </cell>
          <cell r="E2329" t="str">
            <v>01-Dec-2025</v>
          </cell>
          <cell r="F2329">
            <v>4879.3100000000004</v>
          </cell>
          <cell r="G2329">
            <v>5</v>
          </cell>
          <cell r="H2329">
            <v>975.86</v>
          </cell>
          <cell r="I2329">
            <v>0</v>
          </cell>
          <cell r="J2329">
            <v>975.86</v>
          </cell>
          <cell r="K2329">
            <v>-2.48</v>
          </cell>
          <cell r="P2329">
            <v>0</v>
          </cell>
        </row>
        <row r="2330">
          <cell r="A2330" t="str">
            <v>LU1437673376</v>
          </cell>
          <cell r="B2330" t="str">
            <v>Amundi Investment Funds - Tactical Alloc Bond Fund</v>
          </cell>
          <cell r="C2330" t="str">
            <v>Class M Non - Distributing</v>
          </cell>
          <cell r="D2330" t="str">
            <v>EUR</v>
          </cell>
          <cell r="E2330" t="str">
            <v>01-Dec-2025</v>
          </cell>
          <cell r="F2330">
            <v>56607466.700000003</v>
          </cell>
          <cell r="G2330">
            <v>36456.534</v>
          </cell>
          <cell r="H2330">
            <v>1552.74</v>
          </cell>
          <cell r="I2330">
            <v>0</v>
          </cell>
          <cell r="J2330">
            <v>1583.79</v>
          </cell>
          <cell r="K2330">
            <v>-3.99</v>
          </cell>
          <cell r="P2330">
            <v>0</v>
          </cell>
        </row>
        <row r="2331">
          <cell r="A2331" t="str">
            <v>LU2050942452</v>
          </cell>
          <cell r="B2331" t="str">
            <v>Amundi Investment Funds - Optimiser</v>
          </cell>
          <cell r="C2331" t="str">
            <v>Class I Non - Distributing</v>
          </cell>
          <cell r="D2331" t="str">
            <v>EUR</v>
          </cell>
          <cell r="E2331" t="str">
            <v>01-Dec-2025</v>
          </cell>
          <cell r="F2331">
            <v>1120.18</v>
          </cell>
          <cell r="G2331">
            <v>1</v>
          </cell>
          <cell r="H2331">
            <v>1120.18</v>
          </cell>
          <cell r="I2331">
            <v>0</v>
          </cell>
          <cell r="J2331">
            <v>1120.18</v>
          </cell>
          <cell r="K2331">
            <v>-3.16</v>
          </cell>
          <cell r="P2331">
            <v>0</v>
          </cell>
        </row>
        <row r="2332">
          <cell r="A2332" t="str">
            <v>LU2114357127</v>
          </cell>
          <cell r="B2332" t="str">
            <v>Amundi Investment Funds - Optimiser</v>
          </cell>
          <cell r="C2332" t="str">
            <v>Class X Non - Distributing</v>
          </cell>
          <cell r="D2332" t="str">
            <v>EUR</v>
          </cell>
          <cell r="E2332" t="str">
            <v>01-Dec-2025</v>
          </cell>
          <cell r="F2332">
            <v>6989406.3399999999</v>
          </cell>
          <cell r="G2332">
            <v>6495.3389999999999</v>
          </cell>
          <cell r="H2332">
            <v>1076.06</v>
          </cell>
          <cell r="I2332">
            <v>0</v>
          </cell>
          <cell r="J2332">
            <v>1076.06</v>
          </cell>
          <cell r="K2332">
            <v>-3.01</v>
          </cell>
          <cell r="P2332">
            <v>0</v>
          </cell>
        </row>
        <row r="2333">
          <cell r="A2333" t="str">
            <v>LU2091515705</v>
          </cell>
          <cell r="B2333" t="str">
            <v>Amundi Investment Funds - Optimiser</v>
          </cell>
          <cell r="C2333" t="str">
            <v>Class H Non - Distributing</v>
          </cell>
          <cell r="D2333" t="str">
            <v>EUR</v>
          </cell>
          <cell r="E2333" t="str">
            <v>01-Dec-2025</v>
          </cell>
          <cell r="F2333">
            <v>19749391.77</v>
          </cell>
          <cell r="G2333">
            <v>18076.387999999999</v>
          </cell>
          <cell r="H2333">
            <v>1092.55</v>
          </cell>
          <cell r="I2333">
            <v>0</v>
          </cell>
          <cell r="J2333">
            <v>1092.55</v>
          </cell>
          <cell r="K2333">
            <v>-3.07</v>
          </cell>
          <cell r="P2333">
            <v>0</v>
          </cell>
        </row>
        <row r="2334">
          <cell r="A2334" t="str">
            <v>LU1437672725</v>
          </cell>
          <cell r="B2334" t="str">
            <v>Amundi Investment Funds - Optimiser</v>
          </cell>
          <cell r="C2334" t="str">
            <v>Class M Non - Distributing</v>
          </cell>
          <cell r="D2334" t="str">
            <v>EUR</v>
          </cell>
          <cell r="E2334" t="str">
            <v>01-Dec-2025</v>
          </cell>
          <cell r="F2334">
            <v>117839192.44</v>
          </cell>
          <cell r="G2334">
            <v>62755.506000000001</v>
          </cell>
          <cell r="H2334">
            <v>1877.75</v>
          </cell>
          <cell r="I2334">
            <v>0</v>
          </cell>
          <cell r="J2334">
            <v>1915.31</v>
          </cell>
          <cell r="K2334">
            <v>-5.32</v>
          </cell>
          <cell r="P2334">
            <v>0</v>
          </cell>
        </row>
        <row r="2335">
          <cell r="A2335" t="str">
            <v>LU2091515457</v>
          </cell>
          <cell r="B2335" t="str">
            <v>Amundi Investment Funds - Dynamic Allocation Fund</v>
          </cell>
          <cell r="C2335" t="str">
            <v>Class H Non - Distributing</v>
          </cell>
          <cell r="D2335" t="str">
            <v>EUR</v>
          </cell>
          <cell r="E2335" t="str">
            <v>01-Dec-2025</v>
          </cell>
          <cell r="F2335">
            <v>3323.01</v>
          </cell>
          <cell r="G2335">
            <v>5</v>
          </cell>
          <cell r="H2335">
            <v>664.6</v>
          </cell>
          <cell r="I2335">
            <v>0</v>
          </cell>
          <cell r="J2335">
            <v>664.6</v>
          </cell>
          <cell r="K2335">
            <v>-1</v>
          </cell>
          <cell r="P2335">
            <v>0</v>
          </cell>
        </row>
        <row r="2336">
          <cell r="A2336" t="str">
            <v>LU1437672568</v>
          </cell>
          <cell r="B2336" t="str">
            <v>Amundi Investment Funds - Dynamic Allocation Fund</v>
          </cell>
          <cell r="C2336" t="str">
            <v>Class M Non - Distributing</v>
          </cell>
          <cell r="D2336" t="str">
            <v>EUR</v>
          </cell>
          <cell r="E2336" t="str">
            <v>01-Dec-2025</v>
          </cell>
          <cell r="F2336">
            <v>146215103.53</v>
          </cell>
          <cell r="G2336">
            <v>693955.17500000005</v>
          </cell>
          <cell r="H2336">
            <v>210.7</v>
          </cell>
          <cell r="I2336">
            <v>0</v>
          </cell>
          <cell r="J2336">
            <v>214.91</v>
          </cell>
          <cell r="K2336">
            <v>-0.32</v>
          </cell>
          <cell r="P2336">
            <v>0</v>
          </cell>
        </row>
        <row r="2337">
          <cell r="A2337" t="str">
            <v>LU1599403737</v>
          </cell>
          <cell r="B2337" t="str">
            <v>Amundi Investment Funds - Emerging Markets So Bond</v>
          </cell>
          <cell r="C2337" t="str">
            <v>Class A Non - Distributing</v>
          </cell>
          <cell r="D2337" t="str">
            <v>USD</v>
          </cell>
          <cell r="E2337" t="str">
            <v>01-Dec-2025</v>
          </cell>
          <cell r="F2337">
            <v>6688.99</v>
          </cell>
          <cell r="G2337">
            <v>100</v>
          </cell>
          <cell r="H2337">
            <v>66.89</v>
          </cell>
          <cell r="I2337">
            <v>0</v>
          </cell>
          <cell r="J2337">
            <v>66.89</v>
          </cell>
          <cell r="K2337">
            <v>0.02</v>
          </cell>
          <cell r="P2337">
            <v>0</v>
          </cell>
        </row>
        <row r="2338">
          <cell r="A2338" t="str">
            <v>LU1599403810</v>
          </cell>
          <cell r="B2338" t="str">
            <v>Amundi Investment Funds - Emerging Markets So Bond</v>
          </cell>
          <cell r="C2338" t="str">
            <v>Class I Non - Distributing</v>
          </cell>
          <cell r="D2338" t="str">
            <v>USD</v>
          </cell>
          <cell r="E2338" t="str">
            <v>01-Dec-2025</v>
          </cell>
          <cell r="F2338">
            <v>20797713.920000002</v>
          </cell>
          <cell r="G2338">
            <v>14424</v>
          </cell>
          <cell r="H2338">
            <v>1441.88</v>
          </cell>
          <cell r="I2338">
            <v>0</v>
          </cell>
          <cell r="J2338">
            <v>1441.88</v>
          </cell>
          <cell r="K2338">
            <v>0.54</v>
          </cell>
          <cell r="P2338">
            <v>0</v>
          </cell>
        </row>
        <row r="2339">
          <cell r="A2339" t="str">
            <v>LU1599404115</v>
          </cell>
          <cell r="B2339" t="str">
            <v>Amundi Investment Funds - Emerging Markets So Bond</v>
          </cell>
          <cell r="C2339" t="str">
            <v>Class S Non - Distributing</v>
          </cell>
          <cell r="D2339" t="str">
            <v>USD</v>
          </cell>
          <cell r="E2339" t="str">
            <v>01-Dec-2025</v>
          </cell>
          <cell r="F2339">
            <v>66896436.619999997</v>
          </cell>
          <cell r="G2339">
            <v>46165.788999999997</v>
          </cell>
          <cell r="H2339">
            <v>1449.05</v>
          </cell>
          <cell r="I2339">
            <v>0</v>
          </cell>
          <cell r="J2339">
            <v>1449.05</v>
          </cell>
          <cell r="K2339">
            <v>0.55000000000000004</v>
          </cell>
          <cell r="P2339">
            <v>0</v>
          </cell>
        </row>
        <row r="2340">
          <cell r="A2340" t="str">
            <v>LU2091515531</v>
          </cell>
          <cell r="B2340" t="str">
            <v>Amundi Investment Funds - Emerging Markets So Bond</v>
          </cell>
          <cell r="C2340" t="str">
            <v>Class H Non - Distributing</v>
          </cell>
          <cell r="D2340" t="str">
            <v>EUR</v>
          </cell>
          <cell r="E2340" t="str">
            <v>01-Dec-2025</v>
          </cell>
          <cell r="F2340">
            <v>39443748.039999999</v>
          </cell>
          <cell r="G2340">
            <v>33268</v>
          </cell>
          <cell r="H2340">
            <v>1185.6400000000001</v>
          </cell>
          <cell r="I2340">
            <v>0</v>
          </cell>
          <cell r="J2340">
            <v>1185.6400000000001</v>
          </cell>
          <cell r="K2340">
            <v>-2.0499999999999998</v>
          </cell>
          <cell r="P2340">
            <v>0</v>
          </cell>
        </row>
        <row r="2341">
          <cell r="A2341" t="str">
            <v>LU1599403901</v>
          </cell>
          <cell r="B2341" t="str">
            <v>Amundi Investment Funds - Emerging Markets So Bond</v>
          </cell>
          <cell r="C2341" t="str">
            <v>Class M Non - Distributing</v>
          </cell>
          <cell r="D2341" t="str">
            <v>USD</v>
          </cell>
          <cell r="E2341" t="str">
            <v>01-Dec-2025</v>
          </cell>
          <cell r="F2341">
            <v>7086.79</v>
          </cell>
          <cell r="G2341">
            <v>5</v>
          </cell>
          <cell r="H2341">
            <v>1417.36</v>
          </cell>
          <cell r="I2341">
            <v>0</v>
          </cell>
          <cell r="J2341">
            <v>1445.71</v>
          </cell>
          <cell r="K2341">
            <v>0.52</v>
          </cell>
          <cell r="P2341">
            <v>0</v>
          </cell>
        </row>
        <row r="2342">
          <cell r="A2342" t="str">
            <v>LU2091516000</v>
          </cell>
          <cell r="B2342" t="str">
            <v>Amundi Investment Funds - Tactical Allocati Pillar</v>
          </cell>
          <cell r="C2342" t="str">
            <v>Class M Non - Distributing</v>
          </cell>
          <cell r="D2342" t="str">
            <v>EUR</v>
          </cell>
          <cell r="E2342" t="str">
            <v>01-Dec-2025</v>
          </cell>
          <cell r="F2342">
            <v>54396612</v>
          </cell>
          <cell r="G2342">
            <v>55703.841999999997</v>
          </cell>
          <cell r="H2342">
            <v>976.53</v>
          </cell>
          <cell r="I2342">
            <v>0</v>
          </cell>
          <cell r="J2342">
            <v>976.53</v>
          </cell>
          <cell r="K2342">
            <v>2.54</v>
          </cell>
          <cell r="P2342">
            <v>0</v>
          </cell>
        </row>
        <row r="2343">
          <cell r="A2343" t="str">
            <v>LU1599403653</v>
          </cell>
          <cell r="B2343" t="str">
            <v>Amundi Investment Funds - Multi-Asset Teodorico</v>
          </cell>
          <cell r="C2343" t="str">
            <v>Class I Quarterly Distributing</v>
          </cell>
          <cell r="D2343" t="str">
            <v>EUR</v>
          </cell>
          <cell r="E2343" t="str">
            <v>01-Dec-2025</v>
          </cell>
          <cell r="F2343">
            <v>590137308.21000004</v>
          </cell>
          <cell r="G2343">
            <v>524503.79</v>
          </cell>
          <cell r="H2343">
            <v>1125.1300000000001</v>
          </cell>
          <cell r="I2343">
            <v>0</v>
          </cell>
          <cell r="J2343">
            <v>1125.1300000000001</v>
          </cell>
          <cell r="K2343">
            <v>-2.73</v>
          </cell>
          <cell r="P2343">
            <v>0</v>
          </cell>
        </row>
        <row r="2344">
          <cell r="A2344" t="str">
            <v>LU2091516182</v>
          </cell>
          <cell r="B2344" t="str">
            <v>Amundi Investment Funds - Tactical Portfolio Incom</v>
          </cell>
          <cell r="C2344" t="str">
            <v>Class M Distributing Ex-Dividend</v>
          </cell>
          <cell r="D2344" t="str">
            <v>EUR</v>
          </cell>
          <cell r="E2344" t="str">
            <v>01-Dec-2025</v>
          </cell>
          <cell r="F2344">
            <v>114797157.51000001</v>
          </cell>
          <cell r="G2344">
            <v>90586.816999999995</v>
          </cell>
          <cell r="H2344">
            <v>1267.26</v>
          </cell>
          <cell r="I2344">
            <v>3.963104</v>
          </cell>
          <cell r="J2344">
            <v>1267.26</v>
          </cell>
          <cell r="K2344">
            <v>-1.65</v>
          </cell>
          <cell r="P2344">
            <v>0</v>
          </cell>
        </row>
        <row r="2345">
          <cell r="A2345" t="str">
            <v>LU2041153979</v>
          </cell>
          <cell r="B2345" t="str">
            <v>Amundi Investment Funds - Tactical Unconstrai Bond</v>
          </cell>
          <cell r="C2345" t="str">
            <v>Class M Non - Distributing</v>
          </cell>
          <cell r="D2345" t="str">
            <v>EUR</v>
          </cell>
          <cell r="E2345" t="str">
            <v>01-Dec-2025</v>
          </cell>
          <cell r="F2345">
            <v>233288647.62</v>
          </cell>
          <cell r="G2345">
            <v>232665.353</v>
          </cell>
          <cell r="H2345">
            <v>1002.68</v>
          </cell>
          <cell r="I2345">
            <v>0</v>
          </cell>
          <cell r="J2345">
            <v>1002.68</v>
          </cell>
          <cell r="K2345">
            <v>-1.07</v>
          </cell>
          <cell r="P2345">
            <v>0</v>
          </cell>
        </row>
        <row r="2346">
          <cell r="A2346" t="str">
            <v>LU2535297928</v>
          </cell>
          <cell r="B2346" t="str">
            <v>Amundi Investment Funds - China RMB Sovereign Bond</v>
          </cell>
          <cell r="C2346" t="str">
            <v>Class A2 Non - Distributing</v>
          </cell>
          <cell r="D2346" t="str">
            <v>USD</v>
          </cell>
          <cell r="E2346" t="str">
            <v>01-Dec-2025</v>
          </cell>
          <cell r="F2346">
            <v>5400.73</v>
          </cell>
          <cell r="G2346">
            <v>100</v>
          </cell>
          <cell r="H2346">
            <v>54.01</v>
          </cell>
          <cell r="I2346">
            <v>0</v>
          </cell>
          <cell r="J2346">
            <v>55.63</v>
          </cell>
          <cell r="K2346">
            <v>0.05</v>
          </cell>
          <cell r="P2346">
            <v>0</v>
          </cell>
        </row>
        <row r="2347">
          <cell r="A2347" t="str">
            <v>LU2535297845</v>
          </cell>
          <cell r="B2347" t="str">
            <v>Amundi Investment Funds - China RMB Sovereign Bond</v>
          </cell>
          <cell r="C2347" t="str">
            <v>Class A Non - Distributing</v>
          </cell>
          <cell r="D2347" t="str">
            <v>USD</v>
          </cell>
          <cell r="E2347" t="str">
            <v>01-Dec-2025</v>
          </cell>
          <cell r="F2347">
            <v>5413.08</v>
          </cell>
          <cell r="G2347">
            <v>100</v>
          </cell>
          <cell r="H2347">
            <v>54.13</v>
          </cell>
          <cell r="I2347">
            <v>0</v>
          </cell>
          <cell r="J2347">
            <v>55.75</v>
          </cell>
          <cell r="K2347">
            <v>0.05</v>
          </cell>
          <cell r="P2347">
            <v>0</v>
          </cell>
        </row>
        <row r="2348">
          <cell r="A2348" t="str">
            <v>LU2535298496</v>
          </cell>
          <cell r="B2348" t="str">
            <v>Amundi Investment Funds - China RMB Sovereign Bond</v>
          </cell>
          <cell r="C2348" t="str">
            <v>Class I2 Non - Distributing</v>
          </cell>
          <cell r="D2348" t="str">
            <v>USD</v>
          </cell>
          <cell r="E2348" t="str">
            <v>01-Dec-2025</v>
          </cell>
          <cell r="F2348">
            <v>5565.18</v>
          </cell>
          <cell r="G2348">
            <v>5</v>
          </cell>
          <cell r="H2348">
            <v>1113.04</v>
          </cell>
          <cell r="I2348">
            <v>0</v>
          </cell>
          <cell r="J2348">
            <v>1113.04</v>
          </cell>
          <cell r="K2348">
            <v>1.1599999999999999</v>
          </cell>
          <cell r="P2348">
            <v>0</v>
          </cell>
        </row>
        <row r="2349">
          <cell r="A2349" t="str">
            <v>LU2535298652</v>
          </cell>
          <cell r="B2349" t="str">
            <v>Amundi Investment Funds - China RMB Sovereign Bond</v>
          </cell>
          <cell r="C2349" t="str">
            <v>Class I2 Hedged Non - Distributing</v>
          </cell>
          <cell r="D2349" t="str">
            <v>CHF</v>
          </cell>
          <cell r="E2349" t="str">
            <v>01-Dec-2025</v>
          </cell>
          <cell r="F2349">
            <v>110310.94</v>
          </cell>
          <cell r="G2349">
            <v>100</v>
          </cell>
          <cell r="H2349">
            <v>1103.1099999999999</v>
          </cell>
          <cell r="I2349">
            <v>0</v>
          </cell>
          <cell r="J2349">
            <v>1103.1099999999999</v>
          </cell>
          <cell r="K2349">
            <v>1.3</v>
          </cell>
          <cell r="P2349">
            <v>0</v>
          </cell>
        </row>
        <row r="2350">
          <cell r="A2350" t="str">
            <v>LU2535298736</v>
          </cell>
          <cell r="B2350" t="str">
            <v>Amundi Investment Funds - China RMB Sovereign Bond</v>
          </cell>
          <cell r="C2350" t="str">
            <v>Class I2 Hedged Non - Distributing</v>
          </cell>
          <cell r="D2350" t="str">
            <v>CAD</v>
          </cell>
          <cell r="E2350" t="str">
            <v>01-Dec-2025</v>
          </cell>
          <cell r="F2350">
            <v>120611.63</v>
          </cell>
          <cell r="G2350">
            <v>100</v>
          </cell>
          <cell r="H2350">
            <v>1206.1199999999999</v>
          </cell>
          <cell r="I2350">
            <v>0</v>
          </cell>
          <cell r="J2350">
            <v>1206.1199999999999</v>
          </cell>
          <cell r="K2350">
            <v>1.5</v>
          </cell>
          <cell r="P2350">
            <v>0</v>
          </cell>
        </row>
        <row r="2351">
          <cell r="A2351" t="str">
            <v>LU2535298579</v>
          </cell>
          <cell r="B2351" t="str">
            <v>Amundi Investment Funds - China RMB Sovereign Bond</v>
          </cell>
          <cell r="C2351" t="str">
            <v>Class I2 Hedged Non - Distributing</v>
          </cell>
          <cell r="D2351" t="str">
            <v>EUR</v>
          </cell>
          <cell r="E2351" t="str">
            <v>01-Dec-2025</v>
          </cell>
          <cell r="F2351">
            <v>117878.12</v>
          </cell>
          <cell r="G2351">
            <v>100</v>
          </cell>
          <cell r="H2351">
            <v>1178.78</v>
          </cell>
          <cell r="I2351">
            <v>0</v>
          </cell>
          <cell r="J2351">
            <v>1178.78</v>
          </cell>
          <cell r="K2351">
            <v>1.47</v>
          </cell>
          <cell r="P2351">
            <v>0</v>
          </cell>
        </row>
        <row r="2352">
          <cell r="A2352" t="str">
            <v>LU2535298223</v>
          </cell>
          <cell r="B2352" t="str">
            <v>Amundi Investment Funds - China RMB Sovereign Bond</v>
          </cell>
          <cell r="C2352" t="str">
            <v>Class I2 Hedged Non - Distributing</v>
          </cell>
          <cell r="D2352" t="str">
            <v>USD</v>
          </cell>
          <cell r="E2352" t="str">
            <v>01-Dec-2025</v>
          </cell>
          <cell r="F2352">
            <v>124184.05</v>
          </cell>
          <cell r="G2352">
            <v>100</v>
          </cell>
          <cell r="H2352">
            <v>1241.8399999999999</v>
          </cell>
          <cell r="I2352">
            <v>0</v>
          </cell>
          <cell r="J2352">
            <v>1241.8399999999999</v>
          </cell>
          <cell r="K2352">
            <v>1.6</v>
          </cell>
          <cell r="P2352">
            <v>0</v>
          </cell>
        </row>
        <row r="2353">
          <cell r="A2353" t="str">
            <v>LU2535298140</v>
          </cell>
          <cell r="B2353" t="str">
            <v>Amundi Investment Funds - China RMB Sovereign Bond</v>
          </cell>
          <cell r="C2353" t="str">
            <v>Class R2 Non - Distributing</v>
          </cell>
          <cell r="D2353" t="str">
            <v>USD</v>
          </cell>
          <cell r="E2353" t="str">
            <v>01-Dec-2025</v>
          </cell>
          <cell r="F2353">
            <v>5526.36</v>
          </cell>
          <cell r="G2353">
            <v>100</v>
          </cell>
          <cell r="H2353">
            <v>55.26</v>
          </cell>
          <cell r="I2353">
            <v>0</v>
          </cell>
          <cell r="J2353">
            <v>55.26</v>
          </cell>
          <cell r="K2353">
            <v>0.05</v>
          </cell>
          <cell r="P2353">
            <v>0</v>
          </cell>
        </row>
        <row r="2354">
          <cell r="A2354" t="str">
            <v>LU2535298066</v>
          </cell>
          <cell r="B2354" t="str">
            <v>Amundi Investment Funds - China RMB Sovereign Bond</v>
          </cell>
          <cell r="C2354" t="str">
            <v>Class R Non - Distributing</v>
          </cell>
          <cell r="D2354" t="str">
            <v>USD</v>
          </cell>
          <cell r="E2354" t="str">
            <v>01-Dec-2025</v>
          </cell>
          <cell r="F2354">
            <v>5522.06</v>
          </cell>
          <cell r="G2354">
            <v>100</v>
          </cell>
          <cell r="H2354">
            <v>55.22</v>
          </cell>
          <cell r="I2354">
            <v>0</v>
          </cell>
          <cell r="J2354">
            <v>55.22</v>
          </cell>
          <cell r="K2354">
            <v>0.06</v>
          </cell>
          <cell r="P2354">
            <v>0</v>
          </cell>
        </row>
        <row r="2355">
          <cell r="A2355" t="str">
            <v>LU2535299031</v>
          </cell>
          <cell r="B2355" t="str">
            <v>Amundi Investment Funds - China RMB Sovereign Bond</v>
          </cell>
          <cell r="C2355" t="str">
            <v>Class Z Non - Distributing</v>
          </cell>
          <cell r="D2355" t="str">
            <v>USD</v>
          </cell>
          <cell r="E2355" t="str">
            <v>01-Dec-2025</v>
          </cell>
          <cell r="F2355">
            <v>48325248.520000003</v>
          </cell>
          <cell r="G2355">
            <v>43428.339</v>
          </cell>
          <cell r="H2355">
            <v>1112.76</v>
          </cell>
          <cell r="I2355">
            <v>0</v>
          </cell>
          <cell r="J2355">
            <v>1112.76</v>
          </cell>
          <cell r="K2355">
            <v>1.1499999999999999</v>
          </cell>
          <cell r="P2355">
            <v>0</v>
          </cell>
        </row>
        <row r="2356">
          <cell r="A2356" t="str">
            <v>LU2535298819</v>
          </cell>
          <cell r="B2356" t="str">
            <v>Amundi Investment Funds - China RMB Sovereign Bond</v>
          </cell>
          <cell r="C2356" t="str">
            <v>Class Z Hedged Non - Distributing</v>
          </cell>
          <cell r="D2356" t="str">
            <v>EUR</v>
          </cell>
          <cell r="E2356" t="str">
            <v>01-Dec-2025</v>
          </cell>
          <cell r="F2356">
            <v>118351.66</v>
          </cell>
          <cell r="G2356">
            <v>100</v>
          </cell>
          <cell r="H2356">
            <v>1183.52</v>
          </cell>
          <cell r="I2356">
            <v>0</v>
          </cell>
          <cell r="J2356">
            <v>1183.52</v>
          </cell>
          <cell r="K2356">
            <v>1.5</v>
          </cell>
          <cell r="P2356">
            <v>0</v>
          </cell>
        </row>
        <row r="2357">
          <cell r="A2357" t="str">
            <v>LU3038663459</v>
          </cell>
          <cell r="B2357" t="str">
            <v>Amundi Investment Funds - Total Return</v>
          </cell>
          <cell r="C2357" t="str">
            <v>Class A2 Distributing Annually</v>
          </cell>
          <cell r="D2357" t="str">
            <v>EUR</v>
          </cell>
          <cell r="E2357" t="str">
            <v>01-Dec-2025</v>
          </cell>
          <cell r="F2357">
            <v>143681342.91999999</v>
          </cell>
          <cell r="G2357">
            <v>2753624.93</v>
          </cell>
          <cell r="H2357">
            <v>52.18</v>
          </cell>
          <cell r="I2357">
            <v>0</v>
          </cell>
          <cell r="J2357">
            <v>53.75</v>
          </cell>
          <cell r="K2357">
            <v>-0.18</v>
          </cell>
          <cell r="P2357">
            <v>0</v>
          </cell>
        </row>
        <row r="2358">
          <cell r="A2358" t="str">
            <v>LU3038663376</v>
          </cell>
          <cell r="B2358" t="str">
            <v>Amundi Investment Funds - Total Return</v>
          </cell>
          <cell r="C2358" t="str">
            <v>Class A2 Non - Distributing</v>
          </cell>
          <cell r="D2358" t="str">
            <v>EUR</v>
          </cell>
          <cell r="E2358" t="str">
            <v>01-Dec-2025</v>
          </cell>
          <cell r="F2358">
            <v>5207080.2</v>
          </cell>
          <cell r="G2358">
            <v>61561.502</v>
          </cell>
          <cell r="H2358">
            <v>84.58</v>
          </cell>
          <cell r="I2358">
            <v>0</v>
          </cell>
          <cell r="J2358">
            <v>87.12</v>
          </cell>
          <cell r="K2358">
            <v>-0.3</v>
          </cell>
          <cell r="P2358">
            <v>0</v>
          </cell>
        </row>
        <row r="2359">
          <cell r="A2359" t="str">
            <v>LU3038663533</v>
          </cell>
          <cell r="B2359" t="str">
            <v>Amundi Investment Funds - Total Return</v>
          </cell>
          <cell r="C2359" t="str">
            <v>Class I2 Distributing Annually</v>
          </cell>
          <cell r="D2359" t="str">
            <v>EUR</v>
          </cell>
          <cell r="E2359" t="str">
            <v>01-Dec-2025</v>
          </cell>
          <cell r="F2359">
            <v>152040.04</v>
          </cell>
          <cell r="G2359">
            <v>2962</v>
          </cell>
          <cell r="H2359">
            <v>51.33</v>
          </cell>
          <cell r="I2359">
            <v>0</v>
          </cell>
          <cell r="J2359">
            <v>51.33</v>
          </cell>
          <cell r="K2359">
            <v>-0.18</v>
          </cell>
          <cell r="P2359">
            <v>0</v>
          </cell>
        </row>
        <row r="2360">
          <cell r="A2360" t="str">
            <v>LU3038663616</v>
          </cell>
          <cell r="B2360" t="str">
            <v>Amundi Investment Funds - Total Return</v>
          </cell>
          <cell r="C2360" t="str">
            <v>Class I3 Distributing Annually</v>
          </cell>
          <cell r="D2360" t="str">
            <v>EUR</v>
          </cell>
          <cell r="E2360" t="str">
            <v>01-Dec-2025</v>
          </cell>
          <cell r="F2360">
            <v>2122225.92</v>
          </cell>
          <cell r="G2360">
            <v>41042</v>
          </cell>
          <cell r="H2360">
            <v>51.71</v>
          </cell>
          <cell r="I2360">
            <v>0</v>
          </cell>
          <cell r="J2360">
            <v>52.74</v>
          </cell>
          <cell r="K2360">
            <v>-0.18</v>
          </cell>
          <cell r="P2360">
            <v>0</v>
          </cell>
        </row>
        <row r="2361">
          <cell r="A2361" t="str">
            <v>LU1915993064</v>
          </cell>
          <cell r="B2361" t="str">
            <v>Amundi Soluzioni Italia - Prog Obb Emergenti</v>
          </cell>
          <cell r="C2361" t="str">
            <v>Class E Non - Distributing</v>
          </cell>
          <cell r="D2361" t="str">
            <v>EUR</v>
          </cell>
          <cell r="E2361" t="str">
            <v>01-Dec-2025</v>
          </cell>
          <cell r="F2361">
            <v>1715627.96</v>
          </cell>
          <cell r="G2361">
            <v>314541.72100000002</v>
          </cell>
          <cell r="H2361">
            <v>5.4539999999999997</v>
          </cell>
          <cell r="I2361">
            <v>0</v>
          </cell>
          <cell r="J2361">
            <v>5.4539999999999997</v>
          </cell>
          <cell r="K2361">
            <v>-1.2999999999999999E-2</v>
          </cell>
          <cell r="P2361">
            <v>0</v>
          </cell>
        </row>
        <row r="2362">
          <cell r="A2362" t="str">
            <v>LU1915993148</v>
          </cell>
          <cell r="B2362" t="str">
            <v>Amundi Soluzioni Italia - Prog Obb Emergenti</v>
          </cell>
          <cell r="C2362" t="str">
            <v>Class U Non - Distributing</v>
          </cell>
          <cell r="D2362" t="str">
            <v>EUR</v>
          </cell>
          <cell r="E2362" t="str">
            <v>01-Dec-2025</v>
          </cell>
          <cell r="F2362">
            <v>20090528.719999999</v>
          </cell>
          <cell r="G2362">
            <v>3785694.3859999999</v>
          </cell>
          <cell r="H2362">
            <v>5.3070000000000004</v>
          </cell>
          <cell r="I2362">
            <v>0</v>
          </cell>
          <cell r="J2362">
            <v>5.3070000000000004</v>
          </cell>
          <cell r="K2362">
            <v>-1.2E-2</v>
          </cell>
          <cell r="P2362">
            <v>0</v>
          </cell>
        </row>
        <row r="2363">
          <cell r="A2363" t="str">
            <v>LU1965337451</v>
          </cell>
          <cell r="B2363" t="str">
            <v>Amundi Soluzioni Italia - Prog Sviluppo Oriente</v>
          </cell>
          <cell r="C2363" t="str">
            <v>Class E Non - Distributing</v>
          </cell>
          <cell r="D2363" t="str">
            <v>EUR</v>
          </cell>
          <cell r="E2363" t="str">
            <v>01-Dec-2025</v>
          </cell>
          <cell r="F2363">
            <v>1590847.8</v>
          </cell>
          <cell r="G2363">
            <v>252659.82500000001</v>
          </cell>
          <cell r="H2363">
            <v>6.2960000000000003</v>
          </cell>
          <cell r="I2363">
            <v>0</v>
          </cell>
          <cell r="J2363">
            <v>6.2960000000000003</v>
          </cell>
          <cell r="K2363">
            <v>-1.9E-2</v>
          </cell>
          <cell r="P2363">
            <v>0</v>
          </cell>
        </row>
        <row r="2364">
          <cell r="A2364" t="str">
            <v>LU1965337535</v>
          </cell>
          <cell r="B2364" t="str">
            <v>Amundi Soluzioni Italia - Prog Sviluppo Oriente</v>
          </cell>
          <cell r="C2364" t="str">
            <v>Class U Non - Distributing</v>
          </cell>
          <cell r="D2364" t="str">
            <v>EUR</v>
          </cell>
          <cell r="E2364" t="str">
            <v>01-Dec-2025</v>
          </cell>
          <cell r="F2364">
            <v>25176236.25</v>
          </cell>
          <cell r="G2364">
            <v>4105349.1469999999</v>
          </cell>
          <cell r="H2364">
            <v>6.133</v>
          </cell>
          <cell r="I2364">
            <v>0</v>
          </cell>
          <cell r="J2364">
            <v>6.133</v>
          </cell>
          <cell r="K2364">
            <v>-1.7999999999999999E-2</v>
          </cell>
          <cell r="P2364">
            <v>0</v>
          </cell>
        </row>
        <row r="2365">
          <cell r="A2365" t="str">
            <v>LU2007205128</v>
          </cell>
          <cell r="B2365" t="str">
            <v>Amundi Soluzioni Italia - Prog Svilup Oriente (II)</v>
          </cell>
          <cell r="C2365" t="str">
            <v>Class E Non - Distributing</v>
          </cell>
          <cell r="D2365" t="str">
            <v>EUR</v>
          </cell>
          <cell r="E2365" t="str">
            <v>01-Dec-2025</v>
          </cell>
          <cell r="F2365">
            <v>811352.41</v>
          </cell>
          <cell r="G2365">
            <v>129001.039</v>
          </cell>
          <cell r="H2365">
            <v>6.29</v>
          </cell>
          <cell r="I2365">
            <v>0</v>
          </cell>
          <cell r="J2365">
            <v>6.29</v>
          </cell>
          <cell r="K2365">
            <v>-2.8000000000000001E-2</v>
          </cell>
          <cell r="P2365">
            <v>0</v>
          </cell>
        </row>
        <row r="2366">
          <cell r="A2366" t="str">
            <v>LU2007205391</v>
          </cell>
          <cell r="B2366" t="str">
            <v>Amundi Soluzioni Italia - Prog Svilup Oriente (II)</v>
          </cell>
          <cell r="C2366" t="str">
            <v>Class U Non - Distributing</v>
          </cell>
          <cell r="D2366" t="str">
            <v>EUR</v>
          </cell>
          <cell r="E2366" t="str">
            <v>01-Dec-2025</v>
          </cell>
          <cell r="F2366">
            <v>11724673.26</v>
          </cell>
          <cell r="G2366">
            <v>1911961.7279999999</v>
          </cell>
          <cell r="H2366">
            <v>6.1319999999999997</v>
          </cell>
          <cell r="I2366">
            <v>0</v>
          </cell>
          <cell r="J2366">
            <v>6.1319999999999997</v>
          </cell>
          <cell r="K2366">
            <v>-2.8000000000000001E-2</v>
          </cell>
          <cell r="P2366">
            <v>0</v>
          </cell>
        </row>
        <row r="2367">
          <cell r="A2367" t="str">
            <v>LU2340109300</v>
          </cell>
          <cell r="B2367" t="str">
            <v>Amundi Soluzioni Italia - Pr Azione New Lifestyles</v>
          </cell>
          <cell r="C2367" t="str">
            <v>Class E Non - Distributing</v>
          </cell>
          <cell r="D2367" t="str">
            <v>EUR</v>
          </cell>
          <cell r="E2367" t="str">
            <v>01-Dec-2025</v>
          </cell>
          <cell r="F2367">
            <v>2789950.16</v>
          </cell>
          <cell r="G2367">
            <v>514938.179</v>
          </cell>
          <cell r="H2367">
            <v>5.4180000000000001</v>
          </cell>
          <cell r="I2367">
            <v>0</v>
          </cell>
          <cell r="J2367">
            <v>5.4180000000000001</v>
          </cell>
          <cell r="K2367">
            <v>1E-3</v>
          </cell>
          <cell r="P2367">
            <v>0</v>
          </cell>
        </row>
        <row r="2368">
          <cell r="A2368" t="str">
            <v>LU2340107601</v>
          </cell>
          <cell r="B2368" t="str">
            <v>Amundi Soluzioni Italia - Pr Azione New Lifestyles</v>
          </cell>
          <cell r="C2368" t="str">
            <v>Class U Non - Distributing</v>
          </cell>
          <cell r="D2368" t="str">
            <v>EUR</v>
          </cell>
          <cell r="E2368" t="str">
            <v>01-Dec-2025</v>
          </cell>
          <cell r="F2368">
            <v>61004728.369999997</v>
          </cell>
          <cell r="G2368">
            <v>11405163.673</v>
          </cell>
          <cell r="H2368">
            <v>5.3490000000000002</v>
          </cell>
          <cell r="I2368">
            <v>0</v>
          </cell>
          <cell r="J2368">
            <v>5.3490000000000002</v>
          </cell>
          <cell r="K2368">
            <v>1E-3</v>
          </cell>
          <cell r="P2368">
            <v>0</v>
          </cell>
        </row>
        <row r="2369">
          <cell r="A2369" t="str">
            <v>LU2373916753</v>
          </cell>
          <cell r="B2369" t="str">
            <v>Amundi Soluzioni Italia - Pr Azione Infr Responsab</v>
          </cell>
          <cell r="C2369" t="str">
            <v>Class E Non - Distributing</v>
          </cell>
          <cell r="D2369" t="str">
            <v>EUR</v>
          </cell>
          <cell r="E2369" t="str">
            <v>01-Dec-2025</v>
          </cell>
          <cell r="F2369">
            <v>5913786.0199999996</v>
          </cell>
          <cell r="G2369">
            <v>1174497.057</v>
          </cell>
          <cell r="H2369">
            <v>5.0350000000000001</v>
          </cell>
          <cell r="I2369">
            <v>0</v>
          </cell>
          <cell r="J2369">
            <v>5.0350000000000001</v>
          </cell>
          <cell r="K2369">
            <v>-4.8000000000000001E-2</v>
          </cell>
          <cell r="P2369">
            <v>0</v>
          </cell>
        </row>
        <row r="2370">
          <cell r="A2370" t="str">
            <v>LU2373916837</v>
          </cell>
          <cell r="B2370" t="str">
            <v>Amundi Soluzioni Italia - Pr Azione Infr Responsab</v>
          </cell>
          <cell r="C2370" t="str">
            <v>Class U Non - Distributing</v>
          </cell>
          <cell r="D2370" t="str">
            <v>EUR</v>
          </cell>
          <cell r="E2370" t="str">
            <v>01-Dec-2025</v>
          </cell>
          <cell r="F2370">
            <v>146983218.09999999</v>
          </cell>
          <cell r="G2370">
            <v>29552045.041000001</v>
          </cell>
          <cell r="H2370">
            <v>4.9740000000000002</v>
          </cell>
          <cell r="I2370">
            <v>0</v>
          </cell>
          <cell r="J2370">
            <v>4.9740000000000002</v>
          </cell>
          <cell r="K2370">
            <v>-4.7E-2</v>
          </cell>
          <cell r="P2370">
            <v>0</v>
          </cell>
        </row>
        <row r="2371">
          <cell r="A2371" t="str">
            <v>LU2407593735</v>
          </cell>
          <cell r="B2371" t="str">
            <v>Amundi Soluzioni Italia - Pr Az Infrastr Resp (II)</v>
          </cell>
          <cell r="C2371" t="str">
            <v>Class E Non - Distributing</v>
          </cell>
          <cell r="D2371" t="str">
            <v>EUR</v>
          </cell>
          <cell r="E2371" t="str">
            <v>01-Dec-2025</v>
          </cell>
          <cell r="F2371">
            <v>3783784.08</v>
          </cell>
          <cell r="G2371">
            <v>743174.27</v>
          </cell>
          <cell r="H2371">
            <v>5.0910000000000002</v>
          </cell>
          <cell r="I2371">
            <v>0</v>
          </cell>
          <cell r="J2371">
            <v>5.0910000000000002</v>
          </cell>
          <cell r="K2371">
            <v>-4.7E-2</v>
          </cell>
          <cell r="P2371">
            <v>0</v>
          </cell>
        </row>
        <row r="2372">
          <cell r="A2372" t="str">
            <v>LU2407593651</v>
          </cell>
          <cell r="B2372" t="str">
            <v>Amundi Soluzioni Italia - Pr Az Infrastr Resp (II)</v>
          </cell>
          <cell r="C2372" t="str">
            <v>Class U Non - Distributing</v>
          </cell>
          <cell r="D2372" t="str">
            <v>EUR</v>
          </cell>
          <cell r="E2372" t="str">
            <v>01-Dec-2025</v>
          </cell>
          <cell r="F2372">
            <v>132131166.73</v>
          </cell>
          <cell r="G2372">
            <v>26252340.044</v>
          </cell>
          <cell r="H2372">
            <v>5.0330000000000004</v>
          </cell>
          <cell r="I2372">
            <v>0</v>
          </cell>
          <cell r="J2372">
            <v>5.0330000000000004</v>
          </cell>
          <cell r="K2372">
            <v>-4.7E-2</v>
          </cell>
          <cell r="P2372">
            <v>0</v>
          </cell>
        </row>
        <row r="2373">
          <cell r="A2373" t="str">
            <v>LU2407593495</v>
          </cell>
          <cell r="B2373" t="str">
            <v>Amundi Soluzioni Italia - Pr Azi New Lifestyles II</v>
          </cell>
          <cell r="C2373" t="str">
            <v>Class E Non - Distributing</v>
          </cell>
          <cell r="D2373" t="str">
            <v>EUR</v>
          </cell>
          <cell r="E2373" t="str">
            <v>01-Dec-2025</v>
          </cell>
          <cell r="F2373">
            <v>870779.03</v>
          </cell>
          <cell r="G2373">
            <v>162009.82999999999</v>
          </cell>
          <cell r="H2373">
            <v>5.375</v>
          </cell>
          <cell r="I2373">
            <v>0</v>
          </cell>
          <cell r="J2373">
            <v>5.375</v>
          </cell>
          <cell r="K2373">
            <v>1E-3</v>
          </cell>
          <cell r="P2373">
            <v>0</v>
          </cell>
        </row>
        <row r="2374">
          <cell r="A2374" t="str">
            <v>LU2407593065</v>
          </cell>
          <cell r="B2374" t="str">
            <v>Amundi Soluzioni Italia - Pr Azi New Lifestyles II</v>
          </cell>
          <cell r="C2374" t="str">
            <v>Class U Non - Distributing</v>
          </cell>
          <cell r="D2374" t="str">
            <v>EUR</v>
          </cell>
          <cell r="E2374" t="str">
            <v>01-Dec-2025</v>
          </cell>
          <cell r="F2374">
            <v>31408029.559999999</v>
          </cell>
          <cell r="G2374">
            <v>5910856.7869999995</v>
          </cell>
          <cell r="H2374">
            <v>5.3140000000000001</v>
          </cell>
          <cell r="I2374">
            <v>0</v>
          </cell>
          <cell r="J2374">
            <v>5.3140000000000001</v>
          </cell>
          <cell r="K2374">
            <v>1E-3</v>
          </cell>
          <cell r="P2374">
            <v>0</v>
          </cell>
        </row>
        <row r="2375">
          <cell r="A2375" t="str">
            <v>LU2446850211</v>
          </cell>
          <cell r="B2375" t="str">
            <v>Amundi Soluzioni Italia - Pro Azi Circular Economy</v>
          </cell>
          <cell r="C2375" t="str">
            <v>Class E Non - Distributing</v>
          </cell>
          <cell r="D2375" t="str">
            <v>EUR</v>
          </cell>
          <cell r="E2375" t="str">
            <v>01-Dec-2025</v>
          </cell>
          <cell r="F2375">
            <v>1786091.4</v>
          </cell>
          <cell r="G2375">
            <v>337364.50099999999</v>
          </cell>
          <cell r="H2375">
            <v>5.2939999999999996</v>
          </cell>
          <cell r="I2375">
            <v>0</v>
          </cell>
          <cell r="J2375">
            <v>5.2939999999999996</v>
          </cell>
          <cell r="K2375">
            <v>-7.0000000000000001E-3</v>
          </cell>
          <cell r="P2375">
            <v>0</v>
          </cell>
        </row>
        <row r="2376">
          <cell r="A2376" t="str">
            <v>LU2446850302</v>
          </cell>
          <cell r="B2376" t="str">
            <v>Amundi Soluzioni Italia - Pro Azi Circular Economy</v>
          </cell>
          <cell r="C2376" t="str">
            <v>Class U Non - Distributing</v>
          </cell>
          <cell r="D2376" t="str">
            <v>EUR</v>
          </cell>
          <cell r="E2376" t="str">
            <v>01-Dec-2025</v>
          </cell>
          <cell r="F2376">
            <v>69772422.390000001</v>
          </cell>
          <cell r="G2376">
            <v>13321828.333000001</v>
          </cell>
          <cell r="H2376">
            <v>5.2370000000000001</v>
          </cell>
          <cell r="I2376">
            <v>0</v>
          </cell>
          <cell r="J2376">
            <v>5.2370000000000001</v>
          </cell>
          <cell r="K2376">
            <v>-7.0000000000000001E-3</v>
          </cell>
          <cell r="P2376">
            <v>0</v>
          </cell>
        </row>
        <row r="2377">
          <cell r="A2377" t="str">
            <v>LU2446850484</v>
          </cell>
          <cell r="B2377" t="str">
            <v>Amundi Soluzioni Italia - Pr Az Intell Artificiale</v>
          </cell>
          <cell r="C2377" t="str">
            <v>Class E Non - Distributing</v>
          </cell>
          <cell r="D2377" t="str">
            <v>EUR</v>
          </cell>
          <cell r="E2377" t="str">
            <v>01-Dec-2025</v>
          </cell>
          <cell r="F2377">
            <v>3723726.92</v>
          </cell>
          <cell r="G2377">
            <v>496109.77899999998</v>
          </cell>
          <cell r="H2377">
            <v>7.5060000000000002</v>
          </cell>
          <cell r="I2377">
            <v>0</v>
          </cell>
          <cell r="J2377">
            <v>7.5060000000000002</v>
          </cell>
          <cell r="K2377">
            <v>-3.2000000000000001E-2</v>
          </cell>
          <cell r="P2377">
            <v>0</v>
          </cell>
        </row>
        <row r="2378">
          <cell r="A2378" t="str">
            <v>LU2446850567</v>
          </cell>
          <cell r="B2378" t="str">
            <v>Amundi Soluzioni Italia - Pr Az Intell Artificiale</v>
          </cell>
          <cell r="C2378" t="str">
            <v>Class U Non - Distributing</v>
          </cell>
          <cell r="D2378" t="str">
            <v>EUR</v>
          </cell>
          <cell r="E2378" t="str">
            <v>01-Dec-2025</v>
          </cell>
          <cell r="F2378">
            <v>65426214.539999999</v>
          </cell>
          <cell r="G2378">
            <v>8843207.0099999998</v>
          </cell>
          <cell r="H2378">
            <v>7.3979999999999997</v>
          </cell>
          <cell r="I2378">
            <v>0</v>
          </cell>
          <cell r="J2378">
            <v>7.3979999999999997</v>
          </cell>
          <cell r="K2378">
            <v>-3.2000000000000001E-2</v>
          </cell>
          <cell r="P2378">
            <v>0</v>
          </cell>
        </row>
        <row r="2379">
          <cell r="A2379" t="str">
            <v>LU2474778375</v>
          </cell>
          <cell r="B2379" t="str">
            <v>Amundi Soluzioni Italia - Pro Azi Circula Eco (II)</v>
          </cell>
          <cell r="C2379" t="str">
            <v>Class E Non - Distributing</v>
          </cell>
          <cell r="D2379" t="str">
            <v>EUR</v>
          </cell>
          <cell r="E2379" t="str">
            <v>01-Dec-2025</v>
          </cell>
          <cell r="F2379">
            <v>426826.2</v>
          </cell>
          <cell r="G2379">
            <v>79801.604999999996</v>
          </cell>
          <cell r="H2379">
            <v>5.3490000000000002</v>
          </cell>
          <cell r="I2379">
            <v>0</v>
          </cell>
          <cell r="J2379">
            <v>5.3490000000000002</v>
          </cell>
          <cell r="K2379">
            <v>-8.0000000000000002E-3</v>
          </cell>
          <cell r="P2379">
            <v>0</v>
          </cell>
        </row>
        <row r="2380">
          <cell r="A2380" t="str">
            <v>LU2474780603</v>
          </cell>
          <cell r="B2380" t="str">
            <v>Amundi Soluzioni Italia - Pro Azi Circula Eco (II)</v>
          </cell>
          <cell r="C2380" t="str">
            <v>Class U Non - Distributing</v>
          </cell>
          <cell r="D2380" t="str">
            <v>EUR</v>
          </cell>
          <cell r="E2380" t="str">
            <v>01-Dec-2025</v>
          </cell>
          <cell r="F2380">
            <v>15221452.02</v>
          </cell>
          <cell r="G2380">
            <v>2874440.5989999999</v>
          </cell>
          <cell r="H2380">
            <v>5.2949999999999999</v>
          </cell>
          <cell r="I2380">
            <v>0</v>
          </cell>
          <cell r="J2380">
            <v>5.2949999999999999</v>
          </cell>
          <cell r="K2380">
            <v>-8.9999999999999993E-3</v>
          </cell>
          <cell r="P2380">
            <v>0</v>
          </cell>
        </row>
        <row r="2381">
          <cell r="A2381" t="str">
            <v>LU2474779183</v>
          </cell>
          <cell r="B2381" t="str">
            <v>ASI Progetto Azione Intelligenza Artificiale (II)</v>
          </cell>
          <cell r="C2381" t="str">
            <v>Class E Non - Distributing</v>
          </cell>
          <cell r="D2381" t="str">
            <v>EUR</v>
          </cell>
          <cell r="E2381" t="str">
            <v>01-Dec-2025</v>
          </cell>
          <cell r="F2381">
            <v>471754.19</v>
          </cell>
          <cell r="G2381">
            <v>63548.161999999997</v>
          </cell>
          <cell r="H2381">
            <v>7.4240000000000004</v>
          </cell>
          <cell r="I2381">
            <v>0</v>
          </cell>
          <cell r="J2381">
            <v>7.4240000000000004</v>
          </cell>
          <cell r="K2381">
            <v>-3.1E-2</v>
          </cell>
          <cell r="P2381">
            <v>0</v>
          </cell>
        </row>
        <row r="2382">
          <cell r="A2382" t="str">
            <v>LU2474779001</v>
          </cell>
          <cell r="B2382" t="str">
            <v>ASI Progetto Azione Intelligenza Artificiale (II)</v>
          </cell>
          <cell r="C2382" t="str">
            <v>Class U Non - Distributing</v>
          </cell>
          <cell r="D2382" t="str">
            <v>EUR</v>
          </cell>
          <cell r="E2382" t="str">
            <v>01-Dec-2025</v>
          </cell>
          <cell r="F2382">
            <v>11704727.460000001</v>
          </cell>
          <cell r="G2382">
            <v>1597952.6029999999</v>
          </cell>
          <cell r="H2382">
            <v>7.3250000000000002</v>
          </cell>
          <cell r="I2382">
            <v>0</v>
          </cell>
          <cell r="J2382">
            <v>7.3250000000000002</v>
          </cell>
          <cell r="K2382">
            <v>-3.1E-2</v>
          </cell>
          <cell r="P2382">
            <v>0</v>
          </cell>
        </row>
        <row r="2383">
          <cell r="A2383" t="str">
            <v>LU2474780785</v>
          </cell>
          <cell r="B2383" t="str">
            <v>Amundi Soluzioni Italia - Bilanciato Percor Attivo</v>
          </cell>
          <cell r="C2383" t="str">
            <v>Class E Non - Distributing</v>
          </cell>
          <cell r="D2383" t="str">
            <v>EUR</v>
          </cell>
          <cell r="E2383" t="str">
            <v>01-Dec-2025</v>
          </cell>
          <cell r="F2383">
            <v>629060.27</v>
          </cell>
          <cell r="G2383">
            <v>108220.97900000001</v>
          </cell>
          <cell r="H2383">
            <v>5.8129999999999997</v>
          </cell>
          <cell r="I2383">
            <v>0</v>
          </cell>
          <cell r="J2383">
            <v>5.8129999999999997</v>
          </cell>
          <cell r="K2383">
            <v>-2.1999999999999999E-2</v>
          </cell>
          <cell r="P2383">
            <v>0</v>
          </cell>
        </row>
        <row r="2384">
          <cell r="A2384" t="str">
            <v>LU2474781080</v>
          </cell>
          <cell r="B2384" t="str">
            <v>Amundi Soluzioni Italia - Bilanciato Percor Attivo</v>
          </cell>
          <cell r="C2384" t="str">
            <v>Class U Non - Distributing</v>
          </cell>
          <cell r="D2384" t="str">
            <v>EUR</v>
          </cell>
          <cell r="E2384" t="str">
            <v>01-Dec-2025</v>
          </cell>
          <cell r="F2384">
            <v>30645813.52</v>
          </cell>
          <cell r="G2384">
            <v>5334338.1040000003</v>
          </cell>
          <cell r="H2384">
            <v>5.7450000000000001</v>
          </cell>
          <cell r="I2384">
            <v>0</v>
          </cell>
          <cell r="J2384">
            <v>5.7450000000000001</v>
          </cell>
          <cell r="K2384">
            <v>-2.3E-2</v>
          </cell>
          <cell r="P2384">
            <v>0</v>
          </cell>
        </row>
        <row r="2385">
          <cell r="A2385" t="str">
            <v>LU2474779340</v>
          </cell>
          <cell r="B2385" t="str">
            <v>Amundi Soluzioni Italia - Progetto Az Res Opportun</v>
          </cell>
          <cell r="C2385" t="str">
            <v>Class E Non - Distributing</v>
          </cell>
          <cell r="D2385" t="str">
            <v>EUR</v>
          </cell>
          <cell r="E2385" t="str">
            <v>01-Dec-2025</v>
          </cell>
          <cell r="F2385">
            <v>1104406.6599999999</v>
          </cell>
          <cell r="G2385">
            <v>178483.087</v>
          </cell>
          <cell r="H2385">
            <v>6.1879999999999997</v>
          </cell>
          <cell r="I2385">
            <v>0</v>
          </cell>
          <cell r="J2385">
            <v>6.1879999999999997</v>
          </cell>
          <cell r="K2385">
            <v>7.0000000000000001E-3</v>
          </cell>
          <cell r="P2385">
            <v>0</v>
          </cell>
        </row>
        <row r="2386">
          <cell r="A2386" t="str">
            <v>LU2474779266</v>
          </cell>
          <cell r="B2386" t="str">
            <v>Amundi Soluzioni Italia - Progetto Az Res Opportun</v>
          </cell>
          <cell r="C2386" t="str">
            <v>Class U Non - Distributing</v>
          </cell>
          <cell r="D2386" t="str">
            <v>EUR</v>
          </cell>
          <cell r="E2386" t="str">
            <v>01-Dec-2025</v>
          </cell>
          <cell r="F2386">
            <v>21369559.100000001</v>
          </cell>
          <cell r="G2386">
            <v>3486428.4350000001</v>
          </cell>
          <cell r="H2386">
            <v>6.1289999999999996</v>
          </cell>
          <cell r="I2386">
            <v>0</v>
          </cell>
          <cell r="J2386">
            <v>6.1289999999999996</v>
          </cell>
          <cell r="K2386">
            <v>6.0000000000000001E-3</v>
          </cell>
          <cell r="P2386">
            <v>0</v>
          </cell>
        </row>
        <row r="2387">
          <cell r="A2387" t="str">
            <v>LU2523294473</v>
          </cell>
          <cell r="B2387" t="str">
            <v>Amundi Soluzioni Italia - Bilanc Perco Attivo (II)</v>
          </cell>
          <cell r="C2387" t="str">
            <v>Class E Non - Distributing</v>
          </cell>
          <cell r="D2387" t="str">
            <v>EUR</v>
          </cell>
          <cell r="E2387" t="str">
            <v>01-Dec-2025</v>
          </cell>
          <cell r="F2387">
            <v>498495.09</v>
          </cell>
          <cell r="G2387">
            <v>82732.683999999994</v>
          </cell>
          <cell r="H2387">
            <v>6.0250000000000004</v>
          </cell>
          <cell r="I2387">
            <v>0</v>
          </cell>
          <cell r="J2387">
            <v>6.0250000000000004</v>
          </cell>
          <cell r="K2387">
            <v>-2.1000000000000001E-2</v>
          </cell>
          <cell r="P2387">
            <v>0</v>
          </cell>
        </row>
        <row r="2388">
          <cell r="A2388" t="str">
            <v>LU2523294556</v>
          </cell>
          <cell r="B2388" t="str">
            <v>Amundi Soluzioni Italia - Bilanc Perco Attivo (II)</v>
          </cell>
          <cell r="C2388" t="str">
            <v>Class U Non - Distributing</v>
          </cell>
          <cell r="D2388" t="str">
            <v>EUR</v>
          </cell>
          <cell r="E2388" t="str">
            <v>01-Dec-2025</v>
          </cell>
          <cell r="F2388">
            <v>18707352.18</v>
          </cell>
          <cell r="G2388">
            <v>3133539.73</v>
          </cell>
          <cell r="H2388">
            <v>5.97</v>
          </cell>
          <cell r="I2388">
            <v>0</v>
          </cell>
          <cell r="J2388">
            <v>5.97</v>
          </cell>
          <cell r="K2388">
            <v>-2.1000000000000001E-2</v>
          </cell>
          <cell r="P2388">
            <v>0</v>
          </cell>
        </row>
        <row r="2389">
          <cell r="A2389" t="str">
            <v>LU2523293236</v>
          </cell>
          <cell r="B2389" t="str">
            <v>Amundi Soluzioni Italia - Progetto Az Futuro Green</v>
          </cell>
          <cell r="C2389" t="str">
            <v>Class E Non - Distributing</v>
          </cell>
          <cell r="D2389" t="str">
            <v>EUR</v>
          </cell>
          <cell r="E2389" t="str">
            <v>01-Dec-2025</v>
          </cell>
          <cell r="F2389">
            <v>815767.48</v>
          </cell>
          <cell r="G2389">
            <v>131418.92300000001</v>
          </cell>
          <cell r="H2389">
            <v>6.2069999999999999</v>
          </cell>
          <cell r="I2389">
            <v>0</v>
          </cell>
          <cell r="J2389">
            <v>6.2069999999999999</v>
          </cell>
          <cell r="K2389">
            <v>-3.3000000000000002E-2</v>
          </cell>
          <cell r="P2389">
            <v>0</v>
          </cell>
        </row>
        <row r="2390">
          <cell r="A2390" t="str">
            <v>LU2523293152</v>
          </cell>
          <cell r="B2390" t="str">
            <v>Amundi Soluzioni Italia - Progetto Az Futuro Green</v>
          </cell>
          <cell r="C2390" t="str">
            <v>Class U Non - Distributing</v>
          </cell>
          <cell r="D2390" t="str">
            <v>EUR</v>
          </cell>
          <cell r="E2390" t="str">
            <v>01-Dec-2025</v>
          </cell>
          <cell r="F2390">
            <v>41130962.590000004</v>
          </cell>
          <cell r="G2390">
            <v>6697427.1749999998</v>
          </cell>
          <cell r="H2390">
            <v>6.141</v>
          </cell>
          <cell r="I2390">
            <v>0</v>
          </cell>
          <cell r="J2390">
            <v>6.141</v>
          </cell>
          <cell r="K2390">
            <v>-3.3000000000000002E-2</v>
          </cell>
          <cell r="P2390">
            <v>0</v>
          </cell>
        </row>
        <row r="2391">
          <cell r="A2391" t="str">
            <v>LU2550901867</v>
          </cell>
          <cell r="B2391" t="str">
            <v>Amundi Soluzioni Italia - Bilanc Perc Attivo (III)</v>
          </cell>
          <cell r="C2391" t="str">
            <v>Class E Non - Distributing</v>
          </cell>
          <cell r="D2391" t="str">
            <v>EUR</v>
          </cell>
          <cell r="E2391" t="str">
            <v>01-Dec-2025</v>
          </cell>
          <cell r="F2391">
            <v>1110015.8700000001</v>
          </cell>
          <cell r="G2391">
            <v>187832.603</v>
          </cell>
          <cell r="H2391">
            <v>5.91</v>
          </cell>
          <cell r="I2391">
            <v>0</v>
          </cell>
          <cell r="J2391">
            <v>5.91</v>
          </cell>
          <cell r="K2391">
            <v>-1.9E-2</v>
          </cell>
          <cell r="P2391">
            <v>0</v>
          </cell>
        </row>
        <row r="2392">
          <cell r="A2392" t="str">
            <v>LU2550903483</v>
          </cell>
          <cell r="B2392" t="str">
            <v>Amundi Soluzioni Italia - Bilanc Perc Attivo (III)</v>
          </cell>
          <cell r="C2392" t="str">
            <v>Class U Non - Distributing</v>
          </cell>
          <cell r="D2392" t="str">
            <v>EUR</v>
          </cell>
          <cell r="E2392" t="str">
            <v>01-Dec-2025</v>
          </cell>
          <cell r="F2392">
            <v>59686516.380000003</v>
          </cell>
          <cell r="G2392">
            <v>10185683.526000001</v>
          </cell>
          <cell r="H2392">
            <v>5.86</v>
          </cell>
          <cell r="I2392">
            <v>0</v>
          </cell>
          <cell r="J2392">
            <v>5.86</v>
          </cell>
          <cell r="K2392">
            <v>-1.9E-2</v>
          </cell>
          <cell r="P2392">
            <v>0</v>
          </cell>
        </row>
        <row r="2393">
          <cell r="A2393" t="str">
            <v>LU2925012267</v>
          </cell>
          <cell r="B2393" t="str">
            <v>ASI Progetto Azione Intelligenza Artificiale (III)</v>
          </cell>
          <cell r="C2393" t="str">
            <v>Class E Non - Distributing</v>
          </cell>
          <cell r="D2393" t="str">
            <v>EUR</v>
          </cell>
          <cell r="E2393" t="str">
            <v>01-Dec-2025</v>
          </cell>
          <cell r="F2393">
            <v>21665412.550000001</v>
          </cell>
          <cell r="G2393">
            <v>4231064.1119999997</v>
          </cell>
          <cell r="H2393">
            <v>5.1210000000000004</v>
          </cell>
          <cell r="I2393">
            <v>0</v>
          </cell>
          <cell r="J2393">
            <v>5.1210000000000004</v>
          </cell>
          <cell r="K2393">
            <v>-8.9999999999999993E-3</v>
          </cell>
          <cell r="P2393">
            <v>0</v>
          </cell>
        </row>
        <row r="2394">
          <cell r="A2394" t="str">
            <v>LU2925012341</v>
          </cell>
          <cell r="B2394" t="str">
            <v>ASI Progetto Azione Intelligenza Artificiale (III)</v>
          </cell>
          <cell r="C2394" t="str">
            <v>Class U Non - Distributing</v>
          </cell>
          <cell r="D2394" t="str">
            <v>EUR</v>
          </cell>
          <cell r="E2394" t="str">
            <v>01-Dec-2025</v>
          </cell>
          <cell r="F2394">
            <v>652923197.67999995</v>
          </cell>
          <cell r="G2394">
            <v>127798745.978</v>
          </cell>
          <cell r="H2394">
            <v>5.109</v>
          </cell>
          <cell r="I2394">
            <v>0</v>
          </cell>
          <cell r="J2394">
            <v>5.109</v>
          </cell>
          <cell r="K2394">
            <v>-8.9999999999999993E-3</v>
          </cell>
          <cell r="P2394">
            <v>0</v>
          </cell>
        </row>
        <row r="2395">
          <cell r="A2395" t="str">
            <v>LU2176595820</v>
          </cell>
          <cell r="B2395" t="str">
            <v>ARAF -  Amundi Liquid CrÃ©dit Opportunities Fund</v>
          </cell>
          <cell r="C2395" t="str">
            <v>Class I Hedge Non - Distributing</v>
          </cell>
          <cell r="D2395" t="str">
            <v>GBP</v>
          </cell>
          <cell r="E2395" t="str">
            <v>01-Dec-2025</v>
          </cell>
          <cell r="F2395">
            <v>55339441.600000001</v>
          </cell>
          <cell r="G2395">
            <v>44590.35</v>
          </cell>
          <cell r="H2395">
            <v>1241.0630000000001</v>
          </cell>
          <cell r="I2395">
            <v>0</v>
          </cell>
          <cell r="J2395">
            <v>0</v>
          </cell>
          <cell r="K2395">
            <v>-1.9710000000000001</v>
          </cell>
          <cell r="P239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4932D-8B77-4129-81DF-30E695583CA5}">
  <sheetPr>
    <tabColor rgb="FFFF0000"/>
    <pageSetUpPr fitToPage="1"/>
  </sheetPr>
  <dimension ref="A1:C13"/>
  <sheetViews>
    <sheetView workbookViewId="0">
      <selection activeCell="A4" sqref="A4"/>
    </sheetView>
  </sheetViews>
  <sheetFormatPr defaultRowHeight="15"/>
  <cols>
    <col min="1" max="1" width="18.5703125" customWidth="1"/>
    <col min="2" max="2" width="38.42578125" customWidth="1"/>
    <col min="3" max="3" width="72.5703125" customWidth="1"/>
  </cols>
  <sheetData>
    <row r="1" spans="1:3" ht="27" customHeight="1">
      <c r="A1" s="195" t="s">
        <v>270</v>
      </c>
      <c r="B1" s="195"/>
      <c r="C1" s="195"/>
    </row>
    <row r="2" spans="1:3" ht="27" customHeight="1" thickBot="1">
      <c r="A2" s="19"/>
      <c r="B2" s="21" t="s">
        <v>252</v>
      </c>
      <c r="C2" s="21" t="s">
        <v>253</v>
      </c>
    </row>
    <row r="3" spans="1:3" ht="37.5" customHeight="1" thickTop="1" thickBot="1">
      <c r="A3" s="20" t="s">
        <v>718</v>
      </c>
      <c r="B3" s="25" t="s">
        <v>254</v>
      </c>
      <c r="C3" s="28" t="s">
        <v>255</v>
      </c>
    </row>
    <row r="4" spans="1:3" ht="37.5" customHeight="1" thickBot="1">
      <c r="A4" s="20" t="s">
        <v>248</v>
      </c>
      <c r="B4" s="29" t="s">
        <v>7</v>
      </c>
      <c r="C4" s="28" t="s">
        <v>256</v>
      </c>
    </row>
    <row r="5" spans="1:3" ht="37.5" customHeight="1" thickBot="1">
      <c r="A5" s="20" t="s">
        <v>249</v>
      </c>
      <c r="B5" s="29" t="s">
        <v>7</v>
      </c>
      <c r="C5" s="28" t="s">
        <v>256</v>
      </c>
    </row>
    <row r="6" spans="1:3" ht="37.5" customHeight="1" thickBot="1">
      <c r="A6" s="20" t="s">
        <v>250</v>
      </c>
      <c r="B6" s="27" t="s">
        <v>287</v>
      </c>
      <c r="C6" s="28" t="s">
        <v>257</v>
      </c>
    </row>
    <row r="7" spans="1:3" ht="37.5" customHeight="1" thickBot="1">
      <c r="A7" s="20" t="s">
        <v>288</v>
      </c>
      <c r="B7" s="27" t="s">
        <v>4</v>
      </c>
      <c r="C7" s="28" t="s">
        <v>289</v>
      </c>
    </row>
    <row r="9" spans="1:3" ht="15.75" thickBot="1">
      <c r="A9" s="14"/>
      <c r="B9" s="14"/>
      <c r="C9" s="14"/>
    </row>
    <row r="10" spans="1:3" ht="27" customHeight="1">
      <c r="A10" s="196" t="s">
        <v>271</v>
      </c>
      <c r="B10" s="196"/>
      <c r="C10" s="196"/>
    </row>
    <row r="11" spans="1:3" ht="27" customHeight="1" thickBot="1">
      <c r="A11" s="19"/>
      <c r="B11" s="21" t="s">
        <v>252</v>
      </c>
      <c r="C11" s="21" t="s">
        <v>253</v>
      </c>
    </row>
    <row r="12" spans="1:3" ht="37.5" customHeight="1" thickTop="1" thickBot="1">
      <c r="A12" s="20" t="s">
        <v>247</v>
      </c>
      <c r="B12" s="25" t="s">
        <v>7</v>
      </c>
      <c r="C12" s="26" t="s">
        <v>269</v>
      </c>
    </row>
    <row r="13" spans="1:3" ht="37.5" customHeight="1" thickBot="1">
      <c r="A13" s="20" t="s">
        <v>416</v>
      </c>
      <c r="B13" s="27" t="s">
        <v>7</v>
      </c>
      <c r="C13" s="28" t="s">
        <v>289</v>
      </c>
    </row>
  </sheetData>
  <mergeCells count="2">
    <mergeCell ref="A1:C1"/>
    <mergeCell ref="A10:C10"/>
  </mergeCells>
  <pageMargins left="0.7" right="0.7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A1930-8A45-4A87-89D0-483DA4EBA9BD}">
  <dimension ref="A2:N4141"/>
  <sheetViews>
    <sheetView topLeftCell="B1" zoomScale="70" zoomScaleNormal="70" workbookViewId="0">
      <pane ySplit="5" topLeftCell="A3720" activePane="bottomLeft" state="frozen"/>
      <selection activeCell="D1" sqref="D1"/>
      <selection pane="bottomLeft" activeCell="K3844" sqref="K3844"/>
    </sheetView>
  </sheetViews>
  <sheetFormatPr defaultColWidth="17.5703125" defaultRowHeight="23.25" customHeight="1"/>
  <cols>
    <col min="1" max="1" width="19" style="3" hidden="1" customWidth="1"/>
    <col min="2" max="2" width="18.85546875" style="4" customWidth="1"/>
    <col min="3" max="3" width="70.42578125" style="6" customWidth="1"/>
    <col min="4" max="4" width="17.140625" style="4" customWidth="1"/>
    <col min="5" max="5" width="18.42578125" style="2" customWidth="1"/>
    <col min="6" max="6" width="18.42578125" style="4" customWidth="1"/>
    <col min="7" max="7" width="18.42578125" style="2" customWidth="1"/>
    <col min="8" max="8" width="15.42578125" style="2" customWidth="1"/>
    <col min="9" max="9" width="16.42578125" style="31" customWidth="1"/>
    <col min="10" max="10" width="17" style="31" customWidth="1"/>
    <col min="11" max="11" width="15.42578125" style="31" customWidth="1"/>
    <col min="12" max="12" width="15" style="31" customWidth="1"/>
    <col min="13" max="13" width="13.5703125" style="31" customWidth="1"/>
    <col min="14" max="14" width="19.85546875" style="7" customWidth="1"/>
  </cols>
  <sheetData>
    <row r="2" spans="1:14" ht="23.25" customHeight="1">
      <c r="F2" s="2"/>
    </row>
    <row r="4" spans="1:14" ht="23.25" customHeight="1" thickBot="1">
      <c r="L4" s="151" t="s">
        <v>892</v>
      </c>
      <c r="M4" s="151" t="s">
        <v>892</v>
      </c>
    </row>
    <row r="5" spans="1:14" s="84" customFormat="1" ht="115.5" customHeight="1" thickTop="1" thickBot="1">
      <c r="A5" s="83" t="s">
        <v>228</v>
      </c>
      <c r="B5" s="85" t="s">
        <v>0</v>
      </c>
      <c r="C5" s="86" t="s">
        <v>1</v>
      </c>
      <c r="D5" s="86" t="s">
        <v>2</v>
      </c>
      <c r="E5" s="87" t="s">
        <v>680</v>
      </c>
      <c r="F5" s="87" t="s">
        <v>681</v>
      </c>
      <c r="G5" s="88" t="s">
        <v>682</v>
      </c>
      <c r="H5" s="89" t="s">
        <v>684</v>
      </c>
      <c r="I5" s="90" t="s">
        <v>683</v>
      </c>
      <c r="J5" s="91" t="s">
        <v>685</v>
      </c>
      <c r="K5" s="91" t="s">
        <v>686</v>
      </c>
      <c r="L5" s="91" t="s">
        <v>687</v>
      </c>
      <c r="M5" s="91" t="s">
        <v>688</v>
      </c>
      <c r="N5" s="86" t="s">
        <v>3</v>
      </c>
    </row>
    <row r="6" spans="1:14" ht="15.75" thickTop="1">
      <c r="A6" s="12"/>
      <c r="B6" s="33" t="s">
        <v>511</v>
      </c>
      <c r="C6" s="92" t="s">
        <v>512</v>
      </c>
      <c r="D6" s="33" t="s">
        <v>411</v>
      </c>
      <c r="E6" s="34">
        <v>43830</v>
      </c>
      <c r="F6" s="34">
        <v>43832</v>
      </c>
      <c r="G6" s="34">
        <v>43837</v>
      </c>
      <c r="H6" s="35"/>
      <c r="I6" s="67">
        <v>0.19</v>
      </c>
      <c r="J6" s="67">
        <v>0</v>
      </c>
      <c r="K6" s="67">
        <v>0.19</v>
      </c>
      <c r="L6" s="36">
        <f>+K6-((K6*0.766*0.125)+(K6*(1-0.766)*0.26))</f>
        <v>0.1602479</v>
      </c>
      <c r="M6" s="64">
        <f t="shared" ref="M6:M69" si="0">J6+L6</f>
        <v>0.1602479</v>
      </c>
      <c r="N6" s="33" t="s">
        <v>251</v>
      </c>
    </row>
    <row r="7" spans="1:14" ht="15">
      <c r="A7" s="12"/>
      <c r="B7" s="33" t="s">
        <v>310</v>
      </c>
      <c r="C7" s="92" t="s">
        <v>424</v>
      </c>
      <c r="D7" s="33" t="s">
        <v>411</v>
      </c>
      <c r="E7" s="34">
        <v>43830</v>
      </c>
      <c r="F7" s="34">
        <v>43832</v>
      </c>
      <c r="G7" s="34">
        <v>43837</v>
      </c>
      <c r="H7" s="35"/>
      <c r="I7" s="67">
        <v>2.0799999999999999E-2</v>
      </c>
      <c r="J7" s="67">
        <v>0</v>
      </c>
      <c r="K7" s="67">
        <v>2.0799999999999999E-2</v>
      </c>
      <c r="L7" s="36">
        <f>+K7-((K7*0.034*0.125)+(K7*(1-0.034)*0.26))</f>
        <v>1.5487471999999999E-2</v>
      </c>
      <c r="M7" s="64">
        <f t="shared" si="0"/>
        <v>1.5487471999999999E-2</v>
      </c>
      <c r="N7" s="33" t="s">
        <v>251</v>
      </c>
    </row>
    <row r="8" spans="1:14" ht="15">
      <c r="A8" s="12" t="s">
        <v>188</v>
      </c>
      <c r="B8" s="33" t="s">
        <v>188</v>
      </c>
      <c r="C8" s="92" t="s">
        <v>339</v>
      </c>
      <c r="D8" s="33" t="s">
        <v>411</v>
      </c>
      <c r="E8" s="34">
        <v>43830</v>
      </c>
      <c r="F8" s="34">
        <v>43832</v>
      </c>
      <c r="G8" s="34">
        <v>43837</v>
      </c>
      <c r="H8" s="35">
        <v>0.05</v>
      </c>
      <c r="I8" s="67">
        <v>0.35</v>
      </c>
      <c r="J8" s="67">
        <v>0</v>
      </c>
      <c r="K8" s="67">
        <v>0.35</v>
      </c>
      <c r="L8" s="36">
        <f>+K8-((K8*0.034*0.125)+(K8*(1-0.034)*0.26))</f>
        <v>0.26060649999999996</v>
      </c>
      <c r="M8" s="64">
        <f t="shared" si="0"/>
        <v>0.26060649999999996</v>
      </c>
      <c r="N8" s="33" t="s">
        <v>251</v>
      </c>
    </row>
    <row r="9" spans="1:14" ht="15">
      <c r="A9" s="12" t="s">
        <v>196</v>
      </c>
      <c r="B9" s="33" t="s">
        <v>196</v>
      </c>
      <c r="C9" s="92" t="s">
        <v>340</v>
      </c>
      <c r="D9" s="33" t="s">
        <v>411</v>
      </c>
      <c r="E9" s="34">
        <v>43830</v>
      </c>
      <c r="F9" s="34">
        <v>43832</v>
      </c>
      <c r="G9" s="34">
        <v>43837</v>
      </c>
      <c r="H9" s="35">
        <v>4.4999999999999998E-2</v>
      </c>
      <c r="I9" s="67">
        <v>0.36</v>
      </c>
      <c r="J9" s="67">
        <v>0</v>
      </c>
      <c r="K9" s="67">
        <v>0.36</v>
      </c>
      <c r="L9" s="36">
        <f>+K9-((K9*0.034*0.125)+(K9*(1-0.034)*0.26))</f>
        <v>0.26805239999999997</v>
      </c>
      <c r="M9" s="64">
        <f t="shared" si="0"/>
        <v>0.26805239999999997</v>
      </c>
      <c r="N9" s="33" t="s">
        <v>251</v>
      </c>
    </row>
    <row r="10" spans="1:14" ht="15">
      <c r="A10" s="12" t="s">
        <v>229</v>
      </c>
      <c r="B10" s="33" t="s">
        <v>191</v>
      </c>
      <c r="C10" s="92" t="s">
        <v>346</v>
      </c>
      <c r="D10" s="33" t="s">
        <v>411</v>
      </c>
      <c r="E10" s="34">
        <v>43830</v>
      </c>
      <c r="F10" s="34">
        <v>43832</v>
      </c>
      <c r="G10" s="34">
        <v>43837</v>
      </c>
      <c r="H10" s="35">
        <v>0.04</v>
      </c>
      <c r="I10" s="67">
        <v>1.67E-2</v>
      </c>
      <c r="J10" s="67">
        <v>0</v>
      </c>
      <c r="K10" s="67">
        <v>1.67E-2</v>
      </c>
      <c r="L10" s="36">
        <f>+K10-((K10*0.849*0.125)+(K10*(1-0.849)*0.26))</f>
        <v>1.4272070499999999E-2</v>
      </c>
      <c r="M10" s="64">
        <f t="shared" si="0"/>
        <v>1.4272070499999999E-2</v>
      </c>
      <c r="N10" s="33" t="s">
        <v>251</v>
      </c>
    </row>
    <row r="11" spans="1:14" ht="15">
      <c r="A11" s="12" t="s">
        <v>231</v>
      </c>
      <c r="B11" s="33" t="s">
        <v>199</v>
      </c>
      <c r="C11" s="92" t="s">
        <v>347</v>
      </c>
      <c r="D11" s="33" t="s">
        <v>411</v>
      </c>
      <c r="E11" s="34">
        <v>43830</v>
      </c>
      <c r="F11" s="34">
        <v>43832</v>
      </c>
      <c r="G11" s="34">
        <v>43837</v>
      </c>
      <c r="H11" s="35">
        <v>0.04</v>
      </c>
      <c r="I11" s="67">
        <v>1.67E-2</v>
      </c>
      <c r="J11" s="67">
        <v>0</v>
      </c>
      <c r="K11" s="67">
        <v>1.67E-2</v>
      </c>
      <c r="L11" s="36">
        <f>+K11-((K11*0.849*0.125)+(K11*(1-0.849)*0.26))</f>
        <v>1.4272070499999999E-2</v>
      </c>
      <c r="M11" s="64">
        <f t="shared" si="0"/>
        <v>1.4272070499999999E-2</v>
      </c>
      <c r="N11" s="33" t="s">
        <v>251</v>
      </c>
    </row>
    <row r="12" spans="1:14" ht="15">
      <c r="A12" s="12"/>
      <c r="B12" s="33" t="s">
        <v>306</v>
      </c>
      <c r="C12" s="92" t="s">
        <v>430</v>
      </c>
      <c r="D12" s="33" t="s">
        <v>411</v>
      </c>
      <c r="E12" s="34">
        <v>43830</v>
      </c>
      <c r="F12" s="34">
        <v>43832</v>
      </c>
      <c r="G12" s="34">
        <v>43837</v>
      </c>
      <c r="H12" s="35">
        <v>0.02</v>
      </c>
      <c r="I12" s="67">
        <v>8.3000000000000001E-3</v>
      </c>
      <c r="J12" s="67">
        <v>0</v>
      </c>
      <c r="K12" s="67">
        <v>8.3000000000000001E-3</v>
      </c>
      <c r="L12" s="36">
        <f>+K12-((K12*0.0000001*0.125)+(K12*(1-0.0000001)*0.26))</f>
        <v>6.1420001120499994E-3</v>
      </c>
      <c r="M12" s="64">
        <f t="shared" si="0"/>
        <v>6.1420001120499994E-3</v>
      </c>
      <c r="N12" s="33" t="s">
        <v>251</v>
      </c>
    </row>
    <row r="13" spans="1:14" ht="15">
      <c r="A13" s="12" t="s">
        <v>184</v>
      </c>
      <c r="B13" s="33" t="s">
        <v>184</v>
      </c>
      <c r="C13" s="92" t="s">
        <v>354</v>
      </c>
      <c r="D13" s="33" t="s">
        <v>411</v>
      </c>
      <c r="E13" s="34">
        <v>43830</v>
      </c>
      <c r="F13" s="34">
        <v>43832</v>
      </c>
      <c r="G13" s="34">
        <v>43837</v>
      </c>
      <c r="H13" s="35">
        <v>0.02</v>
      </c>
      <c r="I13" s="67">
        <v>0.16</v>
      </c>
      <c r="J13" s="67">
        <v>0</v>
      </c>
      <c r="K13" s="67">
        <v>0.16</v>
      </c>
      <c r="L13" s="36">
        <f>+K13-((K13*0.0000001*0.125)+(K13*(1-0.0000001)*0.26))</f>
        <v>0.11840000215999999</v>
      </c>
      <c r="M13" s="64">
        <f t="shared" si="0"/>
        <v>0.11840000215999999</v>
      </c>
      <c r="N13" s="33" t="s">
        <v>251</v>
      </c>
    </row>
    <row r="14" spans="1:14" ht="15">
      <c r="A14" s="12" t="s">
        <v>192</v>
      </c>
      <c r="B14" s="33" t="s">
        <v>192</v>
      </c>
      <c r="C14" s="92" t="s">
        <v>355</v>
      </c>
      <c r="D14" s="33" t="s">
        <v>411</v>
      </c>
      <c r="E14" s="34">
        <v>43830</v>
      </c>
      <c r="F14" s="34">
        <v>43832</v>
      </c>
      <c r="G14" s="34">
        <v>43837</v>
      </c>
      <c r="H14" s="35">
        <v>0.02</v>
      </c>
      <c r="I14" s="67">
        <v>0.16</v>
      </c>
      <c r="J14" s="67">
        <v>0</v>
      </c>
      <c r="K14" s="67">
        <v>0.16</v>
      </c>
      <c r="L14" s="36">
        <f>+K14-((K14*0.0000001*0.125)+(K14*(1-0.0000001)*0.26))</f>
        <v>0.11840000215999999</v>
      </c>
      <c r="M14" s="64">
        <f t="shared" si="0"/>
        <v>0.11840000215999999</v>
      </c>
      <c r="N14" s="33" t="s">
        <v>251</v>
      </c>
    </row>
    <row r="15" spans="1:14" ht="15">
      <c r="A15" s="12"/>
      <c r="B15" s="33" t="s">
        <v>311</v>
      </c>
      <c r="C15" s="92" t="s">
        <v>425</v>
      </c>
      <c r="D15" s="33" t="s">
        <v>411</v>
      </c>
      <c r="E15" s="34">
        <v>43830</v>
      </c>
      <c r="F15" s="34">
        <v>43832</v>
      </c>
      <c r="G15" s="34">
        <v>43837</v>
      </c>
      <c r="H15" s="35"/>
      <c r="I15" s="67">
        <v>4.1000000000000003E-3</v>
      </c>
      <c r="J15" s="67">
        <v>0</v>
      </c>
      <c r="K15" s="67">
        <v>4.1000000000000003E-3</v>
      </c>
      <c r="L15" s="36">
        <f>+K15-((K15*0.0000000001*0.125)+(K15*(1-0.000000001)*0.26))</f>
        <v>3.0340000010147502E-3</v>
      </c>
      <c r="M15" s="64">
        <f t="shared" si="0"/>
        <v>3.0340000010147502E-3</v>
      </c>
      <c r="N15" s="33" t="s">
        <v>251</v>
      </c>
    </row>
    <row r="16" spans="1:14" ht="15">
      <c r="A16" s="12" t="s">
        <v>189</v>
      </c>
      <c r="B16" s="33" t="s">
        <v>189</v>
      </c>
      <c r="C16" s="92" t="s">
        <v>356</v>
      </c>
      <c r="D16" s="33" t="s">
        <v>411</v>
      </c>
      <c r="E16" s="34">
        <v>43830</v>
      </c>
      <c r="F16" s="34">
        <v>43832</v>
      </c>
      <c r="G16" s="34">
        <v>43837</v>
      </c>
      <c r="H16" s="35"/>
      <c r="I16" s="67">
        <v>7.0000000000000007E-2</v>
      </c>
      <c r="J16" s="67">
        <v>0</v>
      </c>
      <c r="K16" s="67">
        <v>7.0000000000000007E-2</v>
      </c>
      <c r="L16" s="36">
        <f>+K16-((K16*0.0000000001*0.125)+(K16*(1-0.000000001)*0.26))</f>
        <v>5.1800000017325001E-2</v>
      </c>
      <c r="M16" s="64">
        <f t="shared" si="0"/>
        <v>5.1800000017325001E-2</v>
      </c>
      <c r="N16" s="33" t="s">
        <v>251</v>
      </c>
    </row>
    <row r="17" spans="1:14" ht="15">
      <c r="A17" s="12" t="s">
        <v>197</v>
      </c>
      <c r="B17" s="33" t="s">
        <v>197</v>
      </c>
      <c r="C17" s="92" t="s">
        <v>357</v>
      </c>
      <c r="D17" s="33" t="s">
        <v>411</v>
      </c>
      <c r="E17" s="34">
        <v>43830</v>
      </c>
      <c r="F17" s="34">
        <v>43832</v>
      </c>
      <c r="G17" s="34">
        <v>43837</v>
      </c>
      <c r="H17" s="35"/>
      <c r="I17" s="67">
        <v>0.08</v>
      </c>
      <c r="J17" s="67">
        <v>0</v>
      </c>
      <c r="K17" s="67">
        <v>0.08</v>
      </c>
      <c r="L17" s="36">
        <f>+K17-((K17*0.0000000001*0.125)+(K17*(1-0.000000001)*0.26))</f>
        <v>5.9200000019799998E-2</v>
      </c>
      <c r="M17" s="64">
        <f t="shared" si="0"/>
        <v>5.9200000019799998E-2</v>
      </c>
      <c r="N17" s="33" t="s">
        <v>251</v>
      </c>
    </row>
    <row r="18" spans="1:14" ht="15">
      <c r="A18" s="12"/>
      <c r="B18" s="33" t="s">
        <v>308</v>
      </c>
      <c r="C18" s="92" t="s">
        <v>426</v>
      </c>
      <c r="D18" s="33" t="s">
        <v>411</v>
      </c>
      <c r="E18" s="34">
        <v>43830</v>
      </c>
      <c r="F18" s="34">
        <v>43832</v>
      </c>
      <c r="G18" s="34">
        <v>43837</v>
      </c>
      <c r="H18" s="35"/>
      <c r="I18" s="67">
        <v>8.3000000000000001E-3</v>
      </c>
      <c r="J18" s="67">
        <v>0</v>
      </c>
      <c r="K18" s="67">
        <v>8.3000000000000001E-3</v>
      </c>
      <c r="L18" s="36">
        <f>+K18-((K18*0.452*0.125)+(K18*(1-0.452)*0.26))</f>
        <v>6.6484659999999996E-3</v>
      </c>
      <c r="M18" s="64">
        <f t="shared" si="0"/>
        <v>6.6484659999999996E-3</v>
      </c>
      <c r="N18" s="33" t="s">
        <v>251</v>
      </c>
    </row>
    <row r="19" spans="1:14" ht="15">
      <c r="A19" s="12" t="s">
        <v>186</v>
      </c>
      <c r="B19" s="33" t="s">
        <v>186</v>
      </c>
      <c r="C19" s="92" t="s">
        <v>363</v>
      </c>
      <c r="D19" s="33" t="s">
        <v>411</v>
      </c>
      <c r="E19" s="34">
        <v>43830</v>
      </c>
      <c r="F19" s="34">
        <v>43832</v>
      </c>
      <c r="G19" s="34">
        <v>43837</v>
      </c>
      <c r="H19" s="35">
        <v>0.02</v>
      </c>
      <c r="I19" s="67">
        <v>0.14000000000000001</v>
      </c>
      <c r="J19" s="67">
        <v>0</v>
      </c>
      <c r="K19" s="67">
        <v>0.14000000000000001</v>
      </c>
      <c r="L19" s="36">
        <f>+K19-((K19*0.452*0.125)+(K19*(1-0.452)*0.26))</f>
        <v>0.11214280000000001</v>
      </c>
      <c r="M19" s="64">
        <f t="shared" si="0"/>
        <v>0.11214280000000001</v>
      </c>
      <c r="N19" s="33" t="s">
        <v>251</v>
      </c>
    </row>
    <row r="20" spans="1:14" ht="15">
      <c r="A20" s="12" t="s">
        <v>194</v>
      </c>
      <c r="B20" s="33" t="s">
        <v>194</v>
      </c>
      <c r="C20" s="92" t="s">
        <v>364</v>
      </c>
      <c r="D20" s="33" t="s">
        <v>411</v>
      </c>
      <c r="E20" s="34">
        <v>43830</v>
      </c>
      <c r="F20" s="34">
        <v>43832</v>
      </c>
      <c r="G20" s="34">
        <v>43837</v>
      </c>
      <c r="H20" s="35">
        <v>0.02</v>
      </c>
      <c r="I20" s="67">
        <v>0.15</v>
      </c>
      <c r="J20" s="67">
        <v>0</v>
      </c>
      <c r="K20" s="67">
        <v>0.15</v>
      </c>
      <c r="L20" s="36">
        <f>+K20-((K20*0.452*0.125)+(K20*(1-0.452)*0.26))</f>
        <v>0.120153</v>
      </c>
      <c r="M20" s="64">
        <f t="shared" si="0"/>
        <v>0.120153</v>
      </c>
      <c r="N20" s="33" t="s">
        <v>251</v>
      </c>
    </row>
    <row r="21" spans="1:14" ht="15">
      <c r="A21" s="12"/>
      <c r="B21" s="33" t="s">
        <v>307</v>
      </c>
      <c r="C21" s="92" t="s">
        <v>420</v>
      </c>
      <c r="D21" s="33" t="s">
        <v>411</v>
      </c>
      <c r="E21" s="34">
        <v>43830</v>
      </c>
      <c r="F21" s="34">
        <v>43832</v>
      </c>
      <c r="G21" s="34">
        <v>43837</v>
      </c>
      <c r="H21" s="35"/>
      <c r="I21" s="67">
        <v>8.3000000000000001E-3</v>
      </c>
      <c r="J21" s="67">
        <v>0</v>
      </c>
      <c r="K21" s="67">
        <v>8.3000000000000001E-3</v>
      </c>
      <c r="L21" s="36">
        <f>+K21-((K21*0.547*0.125)+(K21*(1-0.547)*0.26))</f>
        <v>6.7549135000000001E-3</v>
      </c>
      <c r="M21" s="64">
        <f t="shared" si="0"/>
        <v>6.7549135000000001E-3</v>
      </c>
      <c r="N21" s="33" t="s">
        <v>251</v>
      </c>
    </row>
    <row r="22" spans="1:14" ht="15">
      <c r="A22" s="12" t="s">
        <v>185</v>
      </c>
      <c r="B22" s="33" t="s">
        <v>185</v>
      </c>
      <c r="C22" s="92" t="s">
        <v>366</v>
      </c>
      <c r="D22" s="33" t="s">
        <v>411</v>
      </c>
      <c r="E22" s="34">
        <v>43830</v>
      </c>
      <c r="F22" s="34">
        <v>43832</v>
      </c>
      <c r="G22" s="34">
        <v>43837</v>
      </c>
      <c r="H22" s="35">
        <v>0.02</v>
      </c>
      <c r="I22" s="67">
        <v>0.13</v>
      </c>
      <c r="J22" s="67">
        <v>0</v>
      </c>
      <c r="K22" s="67">
        <v>0.13</v>
      </c>
      <c r="L22" s="36">
        <f>+K22-((K22*0.547*0.125)+(K22*(1-0.547)*0.26))</f>
        <v>0.10579985</v>
      </c>
      <c r="M22" s="64">
        <f t="shared" si="0"/>
        <v>0.10579985</v>
      </c>
      <c r="N22" s="33" t="s">
        <v>251</v>
      </c>
    </row>
    <row r="23" spans="1:14" ht="15">
      <c r="A23" s="12" t="s">
        <v>193</v>
      </c>
      <c r="B23" s="33" t="s">
        <v>193</v>
      </c>
      <c r="C23" s="92" t="s">
        <v>367</v>
      </c>
      <c r="D23" s="33" t="s">
        <v>411</v>
      </c>
      <c r="E23" s="34">
        <v>43830</v>
      </c>
      <c r="F23" s="34">
        <v>43832</v>
      </c>
      <c r="G23" s="34">
        <v>43837</v>
      </c>
      <c r="H23" s="35">
        <v>0.02</v>
      </c>
      <c r="I23" s="67">
        <v>0.13</v>
      </c>
      <c r="J23" s="67">
        <v>0</v>
      </c>
      <c r="K23" s="67">
        <v>0.13</v>
      </c>
      <c r="L23" s="36">
        <f>+K23-((K23*0.547*0.125)+(K23*(1-0.547)*0.26))</f>
        <v>0.10579985</v>
      </c>
      <c r="M23" s="64">
        <f t="shared" si="0"/>
        <v>0.10579985</v>
      </c>
      <c r="N23" s="33" t="s">
        <v>251</v>
      </c>
    </row>
    <row r="24" spans="1:14" ht="15">
      <c r="A24" s="12"/>
      <c r="B24" s="33" t="s">
        <v>309</v>
      </c>
      <c r="C24" s="92" t="s">
        <v>427</v>
      </c>
      <c r="D24" s="33" t="s">
        <v>411</v>
      </c>
      <c r="E24" s="34">
        <v>43830</v>
      </c>
      <c r="F24" s="34">
        <v>43832</v>
      </c>
      <c r="G24" s="34">
        <v>43837</v>
      </c>
      <c r="H24" s="35"/>
      <c r="I24" s="67">
        <v>1.8700000000000001E-2</v>
      </c>
      <c r="J24" s="67">
        <v>3.7061788580000045E-3</v>
      </c>
      <c r="K24" s="67">
        <v>1.4993821141999998E-2</v>
      </c>
      <c r="L24" s="36">
        <f>+K24-((K24*0.0012*0.125)+(K24*(1-0.0012)*0.26))</f>
        <v>1.1097856644105002E-2</v>
      </c>
      <c r="M24" s="64">
        <f t="shared" si="0"/>
        <v>1.4804035502105007E-2</v>
      </c>
      <c r="N24" s="33" t="s">
        <v>251</v>
      </c>
    </row>
    <row r="25" spans="1:14" ht="15">
      <c r="A25" s="12" t="s">
        <v>187</v>
      </c>
      <c r="B25" s="33" t="s">
        <v>187</v>
      </c>
      <c r="C25" s="92" t="s">
        <v>368</v>
      </c>
      <c r="D25" s="33" t="s">
        <v>411</v>
      </c>
      <c r="E25" s="34">
        <v>43830</v>
      </c>
      <c r="F25" s="34">
        <v>43832</v>
      </c>
      <c r="G25" s="34">
        <v>43837</v>
      </c>
      <c r="H25" s="35">
        <v>4.4999999999999998E-2</v>
      </c>
      <c r="I25" s="67">
        <v>0.31</v>
      </c>
      <c r="J25" s="67">
        <v>0</v>
      </c>
      <c r="K25" s="67">
        <v>0.31</v>
      </c>
      <c r="L25" s="36">
        <f>+K25-((K25*0.0012*0.125)+(K25*(1-0.0012)*0.26))</f>
        <v>0.22945021999999998</v>
      </c>
      <c r="M25" s="64">
        <f t="shared" si="0"/>
        <v>0.22945021999999998</v>
      </c>
      <c r="N25" s="33" t="s">
        <v>251</v>
      </c>
    </row>
    <row r="26" spans="1:14" ht="15">
      <c r="A26" s="12" t="s">
        <v>195</v>
      </c>
      <c r="B26" s="33" t="s">
        <v>195</v>
      </c>
      <c r="C26" s="92" t="s">
        <v>369</v>
      </c>
      <c r="D26" s="33" t="s">
        <v>411</v>
      </c>
      <c r="E26" s="34">
        <v>43830</v>
      </c>
      <c r="F26" s="34">
        <v>43832</v>
      </c>
      <c r="G26" s="34">
        <v>43837</v>
      </c>
      <c r="H26" s="35">
        <v>4.4999999999999998E-2</v>
      </c>
      <c r="I26" s="67">
        <v>0.32</v>
      </c>
      <c r="J26" s="67">
        <v>0</v>
      </c>
      <c r="K26" s="67">
        <v>0.32</v>
      </c>
      <c r="L26" s="36">
        <f>+K26-((K26*0.0012*0.125)+(K26*(1-0.0012)*0.26))</f>
        <v>0.23685183999999998</v>
      </c>
      <c r="M26" s="64">
        <f t="shared" si="0"/>
        <v>0.23685183999999998</v>
      </c>
      <c r="N26" s="33" t="s">
        <v>251</v>
      </c>
    </row>
    <row r="27" spans="1:14" ht="15">
      <c r="A27" s="12"/>
      <c r="B27" s="33" t="s">
        <v>312</v>
      </c>
      <c r="C27" s="92" t="s">
        <v>428</v>
      </c>
      <c r="D27" s="33" t="s">
        <v>411</v>
      </c>
      <c r="E27" s="34">
        <v>43830</v>
      </c>
      <c r="F27" s="34">
        <v>43832</v>
      </c>
      <c r="G27" s="34">
        <v>43837</v>
      </c>
      <c r="H27" s="35"/>
      <c r="I27" s="67">
        <v>2.5000000000000001E-2</v>
      </c>
      <c r="J27" s="67">
        <v>0</v>
      </c>
      <c r="K27" s="67">
        <v>2.5000000000000001E-2</v>
      </c>
      <c r="L27" s="36">
        <f>+K27-((K27*0.0000000001*0.125)+(K27*(1-0.00000000001)*0.26))</f>
        <v>1.8499999999752499E-2</v>
      </c>
      <c r="M27" s="64">
        <f t="shared" si="0"/>
        <v>1.8499999999752499E-2</v>
      </c>
      <c r="N27" s="33" t="s">
        <v>251</v>
      </c>
    </row>
    <row r="28" spans="1:14" ht="15">
      <c r="A28" s="12" t="s">
        <v>190</v>
      </c>
      <c r="B28" s="33" t="s">
        <v>190</v>
      </c>
      <c r="C28" s="92" t="s">
        <v>370</v>
      </c>
      <c r="D28" s="33" t="s">
        <v>411</v>
      </c>
      <c r="E28" s="34">
        <v>43830</v>
      </c>
      <c r="F28" s="34">
        <v>43832</v>
      </c>
      <c r="G28" s="34">
        <v>43837</v>
      </c>
      <c r="H28" s="35">
        <v>0.06</v>
      </c>
      <c r="I28" s="67">
        <v>0.46</v>
      </c>
      <c r="J28" s="67">
        <v>0</v>
      </c>
      <c r="K28" s="67">
        <v>0.46</v>
      </c>
      <c r="L28" s="36">
        <f>+K28-((K28*0.0000000001*0.125)+(K28*(1-0.00000000001)*0.26))</f>
        <v>0.34039999999544601</v>
      </c>
      <c r="M28" s="64">
        <f t="shared" si="0"/>
        <v>0.34039999999544601</v>
      </c>
      <c r="N28" s="33" t="s">
        <v>251</v>
      </c>
    </row>
    <row r="29" spans="1:14" ht="15">
      <c r="A29" s="12" t="s">
        <v>198</v>
      </c>
      <c r="B29" s="33" t="s">
        <v>198</v>
      </c>
      <c r="C29" s="92" t="s">
        <v>371</v>
      </c>
      <c r="D29" s="33" t="s">
        <v>411</v>
      </c>
      <c r="E29" s="34">
        <v>43830</v>
      </c>
      <c r="F29" s="34">
        <v>43832</v>
      </c>
      <c r="G29" s="34">
        <v>43837</v>
      </c>
      <c r="H29" s="35">
        <v>0.06</v>
      </c>
      <c r="I29" s="67">
        <v>0.46</v>
      </c>
      <c r="J29" s="67">
        <v>0</v>
      </c>
      <c r="K29" s="67">
        <v>0.46</v>
      </c>
      <c r="L29" s="36">
        <f>+K29-((K29*0.0000000001*0.125)+(K29*(1-0.00000000001)*0.26))</f>
        <v>0.34039999999544601</v>
      </c>
      <c r="M29" s="64">
        <f t="shared" si="0"/>
        <v>0.34039999999544601</v>
      </c>
      <c r="N29" s="33" t="s">
        <v>251</v>
      </c>
    </row>
    <row r="30" spans="1:14" ht="15">
      <c r="A30" s="12"/>
      <c r="B30" s="33" t="s">
        <v>513</v>
      </c>
      <c r="C30" s="92" t="s">
        <v>515</v>
      </c>
      <c r="D30" s="33" t="s">
        <v>411</v>
      </c>
      <c r="E30" s="34">
        <v>43830</v>
      </c>
      <c r="F30" s="34">
        <v>43832</v>
      </c>
      <c r="G30" s="34">
        <v>43837</v>
      </c>
      <c r="H30" s="35"/>
      <c r="I30" s="67">
        <v>0.14000000000000001</v>
      </c>
      <c r="J30" s="67">
        <v>0</v>
      </c>
      <c r="K30" s="67">
        <v>0.14000000000000001</v>
      </c>
      <c r="L30" s="36">
        <f>+K30-((K30*0.532*0.125)+(K30*(1-0.532)*0.26))</f>
        <v>0.1136548</v>
      </c>
      <c r="M30" s="64">
        <f t="shared" si="0"/>
        <v>0.1136548</v>
      </c>
      <c r="N30" s="33" t="s">
        <v>251</v>
      </c>
    </row>
    <row r="31" spans="1:14" ht="15">
      <c r="A31" s="12"/>
      <c r="B31" s="33" t="s">
        <v>514</v>
      </c>
      <c r="C31" s="92" t="s">
        <v>516</v>
      </c>
      <c r="D31" s="33" t="s">
        <v>411</v>
      </c>
      <c r="E31" s="34">
        <v>43830</v>
      </c>
      <c r="F31" s="34">
        <v>43832</v>
      </c>
      <c r="G31" s="34">
        <v>43837</v>
      </c>
      <c r="H31" s="35"/>
      <c r="I31" s="67">
        <v>0.14000000000000001</v>
      </c>
      <c r="J31" s="67">
        <v>0</v>
      </c>
      <c r="K31" s="67">
        <v>0.14000000000000001</v>
      </c>
      <c r="L31" s="36">
        <f>+K31-((K31*0.532*0.125)+(K31*(1-0.532)*0.26))</f>
        <v>0.1136548</v>
      </c>
      <c r="M31" s="64">
        <f t="shared" si="0"/>
        <v>0.1136548</v>
      </c>
      <c r="N31" s="33" t="s">
        <v>251</v>
      </c>
    </row>
    <row r="32" spans="1:14" ht="15">
      <c r="A32" s="12"/>
      <c r="B32" s="33" t="s">
        <v>313</v>
      </c>
      <c r="C32" s="92" t="s">
        <v>429</v>
      </c>
      <c r="D32" s="33" t="s">
        <v>411</v>
      </c>
      <c r="E32" s="34">
        <v>43830</v>
      </c>
      <c r="F32" s="34">
        <v>43832</v>
      </c>
      <c r="G32" s="34">
        <v>43837</v>
      </c>
      <c r="H32" s="35"/>
      <c r="I32" s="67">
        <v>1.46E-2</v>
      </c>
      <c r="J32" s="67">
        <v>0</v>
      </c>
      <c r="K32" s="67">
        <v>1.46E-2</v>
      </c>
      <c r="L32" s="36">
        <f>+K32-((K32*0.099*0.125)+(K32*(1-0.099)*0.26))</f>
        <v>1.0999129E-2</v>
      </c>
      <c r="M32" s="64">
        <f t="shared" si="0"/>
        <v>1.0999129E-2</v>
      </c>
      <c r="N32" s="33" t="s">
        <v>251</v>
      </c>
    </row>
    <row r="33" spans="1:14" ht="15">
      <c r="A33" s="12"/>
      <c r="B33" s="33" t="s">
        <v>298</v>
      </c>
      <c r="C33" s="92" t="s">
        <v>403</v>
      </c>
      <c r="D33" s="33" t="s">
        <v>410</v>
      </c>
      <c r="E33" s="34">
        <v>43830</v>
      </c>
      <c r="F33" s="34">
        <v>43832</v>
      </c>
      <c r="G33" s="34">
        <v>43837</v>
      </c>
      <c r="H33" s="35">
        <v>0.05</v>
      </c>
      <c r="I33" s="67">
        <v>6.25E-2</v>
      </c>
      <c r="J33" s="67">
        <v>2.4379999999999999E-2</v>
      </c>
      <c r="K33" s="67">
        <v>3.8120000000000001E-2</v>
      </c>
      <c r="L33" s="36">
        <f>+K33-((K33*0.439*0.125)+(K33*(1-0.439)*0.26))</f>
        <v>3.0467981800000002E-2</v>
      </c>
      <c r="M33" s="64">
        <f t="shared" si="0"/>
        <v>5.4847981800000001E-2</v>
      </c>
      <c r="N33" s="33" t="s">
        <v>248</v>
      </c>
    </row>
    <row r="34" spans="1:14" ht="15">
      <c r="A34" s="12" t="s">
        <v>181</v>
      </c>
      <c r="B34" s="33" t="s">
        <v>181</v>
      </c>
      <c r="C34" s="92" t="s">
        <v>335</v>
      </c>
      <c r="D34" s="33" t="s">
        <v>410</v>
      </c>
      <c r="E34" s="34">
        <v>43830</v>
      </c>
      <c r="F34" s="34">
        <v>43832</v>
      </c>
      <c r="G34" s="34">
        <v>43837</v>
      </c>
      <c r="H34" s="35">
        <v>0.05</v>
      </c>
      <c r="I34" s="67">
        <v>1.07</v>
      </c>
      <c r="J34" s="67">
        <v>0</v>
      </c>
      <c r="K34" s="67">
        <v>1.07</v>
      </c>
      <c r="L34" s="36">
        <f>+K34-((K34*0.439*0.125)+(K34*(1-0.439)*0.26))</f>
        <v>0.8552135500000001</v>
      </c>
      <c r="M34" s="64">
        <f t="shared" si="0"/>
        <v>0.8552135500000001</v>
      </c>
      <c r="N34" s="33" t="s">
        <v>248</v>
      </c>
    </row>
    <row r="35" spans="1:14" ht="15">
      <c r="A35" s="12" t="s">
        <v>201</v>
      </c>
      <c r="B35" s="33" t="s">
        <v>201</v>
      </c>
      <c r="C35" s="92" t="s">
        <v>336</v>
      </c>
      <c r="D35" s="33" t="s">
        <v>410</v>
      </c>
      <c r="E35" s="34">
        <v>43830</v>
      </c>
      <c r="F35" s="34">
        <v>43832</v>
      </c>
      <c r="G35" s="34">
        <v>43837</v>
      </c>
      <c r="H35" s="35">
        <v>0.05</v>
      </c>
      <c r="I35" s="67">
        <v>1.07</v>
      </c>
      <c r="J35" s="67">
        <v>0</v>
      </c>
      <c r="K35" s="67">
        <v>1.07</v>
      </c>
      <c r="L35" s="36">
        <f>+K35-((K35*0.439*0.125)+(K35*(1-0.439)*0.26))</f>
        <v>0.8552135500000001</v>
      </c>
      <c r="M35" s="64">
        <f t="shared" si="0"/>
        <v>0.8552135500000001</v>
      </c>
      <c r="N35" s="33" t="s">
        <v>248</v>
      </c>
    </row>
    <row r="36" spans="1:14" ht="15">
      <c r="A36" s="12" t="s">
        <v>88</v>
      </c>
      <c r="B36" s="33" t="s">
        <v>138</v>
      </c>
      <c r="C36" s="92" t="s">
        <v>337</v>
      </c>
      <c r="D36" s="33" t="s">
        <v>410</v>
      </c>
      <c r="E36" s="34">
        <v>43830</v>
      </c>
      <c r="F36" s="34">
        <v>43832</v>
      </c>
      <c r="G36" s="34">
        <v>43837</v>
      </c>
      <c r="H36" s="35">
        <v>5.6000000000000001E-2</v>
      </c>
      <c r="I36" s="67">
        <v>7.9799999999999996E-2</v>
      </c>
      <c r="J36" s="67">
        <v>0</v>
      </c>
      <c r="K36" s="67">
        <v>7.9799999999999996E-2</v>
      </c>
      <c r="L36" s="36">
        <f>+K36-((K36*0.35*0.125)+(K36*(1-0.35)*0.26))</f>
        <v>6.2822550000000005E-2</v>
      </c>
      <c r="M36" s="64">
        <f t="shared" si="0"/>
        <v>6.2822550000000005E-2</v>
      </c>
      <c r="N36" s="33" t="s">
        <v>248</v>
      </c>
    </row>
    <row r="37" spans="1:14" ht="15">
      <c r="A37" s="12" t="s">
        <v>13</v>
      </c>
      <c r="B37" s="33" t="s">
        <v>160</v>
      </c>
      <c r="C37" s="92" t="s">
        <v>338</v>
      </c>
      <c r="D37" s="33" t="s">
        <v>410</v>
      </c>
      <c r="E37" s="34">
        <v>43830</v>
      </c>
      <c r="F37" s="34">
        <v>43832</v>
      </c>
      <c r="G37" s="34">
        <v>43837</v>
      </c>
      <c r="H37" s="35">
        <v>0.05</v>
      </c>
      <c r="I37" s="67">
        <v>7.0800000000000002E-2</v>
      </c>
      <c r="J37" s="67">
        <v>0</v>
      </c>
      <c r="K37" s="67">
        <v>7.0800000000000002E-2</v>
      </c>
      <c r="L37" s="36">
        <f>+K37-((K37*0.35*0.125)+(K37*(1-0.35)*0.26))</f>
        <v>5.5737300000000004E-2</v>
      </c>
      <c r="M37" s="64">
        <f t="shared" si="0"/>
        <v>5.5737300000000004E-2</v>
      </c>
      <c r="N37" s="33" t="s">
        <v>248</v>
      </c>
    </row>
    <row r="38" spans="1:14" ht="15">
      <c r="A38" s="12"/>
      <c r="B38" s="33" t="s">
        <v>300</v>
      </c>
      <c r="C38" s="92" t="s">
        <v>404</v>
      </c>
      <c r="D38" s="33" t="s">
        <v>410</v>
      </c>
      <c r="E38" s="34">
        <v>43830</v>
      </c>
      <c r="F38" s="34">
        <v>43832</v>
      </c>
      <c r="G38" s="34">
        <v>43837</v>
      </c>
      <c r="H38" s="35"/>
      <c r="I38" s="67">
        <v>6.6199999999999995E-2</v>
      </c>
      <c r="J38" s="67">
        <v>4.8352920848469356E-3</v>
      </c>
      <c r="K38" s="67">
        <v>6.1364707915153062E-2</v>
      </c>
      <c r="L38" s="36">
        <f>+K38-((K38*0.35*0.125)+(K38*(1-0.35)*0.26))</f>
        <v>4.8309366306204249E-2</v>
      </c>
      <c r="M38" s="64">
        <f t="shared" si="0"/>
        <v>5.3144658391051182E-2</v>
      </c>
      <c r="N38" s="33" t="s">
        <v>248</v>
      </c>
    </row>
    <row r="39" spans="1:14" ht="15">
      <c r="A39" s="12" t="s">
        <v>87</v>
      </c>
      <c r="B39" s="33" t="s">
        <v>142</v>
      </c>
      <c r="C39" s="92" t="s">
        <v>341</v>
      </c>
      <c r="D39" s="33" t="s">
        <v>410</v>
      </c>
      <c r="E39" s="34">
        <v>43830</v>
      </c>
      <c r="F39" s="34">
        <v>43832</v>
      </c>
      <c r="G39" s="34">
        <v>43837</v>
      </c>
      <c r="H39" s="35">
        <v>0.05</v>
      </c>
      <c r="I39" s="67">
        <v>7.1800000000000003E-2</v>
      </c>
      <c r="J39" s="67">
        <v>0</v>
      </c>
      <c r="K39" s="67">
        <v>7.1800000000000003E-2</v>
      </c>
      <c r="L39" s="36">
        <f>+K39-((K39*0.016*0.125)+(K39*(1-0.016)*0.26))</f>
        <v>5.3287088000000003E-2</v>
      </c>
      <c r="M39" s="64">
        <f t="shared" si="0"/>
        <v>5.3287088000000003E-2</v>
      </c>
      <c r="N39" s="33" t="s">
        <v>248</v>
      </c>
    </row>
    <row r="40" spans="1:14" ht="15">
      <c r="A40" s="12" t="s">
        <v>14</v>
      </c>
      <c r="B40" s="33" t="s">
        <v>159</v>
      </c>
      <c r="C40" s="92" t="s">
        <v>342</v>
      </c>
      <c r="D40" s="33" t="s">
        <v>410</v>
      </c>
      <c r="E40" s="34">
        <v>43830</v>
      </c>
      <c r="F40" s="34">
        <v>43832</v>
      </c>
      <c r="G40" s="34">
        <v>43837</v>
      </c>
      <c r="H40" s="35">
        <v>4.4999999999999998E-2</v>
      </c>
      <c r="I40" s="67">
        <v>6.4399999999999999E-2</v>
      </c>
      <c r="J40" s="67">
        <v>0</v>
      </c>
      <c r="K40" s="67">
        <v>6.4399999999999999E-2</v>
      </c>
      <c r="L40" s="36">
        <f>+K40-((K40*0.016*0.125)+(K40*(1-0.016)*0.26))</f>
        <v>4.7795104000000005E-2</v>
      </c>
      <c r="M40" s="64">
        <f t="shared" si="0"/>
        <v>4.7795104000000005E-2</v>
      </c>
      <c r="N40" s="33" t="s">
        <v>248</v>
      </c>
    </row>
    <row r="41" spans="1:14" ht="15">
      <c r="A41" s="12" t="s">
        <v>89</v>
      </c>
      <c r="B41" s="33" t="s">
        <v>139</v>
      </c>
      <c r="C41" s="92" t="s">
        <v>344</v>
      </c>
      <c r="D41" s="33" t="s">
        <v>410</v>
      </c>
      <c r="E41" s="34">
        <v>43830</v>
      </c>
      <c r="F41" s="34">
        <v>43832</v>
      </c>
      <c r="G41" s="34">
        <v>43837</v>
      </c>
      <c r="H41" s="35">
        <v>0.03</v>
      </c>
      <c r="I41" s="67">
        <v>3.2099999999999997E-2</v>
      </c>
      <c r="J41" s="67">
        <v>0</v>
      </c>
      <c r="K41" s="67">
        <v>3.2099999999999997E-2</v>
      </c>
      <c r="L41" s="36">
        <f>+K41-((K41*0.849*0.125)+(K41*(1-0.849)*0.26))</f>
        <v>2.7433141499999997E-2</v>
      </c>
      <c r="M41" s="64">
        <f t="shared" si="0"/>
        <v>2.7433141499999997E-2</v>
      </c>
      <c r="N41" s="33" t="s">
        <v>248</v>
      </c>
    </row>
    <row r="42" spans="1:14" ht="15">
      <c r="A42" s="12" t="s">
        <v>15</v>
      </c>
      <c r="B42" s="33" t="s">
        <v>161</v>
      </c>
      <c r="C42" s="92" t="s">
        <v>345</v>
      </c>
      <c r="D42" s="33" t="s">
        <v>410</v>
      </c>
      <c r="E42" s="34">
        <v>43830</v>
      </c>
      <c r="F42" s="34">
        <v>43832</v>
      </c>
      <c r="G42" s="34">
        <v>43837</v>
      </c>
      <c r="H42" s="35">
        <v>2.4E-2</v>
      </c>
      <c r="I42" s="67">
        <v>2.5600000000000001E-2</v>
      </c>
      <c r="J42" s="67">
        <v>0</v>
      </c>
      <c r="K42" s="67">
        <v>2.5600000000000001E-2</v>
      </c>
      <c r="L42" s="36">
        <f>+K42-((K42*0.849*0.125)+(K42*(1-0.849)*0.26))</f>
        <v>2.1878144000000002E-2</v>
      </c>
      <c r="M42" s="64">
        <f t="shared" si="0"/>
        <v>2.1878144000000002E-2</v>
      </c>
      <c r="N42" s="33" t="s">
        <v>248</v>
      </c>
    </row>
    <row r="43" spans="1:14" ht="15">
      <c r="A43" s="12" t="s">
        <v>91</v>
      </c>
      <c r="B43" s="33" t="s">
        <v>141</v>
      </c>
      <c r="C43" s="92" t="s">
        <v>348</v>
      </c>
      <c r="D43" s="33" t="s">
        <v>410</v>
      </c>
      <c r="E43" s="34">
        <v>43830</v>
      </c>
      <c r="F43" s="34">
        <v>43832</v>
      </c>
      <c r="G43" s="34">
        <v>43837</v>
      </c>
      <c r="H43" s="35">
        <v>4.4999999999999998E-2</v>
      </c>
      <c r="I43" s="67">
        <v>5.3900000000000003E-2</v>
      </c>
      <c r="J43" s="67">
        <v>0</v>
      </c>
      <c r="K43" s="67">
        <v>5.3900000000000003E-2</v>
      </c>
      <c r="L43" s="36">
        <f>+K43-((K43*0.086*0.125)+(K43*(1-0.086)*0.26))</f>
        <v>4.0511778999999998E-2</v>
      </c>
      <c r="M43" s="64">
        <f t="shared" si="0"/>
        <v>4.0511778999999998E-2</v>
      </c>
      <c r="N43" s="33" t="s">
        <v>248</v>
      </c>
    </row>
    <row r="44" spans="1:14" ht="15">
      <c r="A44" s="12" t="s">
        <v>90</v>
      </c>
      <c r="B44" s="33" t="s">
        <v>140</v>
      </c>
      <c r="C44" s="92" t="s">
        <v>349</v>
      </c>
      <c r="D44" s="33" t="s">
        <v>410</v>
      </c>
      <c r="E44" s="34">
        <v>43830</v>
      </c>
      <c r="F44" s="34">
        <v>43832</v>
      </c>
      <c r="G44" s="34">
        <v>43837</v>
      </c>
      <c r="H44" s="35">
        <v>0.04</v>
      </c>
      <c r="I44" s="67">
        <v>4.9799999999999997E-2</v>
      </c>
      <c r="J44" s="67">
        <v>0</v>
      </c>
      <c r="K44" s="67">
        <v>4.9799999999999997E-2</v>
      </c>
      <c r="L44" s="36">
        <f>+K44-((K44*0.086*0.125)+(K44*(1-0.086)*0.26))</f>
        <v>3.7430177999999995E-2</v>
      </c>
      <c r="M44" s="64">
        <f t="shared" si="0"/>
        <v>3.7430177999999995E-2</v>
      </c>
      <c r="N44" s="33" t="s">
        <v>248</v>
      </c>
    </row>
    <row r="45" spans="1:14" ht="15">
      <c r="A45" s="12" t="s">
        <v>17</v>
      </c>
      <c r="B45" s="33" t="s">
        <v>162</v>
      </c>
      <c r="C45" s="92" t="s">
        <v>350</v>
      </c>
      <c r="D45" s="33" t="s">
        <v>410</v>
      </c>
      <c r="E45" s="34">
        <v>43830</v>
      </c>
      <c r="F45" s="34">
        <v>43832</v>
      </c>
      <c r="G45" s="34">
        <v>43837</v>
      </c>
      <c r="H45" s="35">
        <v>3.4000000000000002E-2</v>
      </c>
      <c r="I45" s="67">
        <v>4.2200000000000001E-2</v>
      </c>
      <c r="J45" s="67">
        <v>0</v>
      </c>
      <c r="K45" s="67">
        <v>4.2200000000000001E-2</v>
      </c>
      <c r="L45" s="36">
        <f>+K45-((K45*0.086*0.125)+(K45*(1-0.086)*0.26))</f>
        <v>3.1717941999999999E-2</v>
      </c>
      <c r="M45" s="64">
        <f t="shared" si="0"/>
        <v>3.1717941999999999E-2</v>
      </c>
      <c r="N45" s="33" t="s">
        <v>248</v>
      </c>
    </row>
    <row r="46" spans="1:14" ht="15">
      <c r="A46" s="12"/>
      <c r="B46" s="33" t="s">
        <v>302</v>
      </c>
      <c r="C46" s="92" t="s">
        <v>405</v>
      </c>
      <c r="D46" s="33" t="s">
        <v>410</v>
      </c>
      <c r="E46" s="34">
        <v>43830</v>
      </c>
      <c r="F46" s="34">
        <v>43832</v>
      </c>
      <c r="G46" s="34">
        <v>43837</v>
      </c>
      <c r="H46" s="35"/>
      <c r="I46" s="67">
        <v>5.3699999999999998E-2</v>
      </c>
      <c r="J46" s="67">
        <v>0</v>
      </c>
      <c r="K46" s="67">
        <v>5.3699999999999998E-2</v>
      </c>
      <c r="L46" s="36">
        <f>+K46-((K46*0.086*0.125)+(K46*(1-0.086)*0.26))</f>
        <v>4.0361456999999996E-2</v>
      </c>
      <c r="M46" s="64">
        <f t="shared" si="0"/>
        <v>4.0361456999999996E-2</v>
      </c>
      <c r="N46" s="33" t="s">
        <v>248</v>
      </c>
    </row>
    <row r="47" spans="1:14" ht="15">
      <c r="A47" s="12"/>
      <c r="B47" s="33" t="s">
        <v>303</v>
      </c>
      <c r="C47" s="92" t="s">
        <v>406</v>
      </c>
      <c r="D47" s="33" t="s">
        <v>410</v>
      </c>
      <c r="E47" s="34">
        <v>43830</v>
      </c>
      <c r="F47" s="34">
        <v>43832</v>
      </c>
      <c r="G47" s="34">
        <v>43837</v>
      </c>
      <c r="H47" s="35"/>
      <c r="I47" s="67">
        <v>4.6199999999999998E-2</v>
      </c>
      <c r="J47" s="67">
        <v>0</v>
      </c>
      <c r="K47" s="67">
        <v>4.6199999999999998E-2</v>
      </c>
      <c r="L47" s="36">
        <f>+K47-((K47*0.086*0.125)+(K47*(1-0.086)*0.26))</f>
        <v>3.4724381999999998E-2</v>
      </c>
      <c r="M47" s="64">
        <f t="shared" si="0"/>
        <v>3.4724381999999998E-2</v>
      </c>
      <c r="N47" s="33" t="s">
        <v>248</v>
      </c>
    </row>
    <row r="48" spans="1:14" ht="15">
      <c r="A48" s="12" t="s">
        <v>92</v>
      </c>
      <c r="B48" s="33" t="s">
        <v>143</v>
      </c>
      <c r="C48" s="92" t="s">
        <v>351</v>
      </c>
      <c r="D48" s="33" t="s">
        <v>410</v>
      </c>
      <c r="E48" s="34">
        <v>43830</v>
      </c>
      <c r="F48" s="34">
        <v>43832</v>
      </c>
      <c r="G48" s="34">
        <v>43837</v>
      </c>
      <c r="H48" s="35">
        <v>0.01</v>
      </c>
      <c r="I48" s="67">
        <v>1.2500000000000001E-2</v>
      </c>
      <c r="J48" s="67">
        <v>0</v>
      </c>
      <c r="K48" s="67">
        <v>1.2500000000000001E-2</v>
      </c>
      <c r="L48" s="36">
        <f>+K48-((K48*0.696*0.125)+(K48*(1-0.696)*0.26))</f>
        <v>1.04245E-2</v>
      </c>
      <c r="M48" s="64">
        <f t="shared" si="0"/>
        <v>1.04245E-2</v>
      </c>
      <c r="N48" s="33" t="s">
        <v>248</v>
      </c>
    </row>
    <row r="49" spans="1:14" ht="15">
      <c r="A49" s="12" t="s">
        <v>94</v>
      </c>
      <c r="B49" s="33" t="s">
        <v>145</v>
      </c>
      <c r="C49" s="92" t="s">
        <v>352</v>
      </c>
      <c r="D49" s="33" t="s">
        <v>410</v>
      </c>
      <c r="E49" s="34">
        <v>43830</v>
      </c>
      <c r="F49" s="34">
        <v>43832</v>
      </c>
      <c r="G49" s="34">
        <v>43837</v>
      </c>
      <c r="H49" s="35">
        <v>8.9999999999999993E-3</v>
      </c>
      <c r="I49" s="67">
        <v>1.1299999999999999E-2</v>
      </c>
      <c r="J49" s="67">
        <v>0</v>
      </c>
      <c r="K49" s="67">
        <v>1.1299999999999999E-2</v>
      </c>
      <c r="L49" s="36">
        <f>+K49-((K49*0.016*0.125)+(K49*(1-0.016)*0.26))</f>
        <v>8.3864079999999997E-3</v>
      </c>
      <c r="M49" s="64">
        <f t="shared" si="0"/>
        <v>8.3864079999999997E-3</v>
      </c>
      <c r="N49" s="33" t="s">
        <v>248</v>
      </c>
    </row>
    <row r="50" spans="1:14" ht="15">
      <c r="A50" s="12" t="s">
        <v>93</v>
      </c>
      <c r="B50" s="33" t="s">
        <v>144</v>
      </c>
      <c r="C50" s="92" t="s">
        <v>353</v>
      </c>
      <c r="D50" s="33" t="s">
        <v>410</v>
      </c>
      <c r="E50" s="34">
        <v>43830</v>
      </c>
      <c r="F50" s="34">
        <v>43832</v>
      </c>
      <c r="G50" s="34">
        <v>43837</v>
      </c>
      <c r="H50" s="35">
        <v>8.0000000000000002E-3</v>
      </c>
      <c r="I50" s="67">
        <v>0.01</v>
      </c>
      <c r="J50" s="67">
        <v>0</v>
      </c>
      <c r="K50" s="67">
        <v>0.01</v>
      </c>
      <c r="L50" s="36">
        <f>+K50-((K50*0.951*0.125)+(K50*(1-0.951)*0.26))</f>
        <v>8.6838499999999999E-3</v>
      </c>
      <c r="M50" s="64">
        <f t="shared" si="0"/>
        <v>8.6838499999999999E-3</v>
      </c>
      <c r="N50" s="33" t="s">
        <v>248</v>
      </c>
    </row>
    <row r="51" spans="1:14" ht="15">
      <c r="A51" s="12" t="s">
        <v>96</v>
      </c>
      <c r="B51" s="33" t="s">
        <v>147</v>
      </c>
      <c r="C51" s="92" t="s">
        <v>360</v>
      </c>
      <c r="D51" s="33" t="s">
        <v>410</v>
      </c>
      <c r="E51" s="34">
        <v>43830</v>
      </c>
      <c r="F51" s="34">
        <v>43832</v>
      </c>
      <c r="G51" s="34">
        <v>43837</v>
      </c>
      <c r="H51" s="35">
        <v>2.3E-2</v>
      </c>
      <c r="I51" s="67">
        <v>2.9499999999999998E-2</v>
      </c>
      <c r="J51" s="67">
        <v>0</v>
      </c>
      <c r="K51" s="67">
        <v>2.9499999999999998E-2</v>
      </c>
      <c r="L51" s="36">
        <f>+K51-((K51*0.121*0.125)+(K51*(1-0.121)*0.26))</f>
        <v>2.2311882499999998E-2</v>
      </c>
      <c r="M51" s="64">
        <f t="shared" si="0"/>
        <v>2.2311882499999998E-2</v>
      </c>
      <c r="N51" s="33" t="s">
        <v>248</v>
      </c>
    </row>
    <row r="52" spans="1:14" ht="15">
      <c r="A52" s="12" t="s">
        <v>9</v>
      </c>
      <c r="B52" s="33" t="s">
        <v>164</v>
      </c>
      <c r="C52" s="92" t="s">
        <v>361</v>
      </c>
      <c r="D52" s="33" t="s">
        <v>410</v>
      </c>
      <c r="E52" s="34">
        <v>43830</v>
      </c>
      <c r="F52" s="34">
        <v>43832</v>
      </c>
      <c r="G52" s="34">
        <v>43837</v>
      </c>
      <c r="H52" s="35">
        <v>1.7000000000000001E-2</v>
      </c>
      <c r="I52" s="67">
        <v>2.06E-2</v>
      </c>
      <c r="J52" s="67">
        <v>0</v>
      </c>
      <c r="K52" s="67">
        <v>2.06E-2</v>
      </c>
      <c r="L52" s="36">
        <f>+K52-((K52*0.121*0.125)+(K52*(1-0.121)*0.26))</f>
        <v>1.5580501E-2</v>
      </c>
      <c r="M52" s="64">
        <f t="shared" si="0"/>
        <v>1.5580501E-2</v>
      </c>
      <c r="N52" s="33" t="s">
        <v>248</v>
      </c>
    </row>
    <row r="53" spans="1:14" ht="15">
      <c r="A53" s="12" t="s">
        <v>97</v>
      </c>
      <c r="B53" s="33" t="s">
        <v>148</v>
      </c>
      <c r="C53" s="92" t="s">
        <v>362</v>
      </c>
      <c r="D53" s="33" t="s">
        <v>410</v>
      </c>
      <c r="E53" s="34">
        <v>43830</v>
      </c>
      <c r="F53" s="34">
        <v>43832</v>
      </c>
      <c r="G53" s="34">
        <v>43837</v>
      </c>
      <c r="H53" s="35">
        <v>8.0000000000000002E-3</v>
      </c>
      <c r="I53" s="67">
        <v>0.01</v>
      </c>
      <c r="J53" s="67">
        <v>0</v>
      </c>
      <c r="K53" s="67">
        <v>0.01</v>
      </c>
      <c r="L53" s="36">
        <f>+K53-((K53*0.452*0.125)+(K53*(1-0.452)*0.26))</f>
        <v>8.0102000000000003E-3</v>
      </c>
      <c r="M53" s="64">
        <f t="shared" si="0"/>
        <v>8.0102000000000003E-3</v>
      </c>
      <c r="N53" s="33" t="s">
        <v>248</v>
      </c>
    </row>
    <row r="54" spans="1:14" ht="15">
      <c r="A54" s="12" t="s">
        <v>200</v>
      </c>
      <c r="B54" s="33" t="s">
        <v>200</v>
      </c>
      <c r="C54" s="92" t="s">
        <v>365</v>
      </c>
      <c r="D54" s="33" t="s">
        <v>410</v>
      </c>
      <c r="E54" s="34">
        <v>43830</v>
      </c>
      <c r="F54" s="34">
        <v>43832</v>
      </c>
      <c r="G54" s="34">
        <v>43837</v>
      </c>
      <c r="H54" s="35">
        <v>0.02</v>
      </c>
      <c r="I54" s="67">
        <v>0.47</v>
      </c>
      <c r="J54" s="67">
        <v>0</v>
      </c>
      <c r="K54" s="67">
        <v>0.47</v>
      </c>
      <c r="L54" s="36">
        <f>+K54-((K54*0.452*0.125)+(K54*(1-0.452)*0.26))</f>
        <v>0.37647939999999996</v>
      </c>
      <c r="M54" s="64">
        <f t="shared" si="0"/>
        <v>0.37647939999999996</v>
      </c>
      <c r="N54" s="33" t="s">
        <v>248</v>
      </c>
    </row>
    <row r="55" spans="1:14" ht="15">
      <c r="A55" s="12" t="s">
        <v>58</v>
      </c>
      <c r="B55" s="33" t="s">
        <v>173</v>
      </c>
      <c r="C55" s="92" t="s">
        <v>372</v>
      </c>
      <c r="D55" s="33" t="s">
        <v>410</v>
      </c>
      <c r="E55" s="34">
        <v>43830</v>
      </c>
      <c r="F55" s="34">
        <v>43832</v>
      </c>
      <c r="G55" s="34">
        <v>43837</v>
      </c>
      <c r="H55" s="35">
        <v>0.01</v>
      </c>
      <c r="I55" s="67">
        <v>1.2E-2</v>
      </c>
      <c r="J55" s="67">
        <v>0</v>
      </c>
      <c r="K55" s="67">
        <v>1.2E-2</v>
      </c>
      <c r="L55" s="36">
        <f>+K55-((K55*0.437*0.125)+(K55*(1-0.437)*0.26))</f>
        <v>9.5879399999999997E-3</v>
      </c>
      <c r="M55" s="64">
        <f t="shared" si="0"/>
        <v>9.5879399999999997E-3</v>
      </c>
      <c r="N55" s="33" t="s">
        <v>248</v>
      </c>
    </row>
    <row r="56" spans="1:14" ht="15">
      <c r="A56" s="12" t="s">
        <v>99</v>
      </c>
      <c r="B56" s="33" t="s">
        <v>150</v>
      </c>
      <c r="C56" s="92" t="s">
        <v>377</v>
      </c>
      <c r="D56" s="33" t="s">
        <v>410</v>
      </c>
      <c r="E56" s="34">
        <v>43830</v>
      </c>
      <c r="F56" s="34">
        <v>43832</v>
      </c>
      <c r="G56" s="34">
        <v>43837</v>
      </c>
      <c r="H56" s="35">
        <v>0.03</v>
      </c>
      <c r="I56" s="67">
        <v>3.85E-2</v>
      </c>
      <c r="J56" s="67">
        <v>0</v>
      </c>
      <c r="K56" s="67">
        <v>3.85E-2</v>
      </c>
      <c r="L56" s="36">
        <f>+K56-((K56*0.00000001*0.125)+(K56*(1-0.00000001)*0.26))</f>
        <v>2.8490000051975002E-2</v>
      </c>
      <c r="M56" s="64">
        <f t="shared" si="0"/>
        <v>2.8490000051975002E-2</v>
      </c>
      <c r="N56" s="33" t="s">
        <v>248</v>
      </c>
    </row>
    <row r="57" spans="1:14" ht="15">
      <c r="A57" s="12"/>
      <c r="B57" s="33" t="s">
        <v>441</v>
      </c>
      <c r="C57" s="92" t="s">
        <v>444</v>
      </c>
      <c r="D57" s="33" t="s">
        <v>410</v>
      </c>
      <c r="E57" s="34">
        <v>43830</v>
      </c>
      <c r="F57" s="34">
        <v>43832</v>
      </c>
      <c r="G57" s="34">
        <v>43837</v>
      </c>
      <c r="H57" s="35"/>
      <c r="I57" s="67">
        <v>2.5000000000000001E-2</v>
      </c>
      <c r="J57" s="67">
        <v>0</v>
      </c>
      <c r="K57" s="67">
        <v>2.5000000000000001E-2</v>
      </c>
      <c r="L57" s="36">
        <f>+K57-((K57*0.2*0.125)+(K57*(1-0.2)*0.26))</f>
        <v>1.9174999999999998E-2</v>
      </c>
      <c r="M57" s="64">
        <f t="shared" si="0"/>
        <v>1.9174999999999998E-2</v>
      </c>
      <c r="N57" s="33" t="s">
        <v>248</v>
      </c>
    </row>
    <row r="58" spans="1:14" ht="15">
      <c r="A58" s="12"/>
      <c r="B58" s="33" t="s">
        <v>439</v>
      </c>
      <c r="C58" s="92" t="s">
        <v>442</v>
      </c>
      <c r="D58" s="33" t="s">
        <v>410</v>
      </c>
      <c r="E58" s="34">
        <v>43830</v>
      </c>
      <c r="F58" s="34">
        <v>43832</v>
      </c>
      <c r="G58" s="34">
        <v>43837</v>
      </c>
      <c r="H58" s="35"/>
      <c r="I58" s="67">
        <v>0.45</v>
      </c>
      <c r="J58" s="67">
        <v>0</v>
      </c>
      <c r="K58" s="67">
        <v>0.45</v>
      </c>
      <c r="L58" s="36">
        <f>+K58-((K58*0.2*0.125)+(K58*(1-0.2)*0.26))</f>
        <v>0.34515000000000001</v>
      </c>
      <c r="M58" s="64">
        <f t="shared" si="0"/>
        <v>0.34515000000000001</v>
      </c>
      <c r="N58" s="33" t="s">
        <v>248</v>
      </c>
    </row>
    <row r="59" spans="1:14" ht="15">
      <c r="A59" s="12"/>
      <c r="B59" s="33" t="s">
        <v>440</v>
      </c>
      <c r="C59" s="92" t="s">
        <v>443</v>
      </c>
      <c r="D59" s="33" t="s">
        <v>410</v>
      </c>
      <c r="E59" s="34">
        <v>43830</v>
      </c>
      <c r="F59" s="34">
        <v>43832</v>
      </c>
      <c r="G59" s="34">
        <v>43837</v>
      </c>
      <c r="H59" s="35"/>
      <c r="I59" s="67">
        <v>0.45</v>
      </c>
      <c r="J59" s="67">
        <v>0</v>
      </c>
      <c r="K59" s="67">
        <v>0.45</v>
      </c>
      <c r="L59" s="36">
        <f>+K59-((K59*0.2*0.125)+(K59*(1-0.2)*0.26))</f>
        <v>0.34515000000000001</v>
      </c>
      <c r="M59" s="64">
        <f t="shared" si="0"/>
        <v>0.34515000000000001</v>
      </c>
      <c r="N59" s="33" t="s">
        <v>248</v>
      </c>
    </row>
    <row r="60" spans="1:14" ht="15">
      <c r="A60" s="12"/>
      <c r="B60" s="33" t="s">
        <v>299</v>
      </c>
      <c r="C60" s="92" t="s">
        <v>417</v>
      </c>
      <c r="D60" s="33" t="s">
        <v>410</v>
      </c>
      <c r="E60" s="34">
        <v>43830</v>
      </c>
      <c r="F60" s="34">
        <v>43832</v>
      </c>
      <c r="G60" s="34">
        <v>43837</v>
      </c>
      <c r="H60" s="35"/>
      <c r="I60" s="67">
        <v>2.5000000000000001E-2</v>
      </c>
      <c r="J60" s="67">
        <v>2.5000000000000001E-2</v>
      </c>
      <c r="K60" s="67">
        <v>0</v>
      </c>
      <c r="L60" s="36">
        <f>+K60-((K60*0.346*0.125)+(K60*(1-0.346)*0.26))</f>
        <v>0</v>
      </c>
      <c r="M60" s="64">
        <f t="shared" si="0"/>
        <v>2.5000000000000001E-2</v>
      </c>
      <c r="N60" s="33" t="s">
        <v>248</v>
      </c>
    </row>
    <row r="61" spans="1:14" ht="15">
      <c r="A61" s="12" t="s">
        <v>182</v>
      </c>
      <c r="B61" s="33" t="s">
        <v>182</v>
      </c>
      <c r="C61" s="92" t="s">
        <v>378</v>
      </c>
      <c r="D61" s="33" t="s">
        <v>410</v>
      </c>
      <c r="E61" s="34">
        <v>43830</v>
      </c>
      <c r="F61" s="34">
        <v>43832</v>
      </c>
      <c r="G61" s="34">
        <v>43837</v>
      </c>
      <c r="H61" s="35">
        <v>0.02</v>
      </c>
      <c r="I61" s="67">
        <v>0.47</v>
      </c>
      <c r="J61" s="67">
        <v>0.47</v>
      </c>
      <c r="K61" s="67">
        <v>0</v>
      </c>
      <c r="L61" s="36">
        <f>+K61-((K61*0.346*0.125)+(K61*(1-0.346)*0.26))</f>
        <v>0</v>
      </c>
      <c r="M61" s="64">
        <f t="shared" si="0"/>
        <v>0.47</v>
      </c>
      <c r="N61" s="33" t="s">
        <v>248</v>
      </c>
    </row>
    <row r="62" spans="1:14" ht="15">
      <c r="A62" s="12" t="s">
        <v>202</v>
      </c>
      <c r="B62" s="33" t="s">
        <v>202</v>
      </c>
      <c r="C62" s="92" t="s">
        <v>379</v>
      </c>
      <c r="D62" s="33" t="s">
        <v>410</v>
      </c>
      <c r="E62" s="34">
        <v>43830</v>
      </c>
      <c r="F62" s="34">
        <v>43832</v>
      </c>
      <c r="G62" s="34">
        <v>43837</v>
      </c>
      <c r="H62" s="35">
        <v>0.02</v>
      </c>
      <c r="I62" s="67">
        <v>0.47</v>
      </c>
      <c r="J62" s="67">
        <v>0.47</v>
      </c>
      <c r="K62" s="67">
        <v>0</v>
      </c>
      <c r="L62" s="36">
        <f>+K62-((K62*0.346*0.125)+(K62*(1-0.346)*0.26))</f>
        <v>0</v>
      </c>
      <c r="M62" s="64">
        <f t="shared" si="0"/>
        <v>0.47</v>
      </c>
      <c r="N62" s="33" t="s">
        <v>248</v>
      </c>
    </row>
    <row r="63" spans="1:14" ht="15">
      <c r="A63" s="12" t="s">
        <v>95</v>
      </c>
      <c r="B63" s="33" t="s">
        <v>146</v>
      </c>
      <c r="C63" s="92" t="s">
        <v>380</v>
      </c>
      <c r="D63" s="33" t="s">
        <v>410</v>
      </c>
      <c r="E63" s="34">
        <v>43830</v>
      </c>
      <c r="F63" s="34">
        <v>43832</v>
      </c>
      <c r="G63" s="34">
        <v>43837</v>
      </c>
      <c r="H63" s="35">
        <v>2.5000000000000001E-2</v>
      </c>
      <c r="I63" s="67">
        <v>3.7199999999999997E-2</v>
      </c>
      <c r="J63" s="67">
        <v>0</v>
      </c>
      <c r="K63" s="67">
        <v>3.7199999999999997E-2</v>
      </c>
      <c r="L63" s="36">
        <f>+K63-((K63*0.001*0.125)+(K63*(1-0.001)*0.26))</f>
        <v>2.7533021999999997E-2</v>
      </c>
      <c r="M63" s="64">
        <f t="shared" si="0"/>
        <v>2.7533021999999997E-2</v>
      </c>
      <c r="N63" s="33" t="s">
        <v>248</v>
      </c>
    </row>
    <row r="64" spans="1:14" ht="15">
      <c r="A64" s="12" t="s">
        <v>10</v>
      </c>
      <c r="B64" s="33" t="s">
        <v>163</v>
      </c>
      <c r="C64" s="92" t="s">
        <v>381</v>
      </c>
      <c r="D64" s="33" t="s">
        <v>410</v>
      </c>
      <c r="E64" s="34">
        <v>43830</v>
      </c>
      <c r="F64" s="34">
        <v>43832</v>
      </c>
      <c r="G64" s="34">
        <v>43837</v>
      </c>
      <c r="H64" s="35">
        <v>1.9E-2</v>
      </c>
      <c r="I64" s="67">
        <v>2.5600000000000001E-2</v>
      </c>
      <c r="J64" s="67">
        <v>0</v>
      </c>
      <c r="K64" s="67">
        <v>2.5600000000000001E-2</v>
      </c>
      <c r="L64" s="36">
        <f>+K64-((K64*0.001*0.125)+(K64*(1-0.001)*0.26))</f>
        <v>1.8947456000000001E-2</v>
      </c>
      <c r="M64" s="64">
        <f t="shared" si="0"/>
        <v>1.8947456000000001E-2</v>
      </c>
      <c r="N64" s="33" t="s">
        <v>248</v>
      </c>
    </row>
    <row r="65" spans="1:14" ht="15">
      <c r="A65" s="12" t="s">
        <v>100</v>
      </c>
      <c r="B65" s="33" t="s">
        <v>151</v>
      </c>
      <c r="C65" s="92" t="s">
        <v>383</v>
      </c>
      <c r="D65" s="33" t="s">
        <v>410</v>
      </c>
      <c r="E65" s="34">
        <v>43830</v>
      </c>
      <c r="F65" s="34">
        <v>43832</v>
      </c>
      <c r="G65" s="34">
        <v>43837</v>
      </c>
      <c r="H65" s="35">
        <v>0.03</v>
      </c>
      <c r="I65" s="67">
        <v>3.6400000000000002E-2</v>
      </c>
      <c r="J65" s="67">
        <v>0</v>
      </c>
      <c r="K65" s="67">
        <v>3.6400000000000002E-2</v>
      </c>
      <c r="L65" s="36">
        <f>+K65-((K65*0.063*0.125)+(K65*(1-0.063)*0.26))</f>
        <v>2.7245582000000001E-2</v>
      </c>
      <c r="M65" s="64">
        <f t="shared" si="0"/>
        <v>2.7245582000000001E-2</v>
      </c>
      <c r="N65" s="33" t="s">
        <v>248</v>
      </c>
    </row>
    <row r="66" spans="1:14" ht="15">
      <c r="A66" s="12" t="s">
        <v>27</v>
      </c>
      <c r="B66" s="33" t="s">
        <v>166</v>
      </c>
      <c r="C66" s="92" t="s">
        <v>384</v>
      </c>
      <c r="D66" s="33" t="s">
        <v>410</v>
      </c>
      <c r="E66" s="34">
        <v>43830</v>
      </c>
      <c r="F66" s="34">
        <v>43832</v>
      </c>
      <c r="G66" s="34">
        <v>43837</v>
      </c>
      <c r="H66" s="35">
        <v>2.5999999999999999E-2</v>
      </c>
      <c r="I66" s="67">
        <v>3.15E-2</v>
      </c>
      <c r="J66" s="67">
        <v>0</v>
      </c>
      <c r="K66" s="67">
        <v>3.15E-2</v>
      </c>
      <c r="L66" s="36">
        <f>+K66-((K66*0.063*0.125)+(K66*(1-0.063)*0.26))</f>
        <v>2.3577907499999998E-2</v>
      </c>
      <c r="M66" s="64">
        <f t="shared" si="0"/>
        <v>2.3577907499999998E-2</v>
      </c>
      <c r="N66" s="33" t="s">
        <v>248</v>
      </c>
    </row>
    <row r="67" spans="1:14" ht="15">
      <c r="A67" s="12" t="s">
        <v>98</v>
      </c>
      <c r="B67" s="33" t="s">
        <v>149</v>
      </c>
      <c r="C67" s="92" t="s">
        <v>386</v>
      </c>
      <c r="D67" s="33" t="s">
        <v>410</v>
      </c>
      <c r="E67" s="34">
        <v>43830</v>
      </c>
      <c r="F67" s="34">
        <v>43832</v>
      </c>
      <c r="G67" s="34">
        <v>43837</v>
      </c>
      <c r="H67" s="35">
        <v>5.1999999999999998E-2</v>
      </c>
      <c r="I67" s="67">
        <v>7.17E-2</v>
      </c>
      <c r="J67" s="67">
        <v>0</v>
      </c>
      <c r="K67" s="67">
        <v>7.17E-2</v>
      </c>
      <c r="L67" s="36">
        <f>+K67-((K67*0.087*0.125)+(K67*(1-0.087)*0.26))</f>
        <v>5.3900116499999998E-2</v>
      </c>
      <c r="M67" s="64">
        <f t="shared" si="0"/>
        <v>5.3900116499999998E-2</v>
      </c>
      <c r="N67" s="33" t="s">
        <v>248</v>
      </c>
    </row>
    <row r="68" spans="1:14" ht="15">
      <c r="A68" s="12" t="s">
        <v>11</v>
      </c>
      <c r="B68" s="33" t="s">
        <v>165</v>
      </c>
      <c r="C68" s="92" t="s">
        <v>387</v>
      </c>
      <c r="D68" s="33" t="s">
        <v>410</v>
      </c>
      <c r="E68" s="34">
        <v>43830</v>
      </c>
      <c r="F68" s="34">
        <v>43832</v>
      </c>
      <c r="G68" s="34">
        <v>43837</v>
      </c>
      <c r="H68" s="35">
        <v>4.5999999999999999E-2</v>
      </c>
      <c r="I68" s="67">
        <v>6.0100000000000001E-2</v>
      </c>
      <c r="J68" s="67">
        <v>0</v>
      </c>
      <c r="K68" s="67">
        <v>6.0100000000000001E-2</v>
      </c>
      <c r="L68" s="36">
        <f>+K68-((K68*0.087*0.125)+(K68*(1-0.087)*0.26))</f>
        <v>4.5179874499999995E-2</v>
      </c>
      <c r="M68" s="64">
        <f t="shared" si="0"/>
        <v>4.5179874499999995E-2</v>
      </c>
      <c r="N68" s="33" t="s">
        <v>248</v>
      </c>
    </row>
    <row r="69" spans="1:14" ht="15">
      <c r="A69" s="12" t="s">
        <v>102</v>
      </c>
      <c r="B69" s="33" t="s">
        <v>153</v>
      </c>
      <c r="C69" s="92" t="s">
        <v>394</v>
      </c>
      <c r="D69" s="33" t="s">
        <v>410</v>
      </c>
      <c r="E69" s="34">
        <v>43830</v>
      </c>
      <c r="F69" s="34">
        <v>43832</v>
      </c>
      <c r="G69" s="34">
        <v>43837</v>
      </c>
      <c r="H69" s="35">
        <v>2.8000000000000001E-2</v>
      </c>
      <c r="I69" s="67">
        <v>3.2599999999999997E-2</v>
      </c>
      <c r="J69" s="67">
        <v>0</v>
      </c>
      <c r="K69" s="67">
        <v>3.2599999999999997E-2</v>
      </c>
      <c r="L69" s="36">
        <f>+K69-((K69*0.068*0.125)+(K69*(1-0.068)*0.26))</f>
        <v>2.4423267999999998E-2</v>
      </c>
      <c r="M69" s="64">
        <f t="shared" si="0"/>
        <v>2.4423267999999998E-2</v>
      </c>
      <c r="N69" s="33" t="s">
        <v>248</v>
      </c>
    </row>
    <row r="70" spans="1:14" ht="15">
      <c r="A70" s="12" t="s">
        <v>101</v>
      </c>
      <c r="B70" s="33" t="s">
        <v>152</v>
      </c>
      <c r="C70" s="92" t="s">
        <v>395</v>
      </c>
      <c r="D70" s="33" t="s">
        <v>410</v>
      </c>
      <c r="E70" s="34">
        <v>43830</v>
      </c>
      <c r="F70" s="34">
        <v>43832</v>
      </c>
      <c r="G70" s="34">
        <v>43837</v>
      </c>
      <c r="H70" s="35">
        <v>2.4E-2</v>
      </c>
      <c r="I70" s="67">
        <v>3.5700000000000003E-2</v>
      </c>
      <c r="J70" s="67">
        <v>0</v>
      </c>
      <c r="K70" s="67">
        <v>3.5700000000000003E-2</v>
      </c>
      <c r="L70" s="36">
        <f>+K70-((K70*0.068*0.125)+(K70*(1-0.068)*0.26))</f>
        <v>2.6745726000000004E-2</v>
      </c>
      <c r="M70" s="64">
        <f t="shared" ref="M70:M133" si="1">J70+L70</f>
        <v>2.6745726000000004E-2</v>
      </c>
      <c r="N70" s="33" t="s">
        <v>248</v>
      </c>
    </row>
    <row r="71" spans="1:14" ht="15">
      <c r="A71" s="12" t="s">
        <v>12</v>
      </c>
      <c r="B71" s="33" t="s">
        <v>167</v>
      </c>
      <c r="C71" s="92" t="s">
        <v>396</v>
      </c>
      <c r="D71" s="33" t="s">
        <v>410</v>
      </c>
      <c r="E71" s="34">
        <v>43830</v>
      </c>
      <c r="F71" s="34">
        <v>43832</v>
      </c>
      <c r="G71" s="34">
        <v>43837</v>
      </c>
      <c r="H71" s="35">
        <v>1.7999999999999999E-2</v>
      </c>
      <c r="I71" s="67">
        <v>2.5899999999999999E-2</v>
      </c>
      <c r="J71" s="67">
        <v>0</v>
      </c>
      <c r="K71" s="67">
        <v>2.5899999999999999E-2</v>
      </c>
      <c r="L71" s="36">
        <f>+K71-((K71*0.068*0.125)+(K71*(1-0.068)*0.26))</f>
        <v>1.9403761999999998E-2</v>
      </c>
      <c r="M71" s="64">
        <f t="shared" si="1"/>
        <v>1.9403761999999998E-2</v>
      </c>
      <c r="N71" s="33" t="s">
        <v>248</v>
      </c>
    </row>
    <row r="72" spans="1:14" ht="15">
      <c r="A72" s="12"/>
      <c r="B72" s="33" t="s">
        <v>301</v>
      </c>
      <c r="C72" s="92" t="s">
        <v>407</v>
      </c>
      <c r="D72" s="33" t="s">
        <v>410</v>
      </c>
      <c r="E72" s="34">
        <v>43830</v>
      </c>
      <c r="F72" s="34">
        <v>43832</v>
      </c>
      <c r="G72" s="34">
        <v>43837</v>
      </c>
      <c r="H72" s="35"/>
      <c r="I72" s="67">
        <v>2.75E-2</v>
      </c>
      <c r="J72" s="67">
        <v>0</v>
      </c>
      <c r="K72" s="67">
        <v>2.75E-2</v>
      </c>
      <c r="L72" s="36">
        <f>+K72-((K72*0.068*0.125)+(K72*(1-0.068)*0.26))</f>
        <v>2.0602450000000001E-2</v>
      </c>
      <c r="M72" s="64">
        <f t="shared" si="1"/>
        <v>2.0602450000000001E-2</v>
      </c>
      <c r="N72" s="33" t="s">
        <v>248</v>
      </c>
    </row>
    <row r="73" spans="1:14" ht="15">
      <c r="A73" s="12"/>
      <c r="B73" s="33" t="s">
        <v>304</v>
      </c>
      <c r="C73" s="92" t="s">
        <v>408</v>
      </c>
      <c r="D73" s="33" t="s">
        <v>410</v>
      </c>
      <c r="E73" s="34">
        <v>43830</v>
      </c>
      <c r="F73" s="34">
        <v>43832</v>
      </c>
      <c r="G73" s="34">
        <v>43837</v>
      </c>
      <c r="H73" s="35"/>
      <c r="I73" s="67">
        <v>4.3700000000000003E-2</v>
      </c>
      <c r="J73" s="67">
        <v>1.7297000000000003E-2</v>
      </c>
      <c r="K73" s="67">
        <v>2.6402999999999999E-2</v>
      </c>
      <c r="L73" s="36">
        <f>+K73-((K73*0.099*0.125)+(K73*(1-0.099)*0.26))</f>
        <v>1.9891096094999998E-2</v>
      </c>
      <c r="M73" s="64">
        <f t="shared" si="1"/>
        <v>3.7188096094999998E-2</v>
      </c>
      <c r="N73" s="33" t="s">
        <v>248</v>
      </c>
    </row>
    <row r="74" spans="1:14" ht="15">
      <c r="A74" s="12" t="s">
        <v>230</v>
      </c>
      <c r="B74" s="33" t="s">
        <v>183</v>
      </c>
      <c r="C74" s="92" t="s">
        <v>398</v>
      </c>
      <c r="D74" s="33" t="s">
        <v>410</v>
      </c>
      <c r="E74" s="34">
        <v>43830</v>
      </c>
      <c r="F74" s="34">
        <v>43832</v>
      </c>
      <c r="G74" s="34">
        <v>43837</v>
      </c>
      <c r="H74" s="35">
        <v>3.5000000000000003E-2</v>
      </c>
      <c r="I74" s="67">
        <v>4.3799999999999999E-2</v>
      </c>
      <c r="J74" s="67">
        <v>1.4778943344360851E-5</v>
      </c>
      <c r="K74" s="67">
        <v>4.3785221056655638E-2</v>
      </c>
      <c r="L74" s="36">
        <f>+K74-((K74*0.099*0.125)+(K74*(1-0.099)*0.26))</f>
        <v>3.2986253061347372E-2</v>
      </c>
      <c r="M74" s="64">
        <f t="shared" si="1"/>
        <v>3.3001032004691733E-2</v>
      </c>
      <c r="N74" s="33" t="s">
        <v>248</v>
      </c>
    </row>
    <row r="75" spans="1:14" ht="15">
      <c r="A75" s="12"/>
      <c r="B75" s="33" t="s">
        <v>305</v>
      </c>
      <c r="C75" s="92" t="s">
        <v>409</v>
      </c>
      <c r="D75" s="33" t="s">
        <v>410</v>
      </c>
      <c r="E75" s="34">
        <v>43830</v>
      </c>
      <c r="F75" s="34">
        <v>43832</v>
      </c>
      <c r="G75" s="34">
        <v>43837</v>
      </c>
      <c r="H75" s="35"/>
      <c r="I75" s="67">
        <v>4.3799999999999999E-2</v>
      </c>
      <c r="J75" s="67">
        <v>1.4230103127157084E-4</v>
      </c>
      <c r="K75" s="67">
        <v>4.3657698968728426E-2</v>
      </c>
      <c r="L75" s="36">
        <f>+K75-((K75*0.099*0.125)+(K75*(1-0.099)*0.26))</f>
        <v>3.2890182383576091E-2</v>
      </c>
      <c r="M75" s="64">
        <f t="shared" si="1"/>
        <v>3.3032483414847665E-2</v>
      </c>
      <c r="N75" s="33" t="s">
        <v>248</v>
      </c>
    </row>
    <row r="76" spans="1:14" ht="15">
      <c r="A76" s="12"/>
      <c r="B76" s="33" t="s">
        <v>479</v>
      </c>
      <c r="C76" s="92" t="s">
        <v>481</v>
      </c>
      <c r="D76" s="33" t="s">
        <v>412</v>
      </c>
      <c r="E76" s="34">
        <v>43857</v>
      </c>
      <c r="F76" s="34">
        <v>43858</v>
      </c>
      <c r="G76" s="34">
        <v>43861</v>
      </c>
      <c r="H76" s="35"/>
      <c r="I76" s="67">
        <v>0.20008999999999999</v>
      </c>
      <c r="J76" s="67">
        <v>0</v>
      </c>
      <c r="K76" s="67">
        <v>0.20008999999999999</v>
      </c>
      <c r="L76" s="36">
        <f>+K76-((K76*0.159*0.125)+(K76*(1-0.159)*0.26))</f>
        <v>0.15236153185000001</v>
      </c>
      <c r="M76" s="64">
        <f t="shared" si="1"/>
        <v>0.15236153185000001</v>
      </c>
      <c r="N76" s="33" t="s">
        <v>495</v>
      </c>
    </row>
    <row r="77" spans="1:14" ht="15">
      <c r="A77" s="12"/>
      <c r="B77" s="33" t="s">
        <v>480</v>
      </c>
      <c r="C77" s="92" t="s">
        <v>482</v>
      </c>
      <c r="D77" s="33" t="s">
        <v>412</v>
      </c>
      <c r="E77" s="34">
        <v>43857</v>
      </c>
      <c r="F77" s="34">
        <v>43858</v>
      </c>
      <c r="G77" s="34">
        <v>43861</v>
      </c>
      <c r="H77" s="35"/>
      <c r="I77" s="67">
        <v>0.192445</v>
      </c>
      <c r="J77" s="67">
        <v>0</v>
      </c>
      <c r="K77" s="67">
        <v>0.192445</v>
      </c>
      <c r="L77" s="36">
        <f>+K77-((K77*0.159*0.125)+(K77*(1-0.159)*0.26))</f>
        <v>0.14654013192500001</v>
      </c>
      <c r="M77" s="64">
        <f t="shared" si="1"/>
        <v>0.14654013192500001</v>
      </c>
      <c r="N77" s="33" t="s">
        <v>495</v>
      </c>
    </row>
    <row r="78" spans="1:14" ht="15">
      <c r="A78" s="12"/>
      <c r="B78" s="33" t="s">
        <v>132</v>
      </c>
      <c r="C78" s="92" t="s">
        <v>358</v>
      </c>
      <c r="D78" s="33" t="s">
        <v>410</v>
      </c>
      <c r="E78" s="34">
        <v>43857</v>
      </c>
      <c r="F78" s="34">
        <v>43858</v>
      </c>
      <c r="G78" s="34">
        <v>43861</v>
      </c>
      <c r="H78" s="35"/>
      <c r="I78" s="67">
        <v>3.4299999999999997E-2</v>
      </c>
      <c r="J78" s="67">
        <v>0</v>
      </c>
      <c r="K78" s="67">
        <v>3.4299999999999997E-2</v>
      </c>
      <c r="L78" s="36">
        <f>+K78-((K78*0.268*0.125)+(K78*(1-0.268)*0.26))</f>
        <v>2.6622973999999997E-2</v>
      </c>
      <c r="M78" s="64">
        <f t="shared" si="1"/>
        <v>2.6622973999999997E-2</v>
      </c>
      <c r="N78" s="33" t="s">
        <v>249</v>
      </c>
    </row>
    <row r="79" spans="1:14" ht="15">
      <c r="A79" s="12" t="s">
        <v>121</v>
      </c>
      <c r="B79" s="33" t="s">
        <v>227</v>
      </c>
      <c r="C79" s="92" t="s">
        <v>359</v>
      </c>
      <c r="D79" s="33" t="s">
        <v>410</v>
      </c>
      <c r="E79" s="34">
        <v>43857</v>
      </c>
      <c r="F79" s="34">
        <v>43858</v>
      </c>
      <c r="G79" s="34">
        <v>43861</v>
      </c>
      <c r="H79" s="35"/>
      <c r="I79" s="67">
        <v>3.4200000000000001E-2</v>
      </c>
      <c r="J79" s="67">
        <v>0</v>
      </c>
      <c r="K79" s="67">
        <v>3.4200000000000001E-2</v>
      </c>
      <c r="L79" s="36">
        <f>+K79-((K79*0.268*0.125)+(K79*(1-0.268)*0.26))</f>
        <v>2.6545355999999999E-2</v>
      </c>
      <c r="M79" s="64">
        <f t="shared" si="1"/>
        <v>2.6545355999999999E-2</v>
      </c>
      <c r="N79" s="33" t="s">
        <v>249</v>
      </c>
    </row>
    <row r="80" spans="1:14" ht="15">
      <c r="A80" s="12"/>
      <c r="B80" s="33" t="s">
        <v>133</v>
      </c>
      <c r="C80" s="92" t="s">
        <v>474</v>
      </c>
      <c r="D80" s="33" t="s">
        <v>410</v>
      </c>
      <c r="E80" s="34">
        <v>43857</v>
      </c>
      <c r="F80" s="34">
        <v>43858</v>
      </c>
      <c r="G80" s="34">
        <v>43861</v>
      </c>
      <c r="H80" s="35"/>
      <c r="I80" s="67">
        <v>5.7700000000000001E-2</v>
      </c>
      <c r="J80" s="67">
        <v>0</v>
      </c>
      <c r="K80" s="67">
        <v>5.7700000000000001E-2</v>
      </c>
      <c r="L80" s="36">
        <f>+K80-((K80*0.0000000001*0.125)+(K80*(1-0.0000000001)*0.26))</f>
        <v>4.2698000000778953E-2</v>
      </c>
      <c r="M80" s="64">
        <f t="shared" si="1"/>
        <v>4.2698000000778953E-2</v>
      </c>
      <c r="N80" s="33" t="s">
        <v>249</v>
      </c>
    </row>
    <row r="81" spans="1:14" ht="15">
      <c r="A81" s="12"/>
      <c r="B81" s="33" t="s">
        <v>134</v>
      </c>
      <c r="C81" s="92" t="s">
        <v>374</v>
      </c>
      <c r="D81" s="33" t="s">
        <v>410</v>
      </c>
      <c r="E81" s="34">
        <v>43857</v>
      </c>
      <c r="F81" s="34">
        <v>43858</v>
      </c>
      <c r="G81" s="34">
        <v>43861</v>
      </c>
      <c r="H81" s="35"/>
      <c r="I81" s="67">
        <v>5.5199999999999999E-2</v>
      </c>
      <c r="J81" s="67">
        <v>0</v>
      </c>
      <c r="K81" s="67">
        <v>5.5199999999999999E-2</v>
      </c>
      <c r="L81" s="36">
        <f>+K81-((K81*0.242*0.125)+(K81*(1-0.242)*0.26))</f>
        <v>4.2651384000000001E-2</v>
      </c>
      <c r="M81" s="64">
        <f t="shared" si="1"/>
        <v>4.2651384000000001E-2</v>
      </c>
      <c r="N81" s="33" t="s">
        <v>249</v>
      </c>
    </row>
    <row r="82" spans="1:14" ht="15">
      <c r="A82" s="12"/>
      <c r="B82" s="33" t="s">
        <v>168</v>
      </c>
      <c r="C82" s="92" t="s">
        <v>376</v>
      </c>
      <c r="D82" s="33" t="s">
        <v>410</v>
      </c>
      <c r="E82" s="34">
        <v>43857</v>
      </c>
      <c r="F82" s="34">
        <v>43858</v>
      </c>
      <c r="G82" s="34">
        <v>43861</v>
      </c>
      <c r="H82" s="35">
        <v>4.2500000000000003E-2</v>
      </c>
      <c r="I82" s="67">
        <v>4.3700000000000003E-2</v>
      </c>
      <c r="J82" s="67">
        <v>0</v>
      </c>
      <c r="K82" s="67">
        <v>4.3700000000000003E-2</v>
      </c>
      <c r="L82" s="36">
        <f>+K82-((K82*0.242*0.125)+(K82*(1-0.242)*0.26))</f>
        <v>3.3765679E-2</v>
      </c>
      <c r="M82" s="64">
        <f t="shared" si="1"/>
        <v>3.3765679E-2</v>
      </c>
      <c r="N82" s="33" t="s">
        <v>249</v>
      </c>
    </row>
    <row r="83" spans="1:14" ht="15">
      <c r="A83" s="12"/>
      <c r="B83" s="33" t="s">
        <v>136</v>
      </c>
      <c r="C83" s="92" t="s">
        <v>388</v>
      </c>
      <c r="D83" s="33" t="s">
        <v>410</v>
      </c>
      <c r="E83" s="34">
        <v>43857</v>
      </c>
      <c r="F83" s="34">
        <v>43858</v>
      </c>
      <c r="G83" s="34">
        <v>43861</v>
      </c>
      <c r="H83" s="35"/>
      <c r="I83" s="67">
        <v>2.35E-2</v>
      </c>
      <c r="J83" s="67">
        <v>0</v>
      </c>
      <c r="K83" s="67">
        <v>2.35E-2</v>
      </c>
      <c r="L83" s="36">
        <f t="shared" ref="L83:L88" si="2">+K83-((K83*0.171*0.125)+(K83*(1-0.171)*0.26))</f>
        <v>1.7932497499999998E-2</v>
      </c>
      <c r="M83" s="64">
        <f t="shared" si="1"/>
        <v>1.7932497499999998E-2</v>
      </c>
      <c r="N83" s="33" t="s">
        <v>249</v>
      </c>
    </row>
    <row r="84" spans="1:14" ht="15">
      <c r="A84" s="12"/>
      <c r="B84" s="33" t="s">
        <v>137</v>
      </c>
      <c r="C84" s="92" t="s">
        <v>389</v>
      </c>
      <c r="D84" s="33" t="s">
        <v>410</v>
      </c>
      <c r="E84" s="34">
        <v>43857</v>
      </c>
      <c r="F84" s="34">
        <v>43858</v>
      </c>
      <c r="G84" s="34">
        <v>43861</v>
      </c>
      <c r="H84" s="35"/>
      <c r="I84" s="67">
        <v>4.2299999999999997E-2</v>
      </c>
      <c r="J84" s="67">
        <v>0</v>
      </c>
      <c r="K84" s="67">
        <v>4.2299999999999997E-2</v>
      </c>
      <c r="L84" s="36">
        <f t="shared" si="2"/>
        <v>3.2278495499999997E-2</v>
      </c>
      <c r="M84" s="64">
        <f t="shared" si="1"/>
        <v>3.2278495499999997E-2</v>
      </c>
      <c r="N84" s="33" t="s">
        <v>249</v>
      </c>
    </row>
    <row r="85" spans="1:14" ht="15">
      <c r="A85" s="12"/>
      <c r="B85" s="33" t="s">
        <v>135</v>
      </c>
      <c r="C85" s="92" t="s">
        <v>390</v>
      </c>
      <c r="D85" s="33" t="s">
        <v>410</v>
      </c>
      <c r="E85" s="34">
        <v>43857</v>
      </c>
      <c r="F85" s="34">
        <v>43858</v>
      </c>
      <c r="G85" s="34">
        <v>43861</v>
      </c>
      <c r="H85" s="35"/>
      <c r="I85" s="67">
        <v>5.4699999999999999E-2</v>
      </c>
      <c r="J85" s="67">
        <v>0</v>
      </c>
      <c r="K85" s="67">
        <v>5.4699999999999999E-2</v>
      </c>
      <c r="L85" s="36">
        <f t="shared" si="2"/>
        <v>4.1740749499999993E-2</v>
      </c>
      <c r="M85" s="64">
        <f t="shared" si="1"/>
        <v>4.1740749499999993E-2</v>
      </c>
      <c r="N85" s="33" t="s">
        <v>249</v>
      </c>
    </row>
    <row r="86" spans="1:14" ht="15">
      <c r="A86" s="12"/>
      <c r="B86" s="33" t="s">
        <v>170</v>
      </c>
      <c r="C86" s="92" t="s">
        <v>391</v>
      </c>
      <c r="D86" s="33" t="s">
        <v>410</v>
      </c>
      <c r="E86" s="34">
        <v>43857</v>
      </c>
      <c r="F86" s="34">
        <v>43858</v>
      </c>
      <c r="G86" s="34">
        <v>43861</v>
      </c>
      <c r="H86" s="35"/>
      <c r="I86" s="67">
        <v>2.35E-2</v>
      </c>
      <c r="J86" s="67">
        <v>0</v>
      </c>
      <c r="K86" s="67">
        <v>2.35E-2</v>
      </c>
      <c r="L86" s="36">
        <f t="shared" si="2"/>
        <v>1.7932497499999998E-2</v>
      </c>
      <c r="M86" s="64">
        <f t="shared" si="1"/>
        <v>1.7932497499999998E-2</v>
      </c>
      <c r="N86" s="33" t="s">
        <v>249</v>
      </c>
    </row>
    <row r="87" spans="1:14" ht="15">
      <c r="A87" s="12"/>
      <c r="B87" s="33" t="s">
        <v>171</v>
      </c>
      <c r="C87" s="92" t="s">
        <v>392</v>
      </c>
      <c r="D87" s="33" t="s">
        <v>410</v>
      </c>
      <c r="E87" s="34">
        <v>43857</v>
      </c>
      <c r="F87" s="34">
        <v>43858</v>
      </c>
      <c r="G87" s="34">
        <v>43861</v>
      </c>
      <c r="H87" s="35"/>
      <c r="I87" s="67">
        <v>4.2299999999999997E-2</v>
      </c>
      <c r="J87" s="67">
        <v>0</v>
      </c>
      <c r="K87" s="67">
        <v>4.2299999999999997E-2</v>
      </c>
      <c r="L87" s="36">
        <f t="shared" si="2"/>
        <v>3.2278495499999997E-2</v>
      </c>
      <c r="M87" s="64">
        <f t="shared" si="1"/>
        <v>3.2278495499999997E-2</v>
      </c>
      <c r="N87" s="33" t="s">
        <v>249</v>
      </c>
    </row>
    <row r="88" spans="1:14" ht="15">
      <c r="A88" s="12"/>
      <c r="B88" s="33" t="s">
        <v>172</v>
      </c>
      <c r="C88" s="92" t="s">
        <v>393</v>
      </c>
      <c r="D88" s="33" t="s">
        <v>410</v>
      </c>
      <c r="E88" s="34">
        <v>43857</v>
      </c>
      <c r="F88" s="34">
        <v>43858</v>
      </c>
      <c r="G88" s="34">
        <v>43861</v>
      </c>
      <c r="H88" s="35"/>
      <c r="I88" s="67">
        <v>5.4600000000000003E-2</v>
      </c>
      <c r="J88" s="67">
        <v>0</v>
      </c>
      <c r="K88" s="67">
        <v>5.4600000000000003E-2</v>
      </c>
      <c r="L88" s="36">
        <f t="shared" si="2"/>
        <v>4.1664441000000003E-2</v>
      </c>
      <c r="M88" s="64">
        <f t="shared" si="1"/>
        <v>4.1664441000000003E-2</v>
      </c>
      <c r="N88" s="33" t="s">
        <v>249</v>
      </c>
    </row>
    <row r="89" spans="1:14" ht="15">
      <c r="A89" s="12"/>
      <c r="B89" s="33" t="s">
        <v>169</v>
      </c>
      <c r="C89" s="92" t="s">
        <v>400</v>
      </c>
      <c r="D89" s="33" t="s">
        <v>410</v>
      </c>
      <c r="E89" s="34">
        <v>43857</v>
      </c>
      <c r="F89" s="34">
        <v>43858</v>
      </c>
      <c r="G89" s="34">
        <v>43861</v>
      </c>
      <c r="H89" s="35"/>
      <c r="I89" s="67">
        <v>5.0299999999999997E-2</v>
      </c>
      <c r="J89" s="67">
        <v>0</v>
      </c>
      <c r="K89" s="67">
        <v>5.0299999999999997E-2</v>
      </c>
      <c r="L89" s="36">
        <f>+K89-((K89*0.159*0.125)+(K89*(1-0.159)*0.26))</f>
        <v>3.83016895E-2</v>
      </c>
      <c r="M89" s="64">
        <f t="shared" si="1"/>
        <v>3.83016895E-2</v>
      </c>
      <c r="N89" s="33" t="s">
        <v>249</v>
      </c>
    </row>
    <row r="90" spans="1:14" ht="15">
      <c r="A90" s="12"/>
      <c r="B90" s="33" t="s">
        <v>156</v>
      </c>
      <c r="C90" s="92" t="s">
        <v>471</v>
      </c>
      <c r="D90" s="33" t="s">
        <v>496</v>
      </c>
      <c r="E90" s="34">
        <v>43857</v>
      </c>
      <c r="F90" s="34">
        <v>43858</v>
      </c>
      <c r="G90" s="34">
        <v>43861</v>
      </c>
      <c r="H90" s="35"/>
      <c r="I90" s="67">
        <v>0.14069999999999999</v>
      </c>
      <c r="J90" s="67">
        <v>0</v>
      </c>
      <c r="K90" s="67">
        <v>0.14069999999999999</v>
      </c>
      <c r="L90" s="36">
        <f>+K90-((K90*0.001*0.125)+(K90*(1-0.001)*0.26))</f>
        <v>0.1041369945</v>
      </c>
      <c r="M90" s="64">
        <f t="shared" si="1"/>
        <v>0.1041369945</v>
      </c>
      <c r="N90" s="33" t="s">
        <v>250</v>
      </c>
    </row>
    <row r="91" spans="1:14" ht="15">
      <c r="A91" s="12"/>
      <c r="B91" s="33" t="s">
        <v>178</v>
      </c>
      <c r="C91" s="92" t="s">
        <v>472</v>
      </c>
      <c r="D91" s="33" t="s">
        <v>496</v>
      </c>
      <c r="E91" s="34">
        <v>43857</v>
      </c>
      <c r="F91" s="34">
        <v>43858</v>
      </c>
      <c r="G91" s="34">
        <v>43861</v>
      </c>
      <c r="H91" s="35"/>
      <c r="I91" s="67">
        <v>0.12230000000000001</v>
      </c>
      <c r="J91" s="67">
        <v>0</v>
      </c>
      <c r="K91" s="67">
        <v>0.12230000000000001</v>
      </c>
      <c r="L91" s="36">
        <f>+K91-((K91*0.001*0.125)+(K91*(1-0.001)*0.26))</f>
        <v>9.051851050000001E-2</v>
      </c>
      <c r="M91" s="64">
        <f t="shared" si="1"/>
        <v>9.051851050000001E-2</v>
      </c>
      <c r="N91" s="33" t="s">
        <v>250</v>
      </c>
    </row>
    <row r="92" spans="1:14" ht="15">
      <c r="A92" s="12"/>
      <c r="B92" s="33" t="s">
        <v>155</v>
      </c>
      <c r="C92" s="92" t="s">
        <v>475</v>
      </c>
      <c r="D92" s="33" t="s">
        <v>496</v>
      </c>
      <c r="E92" s="34">
        <v>43857</v>
      </c>
      <c r="F92" s="34">
        <v>43858</v>
      </c>
      <c r="G92" s="34">
        <v>43861</v>
      </c>
      <c r="H92" s="35"/>
      <c r="I92" s="67">
        <v>0.17030000000000001</v>
      </c>
      <c r="J92" s="67">
        <v>0</v>
      </c>
      <c r="K92" s="67">
        <v>0.17030000000000001</v>
      </c>
      <c r="L92" s="36">
        <f>+K92-((K92*0.0000000001*0.125)+(K92*(1-0.0000000001)*0.26))</f>
        <v>0.12602200000229904</v>
      </c>
      <c r="M92" s="64">
        <f t="shared" si="1"/>
        <v>0.12602200000229904</v>
      </c>
      <c r="N92" s="33" t="s">
        <v>250</v>
      </c>
    </row>
    <row r="93" spans="1:14" ht="15">
      <c r="A93" s="12"/>
      <c r="B93" s="33" t="s">
        <v>177</v>
      </c>
      <c r="C93" s="92" t="s">
        <v>476</v>
      </c>
      <c r="D93" s="33" t="s">
        <v>496</v>
      </c>
      <c r="E93" s="34">
        <v>43857</v>
      </c>
      <c r="F93" s="34">
        <v>43858</v>
      </c>
      <c r="G93" s="34">
        <v>43861</v>
      </c>
      <c r="H93" s="35"/>
      <c r="I93" s="67">
        <v>0.1404</v>
      </c>
      <c r="J93" s="67">
        <v>0</v>
      </c>
      <c r="K93" s="67">
        <v>0.1404</v>
      </c>
      <c r="L93" s="36">
        <f>+K93-((K93*0.0000000001*0.125)+(K93*(1-0.0000000001)*0.26))</f>
        <v>0.10389600000189539</v>
      </c>
      <c r="M93" s="64">
        <f t="shared" si="1"/>
        <v>0.10389600000189539</v>
      </c>
      <c r="N93" s="33" t="s">
        <v>250</v>
      </c>
    </row>
    <row r="94" spans="1:14" ht="15">
      <c r="A94" s="12"/>
      <c r="B94" s="33" t="s">
        <v>158</v>
      </c>
      <c r="C94" s="92" t="s">
        <v>373</v>
      </c>
      <c r="D94" s="33" t="s">
        <v>496</v>
      </c>
      <c r="E94" s="34">
        <v>43857</v>
      </c>
      <c r="F94" s="34">
        <v>43858</v>
      </c>
      <c r="G94" s="34">
        <v>43861</v>
      </c>
      <c r="H94" s="35"/>
      <c r="I94" s="67">
        <v>8.9700000000000002E-2</v>
      </c>
      <c r="J94" s="67">
        <v>0</v>
      </c>
      <c r="K94" s="67">
        <v>8.9700000000000002E-2</v>
      </c>
      <c r="L94" s="36">
        <f>+K94-((K94*0.242*0.125)+(K94*(1-0.242)*0.26))</f>
        <v>6.9308498999999996E-2</v>
      </c>
      <c r="M94" s="64">
        <f t="shared" si="1"/>
        <v>6.9308498999999996E-2</v>
      </c>
      <c r="N94" s="33" t="s">
        <v>250</v>
      </c>
    </row>
    <row r="95" spans="1:14" ht="15">
      <c r="A95" s="12"/>
      <c r="B95" s="33" t="s">
        <v>157</v>
      </c>
      <c r="C95" s="92" t="s">
        <v>375</v>
      </c>
      <c r="D95" s="33" t="s">
        <v>496</v>
      </c>
      <c r="E95" s="34">
        <v>43857</v>
      </c>
      <c r="F95" s="34">
        <v>43858</v>
      </c>
      <c r="G95" s="34">
        <v>43861</v>
      </c>
      <c r="H95" s="35"/>
      <c r="I95" s="67">
        <v>0.1028</v>
      </c>
      <c r="J95" s="67">
        <v>1.593321000000001E-2</v>
      </c>
      <c r="K95" s="67">
        <v>8.6866789999999985E-2</v>
      </c>
      <c r="L95" s="36">
        <f>+K95-((K95*0.242*0.125)+(K95*(1-0.242)*0.26))</f>
        <v>6.7119362629299989E-2</v>
      </c>
      <c r="M95" s="64">
        <f t="shared" si="1"/>
        <v>8.3052572629299992E-2</v>
      </c>
      <c r="N95" s="33" t="s">
        <v>250</v>
      </c>
    </row>
    <row r="96" spans="1:14" ht="15">
      <c r="A96" s="12"/>
      <c r="B96" s="33" t="s">
        <v>154</v>
      </c>
      <c r="C96" s="92" t="s">
        <v>399</v>
      </c>
      <c r="D96" s="33" t="s">
        <v>496</v>
      </c>
      <c r="E96" s="34">
        <v>43857</v>
      </c>
      <c r="F96" s="34">
        <v>43858</v>
      </c>
      <c r="G96" s="34">
        <v>43861</v>
      </c>
      <c r="H96" s="35"/>
      <c r="I96" s="67">
        <v>0.10879999999999999</v>
      </c>
      <c r="J96" s="67">
        <v>0</v>
      </c>
      <c r="K96" s="67">
        <v>0.10879999999999999</v>
      </c>
      <c r="L96" s="36">
        <f>+K96-((K96*0.159*0.125)+(K96*(1-0.159)*0.26))</f>
        <v>8.2847391999999992E-2</v>
      </c>
      <c r="M96" s="64">
        <f t="shared" si="1"/>
        <v>8.2847391999999992E-2</v>
      </c>
      <c r="N96" s="33" t="s">
        <v>250</v>
      </c>
    </row>
    <row r="97" spans="1:14" ht="15">
      <c r="A97" s="12"/>
      <c r="B97" s="33" t="s">
        <v>511</v>
      </c>
      <c r="C97" s="92" t="s">
        <v>512</v>
      </c>
      <c r="D97" s="33" t="s">
        <v>411</v>
      </c>
      <c r="E97" s="34">
        <v>43861</v>
      </c>
      <c r="F97" s="34">
        <v>43864</v>
      </c>
      <c r="G97" s="34">
        <v>43867</v>
      </c>
      <c r="H97" s="35">
        <v>0.03</v>
      </c>
      <c r="I97" s="67">
        <v>0.19159999999999999</v>
      </c>
      <c r="J97" s="67">
        <v>0</v>
      </c>
      <c r="K97" s="67">
        <v>0.19159999999999999</v>
      </c>
      <c r="L97" s="36">
        <f>+K97-((K97*0.766*0.125)+(K97*(1-0.766)*0.26))</f>
        <v>0.161597356</v>
      </c>
      <c r="M97" s="64">
        <f t="shared" si="1"/>
        <v>0.161597356</v>
      </c>
      <c r="N97" s="33" t="s">
        <v>251</v>
      </c>
    </row>
    <row r="98" spans="1:14" ht="15">
      <c r="A98" s="12"/>
      <c r="B98" s="33" t="s">
        <v>310</v>
      </c>
      <c r="C98" s="92" t="s">
        <v>424</v>
      </c>
      <c r="D98" s="33" t="s">
        <v>411</v>
      </c>
      <c r="E98" s="34">
        <v>43861</v>
      </c>
      <c r="F98" s="34">
        <v>43864</v>
      </c>
      <c r="G98" s="34">
        <v>43867</v>
      </c>
      <c r="H98" s="35">
        <v>0.05</v>
      </c>
      <c r="I98" s="67">
        <v>2.0899999999999998E-2</v>
      </c>
      <c r="J98" s="67">
        <v>0</v>
      </c>
      <c r="K98" s="67">
        <v>2.0899999999999998E-2</v>
      </c>
      <c r="L98" s="36">
        <f>+K98-((K98*0.04*0.125)+(K98*(1-0.04)*0.26))</f>
        <v>1.5578859999999998E-2</v>
      </c>
      <c r="M98" s="64">
        <f t="shared" si="1"/>
        <v>1.5578859999999998E-2</v>
      </c>
      <c r="N98" s="33" t="s">
        <v>251</v>
      </c>
    </row>
    <row r="99" spans="1:14" ht="15">
      <c r="A99" s="12" t="s">
        <v>188</v>
      </c>
      <c r="B99" s="33" t="s">
        <v>188</v>
      </c>
      <c r="C99" s="92" t="s">
        <v>339</v>
      </c>
      <c r="D99" s="33" t="s">
        <v>411</v>
      </c>
      <c r="E99" s="34">
        <v>43861</v>
      </c>
      <c r="F99" s="34">
        <v>43864</v>
      </c>
      <c r="G99" s="34">
        <v>43867</v>
      </c>
      <c r="H99" s="35">
        <v>0.05</v>
      </c>
      <c r="I99" s="67">
        <v>0.36549999999999999</v>
      </c>
      <c r="J99" s="67">
        <v>0</v>
      </c>
      <c r="K99" s="67">
        <v>0.36549999999999999</v>
      </c>
      <c r="L99" s="36">
        <f>+K99-((K99*0.04*0.125)+(K99*(1-0.04)*0.26))</f>
        <v>0.27244370000000001</v>
      </c>
      <c r="M99" s="64">
        <f t="shared" si="1"/>
        <v>0.27244370000000001</v>
      </c>
      <c r="N99" s="33" t="s">
        <v>251</v>
      </c>
    </row>
    <row r="100" spans="1:14" ht="15">
      <c r="A100" s="12" t="s">
        <v>196</v>
      </c>
      <c r="B100" s="33" t="s">
        <v>196</v>
      </c>
      <c r="C100" s="92" t="s">
        <v>340</v>
      </c>
      <c r="D100" s="33" t="s">
        <v>411</v>
      </c>
      <c r="E100" s="34">
        <v>43861</v>
      </c>
      <c r="F100" s="34">
        <v>43864</v>
      </c>
      <c r="G100" s="34">
        <v>43867</v>
      </c>
      <c r="H100" s="35">
        <v>0.05</v>
      </c>
      <c r="I100" s="67">
        <v>0.37780000000000002</v>
      </c>
      <c r="J100" s="67">
        <v>0</v>
      </c>
      <c r="K100" s="67">
        <v>0.37780000000000002</v>
      </c>
      <c r="L100" s="36">
        <f>+K100-((K100*0.04*0.125)+(K100*(1-0.04)*0.26))</f>
        <v>0.28161212000000002</v>
      </c>
      <c r="M100" s="64">
        <f t="shared" si="1"/>
        <v>0.28161212000000002</v>
      </c>
      <c r="N100" s="33" t="s">
        <v>251</v>
      </c>
    </row>
    <row r="101" spans="1:14" ht="15">
      <c r="A101" s="12" t="s">
        <v>229</v>
      </c>
      <c r="B101" s="33" t="s">
        <v>191</v>
      </c>
      <c r="C101" s="92" t="s">
        <v>346</v>
      </c>
      <c r="D101" s="33" t="s">
        <v>411</v>
      </c>
      <c r="E101" s="34">
        <v>43861</v>
      </c>
      <c r="F101" s="34">
        <v>43864</v>
      </c>
      <c r="G101" s="34">
        <v>43867</v>
      </c>
      <c r="H101" s="35">
        <v>3.5000000000000003E-2</v>
      </c>
      <c r="I101" s="67">
        <v>1.47E-2</v>
      </c>
      <c r="J101" s="67">
        <v>0</v>
      </c>
      <c r="K101" s="67">
        <v>1.47E-2</v>
      </c>
      <c r="L101" s="36">
        <f>+K101-((K101*0.837*0.125)+(K101*(1-0.837)*0.26))</f>
        <v>1.25390265E-2</v>
      </c>
      <c r="M101" s="64">
        <f t="shared" si="1"/>
        <v>1.25390265E-2</v>
      </c>
      <c r="N101" s="33" t="s">
        <v>251</v>
      </c>
    </row>
    <row r="102" spans="1:14" ht="15">
      <c r="A102" s="12" t="s">
        <v>231</v>
      </c>
      <c r="B102" s="33" t="s">
        <v>199</v>
      </c>
      <c r="C102" s="92" t="s">
        <v>347</v>
      </c>
      <c r="D102" s="33" t="s">
        <v>411</v>
      </c>
      <c r="E102" s="34">
        <v>43861</v>
      </c>
      <c r="F102" s="34">
        <v>43864</v>
      </c>
      <c r="G102" s="34">
        <v>43867</v>
      </c>
      <c r="H102" s="35">
        <v>3.5000000000000003E-2</v>
      </c>
      <c r="I102" s="67">
        <v>1.47E-2</v>
      </c>
      <c r="J102" s="67">
        <v>0</v>
      </c>
      <c r="K102" s="67">
        <v>1.47E-2</v>
      </c>
      <c r="L102" s="36">
        <f>+K102-((K102*0.837*0.125)+(K102*(1-0.837)*0.26))</f>
        <v>1.25390265E-2</v>
      </c>
      <c r="M102" s="64">
        <f t="shared" si="1"/>
        <v>1.25390265E-2</v>
      </c>
      <c r="N102" s="33" t="s">
        <v>251</v>
      </c>
    </row>
    <row r="103" spans="1:14" ht="15">
      <c r="A103" s="12"/>
      <c r="B103" s="33" t="s">
        <v>306</v>
      </c>
      <c r="C103" s="92" t="s">
        <v>430</v>
      </c>
      <c r="D103" s="33" t="s">
        <v>411</v>
      </c>
      <c r="E103" s="34">
        <v>43861</v>
      </c>
      <c r="F103" s="34">
        <v>43864</v>
      </c>
      <c r="G103" s="34">
        <v>43867</v>
      </c>
      <c r="H103" s="35">
        <v>0.02</v>
      </c>
      <c r="I103" s="67">
        <v>8.3999999999999995E-3</v>
      </c>
      <c r="J103" s="67">
        <v>0</v>
      </c>
      <c r="K103" s="67">
        <v>8.3999999999999995E-3</v>
      </c>
      <c r="L103" s="36">
        <f>+K103-((K103*0.0000001*0.125)+(K103*(1-0.0000001)*0.26))</f>
        <v>6.2160001133999996E-3</v>
      </c>
      <c r="M103" s="64">
        <f t="shared" si="1"/>
        <v>6.2160001133999996E-3</v>
      </c>
      <c r="N103" s="33" t="s">
        <v>251</v>
      </c>
    </row>
    <row r="104" spans="1:14" ht="15">
      <c r="A104" s="12" t="s">
        <v>184</v>
      </c>
      <c r="B104" s="33" t="s">
        <v>184</v>
      </c>
      <c r="C104" s="92" t="s">
        <v>354</v>
      </c>
      <c r="D104" s="33" t="s">
        <v>411</v>
      </c>
      <c r="E104" s="34">
        <v>43861</v>
      </c>
      <c r="F104" s="34">
        <v>43864</v>
      </c>
      <c r="G104" s="34">
        <v>43867</v>
      </c>
      <c r="H104" s="35">
        <v>0.02</v>
      </c>
      <c r="I104" s="67">
        <v>0.16880000000000001</v>
      </c>
      <c r="J104" s="67">
        <v>0</v>
      </c>
      <c r="K104" s="67">
        <v>0.16880000000000001</v>
      </c>
      <c r="L104" s="36">
        <f>+K104-((K104*0.0000001*0.125)+(K104*(1-0.0000001)*0.26))</f>
        <v>0.12491200227880001</v>
      </c>
      <c r="M104" s="64">
        <f t="shared" si="1"/>
        <v>0.12491200227880001</v>
      </c>
      <c r="N104" s="33" t="s">
        <v>251</v>
      </c>
    </row>
    <row r="105" spans="1:14" ht="15">
      <c r="A105" s="12" t="s">
        <v>192</v>
      </c>
      <c r="B105" s="33" t="s">
        <v>192</v>
      </c>
      <c r="C105" s="92" t="s">
        <v>355</v>
      </c>
      <c r="D105" s="33" t="s">
        <v>411</v>
      </c>
      <c r="E105" s="34">
        <v>43861</v>
      </c>
      <c r="F105" s="34">
        <v>43864</v>
      </c>
      <c r="G105" s="34">
        <v>43867</v>
      </c>
      <c r="H105" s="35">
        <v>0.02</v>
      </c>
      <c r="I105" s="67">
        <v>0.16980000000000001</v>
      </c>
      <c r="J105" s="67">
        <v>0</v>
      </c>
      <c r="K105" s="67">
        <v>0.16980000000000001</v>
      </c>
      <c r="L105" s="36">
        <f>+K105-((K105*0.0000001*0.125)+(K105*(1-0.0000001)*0.26))</f>
        <v>0.1256520022923</v>
      </c>
      <c r="M105" s="64">
        <f t="shared" si="1"/>
        <v>0.1256520022923</v>
      </c>
      <c r="N105" s="33" t="s">
        <v>251</v>
      </c>
    </row>
    <row r="106" spans="1:14" ht="15">
      <c r="A106" s="12"/>
      <c r="B106" s="33" t="s">
        <v>311</v>
      </c>
      <c r="C106" s="92" t="s">
        <v>425</v>
      </c>
      <c r="D106" s="33" t="s">
        <v>411</v>
      </c>
      <c r="E106" s="34">
        <v>43861</v>
      </c>
      <c r="F106" s="34">
        <v>43864</v>
      </c>
      <c r="G106" s="34">
        <v>43867</v>
      </c>
      <c r="H106" s="35">
        <v>0.01</v>
      </c>
      <c r="I106" s="67">
        <v>4.1999999999999997E-3</v>
      </c>
      <c r="J106" s="67">
        <v>0</v>
      </c>
      <c r="K106" s="67">
        <v>4.1999999999999997E-3</v>
      </c>
      <c r="L106" s="36">
        <f>+K106-((K106*0.0000000001*0.125)+(K106*(1-0.000000001)*0.26))</f>
        <v>3.1080000010394997E-3</v>
      </c>
      <c r="M106" s="64">
        <f t="shared" si="1"/>
        <v>3.1080000010394997E-3</v>
      </c>
      <c r="N106" s="33" t="s">
        <v>251</v>
      </c>
    </row>
    <row r="107" spans="1:14" ht="15">
      <c r="A107" s="12" t="s">
        <v>189</v>
      </c>
      <c r="B107" s="33" t="s">
        <v>189</v>
      </c>
      <c r="C107" s="92" t="s">
        <v>356</v>
      </c>
      <c r="D107" s="33" t="s">
        <v>411</v>
      </c>
      <c r="E107" s="34">
        <v>43861</v>
      </c>
      <c r="F107" s="34">
        <v>43864</v>
      </c>
      <c r="G107" s="34">
        <v>43867</v>
      </c>
      <c r="H107" s="35">
        <v>0.01</v>
      </c>
      <c r="I107" s="67">
        <v>7.6300000000000007E-2</v>
      </c>
      <c r="J107" s="67">
        <v>0</v>
      </c>
      <c r="K107" s="67">
        <v>7.6300000000000007E-2</v>
      </c>
      <c r="L107" s="36">
        <f>+K107-((K107*0.0000000001*0.125)+(K107*(1-0.000000001)*0.26))</f>
        <v>5.6462000018884254E-2</v>
      </c>
      <c r="M107" s="64">
        <f t="shared" si="1"/>
        <v>5.6462000018884254E-2</v>
      </c>
      <c r="N107" s="33" t="s">
        <v>251</v>
      </c>
    </row>
    <row r="108" spans="1:14" ht="15">
      <c r="A108" s="12" t="s">
        <v>197</v>
      </c>
      <c r="B108" s="33" t="s">
        <v>197</v>
      </c>
      <c r="C108" s="92" t="s">
        <v>357</v>
      </c>
      <c r="D108" s="33" t="s">
        <v>411</v>
      </c>
      <c r="E108" s="34">
        <v>43861</v>
      </c>
      <c r="F108" s="34">
        <v>43864</v>
      </c>
      <c r="G108" s="34">
        <v>43867</v>
      </c>
      <c r="H108" s="35">
        <v>0.01</v>
      </c>
      <c r="I108" s="67">
        <v>7.7399999999999997E-2</v>
      </c>
      <c r="J108" s="67">
        <v>0</v>
      </c>
      <c r="K108" s="67">
        <v>7.7399999999999997E-2</v>
      </c>
      <c r="L108" s="36">
        <f>+K108-((K108*0.0000000001*0.125)+(K108*(1-0.000000001)*0.26))</f>
        <v>5.7276000019156496E-2</v>
      </c>
      <c r="M108" s="64">
        <f t="shared" si="1"/>
        <v>5.7276000019156496E-2</v>
      </c>
      <c r="N108" s="33" t="s">
        <v>251</v>
      </c>
    </row>
    <row r="109" spans="1:14" ht="15">
      <c r="A109" s="12"/>
      <c r="B109" s="33" t="s">
        <v>308</v>
      </c>
      <c r="C109" s="92" t="s">
        <v>426</v>
      </c>
      <c r="D109" s="33" t="s">
        <v>411</v>
      </c>
      <c r="E109" s="34">
        <v>43861</v>
      </c>
      <c r="F109" s="34">
        <v>43864</v>
      </c>
      <c r="G109" s="34">
        <v>43867</v>
      </c>
      <c r="H109" s="35">
        <v>1.4999999999999999E-2</v>
      </c>
      <c r="I109" s="67">
        <v>6.1999999999999998E-3</v>
      </c>
      <c r="J109" s="67">
        <v>0</v>
      </c>
      <c r="K109" s="67">
        <v>6.1999999999999998E-3</v>
      </c>
      <c r="L109" s="36">
        <f>+K109-((K109*0.478*0.125)+(K109*(1-0.478)*0.26))</f>
        <v>4.9880860000000001E-3</v>
      </c>
      <c r="M109" s="64">
        <f t="shared" si="1"/>
        <v>4.9880860000000001E-3</v>
      </c>
      <c r="N109" s="33" t="s">
        <v>251</v>
      </c>
    </row>
    <row r="110" spans="1:14" ht="15">
      <c r="A110" s="12" t="s">
        <v>186</v>
      </c>
      <c r="B110" s="33" t="s">
        <v>186</v>
      </c>
      <c r="C110" s="92" t="s">
        <v>363</v>
      </c>
      <c r="D110" s="33" t="s">
        <v>411</v>
      </c>
      <c r="E110" s="34">
        <v>43861</v>
      </c>
      <c r="F110" s="34">
        <v>43864</v>
      </c>
      <c r="G110" s="34">
        <v>43867</v>
      </c>
      <c r="H110" s="35">
        <v>1.4999999999999999E-2</v>
      </c>
      <c r="I110" s="67">
        <v>0.114</v>
      </c>
      <c r="J110" s="67">
        <v>0</v>
      </c>
      <c r="K110" s="67">
        <v>0.114</v>
      </c>
      <c r="L110" s="36">
        <f>+K110-((K110*0.478*0.125)+(K110*(1-0.478)*0.26))</f>
        <v>9.1716419999999993E-2</v>
      </c>
      <c r="M110" s="64">
        <f t="shared" si="1"/>
        <v>9.1716419999999993E-2</v>
      </c>
      <c r="N110" s="33" t="s">
        <v>251</v>
      </c>
    </row>
    <row r="111" spans="1:14" ht="15">
      <c r="A111" s="12" t="s">
        <v>194</v>
      </c>
      <c r="B111" s="33" t="s">
        <v>194</v>
      </c>
      <c r="C111" s="92" t="s">
        <v>364</v>
      </c>
      <c r="D111" s="33" t="s">
        <v>411</v>
      </c>
      <c r="E111" s="34">
        <v>43861</v>
      </c>
      <c r="F111" s="34">
        <v>43864</v>
      </c>
      <c r="G111" s="34">
        <v>43867</v>
      </c>
      <c r="H111" s="35">
        <v>1.4999999999999999E-2</v>
      </c>
      <c r="I111" s="67">
        <v>0.1168</v>
      </c>
      <c r="J111" s="67">
        <v>0</v>
      </c>
      <c r="K111" s="67">
        <v>0.1168</v>
      </c>
      <c r="L111" s="36">
        <f>+K111-((K111*0.478*0.125)+(K111*(1-0.478)*0.26))</f>
        <v>9.3969103999999998E-2</v>
      </c>
      <c r="M111" s="64">
        <f t="shared" si="1"/>
        <v>9.3969103999999998E-2</v>
      </c>
      <c r="N111" s="33" t="s">
        <v>251</v>
      </c>
    </row>
    <row r="112" spans="1:14" ht="15">
      <c r="A112" s="12"/>
      <c r="B112" s="33" t="s">
        <v>307</v>
      </c>
      <c r="C112" s="92" t="s">
        <v>420</v>
      </c>
      <c r="D112" s="33" t="s">
        <v>411</v>
      </c>
      <c r="E112" s="34">
        <v>43861</v>
      </c>
      <c r="F112" s="34">
        <v>43864</v>
      </c>
      <c r="G112" s="34">
        <v>43867</v>
      </c>
      <c r="H112" s="35">
        <v>1.4999999999999999E-2</v>
      </c>
      <c r="I112" s="67">
        <v>6.1999999999999998E-3</v>
      </c>
      <c r="J112" s="67">
        <v>0</v>
      </c>
      <c r="K112" s="67">
        <v>6.1999999999999998E-3</v>
      </c>
      <c r="L112" s="36">
        <f>+K112-((K112*0.588*0.125)+(K112*(1-0.588)*0.26))</f>
        <v>5.0801559999999997E-3</v>
      </c>
      <c r="M112" s="64">
        <f t="shared" si="1"/>
        <v>5.0801559999999997E-3</v>
      </c>
      <c r="N112" s="33" t="s">
        <v>251</v>
      </c>
    </row>
    <row r="113" spans="1:14" ht="15">
      <c r="A113" s="12" t="s">
        <v>185</v>
      </c>
      <c r="B113" s="33" t="s">
        <v>185</v>
      </c>
      <c r="C113" s="92" t="s">
        <v>366</v>
      </c>
      <c r="D113" s="33" t="s">
        <v>411</v>
      </c>
      <c r="E113" s="34">
        <v>43861</v>
      </c>
      <c r="F113" s="34">
        <v>43864</v>
      </c>
      <c r="G113" s="34">
        <v>43867</v>
      </c>
      <c r="H113" s="35">
        <v>1.4999999999999999E-2</v>
      </c>
      <c r="I113" s="67">
        <v>0.10390000000000001</v>
      </c>
      <c r="J113" s="67">
        <v>0</v>
      </c>
      <c r="K113" s="67">
        <v>0.10390000000000001</v>
      </c>
      <c r="L113" s="36">
        <f>+K113-((K113*0.588*0.125)+(K113*(1-0.588)*0.26))</f>
        <v>8.5133582000000013E-2</v>
      </c>
      <c r="M113" s="64">
        <f t="shared" si="1"/>
        <v>8.5133582000000013E-2</v>
      </c>
      <c r="N113" s="33" t="s">
        <v>251</v>
      </c>
    </row>
    <row r="114" spans="1:14" ht="15">
      <c r="A114" s="12" t="s">
        <v>193</v>
      </c>
      <c r="B114" s="33" t="s">
        <v>193</v>
      </c>
      <c r="C114" s="92" t="s">
        <v>367</v>
      </c>
      <c r="D114" s="33" t="s">
        <v>411</v>
      </c>
      <c r="E114" s="34">
        <v>43861</v>
      </c>
      <c r="F114" s="34">
        <v>43864</v>
      </c>
      <c r="G114" s="34">
        <v>43867</v>
      </c>
      <c r="H114" s="35">
        <v>1.4999999999999999E-2</v>
      </c>
      <c r="I114" s="67">
        <v>0.1009</v>
      </c>
      <c r="J114" s="67">
        <v>0</v>
      </c>
      <c r="K114" s="67">
        <v>0.1009</v>
      </c>
      <c r="L114" s="36">
        <f>+K114-((K114*0.588*0.125)+(K114*(1-0.588)*0.26))</f>
        <v>8.2675442000000002E-2</v>
      </c>
      <c r="M114" s="64">
        <f t="shared" si="1"/>
        <v>8.2675442000000002E-2</v>
      </c>
      <c r="N114" s="33" t="s">
        <v>251</v>
      </c>
    </row>
    <row r="115" spans="1:14" ht="15">
      <c r="A115" s="12"/>
      <c r="B115" s="33" t="s">
        <v>309</v>
      </c>
      <c r="C115" s="92" t="s">
        <v>427</v>
      </c>
      <c r="D115" s="33" t="s">
        <v>411</v>
      </c>
      <c r="E115" s="34">
        <v>43861</v>
      </c>
      <c r="F115" s="34">
        <v>43864</v>
      </c>
      <c r="G115" s="34">
        <v>43867</v>
      </c>
      <c r="H115" s="35">
        <v>3.5000000000000003E-2</v>
      </c>
      <c r="I115" s="67">
        <v>1.4500000000000001E-2</v>
      </c>
      <c r="J115" s="67">
        <v>0</v>
      </c>
      <c r="K115" s="67">
        <v>1.4500000000000001E-2</v>
      </c>
      <c r="L115" s="36">
        <f>+K115-((K115*0.001*0.125)+(K115*(1-0.001)*0.26))</f>
        <v>1.07319575E-2</v>
      </c>
      <c r="M115" s="64">
        <f t="shared" si="1"/>
        <v>1.07319575E-2</v>
      </c>
      <c r="N115" s="33" t="s">
        <v>251</v>
      </c>
    </row>
    <row r="116" spans="1:14" ht="15">
      <c r="A116" s="12" t="s">
        <v>187</v>
      </c>
      <c r="B116" s="33" t="s">
        <v>187</v>
      </c>
      <c r="C116" s="92" t="s">
        <v>368</v>
      </c>
      <c r="D116" s="33" t="s">
        <v>411</v>
      </c>
      <c r="E116" s="34">
        <v>43861</v>
      </c>
      <c r="F116" s="34">
        <v>43864</v>
      </c>
      <c r="G116" s="34">
        <v>43867</v>
      </c>
      <c r="H116" s="35">
        <v>3.5000000000000003E-2</v>
      </c>
      <c r="I116" s="67">
        <v>0.25679999999999997</v>
      </c>
      <c r="J116" s="67">
        <v>0</v>
      </c>
      <c r="K116" s="67">
        <v>0.25679999999999997</v>
      </c>
      <c r="L116" s="36">
        <f>+K116-((K116*0.001*0.125)+(K116*(1-0.001)*0.26))</f>
        <v>0.19006666799999999</v>
      </c>
      <c r="M116" s="64">
        <f t="shared" si="1"/>
        <v>0.19006666799999999</v>
      </c>
      <c r="N116" s="33" t="s">
        <v>251</v>
      </c>
    </row>
    <row r="117" spans="1:14" ht="15">
      <c r="A117" s="12" t="s">
        <v>195</v>
      </c>
      <c r="B117" s="33" t="s">
        <v>195</v>
      </c>
      <c r="C117" s="92" t="s">
        <v>369</v>
      </c>
      <c r="D117" s="33" t="s">
        <v>411</v>
      </c>
      <c r="E117" s="34">
        <v>43861</v>
      </c>
      <c r="F117" s="34">
        <v>43864</v>
      </c>
      <c r="G117" s="34">
        <v>43867</v>
      </c>
      <c r="H117" s="35">
        <v>3.5000000000000003E-2</v>
      </c>
      <c r="I117" s="67">
        <v>0.26400000000000001</v>
      </c>
      <c r="J117" s="67">
        <v>0</v>
      </c>
      <c r="K117" s="67">
        <v>0.26400000000000001</v>
      </c>
      <c r="L117" s="36">
        <f>+K117-((K117*0.001*0.125)+(K117*(1-0.001)*0.26))</f>
        <v>0.19539563999999998</v>
      </c>
      <c r="M117" s="64">
        <f t="shared" si="1"/>
        <v>0.19539563999999998</v>
      </c>
      <c r="N117" s="33" t="s">
        <v>251</v>
      </c>
    </row>
    <row r="118" spans="1:14" ht="15">
      <c r="A118" s="12"/>
      <c r="B118" s="33" t="s">
        <v>312</v>
      </c>
      <c r="C118" s="92" t="s">
        <v>428</v>
      </c>
      <c r="D118" s="33" t="s">
        <v>411</v>
      </c>
      <c r="E118" s="34">
        <v>43861</v>
      </c>
      <c r="F118" s="34">
        <v>43864</v>
      </c>
      <c r="G118" s="34">
        <v>43867</v>
      </c>
      <c r="H118" s="35">
        <v>0.05</v>
      </c>
      <c r="I118" s="67">
        <v>2.1100000000000001E-2</v>
      </c>
      <c r="J118" s="67">
        <v>0</v>
      </c>
      <c r="K118" s="67">
        <v>2.1100000000000001E-2</v>
      </c>
      <c r="L118" s="36">
        <f>+K118-((K118*0.002*0.125)+(K118*(1-0.002)*0.26))</f>
        <v>1.5619697E-2</v>
      </c>
      <c r="M118" s="64">
        <f t="shared" si="1"/>
        <v>1.5619697E-2</v>
      </c>
      <c r="N118" s="33" t="s">
        <v>251</v>
      </c>
    </row>
    <row r="119" spans="1:14" ht="15">
      <c r="A119" s="12" t="s">
        <v>190</v>
      </c>
      <c r="B119" s="33" t="s">
        <v>190</v>
      </c>
      <c r="C119" s="92" t="s">
        <v>370</v>
      </c>
      <c r="D119" s="33" t="s">
        <v>411</v>
      </c>
      <c r="E119" s="34">
        <v>43861</v>
      </c>
      <c r="F119" s="34">
        <v>43864</v>
      </c>
      <c r="G119" s="34">
        <v>43867</v>
      </c>
      <c r="H119" s="35">
        <v>0.05</v>
      </c>
      <c r="I119" s="67">
        <v>0.39989999999999998</v>
      </c>
      <c r="J119" s="67">
        <v>0</v>
      </c>
      <c r="K119" s="67">
        <v>0.39989999999999998</v>
      </c>
      <c r="L119" s="36">
        <f>+K119-((K119*0.002*0.125)+(K119*(1-0.002)*0.26))</f>
        <v>0.29603397300000001</v>
      </c>
      <c r="M119" s="64">
        <f t="shared" si="1"/>
        <v>0.29603397300000001</v>
      </c>
      <c r="N119" s="33" t="s">
        <v>251</v>
      </c>
    </row>
    <row r="120" spans="1:14" ht="15">
      <c r="A120" s="12" t="s">
        <v>198</v>
      </c>
      <c r="B120" s="33" t="s">
        <v>198</v>
      </c>
      <c r="C120" s="92" t="s">
        <v>371</v>
      </c>
      <c r="D120" s="33" t="s">
        <v>411</v>
      </c>
      <c r="E120" s="34">
        <v>43861</v>
      </c>
      <c r="F120" s="34">
        <v>43864</v>
      </c>
      <c r="G120" s="34">
        <v>43867</v>
      </c>
      <c r="H120" s="35">
        <v>0.05</v>
      </c>
      <c r="I120" s="67">
        <v>0.39950000000000002</v>
      </c>
      <c r="J120" s="67">
        <v>0</v>
      </c>
      <c r="K120" s="67">
        <v>0.39950000000000002</v>
      </c>
      <c r="L120" s="36">
        <f>+K120-((K120*0.002*0.125)+(K120*(1-0.002)*0.26))</f>
        <v>0.29573786499999999</v>
      </c>
      <c r="M120" s="64">
        <f t="shared" si="1"/>
        <v>0.29573786499999999</v>
      </c>
      <c r="N120" s="33" t="s">
        <v>251</v>
      </c>
    </row>
    <row r="121" spans="1:14" ht="15">
      <c r="A121" s="12"/>
      <c r="B121" s="33" t="s">
        <v>513</v>
      </c>
      <c r="C121" s="92" t="s">
        <v>515</v>
      </c>
      <c r="D121" s="33" t="s">
        <v>411</v>
      </c>
      <c r="E121" s="34">
        <v>43861</v>
      </c>
      <c r="F121" s="34">
        <v>43864</v>
      </c>
      <c r="G121" s="34">
        <v>43867</v>
      </c>
      <c r="H121" s="35">
        <v>0.02</v>
      </c>
      <c r="I121" s="67">
        <v>0.13569999999999999</v>
      </c>
      <c r="J121" s="67">
        <v>0</v>
      </c>
      <c r="K121" s="67">
        <v>0.13569999999999999</v>
      </c>
      <c r="L121" s="36">
        <f>+K121-((K121*0.532*0.125)+(K121*(1-0.532)*0.26))</f>
        <v>0.110163974</v>
      </c>
      <c r="M121" s="64">
        <f t="shared" si="1"/>
        <v>0.110163974</v>
      </c>
      <c r="N121" s="33" t="s">
        <v>251</v>
      </c>
    </row>
    <row r="122" spans="1:14" ht="15">
      <c r="A122" s="12"/>
      <c r="B122" s="33" t="s">
        <v>514</v>
      </c>
      <c r="C122" s="92" t="s">
        <v>516</v>
      </c>
      <c r="D122" s="33" t="s">
        <v>411</v>
      </c>
      <c r="E122" s="34">
        <v>43861</v>
      </c>
      <c r="F122" s="34">
        <v>43864</v>
      </c>
      <c r="G122" s="34">
        <v>43867</v>
      </c>
      <c r="H122" s="35">
        <v>0.02</v>
      </c>
      <c r="I122" s="67">
        <v>0.13639999999999999</v>
      </c>
      <c r="J122" s="67">
        <v>0</v>
      </c>
      <c r="K122" s="67">
        <v>0.13639999999999999</v>
      </c>
      <c r="L122" s="36">
        <f>+K122-((K122*0.532*0.125)+(K122*(1-0.532)*0.26))</f>
        <v>0.11073224799999999</v>
      </c>
      <c r="M122" s="64">
        <f t="shared" si="1"/>
        <v>0.11073224799999999</v>
      </c>
      <c r="N122" s="33" t="s">
        <v>251</v>
      </c>
    </row>
    <row r="123" spans="1:14" ht="15">
      <c r="A123" s="12"/>
      <c r="B123" s="33" t="s">
        <v>313</v>
      </c>
      <c r="C123" s="92" t="s">
        <v>429</v>
      </c>
      <c r="D123" s="33" t="s">
        <v>411</v>
      </c>
      <c r="E123" s="34">
        <v>43861</v>
      </c>
      <c r="F123" s="34">
        <v>43864</v>
      </c>
      <c r="G123" s="34">
        <v>43867</v>
      </c>
      <c r="H123" s="35">
        <v>2.2499999999999999E-2</v>
      </c>
      <c r="I123" s="67">
        <v>9.2999999999999992E-3</v>
      </c>
      <c r="J123" s="67">
        <v>0</v>
      </c>
      <c r="K123" s="67">
        <v>9.2999999999999992E-3</v>
      </c>
      <c r="L123" s="36">
        <f>+K123-((K123*0.135*0.125)+(K123*(1-0.135)*0.26))</f>
        <v>7.0514924999999992E-3</v>
      </c>
      <c r="M123" s="64">
        <f t="shared" si="1"/>
        <v>7.0514924999999992E-3</v>
      </c>
      <c r="N123" s="33" t="s">
        <v>251</v>
      </c>
    </row>
    <row r="124" spans="1:14" ht="15">
      <c r="A124" s="12"/>
      <c r="B124" s="33" t="s">
        <v>511</v>
      </c>
      <c r="C124" s="92" t="s">
        <v>512</v>
      </c>
      <c r="D124" s="33" t="s">
        <v>411</v>
      </c>
      <c r="E124" s="34">
        <v>43889</v>
      </c>
      <c r="F124" s="34">
        <v>43892</v>
      </c>
      <c r="G124" s="34">
        <v>43895</v>
      </c>
      <c r="H124" s="35">
        <v>0.03</v>
      </c>
      <c r="I124" s="67">
        <v>0.19159999999999999</v>
      </c>
      <c r="J124" s="67">
        <v>0</v>
      </c>
      <c r="K124" s="67">
        <v>0.19159999999999999</v>
      </c>
      <c r="L124" s="36">
        <f>+K124-((K124*0.766*0.125)+(K124*(1-0.766)*0.26))</f>
        <v>0.161597356</v>
      </c>
      <c r="M124" s="64">
        <f t="shared" si="1"/>
        <v>0.161597356</v>
      </c>
      <c r="N124" s="33" t="s">
        <v>251</v>
      </c>
    </row>
    <row r="125" spans="1:14" ht="15">
      <c r="A125" s="12"/>
      <c r="B125" s="33" t="s">
        <v>310</v>
      </c>
      <c r="C125" s="92" t="s">
        <v>424</v>
      </c>
      <c r="D125" s="33" t="s">
        <v>411</v>
      </c>
      <c r="E125" s="34">
        <v>43889</v>
      </c>
      <c r="F125" s="34">
        <v>43892</v>
      </c>
      <c r="G125" s="34">
        <v>43895</v>
      </c>
      <c r="H125" s="35">
        <v>0.05</v>
      </c>
      <c r="I125" s="67">
        <v>2.0899999999999998E-2</v>
      </c>
      <c r="J125" s="67">
        <v>0</v>
      </c>
      <c r="K125" s="67">
        <v>2.0899999999999998E-2</v>
      </c>
      <c r="L125" s="36">
        <f>+K125-((K125*0.04*0.125)+(K125*(1-0.04)*0.26))</f>
        <v>1.5578859999999998E-2</v>
      </c>
      <c r="M125" s="64">
        <f t="shared" si="1"/>
        <v>1.5578859999999998E-2</v>
      </c>
      <c r="N125" s="33" t="s">
        <v>251</v>
      </c>
    </row>
    <row r="126" spans="1:14" ht="15">
      <c r="A126" s="12" t="s">
        <v>188</v>
      </c>
      <c r="B126" s="33" t="s">
        <v>188</v>
      </c>
      <c r="C126" s="92" t="s">
        <v>339</v>
      </c>
      <c r="D126" s="33" t="s">
        <v>411</v>
      </c>
      <c r="E126" s="34">
        <v>43889</v>
      </c>
      <c r="F126" s="34">
        <v>43892</v>
      </c>
      <c r="G126" s="34">
        <v>43895</v>
      </c>
      <c r="H126" s="35">
        <v>0.05</v>
      </c>
      <c r="I126" s="67">
        <v>0.36549999999999999</v>
      </c>
      <c r="J126" s="67">
        <v>0</v>
      </c>
      <c r="K126" s="67">
        <v>0.36549999999999999</v>
      </c>
      <c r="L126" s="36">
        <f>+K126-((K126*0.04*0.125)+(K126*(1-0.04)*0.26))</f>
        <v>0.27244370000000001</v>
      </c>
      <c r="M126" s="64">
        <f t="shared" si="1"/>
        <v>0.27244370000000001</v>
      </c>
      <c r="N126" s="33" t="s">
        <v>251</v>
      </c>
    </row>
    <row r="127" spans="1:14" ht="15">
      <c r="A127" s="12" t="s">
        <v>196</v>
      </c>
      <c r="B127" s="33" t="s">
        <v>196</v>
      </c>
      <c r="C127" s="92" t="s">
        <v>340</v>
      </c>
      <c r="D127" s="33" t="s">
        <v>411</v>
      </c>
      <c r="E127" s="34">
        <v>43889</v>
      </c>
      <c r="F127" s="34">
        <v>43892</v>
      </c>
      <c r="G127" s="34">
        <v>43895</v>
      </c>
      <c r="H127" s="35">
        <v>0.05</v>
      </c>
      <c r="I127" s="67">
        <v>0.37780000000000002</v>
      </c>
      <c r="J127" s="67">
        <v>0</v>
      </c>
      <c r="K127" s="67">
        <v>0.37780000000000002</v>
      </c>
      <c r="L127" s="36">
        <f>+K127-((K127*0.04*0.125)+(K127*(1-0.04)*0.26))</f>
        <v>0.28161212000000002</v>
      </c>
      <c r="M127" s="64">
        <f t="shared" si="1"/>
        <v>0.28161212000000002</v>
      </c>
      <c r="N127" s="33" t="s">
        <v>251</v>
      </c>
    </row>
    <row r="128" spans="1:14" ht="15">
      <c r="A128" s="12" t="s">
        <v>229</v>
      </c>
      <c r="B128" s="33" t="s">
        <v>191</v>
      </c>
      <c r="C128" s="92" t="s">
        <v>346</v>
      </c>
      <c r="D128" s="33" t="s">
        <v>411</v>
      </c>
      <c r="E128" s="34">
        <v>43889</v>
      </c>
      <c r="F128" s="34">
        <v>43892</v>
      </c>
      <c r="G128" s="34">
        <v>43895</v>
      </c>
      <c r="H128" s="35">
        <v>3.5000000000000003E-2</v>
      </c>
      <c r="I128" s="67">
        <v>1.47E-2</v>
      </c>
      <c r="J128" s="67">
        <v>0</v>
      </c>
      <c r="K128" s="67">
        <v>1.47E-2</v>
      </c>
      <c r="L128" s="36">
        <f>+K128-((K128*0.837*0.125)+(K128*(1-0.837)*0.26))</f>
        <v>1.25390265E-2</v>
      </c>
      <c r="M128" s="64">
        <f t="shared" si="1"/>
        <v>1.25390265E-2</v>
      </c>
      <c r="N128" s="33" t="s">
        <v>251</v>
      </c>
    </row>
    <row r="129" spans="1:14" ht="15">
      <c r="A129" s="12" t="s">
        <v>231</v>
      </c>
      <c r="B129" s="33" t="s">
        <v>199</v>
      </c>
      <c r="C129" s="92" t="s">
        <v>347</v>
      </c>
      <c r="D129" s="33" t="s">
        <v>411</v>
      </c>
      <c r="E129" s="34">
        <v>43889</v>
      </c>
      <c r="F129" s="34">
        <v>43892</v>
      </c>
      <c r="G129" s="34">
        <v>43895</v>
      </c>
      <c r="H129" s="35">
        <v>3.5000000000000003E-2</v>
      </c>
      <c r="I129" s="67">
        <v>1.47E-2</v>
      </c>
      <c r="J129" s="67">
        <v>0</v>
      </c>
      <c r="K129" s="67">
        <v>1.47E-2</v>
      </c>
      <c r="L129" s="36">
        <f>+K129-((K129*0.837*0.125)+(K129*(1-0.837)*0.26))</f>
        <v>1.25390265E-2</v>
      </c>
      <c r="M129" s="64">
        <f t="shared" si="1"/>
        <v>1.25390265E-2</v>
      </c>
      <c r="N129" s="33" t="s">
        <v>251</v>
      </c>
    </row>
    <row r="130" spans="1:14" ht="15">
      <c r="A130" s="12"/>
      <c r="B130" s="33" t="s">
        <v>306</v>
      </c>
      <c r="C130" s="92" t="s">
        <v>430</v>
      </c>
      <c r="D130" s="33" t="s">
        <v>411</v>
      </c>
      <c r="E130" s="34">
        <v>43889</v>
      </c>
      <c r="F130" s="34">
        <v>43892</v>
      </c>
      <c r="G130" s="34">
        <v>43895</v>
      </c>
      <c r="H130" s="35">
        <v>0.02</v>
      </c>
      <c r="I130" s="67">
        <v>8.3999999999999995E-3</v>
      </c>
      <c r="J130" s="67">
        <v>0</v>
      </c>
      <c r="K130" s="67">
        <v>8.3999999999999995E-3</v>
      </c>
      <c r="L130" s="36">
        <f>+K130-((K130*0.0000001*0.125)+(K130*(1-0.0000001)*0.26))</f>
        <v>6.2160001133999996E-3</v>
      </c>
      <c r="M130" s="64">
        <f t="shared" si="1"/>
        <v>6.2160001133999996E-3</v>
      </c>
      <c r="N130" s="33" t="s">
        <v>251</v>
      </c>
    </row>
    <row r="131" spans="1:14" ht="15">
      <c r="A131" s="12" t="s">
        <v>184</v>
      </c>
      <c r="B131" s="33" t="s">
        <v>184</v>
      </c>
      <c r="C131" s="92" t="s">
        <v>354</v>
      </c>
      <c r="D131" s="33" t="s">
        <v>411</v>
      </c>
      <c r="E131" s="34">
        <v>43889</v>
      </c>
      <c r="F131" s="34">
        <v>43892</v>
      </c>
      <c r="G131" s="34">
        <v>43895</v>
      </c>
      <c r="H131" s="35">
        <v>0.02</v>
      </c>
      <c r="I131" s="67">
        <v>0.16880000000000001</v>
      </c>
      <c r="J131" s="67">
        <v>0</v>
      </c>
      <c r="K131" s="67">
        <v>0.16880000000000001</v>
      </c>
      <c r="L131" s="36">
        <f>+K131-((K131*0.0000001*0.125)+(K131*(1-0.0000001)*0.26))</f>
        <v>0.12491200227880001</v>
      </c>
      <c r="M131" s="64">
        <f t="shared" si="1"/>
        <v>0.12491200227880001</v>
      </c>
      <c r="N131" s="33" t="s">
        <v>251</v>
      </c>
    </row>
    <row r="132" spans="1:14" ht="15">
      <c r="A132" s="12" t="s">
        <v>192</v>
      </c>
      <c r="B132" s="33" t="s">
        <v>192</v>
      </c>
      <c r="C132" s="92" t="s">
        <v>355</v>
      </c>
      <c r="D132" s="33" t="s">
        <v>411</v>
      </c>
      <c r="E132" s="34">
        <v>43889</v>
      </c>
      <c r="F132" s="34">
        <v>43892</v>
      </c>
      <c r="G132" s="34">
        <v>43895</v>
      </c>
      <c r="H132" s="35">
        <v>0.02</v>
      </c>
      <c r="I132" s="67">
        <v>0.16980000000000001</v>
      </c>
      <c r="J132" s="67">
        <v>0</v>
      </c>
      <c r="K132" s="67">
        <v>0.16980000000000001</v>
      </c>
      <c r="L132" s="36">
        <f>+K132-((K132*0.0000001*0.125)+(K132*(1-0.0000001)*0.26))</f>
        <v>0.1256520022923</v>
      </c>
      <c r="M132" s="64">
        <f t="shared" si="1"/>
        <v>0.1256520022923</v>
      </c>
      <c r="N132" s="33" t="s">
        <v>251</v>
      </c>
    </row>
    <row r="133" spans="1:14" ht="15">
      <c r="A133" s="12"/>
      <c r="B133" s="33" t="s">
        <v>311</v>
      </c>
      <c r="C133" s="92" t="s">
        <v>425</v>
      </c>
      <c r="D133" s="33" t="s">
        <v>411</v>
      </c>
      <c r="E133" s="34">
        <v>43889</v>
      </c>
      <c r="F133" s="34">
        <v>43892</v>
      </c>
      <c r="G133" s="34">
        <v>43895</v>
      </c>
      <c r="H133" s="35">
        <v>0.01</v>
      </c>
      <c r="I133" s="67">
        <v>4.1999999999999997E-3</v>
      </c>
      <c r="J133" s="67">
        <v>0</v>
      </c>
      <c r="K133" s="67">
        <v>4.1999999999999997E-3</v>
      </c>
      <c r="L133" s="36">
        <f>+K133-((K133*0.0000000001*0.125)+(K133*(1-0.000000001)*0.26))</f>
        <v>3.1080000010394997E-3</v>
      </c>
      <c r="M133" s="64">
        <f t="shared" si="1"/>
        <v>3.1080000010394997E-3</v>
      </c>
      <c r="N133" s="33" t="s">
        <v>251</v>
      </c>
    </row>
    <row r="134" spans="1:14" ht="15">
      <c r="A134" s="12" t="s">
        <v>189</v>
      </c>
      <c r="B134" s="33" t="s">
        <v>189</v>
      </c>
      <c r="C134" s="92" t="s">
        <v>356</v>
      </c>
      <c r="D134" s="33" t="s">
        <v>411</v>
      </c>
      <c r="E134" s="34">
        <v>43889</v>
      </c>
      <c r="F134" s="34">
        <v>43892</v>
      </c>
      <c r="G134" s="34">
        <v>43895</v>
      </c>
      <c r="H134" s="35">
        <v>0.01</v>
      </c>
      <c r="I134" s="67">
        <v>7.6300000000000007E-2</v>
      </c>
      <c r="J134" s="67">
        <v>0</v>
      </c>
      <c r="K134" s="67">
        <v>7.6300000000000007E-2</v>
      </c>
      <c r="L134" s="36">
        <f>+K134-((K134*0.0000000001*0.125)+(K134*(1-0.000000001)*0.26))</f>
        <v>5.6462000018884254E-2</v>
      </c>
      <c r="M134" s="64">
        <f t="shared" ref="M134:M197" si="3">J134+L134</f>
        <v>5.6462000018884254E-2</v>
      </c>
      <c r="N134" s="33" t="s">
        <v>251</v>
      </c>
    </row>
    <row r="135" spans="1:14" ht="15">
      <c r="A135" s="12" t="s">
        <v>197</v>
      </c>
      <c r="B135" s="33" t="s">
        <v>197</v>
      </c>
      <c r="C135" s="92" t="s">
        <v>357</v>
      </c>
      <c r="D135" s="33" t="s">
        <v>411</v>
      </c>
      <c r="E135" s="34">
        <v>43889</v>
      </c>
      <c r="F135" s="34">
        <v>43892</v>
      </c>
      <c r="G135" s="34">
        <v>43895</v>
      </c>
      <c r="H135" s="35">
        <v>0.01</v>
      </c>
      <c r="I135" s="67">
        <v>7.7399999999999997E-2</v>
      </c>
      <c r="J135" s="67">
        <v>0</v>
      </c>
      <c r="K135" s="67">
        <v>7.7399999999999997E-2</v>
      </c>
      <c r="L135" s="36">
        <f>+K135-((K135*0.0000000001*0.125)+(K135*(1-0.000000001)*0.26))</f>
        <v>5.7276000019156496E-2</v>
      </c>
      <c r="M135" s="64">
        <f t="shared" si="3"/>
        <v>5.7276000019156496E-2</v>
      </c>
      <c r="N135" s="33" t="s">
        <v>251</v>
      </c>
    </row>
    <row r="136" spans="1:14" ht="15">
      <c r="A136" s="12"/>
      <c r="B136" s="33" t="s">
        <v>308</v>
      </c>
      <c r="C136" s="92" t="s">
        <v>426</v>
      </c>
      <c r="D136" s="33" t="s">
        <v>411</v>
      </c>
      <c r="E136" s="34">
        <v>43889</v>
      </c>
      <c r="F136" s="34">
        <v>43892</v>
      </c>
      <c r="G136" s="34">
        <v>43895</v>
      </c>
      <c r="H136" s="35">
        <v>1.4999999999999999E-2</v>
      </c>
      <c r="I136" s="67">
        <v>6.1999999999999998E-3</v>
      </c>
      <c r="J136" s="67">
        <v>0</v>
      </c>
      <c r="K136" s="67">
        <v>6.1999999999999998E-3</v>
      </c>
      <c r="L136" s="36">
        <f>+K136-((K136*0.478*0.125)+(K136*(1-0.478)*0.26))</f>
        <v>4.9880860000000001E-3</v>
      </c>
      <c r="M136" s="64">
        <f t="shared" si="3"/>
        <v>4.9880860000000001E-3</v>
      </c>
      <c r="N136" s="33" t="s">
        <v>251</v>
      </c>
    </row>
    <row r="137" spans="1:14" ht="15">
      <c r="A137" s="12" t="s">
        <v>186</v>
      </c>
      <c r="B137" s="33" t="s">
        <v>186</v>
      </c>
      <c r="C137" s="92" t="s">
        <v>363</v>
      </c>
      <c r="D137" s="33" t="s">
        <v>411</v>
      </c>
      <c r="E137" s="34">
        <v>43889</v>
      </c>
      <c r="F137" s="34">
        <v>43892</v>
      </c>
      <c r="G137" s="34">
        <v>43895</v>
      </c>
      <c r="H137" s="35">
        <v>1.4999999999999999E-2</v>
      </c>
      <c r="I137" s="67">
        <v>0.114</v>
      </c>
      <c r="J137" s="67">
        <v>0</v>
      </c>
      <c r="K137" s="67">
        <v>0.114</v>
      </c>
      <c r="L137" s="36">
        <f>+K137-((K137*0.478*0.125)+(K137*(1-0.478)*0.26))</f>
        <v>9.1716419999999993E-2</v>
      </c>
      <c r="M137" s="64">
        <f t="shared" si="3"/>
        <v>9.1716419999999993E-2</v>
      </c>
      <c r="N137" s="33" t="s">
        <v>251</v>
      </c>
    </row>
    <row r="138" spans="1:14" ht="15">
      <c r="A138" s="12" t="s">
        <v>194</v>
      </c>
      <c r="B138" s="33" t="s">
        <v>194</v>
      </c>
      <c r="C138" s="92" t="s">
        <v>364</v>
      </c>
      <c r="D138" s="33" t="s">
        <v>411</v>
      </c>
      <c r="E138" s="34">
        <v>43889</v>
      </c>
      <c r="F138" s="34">
        <v>43892</v>
      </c>
      <c r="G138" s="34">
        <v>43895</v>
      </c>
      <c r="H138" s="35">
        <v>1.4999999999999999E-2</v>
      </c>
      <c r="I138" s="67">
        <v>0.1168</v>
      </c>
      <c r="J138" s="67">
        <v>0</v>
      </c>
      <c r="K138" s="67">
        <v>0.1168</v>
      </c>
      <c r="L138" s="36">
        <f>+K138-((K138*0.478*0.125)+(K138*(1-0.478)*0.26))</f>
        <v>9.3969103999999998E-2</v>
      </c>
      <c r="M138" s="64">
        <f t="shared" si="3"/>
        <v>9.3969103999999998E-2</v>
      </c>
      <c r="N138" s="33" t="s">
        <v>251</v>
      </c>
    </row>
    <row r="139" spans="1:14" ht="15">
      <c r="A139" s="12"/>
      <c r="B139" s="33" t="s">
        <v>307</v>
      </c>
      <c r="C139" s="92" t="s">
        <v>420</v>
      </c>
      <c r="D139" s="33" t="s">
        <v>411</v>
      </c>
      <c r="E139" s="34">
        <v>43889</v>
      </c>
      <c r="F139" s="34">
        <v>43892</v>
      </c>
      <c r="G139" s="34">
        <v>43895</v>
      </c>
      <c r="H139" s="35">
        <v>1.4999999999999999E-2</v>
      </c>
      <c r="I139" s="67">
        <v>6.1999999999999998E-3</v>
      </c>
      <c r="J139" s="67">
        <v>0</v>
      </c>
      <c r="K139" s="67">
        <v>6.1999999999999998E-3</v>
      </c>
      <c r="L139" s="36">
        <f>+K139-((K139*0.588*0.125)+(K139*(1-0.588)*0.26))</f>
        <v>5.0801559999999997E-3</v>
      </c>
      <c r="M139" s="64">
        <f t="shared" si="3"/>
        <v>5.0801559999999997E-3</v>
      </c>
      <c r="N139" s="33" t="s">
        <v>251</v>
      </c>
    </row>
    <row r="140" spans="1:14" ht="15">
      <c r="A140" s="12" t="s">
        <v>185</v>
      </c>
      <c r="B140" s="33" t="s">
        <v>185</v>
      </c>
      <c r="C140" s="92" t="s">
        <v>366</v>
      </c>
      <c r="D140" s="33" t="s">
        <v>411</v>
      </c>
      <c r="E140" s="34">
        <v>43889</v>
      </c>
      <c r="F140" s="34">
        <v>43892</v>
      </c>
      <c r="G140" s="34">
        <v>43895</v>
      </c>
      <c r="H140" s="35">
        <v>1.4999999999999999E-2</v>
      </c>
      <c r="I140" s="67">
        <v>0.10390000000000001</v>
      </c>
      <c r="J140" s="67">
        <v>0</v>
      </c>
      <c r="K140" s="67">
        <v>0.10390000000000001</v>
      </c>
      <c r="L140" s="36">
        <f>+K140-((K140*0.588*0.125)+(K140*(1-0.588)*0.26))</f>
        <v>8.5133582000000013E-2</v>
      </c>
      <c r="M140" s="64">
        <f t="shared" si="3"/>
        <v>8.5133582000000013E-2</v>
      </c>
      <c r="N140" s="33" t="s">
        <v>251</v>
      </c>
    </row>
    <row r="141" spans="1:14" ht="15">
      <c r="A141" s="12" t="s">
        <v>193</v>
      </c>
      <c r="B141" s="33" t="s">
        <v>193</v>
      </c>
      <c r="C141" s="92" t="s">
        <v>367</v>
      </c>
      <c r="D141" s="33" t="s">
        <v>411</v>
      </c>
      <c r="E141" s="34">
        <v>43889</v>
      </c>
      <c r="F141" s="34">
        <v>43892</v>
      </c>
      <c r="G141" s="34">
        <v>43895</v>
      </c>
      <c r="H141" s="35">
        <v>1.4999999999999999E-2</v>
      </c>
      <c r="I141" s="67">
        <v>0.1009</v>
      </c>
      <c r="J141" s="67">
        <v>0</v>
      </c>
      <c r="K141" s="67">
        <v>0.1009</v>
      </c>
      <c r="L141" s="36">
        <f>+K141-((K141*0.588*0.125)+(K141*(1-0.588)*0.26))</f>
        <v>8.2675442000000002E-2</v>
      </c>
      <c r="M141" s="64">
        <f t="shared" si="3"/>
        <v>8.2675442000000002E-2</v>
      </c>
      <c r="N141" s="33" t="s">
        <v>251</v>
      </c>
    </row>
    <row r="142" spans="1:14" ht="15">
      <c r="A142" s="12"/>
      <c r="B142" s="33" t="s">
        <v>309</v>
      </c>
      <c r="C142" s="92" t="s">
        <v>427</v>
      </c>
      <c r="D142" s="33" t="s">
        <v>411</v>
      </c>
      <c r="E142" s="34">
        <v>43889</v>
      </c>
      <c r="F142" s="34">
        <v>43892</v>
      </c>
      <c r="G142" s="34">
        <v>43895</v>
      </c>
      <c r="H142" s="35">
        <v>3.5000000000000003E-2</v>
      </c>
      <c r="I142" s="67">
        <v>1.4500000000000001E-2</v>
      </c>
      <c r="J142" s="67">
        <v>0</v>
      </c>
      <c r="K142" s="67">
        <v>1.4500000000000001E-2</v>
      </c>
      <c r="L142" s="36">
        <f>+K142-((K142*0.001*0.125)+(K142*(1-0.001)*0.26))</f>
        <v>1.07319575E-2</v>
      </c>
      <c r="M142" s="64">
        <f t="shared" si="3"/>
        <v>1.07319575E-2</v>
      </c>
      <c r="N142" s="33" t="s">
        <v>251</v>
      </c>
    </row>
    <row r="143" spans="1:14" ht="15">
      <c r="A143" s="12" t="s">
        <v>187</v>
      </c>
      <c r="B143" s="33" t="s">
        <v>187</v>
      </c>
      <c r="C143" s="92" t="s">
        <v>368</v>
      </c>
      <c r="D143" s="33" t="s">
        <v>411</v>
      </c>
      <c r="E143" s="34">
        <v>43889</v>
      </c>
      <c r="F143" s="34">
        <v>43892</v>
      </c>
      <c r="G143" s="34">
        <v>43895</v>
      </c>
      <c r="H143" s="35">
        <v>3.5000000000000003E-2</v>
      </c>
      <c r="I143" s="67">
        <v>0.25679999999999997</v>
      </c>
      <c r="J143" s="67">
        <v>0</v>
      </c>
      <c r="K143" s="67">
        <v>0.25679999999999997</v>
      </c>
      <c r="L143" s="36">
        <f>+K143-((K143*0.001*0.125)+(K143*(1-0.001)*0.26))</f>
        <v>0.19006666799999999</v>
      </c>
      <c r="M143" s="64">
        <f t="shared" si="3"/>
        <v>0.19006666799999999</v>
      </c>
      <c r="N143" s="33" t="s">
        <v>251</v>
      </c>
    </row>
    <row r="144" spans="1:14" ht="15">
      <c r="A144" s="12" t="s">
        <v>195</v>
      </c>
      <c r="B144" s="33" t="s">
        <v>195</v>
      </c>
      <c r="C144" s="92" t="s">
        <v>369</v>
      </c>
      <c r="D144" s="33" t="s">
        <v>411</v>
      </c>
      <c r="E144" s="34">
        <v>43889</v>
      </c>
      <c r="F144" s="34">
        <v>43892</v>
      </c>
      <c r="G144" s="34">
        <v>43895</v>
      </c>
      <c r="H144" s="35">
        <v>3.5000000000000003E-2</v>
      </c>
      <c r="I144" s="67">
        <v>0.26400000000000001</v>
      </c>
      <c r="J144" s="67">
        <v>0</v>
      </c>
      <c r="K144" s="67">
        <v>0.26400000000000001</v>
      </c>
      <c r="L144" s="36">
        <f>+K144-((K144*0.001*0.125)+(K144*(1-0.001)*0.26))</f>
        <v>0.19539563999999998</v>
      </c>
      <c r="M144" s="64">
        <f t="shared" si="3"/>
        <v>0.19539563999999998</v>
      </c>
      <c r="N144" s="33" t="s">
        <v>251</v>
      </c>
    </row>
    <row r="145" spans="1:14" ht="15">
      <c r="A145" s="12"/>
      <c r="B145" s="33" t="s">
        <v>312</v>
      </c>
      <c r="C145" s="92" t="s">
        <v>428</v>
      </c>
      <c r="D145" s="33" t="s">
        <v>411</v>
      </c>
      <c r="E145" s="34">
        <v>43889</v>
      </c>
      <c r="F145" s="34">
        <v>43892</v>
      </c>
      <c r="G145" s="34">
        <v>43895</v>
      </c>
      <c r="H145" s="35">
        <v>0.05</v>
      </c>
      <c r="I145" s="67">
        <v>2.1100000000000001E-2</v>
      </c>
      <c r="J145" s="67">
        <v>0</v>
      </c>
      <c r="K145" s="67">
        <v>2.1100000000000001E-2</v>
      </c>
      <c r="L145" s="36">
        <f>+K145-((K145*0.002*0.125)+(K145*(1-0.002)*0.26))</f>
        <v>1.5619697E-2</v>
      </c>
      <c r="M145" s="64">
        <f t="shared" si="3"/>
        <v>1.5619697E-2</v>
      </c>
      <c r="N145" s="33" t="s">
        <v>251</v>
      </c>
    </row>
    <row r="146" spans="1:14" ht="15">
      <c r="A146" s="12" t="s">
        <v>190</v>
      </c>
      <c r="B146" s="33" t="s">
        <v>190</v>
      </c>
      <c r="C146" s="92" t="s">
        <v>370</v>
      </c>
      <c r="D146" s="33" t="s">
        <v>411</v>
      </c>
      <c r="E146" s="34">
        <v>43889</v>
      </c>
      <c r="F146" s="34">
        <v>43892</v>
      </c>
      <c r="G146" s="34">
        <v>43895</v>
      </c>
      <c r="H146" s="35">
        <v>0.05</v>
      </c>
      <c r="I146" s="67">
        <v>0.39989999999999998</v>
      </c>
      <c r="J146" s="67">
        <v>0</v>
      </c>
      <c r="K146" s="67">
        <v>0.39989999999999998</v>
      </c>
      <c r="L146" s="36">
        <f>+K146-((K146*0.002*0.125)+(K146*(1-0.002)*0.26))</f>
        <v>0.29603397300000001</v>
      </c>
      <c r="M146" s="64">
        <f t="shared" si="3"/>
        <v>0.29603397300000001</v>
      </c>
      <c r="N146" s="33" t="s">
        <v>251</v>
      </c>
    </row>
    <row r="147" spans="1:14" ht="15">
      <c r="A147" s="12" t="s">
        <v>198</v>
      </c>
      <c r="B147" s="33" t="s">
        <v>198</v>
      </c>
      <c r="C147" s="92" t="s">
        <v>371</v>
      </c>
      <c r="D147" s="33" t="s">
        <v>411</v>
      </c>
      <c r="E147" s="34">
        <v>43889</v>
      </c>
      <c r="F147" s="34">
        <v>43892</v>
      </c>
      <c r="G147" s="34">
        <v>43895</v>
      </c>
      <c r="H147" s="35">
        <v>0.05</v>
      </c>
      <c r="I147" s="67">
        <v>0.39950000000000002</v>
      </c>
      <c r="J147" s="67">
        <v>0</v>
      </c>
      <c r="K147" s="67">
        <v>0.39950000000000002</v>
      </c>
      <c r="L147" s="36">
        <f>+K147-((K147*0.002*0.125)+(K147*(1-0.002)*0.26))</f>
        <v>0.29573786499999999</v>
      </c>
      <c r="M147" s="64">
        <f t="shared" si="3"/>
        <v>0.29573786499999999</v>
      </c>
      <c r="N147" s="33" t="s">
        <v>251</v>
      </c>
    </row>
    <row r="148" spans="1:14" ht="15">
      <c r="A148" s="12"/>
      <c r="B148" s="33" t="s">
        <v>513</v>
      </c>
      <c r="C148" s="92" t="s">
        <v>515</v>
      </c>
      <c r="D148" s="33" t="s">
        <v>411</v>
      </c>
      <c r="E148" s="34">
        <v>43889</v>
      </c>
      <c r="F148" s="34">
        <v>43892</v>
      </c>
      <c r="G148" s="34">
        <v>43895</v>
      </c>
      <c r="H148" s="35">
        <v>0.02</v>
      </c>
      <c r="I148" s="67">
        <v>0.13569999999999999</v>
      </c>
      <c r="J148" s="67">
        <v>0</v>
      </c>
      <c r="K148" s="67">
        <v>0.13569999999999999</v>
      </c>
      <c r="L148" s="36">
        <f>+K148-((K148*0.532*0.125)+(K148*(1-0.532)*0.26))</f>
        <v>0.110163974</v>
      </c>
      <c r="M148" s="64">
        <f t="shared" si="3"/>
        <v>0.110163974</v>
      </c>
      <c r="N148" s="33" t="s">
        <v>251</v>
      </c>
    </row>
    <row r="149" spans="1:14" ht="15">
      <c r="A149" s="12"/>
      <c r="B149" s="33" t="s">
        <v>514</v>
      </c>
      <c r="C149" s="92" t="s">
        <v>516</v>
      </c>
      <c r="D149" s="33" t="s">
        <v>411</v>
      </c>
      <c r="E149" s="34">
        <v>43889</v>
      </c>
      <c r="F149" s="34">
        <v>43892</v>
      </c>
      <c r="G149" s="34">
        <v>43895</v>
      </c>
      <c r="H149" s="35">
        <v>0.02</v>
      </c>
      <c r="I149" s="67">
        <v>0.13639999999999999</v>
      </c>
      <c r="J149" s="67">
        <v>0</v>
      </c>
      <c r="K149" s="67">
        <v>0.13639999999999999</v>
      </c>
      <c r="L149" s="36">
        <f>+K149-((K149*0.532*0.125)+(K149*(1-0.532)*0.26))</f>
        <v>0.11073224799999999</v>
      </c>
      <c r="M149" s="64">
        <f t="shared" si="3"/>
        <v>0.11073224799999999</v>
      </c>
      <c r="N149" s="33" t="s">
        <v>251</v>
      </c>
    </row>
    <row r="150" spans="1:14" ht="15">
      <c r="A150" s="12"/>
      <c r="B150" s="33" t="s">
        <v>313</v>
      </c>
      <c r="C150" s="92" t="s">
        <v>429</v>
      </c>
      <c r="D150" s="33" t="s">
        <v>411</v>
      </c>
      <c r="E150" s="34">
        <v>43889</v>
      </c>
      <c r="F150" s="34">
        <v>43892</v>
      </c>
      <c r="G150" s="34">
        <v>43895</v>
      </c>
      <c r="H150" s="35">
        <v>2.2499999999999999E-2</v>
      </c>
      <c r="I150" s="67">
        <v>9.2999999999999992E-3</v>
      </c>
      <c r="J150" s="67">
        <v>0</v>
      </c>
      <c r="K150" s="67">
        <v>9.2999999999999992E-3</v>
      </c>
      <c r="L150" s="36">
        <f>+K150-((K150*0.135*0.125)+(K150*(1-0.135)*0.26))</f>
        <v>7.0514924999999992E-3</v>
      </c>
      <c r="M150" s="64">
        <f t="shared" si="3"/>
        <v>7.0514924999999992E-3</v>
      </c>
      <c r="N150" s="33" t="s">
        <v>251</v>
      </c>
    </row>
    <row r="151" spans="1:14" ht="15">
      <c r="A151" s="12" t="s">
        <v>122</v>
      </c>
      <c r="B151" s="33" t="s">
        <v>174</v>
      </c>
      <c r="C151" s="92" t="s">
        <v>382</v>
      </c>
      <c r="D151" s="33" t="s">
        <v>410</v>
      </c>
      <c r="E151" s="34">
        <v>43920</v>
      </c>
      <c r="F151" s="34">
        <v>43921</v>
      </c>
      <c r="G151" s="34">
        <v>43924</v>
      </c>
      <c r="H151" s="35"/>
      <c r="I151" s="67">
        <v>3.1729E-2</v>
      </c>
      <c r="J151" s="67">
        <v>0</v>
      </c>
      <c r="K151" s="67">
        <v>3.1729E-2</v>
      </c>
      <c r="L151" s="36">
        <f>+K151-((K151*0.004*0.125)+(K151*(1-0.004)*0.26))</f>
        <v>2.3496593659999999E-2</v>
      </c>
      <c r="M151" s="64">
        <f t="shared" si="3"/>
        <v>2.3496593659999999E-2</v>
      </c>
      <c r="N151" s="33" t="s">
        <v>247</v>
      </c>
    </row>
    <row r="152" spans="1:14" ht="15">
      <c r="A152" s="12" t="s">
        <v>123</v>
      </c>
      <c r="B152" s="33" t="s">
        <v>176</v>
      </c>
      <c r="C152" s="92" t="s">
        <v>397</v>
      </c>
      <c r="D152" s="33" t="s">
        <v>410</v>
      </c>
      <c r="E152" s="34">
        <v>43920</v>
      </c>
      <c r="F152" s="34">
        <v>43921</v>
      </c>
      <c r="G152" s="34">
        <v>43924</v>
      </c>
      <c r="H152" s="35"/>
      <c r="I152" s="67">
        <v>4.2372E-2</v>
      </c>
      <c r="J152" s="67">
        <v>0</v>
      </c>
      <c r="K152" s="67">
        <v>4.2372E-2</v>
      </c>
      <c r="L152" s="36">
        <f>+K152-((K152*0.089*0.125)+(K152*(1-0.089)*0.26))</f>
        <v>3.1864379579999998E-2</v>
      </c>
      <c r="M152" s="64">
        <f t="shared" si="3"/>
        <v>3.1864379579999998E-2</v>
      </c>
      <c r="N152" s="33" t="s">
        <v>247</v>
      </c>
    </row>
    <row r="153" spans="1:14" ht="15">
      <c r="A153" s="12" t="s">
        <v>124</v>
      </c>
      <c r="B153" s="33" t="s">
        <v>175</v>
      </c>
      <c r="C153" s="92" t="s">
        <v>465</v>
      </c>
      <c r="D153" s="33" t="s">
        <v>410</v>
      </c>
      <c r="E153" s="34">
        <v>43920</v>
      </c>
      <c r="F153" s="34">
        <v>43921</v>
      </c>
      <c r="G153" s="34">
        <v>43924</v>
      </c>
      <c r="H153" s="35"/>
      <c r="I153" s="67">
        <v>3.6255000000000003E-2</v>
      </c>
      <c r="J153" s="67">
        <v>0</v>
      </c>
      <c r="K153" s="67">
        <v>3.6255000000000003E-2</v>
      </c>
      <c r="L153" s="36">
        <f>+K153-((K153*0.112*0.125)+(K153*(1-0.112)*0.26))</f>
        <v>2.7376875600000003E-2</v>
      </c>
      <c r="M153" s="64">
        <f t="shared" si="3"/>
        <v>2.7376875600000003E-2</v>
      </c>
      <c r="N153" s="33" t="s">
        <v>247</v>
      </c>
    </row>
    <row r="154" spans="1:14" ht="15">
      <c r="A154" s="12"/>
      <c r="B154" s="33" t="s">
        <v>511</v>
      </c>
      <c r="C154" s="92" t="s">
        <v>512</v>
      </c>
      <c r="D154" s="33" t="s">
        <v>411</v>
      </c>
      <c r="E154" s="34">
        <v>43921</v>
      </c>
      <c r="F154" s="34">
        <v>43922</v>
      </c>
      <c r="G154" s="34">
        <v>43927</v>
      </c>
      <c r="H154" s="35">
        <v>0.03</v>
      </c>
      <c r="I154" s="67">
        <v>0.19159999999999999</v>
      </c>
      <c r="J154" s="67">
        <v>0</v>
      </c>
      <c r="K154" s="67">
        <v>0.19159999999999999</v>
      </c>
      <c r="L154" s="36">
        <f>+K154-((K154*0.766*0.125)+(K154*(1-0.766)*0.26))</f>
        <v>0.161597356</v>
      </c>
      <c r="M154" s="64">
        <f t="shared" si="3"/>
        <v>0.161597356</v>
      </c>
      <c r="N154" s="33" t="s">
        <v>251</v>
      </c>
    </row>
    <row r="155" spans="1:14" ht="15">
      <c r="A155" s="12"/>
      <c r="B155" s="33" t="s">
        <v>310</v>
      </c>
      <c r="C155" s="92" t="s">
        <v>424</v>
      </c>
      <c r="D155" s="33" t="s">
        <v>411</v>
      </c>
      <c r="E155" s="34">
        <v>43921</v>
      </c>
      <c r="F155" s="34">
        <v>43922</v>
      </c>
      <c r="G155" s="34">
        <v>43927</v>
      </c>
      <c r="H155" s="35">
        <v>0.05</v>
      </c>
      <c r="I155" s="67">
        <v>2.0899999999999998E-2</v>
      </c>
      <c r="J155" s="67">
        <v>0</v>
      </c>
      <c r="K155" s="67">
        <v>2.0899999999999998E-2</v>
      </c>
      <c r="L155" s="36">
        <f>+K155-((K155*0.04*0.125)+(K155*(1-0.04)*0.26))</f>
        <v>1.5578859999999998E-2</v>
      </c>
      <c r="M155" s="64">
        <f t="shared" si="3"/>
        <v>1.5578859999999998E-2</v>
      </c>
      <c r="N155" s="33" t="s">
        <v>251</v>
      </c>
    </row>
    <row r="156" spans="1:14" ht="15">
      <c r="A156" s="12" t="s">
        <v>188</v>
      </c>
      <c r="B156" s="33" t="s">
        <v>188</v>
      </c>
      <c r="C156" s="92" t="s">
        <v>339</v>
      </c>
      <c r="D156" s="33" t="s">
        <v>411</v>
      </c>
      <c r="E156" s="34">
        <v>43921</v>
      </c>
      <c r="F156" s="34">
        <v>43922</v>
      </c>
      <c r="G156" s="34">
        <v>43927</v>
      </c>
      <c r="H156" s="35">
        <v>0.05</v>
      </c>
      <c r="I156" s="67">
        <v>0.36549999999999999</v>
      </c>
      <c r="J156" s="67">
        <v>0</v>
      </c>
      <c r="K156" s="67">
        <v>0.36549999999999999</v>
      </c>
      <c r="L156" s="36">
        <f>+K156-((K156*0.04*0.125)+(K156*(1-0.04)*0.26))</f>
        <v>0.27244370000000001</v>
      </c>
      <c r="M156" s="64">
        <f t="shared" si="3"/>
        <v>0.27244370000000001</v>
      </c>
      <c r="N156" s="33" t="s">
        <v>251</v>
      </c>
    </row>
    <row r="157" spans="1:14" ht="15">
      <c r="A157" s="12" t="s">
        <v>196</v>
      </c>
      <c r="B157" s="33" t="s">
        <v>196</v>
      </c>
      <c r="C157" s="92" t="s">
        <v>340</v>
      </c>
      <c r="D157" s="33" t="s">
        <v>411</v>
      </c>
      <c r="E157" s="34">
        <v>43921</v>
      </c>
      <c r="F157" s="34">
        <v>43922</v>
      </c>
      <c r="G157" s="34">
        <v>43927</v>
      </c>
      <c r="H157" s="35">
        <v>0.05</v>
      </c>
      <c r="I157" s="67">
        <v>0.37780000000000002</v>
      </c>
      <c r="J157" s="67">
        <v>0</v>
      </c>
      <c r="K157" s="67">
        <v>0.37780000000000002</v>
      </c>
      <c r="L157" s="36">
        <f>+K157-((K157*0.04*0.125)+(K157*(1-0.04)*0.26))</f>
        <v>0.28161212000000002</v>
      </c>
      <c r="M157" s="64">
        <f t="shared" si="3"/>
        <v>0.28161212000000002</v>
      </c>
      <c r="N157" s="33" t="s">
        <v>251</v>
      </c>
    </row>
    <row r="158" spans="1:14" ht="15">
      <c r="A158" s="12" t="s">
        <v>229</v>
      </c>
      <c r="B158" s="33" t="s">
        <v>191</v>
      </c>
      <c r="C158" s="92" t="s">
        <v>346</v>
      </c>
      <c r="D158" s="33" t="s">
        <v>411</v>
      </c>
      <c r="E158" s="34">
        <v>43921</v>
      </c>
      <c r="F158" s="34">
        <v>43922</v>
      </c>
      <c r="G158" s="34">
        <v>43927</v>
      </c>
      <c r="H158" s="35">
        <v>3.5000000000000003E-2</v>
      </c>
      <c r="I158" s="67">
        <v>1.47E-2</v>
      </c>
      <c r="J158" s="67">
        <v>0</v>
      </c>
      <c r="K158" s="67">
        <v>1.47E-2</v>
      </c>
      <c r="L158" s="36">
        <f>+K158-((K158*0.837*0.125)+(K158*(1-0.837)*0.26))</f>
        <v>1.25390265E-2</v>
      </c>
      <c r="M158" s="64">
        <f t="shared" si="3"/>
        <v>1.25390265E-2</v>
      </c>
      <c r="N158" s="33" t="s">
        <v>251</v>
      </c>
    </row>
    <row r="159" spans="1:14" ht="15">
      <c r="A159" s="12" t="s">
        <v>231</v>
      </c>
      <c r="B159" s="33" t="s">
        <v>199</v>
      </c>
      <c r="C159" s="92" t="s">
        <v>347</v>
      </c>
      <c r="D159" s="33" t="s">
        <v>411</v>
      </c>
      <c r="E159" s="34">
        <v>43921</v>
      </c>
      <c r="F159" s="34">
        <v>43922</v>
      </c>
      <c r="G159" s="34">
        <v>43927</v>
      </c>
      <c r="H159" s="35">
        <v>3.5000000000000003E-2</v>
      </c>
      <c r="I159" s="67">
        <v>1.47E-2</v>
      </c>
      <c r="J159" s="67">
        <v>0</v>
      </c>
      <c r="K159" s="67">
        <v>1.47E-2</v>
      </c>
      <c r="L159" s="36">
        <f>+K159-((K159*0.837*0.125)+(K159*(1-0.837)*0.26))</f>
        <v>1.25390265E-2</v>
      </c>
      <c r="M159" s="64">
        <f t="shared" si="3"/>
        <v>1.25390265E-2</v>
      </c>
      <c r="N159" s="33" t="s">
        <v>251</v>
      </c>
    </row>
    <row r="160" spans="1:14" ht="15">
      <c r="A160" s="12"/>
      <c r="B160" s="33" t="s">
        <v>306</v>
      </c>
      <c r="C160" s="92" t="s">
        <v>430</v>
      </c>
      <c r="D160" s="33" t="s">
        <v>411</v>
      </c>
      <c r="E160" s="34">
        <v>43921</v>
      </c>
      <c r="F160" s="34">
        <v>43922</v>
      </c>
      <c r="G160" s="34">
        <v>43927</v>
      </c>
      <c r="H160" s="35">
        <v>0.02</v>
      </c>
      <c r="I160" s="67">
        <v>8.3999999999999995E-3</v>
      </c>
      <c r="J160" s="67">
        <v>0</v>
      </c>
      <c r="K160" s="67">
        <v>8.3999999999999995E-3</v>
      </c>
      <c r="L160" s="36">
        <f>+K160-((K160*0.0000001*0.125)+(K160*(1-0.0000001)*0.26))</f>
        <v>6.2160001133999996E-3</v>
      </c>
      <c r="M160" s="64">
        <f t="shared" si="3"/>
        <v>6.2160001133999996E-3</v>
      </c>
      <c r="N160" s="33" t="s">
        <v>251</v>
      </c>
    </row>
    <row r="161" spans="1:14" ht="15">
      <c r="A161" s="12" t="s">
        <v>184</v>
      </c>
      <c r="B161" s="33" t="s">
        <v>184</v>
      </c>
      <c r="C161" s="92" t="s">
        <v>354</v>
      </c>
      <c r="D161" s="33" t="s">
        <v>411</v>
      </c>
      <c r="E161" s="34">
        <v>43921</v>
      </c>
      <c r="F161" s="34">
        <v>43922</v>
      </c>
      <c r="G161" s="34">
        <v>43927</v>
      </c>
      <c r="H161" s="35">
        <v>0.02</v>
      </c>
      <c r="I161" s="67">
        <v>0.16880000000000001</v>
      </c>
      <c r="J161" s="67">
        <v>0</v>
      </c>
      <c r="K161" s="67">
        <v>0.16880000000000001</v>
      </c>
      <c r="L161" s="36">
        <f>+K161-((K161*0.0000001*0.125)+(K161*(1-0.0000001)*0.26))</f>
        <v>0.12491200227880001</v>
      </c>
      <c r="M161" s="64">
        <f t="shared" si="3"/>
        <v>0.12491200227880001</v>
      </c>
      <c r="N161" s="33" t="s">
        <v>251</v>
      </c>
    </row>
    <row r="162" spans="1:14" ht="15">
      <c r="A162" s="12" t="s">
        <v>192</v>
      </c>
      <c r="B162" s="33" t="s">
        <v>192</v>
      </c>
      <c r="C162" s="92" t="s">
        <v>355</v>
      </c>
      <c r="D162" s="33" t="s">
        <v>411</v>
      </c>
      <c r="E162" s="34">
        <v>43921</v>
      </c>
      <c r="F162" s="34">
        <v>43922</v>
      </c>
      <c r="G162" s="34">
        <v>43927</v>
      </c>
      <c r="H162" s="35">
        <v>0.02</v>
      </c>
      <c r="I162" s="67">
        <v>0.16980000000000001</v>
      </c>
      <c r="J162" s="67">
        <v>0</v>
      </c>
      <c r="K162" s="67">
        <v>0.16980000000000001</v>
      </c>
      <c r="L162" s="36">
        <f>+K162-((K162*0.0000001*0.125)+(K162*(1-0.0000001)*0.26))</f>
        <v>0.1256520022923</v>
      </c>
      <c r="M162" s="64">
        <f t="shared" si="3"/>
        <v>0.1256520022923</v>
      </c>
      <c r="N162" s="33" t="s">
        <v>251</v>
      </c>
    </row>
    <row r="163" spans="1:14" ht="15">
      <c r="A163" s="12"/>
      <c r="B163" s="33" t="s">
        <v>311</v>
      </c>
      <c r="C163" s="92" t="s">
        <v>425</v>
      </c>
      <c r="D163" s="33" t="s">
        <v>411</v>
      </c>
      <c r="E163" s="34">
        <v>43921</v>
      </c>
      <c r="F163" s="34">
        <v>43922</v>
      </c>
      <c r="G163" s="34">
        <v>43927</v>
      </c>
      <c r="H163" s="35">
        <v>0.01</v>
      </c>
      <c r="I163" s="67">
        <v>4.1999999999999997E-3</v>
      </c>
      <c r="J163" s="67">
        <v>0</v>
      </c>
      <c r="K163" s="67">
        <v>4.1999999999999997E-3</v>
      </c>
      <c r="L163" s="36">
        <f>+K163-((K163*0.0000000001*0.125)+(K163*(1-0.000000001)*0.26))</f>
        <v>3.1080000010394997E-3</v>
      </c>
      <c r="M163" s="64">
        <f t="shared" si="3"/>
        <v>3.1080000010394997E-3</v>
      </c>
      <c r="N163" s="33" t="s">
        <v>251</v>
      </c>
    </row>
    <row r="164" spans="1:14" ht="15">
      <c r="A164" s="12" t="s">
        <v>189</v>
      </c>
      <c r="B164" s="33" t="s">
        <v>189</v>
      </c>
      <c r="C164" s="92" t="s">
        <v>356</v>
      </c>
      <c r="D164" s="33" t="s">
        <v>411</v>
      </c>
      <c r="E164" s="34">
        <v>43921</v>
      </c>
      <c r="F164" s="34">
        <v>43922</v>
      </c>
      <c r="G164" s="34">
        <v>43927</v>
      </c>
      <c r="H164" s="35">
        <v>0.01</v>
      </c>
      <c r="I164" s="67">
        <v>7.6300000000000007E-2</v>
      </c>
      <c r="J164" s="67">
        <v>0</v>
      </c>
      <c r="K164" s="67">
        <v>7.6300000000000007E-2</v>
      </c>
      <c r="L164" s="36">
        <f>+K164-((K164*0.0000000001*0.125)+(K164*(1-0.000000001)*0.26))</f>
        <v>5.6462000018884254E-2</v>
      </c>
      <c r="M164" s="64">
        <f t="shared" si="3"/>
        <v>5.6462000018884254E-2</v>
      </c>
      <c r="N164" s="33" t="s">
        <v>251</v>
      </c>
    </row>
    <row r="165" spans="1:14" ht="15">
      <c r="A165" s="12" t="s">
        <v>197</v>
      </c>
      <c r="B165" s="33" t="s">
        <v>197</v>
      </c>
      <c r="C165" s="92" t="s">
        <v>357</v>
      </c>
      <c r="D165" s="33" t="s">
        <v>411</v>
      </c>
      <c r="E165" s="34">
        <v>43921</v>
      </c>
      <c r="F165" s="34">
        <v>43922</v>
      </c>
      <c r="G165" s="34">
        <v>43927</v>
      </c>
      <c r="H165" s="35">
        <v>0.01</v>
      </c>
      <c r="I165" s="67">
        <v>7.7399999999999997E-2</v>
      </c>
      <c r="J165" s="67">
        <v>0</v>
      </c>
      <c r="K165" s="67">
        <v>7.7399999999999997E-2</v>
      </c>
      <c r="L165" s="36">
        <f>+K165-((K165*0.0000000001*0.125)+(K165*(1-0.000000001)*0.26))</f>
        <v>5.7276000019156496E-2</v>
      </c>
      <c r="M165" s="64">
        <f t="shared" si="3"/>
        <v>5.7276000019156496E-2</v>
      </c>
      <c r="N165" s="33" t="s">
        <v>251</v>
      </c>
    </row>
    <row r="166" spans="1:14" ht="15">
      <c r="A166" s="12"/>
      <c r="B166" s="33" t="s">
        <v>308</v>
      </c>
      <c r="C166" s="92" t="s">
        <v>426</v>
      </c>
      <c r="D166" s="33" t="s">
        <v>411</v>
      </c>
      <c r="E166" s="34">
        <v>43921</v>
      </c>
      <c r="F166" s="34">
        <v>43922</v>
      </c>
      <c r="G166" s="34">
        <v>43927</v>
      </c>
      <c r="H166" s="35">
        <v>1.4999999999999999E-2</v>
      </c>
      <c r="I166" s="67">
        <v>6.1999999999999998E-3</v>
      </c>
      <c r="J166" s="67">
        <v>0</v>
      </c>
      <c r="K166" s="67">
        <v>6.1999999999999998E-3</v>
      </c>
      <c r="L166" s="36">
        <f>+K166-((K166*0.478*0.125)+(K166*(1-0.478)*0.26))</f>
        <v>4.9880860000000001E-3</v>
      </c>
      <c r="M166" s="64">
        <f t="shared" si="3"/>
        <v>4.9880860000000001E-3</v>
      </c>
      <c r="N166" s="33" t="s">
        <v>251</v>
      </c>
    </row>
    <row r="167" spans="1:14" ht="15">
      <c r="A167" s="12" t="s">
        <v>186</v>
      </c>
      <c r="B167" s="33" t="s">
        <v>186</v>
      </c>
      <c r="C167" s="92" t="s">
        <v>363</v>
      </c>
      <c r="D167" s="33" t="s">
        <v>411</v>
      </c>
      <c r="E167" s="34">
        <v>43921</v>
      </c>
      <c r="F167" s="34">
        <v>43922</v>
      </c>
      <c r="G167" s="34">
        <v>43927</v>
      </c>
      <c r="H167" s="35">
        <v>1.4999999999999999E-2</v>
      </c>
      <c r="I167" s="67">
        <v>0.114</v>
      </c>
      <c r="J167" s="67">
        <v>0</v>
      </c>
      <c r="K167" s="67">
        <v>0.114</v>
      </c>
      <c r="L167" s="36">
        <f>+K167-((K167*0.478*0.125)+(K167*(1-0.478)*0.26))</f>
        <v>9.1716419999999993E-2</v>
      </c>
      <c r="M167" s="64">
        <f t="shared" si="3"/>
        <v>9.1716419999999993E-2</v>
      </c>
      <c r="N167" s="33" t="s">
        <v>251</v>
      </c>
    </row>
    <row r="168" spans="1:14" ht="15">
      <c r="A168" s="12" t="s">
        <v>194</v>
      </c>
      <c r="B168" s="33" t="s">
        <v>194</v>
      </c>
      <c r="C168" s="92" t="s">
        <v>364</v>
      </c>
      <c r="D168" s="33" t="s">
        <v>411</v>
      </c>
      <c r="E168" s="34">
        <v>43921</v>
      </c>
      <c r="F168" s="34">
        <v>43922</v>
      </c>
      <c r="G168" s="34">
        <v>43927</v>
      </c>
      <c r="H168" s="35">
        <v>1.4999999999999999E-2</v>
      </c>
      <c r="I168" s="67">
        <v>0.1168</v>
      </c>
      <c r="J168" s="67">
        <v>0</v>
      </c>
      <c r="K168" s="67">
        <v>0.1168</v>
      </c>
      <c r="L168" s="36">
        <f>+K168-((K168*0.478*0.125)+(K168*(1-0.478)*0.26))</f>
        <v>9.3969103999999998E-2</v>
      </c>
      <c r="M168" s="64">
        <f t="shared" si="3"/>
        <v>9.3969103999999998E-2</v>
      </c>
      <c r="N168" s="33" t="s">
        <v>251</v>
      </c>
    </row>
    <row r="169" spans="1:14" ht="15">
      <c r="A169" s="12"/>
      <c r="B169" s="33" t="s">
        <v>307</v>
      </c>
      <c r="C169" s="92" t="s">
        <v>420</v>
      </c>
      <c r="D169" s="33" t="s">
        <v>411</v>
      </c>
      <c r="E169" s="34">
        <v>43921</v>
      </c>
      <c r="F169" s="34">
        <v>43922</v>
      </c>
      <c r="G169" s="34">
        <v>43927</v>
      </c>
      <c r="H169" s="35">
        <v>1.4999999999999999E-2</v>
      </c>
      <c r="I169" s="67">
        <v>6.1999999999999998E-3</v>
      </c>
      <c r="J169" s="67">
        <v>0</v>
      </c>
      <c r="K169" s="67">
        <v>6.1999999999999998E-3</v>
      </c>
      <c r="L169" s="36">
        <f>+K169-((K169*0.588*0.125)+(K169*(1-0.588)*0.26))</f>
        <v>5.0801559999999997E-3</v>
      </c>
      <c r="M169" s="64">
        <f t="shared" si="3"/>
        <v>5.0801559999999997E-3</v>
      </c>
      <c r="N169" s="33" t="s">
        <v>251</v>
      </c>
    </row>
    <row r="170" spans="1:14" ht="15">
      <c r="A170" s="12" t="s">
        <v>185</v>
      </c>
      <c r="B170" s="33" t="s">
        <v>185</v>
      </c>
      <c r="C170" s="92" t="s">
        <v>366</v>
      </c>
      <c r="D170" s="33" t="s">
        <v>411</v>
      </c>
      <c r="E170" s="34">
        <v>43921</v>
      </c>
      <c r="F170" s="34">
        <v>43922</v>
      </c>
      <c r="G170" s="34">
        <v>43927</v>
      </c>
      <c r="H170" s="35">
        <v>1.4999999999999999E-2</v>
      </c>
      <c r="I170" s="67">
        <v>0.10390000000000001</v>
      </c>
      <c r="J170" s="67">
        <v>0</v>
      </c>
      <c r="K170" s="67">
        <v>0.10390000000000001</v>
      </c>
      <c r="L170" s="36">
        <f>+K170-((K170*0.588*0.125)+(K170*(1-0.588)*0.26))</f>
        <v>8.5133582000000013E-2</v>
      </c>
      <c r="M170" s="64">
        <f t="shared" si="3"/>
        <v>8.5133582000000013E-2</v>
      </c>
      <c r="N170" s="33" t="s">
        <v>251</v>
      </c>
    </row>
    <row r="171" spans="1:14" ht="15">
      <c r="A171" s="12" t="s">
        <v>193</v>
      </c>
      <c r="B171" s="33" t="s">
        <v>193</v>
      </c>
      <c r="C171" s="92" t="s">
        <v>367</v>
      </c>
      <c r="D171" s="33" t="s">
        <v>411</v>
      </c>
      <c r="E171" s="34">
        <v>43921</v>
      </c>
      <c r="F171" s="34">
        <v>43922</v>
      </c>
      <c r="G171" s="34">
        <v>43927</v>
      </c>
      <c r="H171" s="35">
        <v>1.4999999999999999E-2</v>
      </c>
      <c r="I171" s="67">
        <v>0.1009</v>
      </c>
      <c r="J171" s="67">
        <v>0</v>
      </c>
      <c r="K171" s="67">
        <v>0.1009</v>
      </c>
      <c r="L171" s="36">
        <f>+K171-((K171*0.588*0.125)+(K171*(1-0.588)*0.26))</f>
        <v>8.2675442000000002E-2</v>
      </c>
      <c r="M171" s="64">
        <f t="shared" si="3"/>
        <v>8.2675442000000002E-2</v>
      </c>
      <c r="N171" s="33" t="s">
        <v>251</v>
      </c>
    </row>
    <row r="172" spans="1:14" ht="15">
      <c r="A172" s="12"/>
      <c r="B172" s="33" t="s">
        <v>309</v>
      </c>
      <c r="C172" s="92" t="s">
        <v>427</v>
      </c>
      <c r="D172" s="33" t="s">
        <v>411</v>
      </c>
      <c r="E172" s="34">
        <v>43921</v>
      </c>
      <c r="F172" s="34">
        <v>43922</v>
      </c>
      <c r="G172" s="34">
        <v>43927</v>
      </c>
      <c r="H172" s="35">
        <v>3.5000000000000003E-2</v>
      </c>
      <c r="I172" s="67">
        <v>1.4500000000000001E-2</v>
      </c>
      <c r="J172" s="67">
        <v>0</v>
      </c>
      <c r="K172" s="67">
        <v>1.4500000000000001E-2</v>
      </c>
      <c r="L172" s="36">
        <f>+K172-((K172*0.001*0.125)+(K172*(1-0.001)*0.26))</f>
        <v>1.07319575E-2</v>
      </c>
      <c r="M172" s="64">
        <f t="shared" si="3"/>
        <v>1.07319575E-2</v>
      </c>
      <c r="N172" s="33" t="s">
        <v>251</v>
      </c>
    </row>
    <row r="173" spans="1:14" ht="15">
      <c r="A173" s="12" t="s">
        <v>187</v>
      </c>
      <c r="B173" s="33" t="s">
        <v>187</v>
      </c>
      <c r="C173" s="92" t="s">
        <v>368</v>
      </c>
      <c r="D173" s="33" t="s">
        <v>411</v>
      </c>
      <c r="E173" s="34">
        <v>43921</v>
      </c>
      <c r="F173" s="34">
        <v>43922</v>
      </c>
      <c r="G173" s="34">
        <v>43927</v>
      </c>
      <c r="H173" s="35">
        <v>3.5000000000000003E-2</v>
      </c>
      <c r="I173" s="67">
        <v>0.25679999999999997</v>
      </c>
      <c r="J173" s="67">
        <v>0</v>
      </c>
      <c r="K173" s="67">
        <v>0.25679999999999997</v>
      </c>
      <c r="L173" s="36">
        <f>+K173-((K173*0.001*0.125)+(K173*(1-0.001)*0.26))</f>
        <v>0.19006666799999999</v>
      </c>
      <c r="M173" s="64">
        <f t="shared" si="3"/>
        <v>0.19006666799999999</v>
      </c>
      <c r="N173" s="33" t="s">
        <v>251</v>
      </c>
    </row>
    <row r="174" spans="1:14" ht="15">
      <c r="A174" s="12" t="s">
        <v>195</v>
      </c>
      <c r="B174" s="33" t="s">
        <v>195</v>
      </c>
      <c r="C174" s="92" t="s">
        <v>369</v>
      </c>
      <c r="D174" s="33" t="s">
        <v>411</v>
      </c>
      <c r="E174" s="34">
        <v>43921</v>
      </c>
      <c r="F174" s="34">
        <v>43922</v>
      </c>
      <c r="G174" s="34">
        <v>43927</v>
      </c>
      <c r="H174" s="35">
        <v>3.5000000000000003E-2</v>
      </c>
      <c r="I174" s="67">
        <v>0.26400000000000001</v>
      </c>
      <c r="J174" s="67">
        <v>0</v>
      </c>
      <c r="K174" s="67">
        <v>0.26400000000000001</v>
      </c>
      <c r="L174" s="36">
        <f>+K174-((K174*0.001*0.125)+(K174*(1-0.001)*0.26))</f>
        <v>0.19539563999999998</v>
      </c>
      <c r="M174" s="64">
        <f t="shared" si="3"/>
        <v>0.19539563999999998</v>
      </c>
      <c r="N174" s="33" t="s">
        <v>251</v>
      </c>
    </row>
    <row r="175" spans="1:14" ht="15">
      <c r="A175" s="12"/>
      <c r="B175" s="33" t="s">
        <v>312</v>
      </c>
      <c r="C175" s="92" t="s">
        <v>428</v>
      </c>
      <c r="D175" s="33" t="s">
        <v>411</v>
      </c>
      <c r="E175" s="34">
        <v>43921</v>
      </c>
      <c r="F175" s="34">
        <v>43922</v>
      </c>
      <c r="G175" s="34">
        <v>43927</v>
      </c>
      <c r="H175" s="35">
        <v>0.05</v>
      </c>
      <c r="I175" s="67">
        <v>2.1100000000000001E-2</v>
      </c>
      <c r="J175" s="67">
        <v>0</v>
      </c>
      <c r="K175" s="67">
        <v>2.1100000000000001E-2</v>
      </c>
      <c r="L175" s="36">
        <f>+K175-((K175*0.002*0.125)+(K175*(1-0.002)*0.26))</f>
        <v>1.5619697E-2</v>
      </c>
      <c r="M175" s="64">
        <f t="shared" si="3"/>
        <v>1.5619697E-2</v>
      </c>
      <c r="N175" s="33" t="s">
        <v>251</v>
      </c>
    </row>
    <row r="176" spans="1:14" ht="15">
      <c r="A176" s="12" t="s">
        <v>190</v>
      </c>
      <c r="B176" s="33" t="s">
        <v>190</v>
      </c>
      <c r="C176" s="92" t="s">
        <v>370</v>
      </c>
      <c r="D176" s="33" t="s">
        <v>411</v>
      </c>
      <c r="E176" s="34">
        <v>43921</v>
      </c>
      <c r="F176" s="34">
        <v>43922</v>
      </c>
      <c r="G176" s="34">
        <v>43927</v>
      </c>
      <c r="H176" s="35">
        <v>0.05</v>
      </c>
      <c r="I176" s="67">
        <v>0.39989999999999998</v>
      </c>
      <c r="J176" s="67">
        <v>0</v>
      </c>
      <c r="K176" s="67">
        <v>0.39989999999999998</v>
      </c>
      <c r="L176" s="36">
        <f>+K176-((K176*0.002*0.125)+(K176*(1-0.002)*0.26))</f>
        <v>0.29603397300000001</v>
      </c>
      <c r="M176" s="64">
        <f t="shared" si="3"/>
        <v>0.29603397300000001</v>
      </c>
      <c r="N176" s="33" t="s">
        <v>251</v>
      </c>
    </row>
    <row r="177" spans="1:14" ht="15">
      <c r="A177" s="12" t="s">
        <v>198</v>
      </c>
      <c r="B177" s="33" t="s">
        <v>198</v>
      </c>
      <c r="C177" s="92" t="s">
        <v>371</v>
      </c>
      <c r="D177" s="33" t="s">
        <v>411</v>
      </c>
      <c r="E177" s="34">
        <v>43921</v>
      </c>
      <c r="F177" s="34">
        <v>43922</v>
      </c>
      <c r="G177" s="34">
        <v>43927</v>
      </c>
      <c r="H177" s="35">
        <v>0.05</v>
      </c>
      <c r="I177" s="67">
        <v>0.39950000000000002</v>
      </c>
      <c r="J177" s="67">
        <v>0</v>
      </c>
      <c r="K177" s="67">
        <v>0.39950000000000002</v>
      </c>
      <c r="L177" s="36">
        <f>+K177-((K177*0.002*0.125)+(K177*(1-0.002)*0.26))</f>
        <v>0.29573786499999999</v>
      </c>
      <c r="M177" s="64">
        <f t="shared" si="3"/>
        <v>0.29573786499999999</v>
      </c>
      <c r="N177" s="33" t="s">
        <v>251</v>
      </c>
    </row>
    <row r="178" spans="1:14" ht="15">
      <c r="A178" s="12"/>
      <c r="B178" s="33" t="s">
        <v>513</v>
      </c>
      <c r="C178" s="92" t="s">
        <v>515</v>
      </c>
      <c r="D178" s="33" t="s">
        <v>411</v>
      </c>
      <c r="E178" s="34">
        <v>43921</v>
      </c>
      <c r="F178" s="34">
        <v>43922</v>
      </c>
      <c r="G178" s="34">
        <v>43927</v>
      </c>
      <c r="H178" s="35">
        <v>0.02</v>
      </c>
      <c r="I178" s="67">
        <v>0.13569999999999999</v>
      </c>
      <c r="J178" s="67">
        <v>0</v>
      </c>
      <c r="K178" s="67">
        <v>0.13569999999999999</v>
      </c>
      <c r="L178" s="36">
        <f>+K178-((K178*0.532*0.125)+(K178*(1-0.532)*0.26))</f>
        <v>0.110163974</v>
      </c>
      <c r="M178" s="64">
        <f t="shared" si="3"/>
        <v>0.110163974</v>
      </c>
      <c r="N178" s="33" t="s">
        <v>251</v>
      </c>
    </row>
    <row r="179" spans="1:14" ht="15">
      <c r="A179" s="12"/>
      <c r="B179" s="33" t="s">
        <v>514</v>
      </c>
      <c r="C179" s="92" t="s">
        <v>516</v>
      </c>
      <c r="D179" s="33" t="s">
        <v>411</v>
      </c>
      <c r="E179" s="34">
        <v>43921</v>
      </c>
      <c r="F179" s="34">
        <v>43922</v>
      </c>
      <c r="G179" s="34">
        <v>43927</v>
      </c>
      <c r="H179" s="35">
        <v>0.02</v>
      </c>
      <c r="I179" s="67">
        <v>0.13639999999999999</v>
      </c>
      <c r="J179" s="67">
        <v>0</v>
      </c>
      <c r="K179" s="67">
        <v>0.13639999999999999</v>
      </c>
      <c r="L179" s="36">
        <f>+K179-((K179*0.532*0.125)+(K179*(1-0.532)*0.26))</f>
        <v>0.11073224799999999</v>
      </c>
      <c r="M179" s="64">
        <f t="shared" si="3"/>
        <v>0.11073224799999999</v>
      </c>
      <c r="N179" s="33" t="s">
        <v>251</v>
      </c>
    </row>
    <row r="180" spans="1:14" ht="15">
      <c r="A180" s="12"/>
      <c r="B180" s="33" t="s">
        <v>313</v>
      </c>
      <c r="C180" s="92" t="s">
        <v>429</v>
      </c>
      <c r="D180" s="33" t="s">
        <v>411</v>
      </c>
      <c r="E180" s="34">
        <v>43921</v>
      </c>
      <c r="F180" s="34">
        <v>43922</v>
      </c>
      <c r="G180" s="34">
        <v>43927</v>
      </c>
      <c r="H180" s="35">
        <v>2.2499999999999999E-2</v>
      </c>
      <c r="I180" s="67">
        <v>9.2999999999999992E-3</v>
      </c>
      <c r="J180" s="67">
        <v>0</v>
      </c>
      <c r="K180" s="67">
        <v>9.2999999999999992E-3</v>
      </c>
      <c r="L180" s="36">
        <f>+K180-((K180*0.135*0.125)+(K180*(1-0.135)*0.26))</f>
        <v>7.0514924999999992E-3</v>
      </c>
      <c r="M180" s="64">
        <f t="shared" si="3"/>
        <v>7.0514924999999992E-3</v>
      </c>
      <c r="N180" s="33" t="s">
        <v>251</v>
      </c>
    </row>
    <row r="181" spans="1:14" ht="15">
      <c r="A181" s="12"/>
      <c r="B181" s="33" t="s">
        <v>298</v>
      </c>
      <c r="C181" s="92" t="s">
        <v>403</v>
      </c>
      <c r="D181" s="33" t="s">
        <v>410</v>
      </c>
      <c r="E181" s="34">
        <v>43921</v>
      </c>
      <c r="F181" s="34">
        <v>43922</v>
      </c>
      <c r="G181" s="34">
        <v>43927</v>
      </c>
      <c r="H181" s="35">
        <v>4.4999999999999998E-2</v>
      </c>
      <c r="I181" s="67">
        <v>5.62E-2</v>
      </c>
      <c r="J181" s="67">
        <v>0</v>
      </c>
      <c r="K181" s="67">
        <v>5.62E-2</v>
      </c>
      <c r="L181" s="36">
        <f>+K181-((K181*0.473*0.125)+(K181*(1-0.473)*0.26))</f>
        <v>4.5176650999999998E-2</v>
      </c>
      <c r="M181" s="64">
        <f t="shared" si="3"/>
        <v>4.5176650999999998E-2</v>
      </c>
      <c r="N181" s="33" t="s">
        <v>248</v>
      </c>
    </row>
    <row r="182" spans="1:14" ht="15">
      <c r="A182" s="12" t="s">
        <v>181</v>
      </c>
      <c r="B182" s="33" t="s">
        <v>181</v>
      </c>
      <c r="C182" s="92" t="s">
        <v>335</v>
      </c>
      <c r="D182" s="33" t="s">
        <v>410</v>
      </c>
      <c r="E182" s="34">
        <v>43921</v>
      </c>
      <c r="F182" s="34">
        <v>43922</v>
      </c>
      <c r="G182" s="34">
        <v>43927</v>
      </c>
      <c r="H182" s="35">
        <v>4.4999999999999998E-2</v>
      </c>
      <c r="I182" s="67">
        <v>1.0031000000000001</v>
      </c>
      <c r="J182" s="67">
        <v>0</v>
      </c>
      <c r="K182" s="67">
        <v>1.0031000000000001</v>
      </c>
      <c r="L182" s="36">
        <f>+K182-((K182*0.473*0.125)+(K182*(1-0.473)*0.26))</f>
        <v>0.80634695050000005</v>
      </c>
      <c r="M182" s="64">
        <f t="shared" si="3"/>
        <v>0.80634695050000005</v>
      </c>
      <c r="N182" s="33" t="s">
        <v>248</v>
      </c>
    </row>
    <row r="183" spans="1:14" ht="15">
      <c r="A183" s="12" t="s">
        <v>201</v>
      </c>
      <c r="B183" s="33" t="s">
        <v>201</v>
      </c>
      <c r="C183" s="92" t="s">
        <v>336</v>
      </c>
      <c r="D183" s="33" t="s">
        <v>410</v>
      </c>
      <c r="E183" s="34">
        <v>43921</v>
      </c>
      <c r="F183" s="34">
        <v>43922</v>
      </c>
      <c r="G183" s="34">
        <v>43927</v>
      </c>
      <c r="H183" s="35">
        <v>4.4999999999999998E-2</v>
      </c>
      <c r="I183" s="67">
        <v>1.014</v>
      </c>
      <c r="J183" s="67">
        <v>0</v>
      </c>
      <c r="K183" s="67">
        <v>1.014</v>
      </c>
      <c r="L183" s="36">
        <f>+K183-((K183*0.473*0.125)+(K183*(1-0.473)*0.26))</f>
        <v>0.81510897000000004</v>
      </c>
      <c r="M183" s="64">
        <f t="shared" si="3"/>
        <v>0.81510897000000004</v>
      </c>
      <c r="N183" s="33" t="s">
        <v>248</v>
      </c>
    </row>
    <row r="184" spans="1:14" ht="15">
      <c r="A184" s="12" t="s">
        <v>88</v>
      </c>
      <c r="B184" s="33" t="s">
        <v>138</v>
      </c>
      <c r="C184" s="92" t="s">
        <v>337</v>
      </c>
      <c r="D184" s="33" t="s">
        <v>410</v>
      </c>
      <c r="E184" s="34">
        <v>43921</v>
      </c>
      <c r="F184" s="34">
        <v>43922</v>
      </c>
      <c r="G184" s="34">
        <v>43927</v>
      </c>
      <c r="H184" s="35">
        <v>0.05</v>
      </c>
      <c r="I184" s="67">
        <v>7.8799999999999995E-2</v>
      </c>
      <c r="J184" s="67">
        <v>0</v>
      </c>
      <c r="K184" s="67">
        <v>7.8799999999999995E-2</v>
      </c>
      <c r="L184" s="36">
        <f>+K184-((K184*0.342*0.125)+(K184*(1-0.342)*0.26))</f>
        <v>6.1950195999999999E-2</v>
      </c>
      <c r="M184" s="64">
        <f t="shared" si="3"/>
        <v>6.1950195999999999E-2</v>
      </c>
      <c r="N184" s="33" t="s">
        <v>248</v>
      </c>
    </row>
    <row r="185" spans="1:14" ht="15">
      <c r="A185" s="12" t="s">
        <v>13</v>
      </c>
      <c r="B185" s="33" t="s">
        <v>160</v>
      </c>
      <c r="C185" s="92" t="s">
        <v>338</v>
      </c>
      <c r="D185" s="33" t="s">
        <v>410</v>
      </c>
      <c r="E185" s="34">
        <v>43921</v>
      </c>
      <c r="F185" s="34">
        <v>43922</v>
      </c>
      <c r="G185" s="34">
        <v>43927</v>
      </c>
      <c r="H185" s="35">
        <v>0.05</v>
      </c>
      <c r="I185" s="67">
        <v>7.8399999999999997E-2</v>
      </c>
      <c r="J185" s="67">
        <v>0</v>
      </c>
      <c r="K185" s="67">
        <v>7.8399999999999997E-2</v>
      </c>
      <c r="L185" s="36">
        <f>+K185-((K185*0.342*0.125)+(K185*(1-0.342)*0.26))</f>
        <v>6.1635728000000001E-2</v>
      </c>
      <c r="M185" s="64">
        <f t="shared" si="3"/>
        <v>6.1635728000000001E-2</v>
      </c>
      <c r="N185" s="33" t="s">
        <v>248</v>
      </c>
    </row>
    <row r="186" spans="1:14" ht="15">
      <c r="A186" s="12"/>
      <c r="B186" s="33" t="s">
        <v>300</v>
      </c>
      <c r="C186" s="92" t="s">
        <v>404</v>
      </c>
      <c r="D186" s="33" t="s">
        <v>410</v>
      </c>
      <c r="E186" s="34">
        <v>43921</v>
      </c>
      <c r="F186" s="34">
        <v>43922</v>
      </c>
      <c r="G186" s="34">
        <v>43927</v>
      </c>
      <c r="H186" s="35">
        <v>0.05</v>
      </c>
      <c r="I186" s="67">
        <v>6.1499999999999999E-2</v>
      </c>
      <c r="J186" s="67">
        <v>0</v>
      </c>
      <c r="K186" s="67">
        <v>6.1499999999999999E-2</v>
      </c>
      <c r="L186" s="36">
        <f>+K186-((K186*0.342*0.125)+(K186*(1-0.342)*0.26))</f>
        <v>4.8349455E-2</v>
      </c>
      <c r="M186" s="64">
        <f t="shared" si="3"/>
        <v>4.8349455E-2</v>
      </c>
      <c r="N186" s="33" t="s">
        <v>248</v>
      </c>
    </row>
    <row r="187" spans="1:14" ht="15">
      <c r="A187" s="12" t="s">
        <v>87</v>
      </c>
      <c r="B187" s="33" t="s">
        <v>142</v>
      </c>
      <c r="C187" s="92" t="s">
        <v>341</v>
      </c>
      <c r="D187" s="33" t="s">
        <v>410</v>
      </c>
      <c r="E187" s="34">
        <v>43921</v>
      </c>
      <c r="F187" s="34">
        <v>43922</v>
      </c>
      <c r="G187" s="34">
        <v>43927</v>
      </c>
      <c r="H187" s="35">
        <v>5.2499999999999998E-2</v>
      </c>
      <c r="I187" s="67">
        <v>8.3900000000000002E-2</v>
      </c>
      <c r="J187" s="67">
        <v>0</v>
      </c>
      <c r="K187" s="67">
        <v>8.3900000000000002E-2</v>
      </c>
      <c r="L187" s="36">
        <f>+K187-((K187*0.01*0.125)+(K187*(1-0.01)*0.26))</f>
        <v>6.2199265000000004E-2</v>
      </c>
      <c r="M187" s="64">
        <f t="shared" si="3"/>
        <v>6.2199265000000004E-2</v>
      </c>
      <c r="N187" s="33" t="s">
        <v>248</v>
      </c>
    </row>
    <row r="188" spans="1:14" ht="15">
      <c r="A188" s="12" t="s">
        <v>14</v>
      </c>
      <c r="B188" s="33" t="s">
        <v>159</v>
      </c>
      <c r="C188" s="92" t="s">
        <v>342</v>
      </c>
      <c r="D188" s="33" t="s">
        <v>410</v>
      </c>
      <c r="E188" s="34">
        <v>43921</v>
      </c>
      <c r="F188" s="34">
        <v>43922</v>
      </c>
      <c r="G188" s="34">
        <v>43927</v>
      </c>
      <c r="H188" s="35">
        <v>5.2499999999999998E-2</v>
      </c>
      <c r="I188" s="67">
        <v>8.3599999999999994E-2</v>
      </c>
      <c r="J188" s="67">
        <v>0</v>
      </c>
      <c r="K188" s="67">
        <v>8.3599999999999994E-2</v>
      </c>
      <c r="L188" s="36">
        <f>+K188-((K188*0.01*0.125)+(K188*(1-0.01)*0.26))</f>
        <v>6.1976859999999995E-2</v>
      </c>
      <c r="M188" s="64">
        <f t="shared" si="3"/>
        <v>6.1976859999999995E-2</v>
      </c>
      <c r="N188" s="33" t="s">
        <v>248</v>
      </c>
    </row>
    <row r="189" spans="1:14" ht="15">
      <c r="A189" s="12"/>
      <c r="B189" s="33" t="s">
        <v>507</v>
      </c>
      <c r="C189" s="92" t="s">
        <v>508</v>
      </c>
      <c r="D189" s="33" t="s">
        <v>410</v>
      </c>
      <c r="E189" s="34">
        <v>43921</v>
      </c>
      <c r="F189" s="34">
        <v>43922</v>
      </c>
      <c r="G189" s="34">
        <v>43927</v>
      </c>
      <c r="H189" s="35">
        <v>5.2499999999999998E-2</v>
      </c>
      <c r="I189" s="67">
        <v>6.5799999999999997E-2</v>
      </c>
      <c r="J189" s="67">
        <v>0</v>
      </c>
      <c r="K189" s="67">
        <v>6.5799999999999997E-2</v>
      </c>
      <c r="L189" s="36">
        <f>+K189-((K189*0.01*0.125)+(K189*(1-0.01)*0.26))</f>
        <v>4.8780829999999997E-2</v>
      </c>
      <c r="M189" s="64">
        <f t="shared" si="3"/>
        <v>4.8780829999999997E-2</v>
      </c>
      <c r="N189" s="33" t="s">
        <v>248</v>
      </c>
    </row>
    <row r="190" spans="1:14" ht="15">
      <c r="A190" s="12" t="s">
        <v>89</v>
      </c>
      <c r="B190" s="33" t="s">
        <v>139</v>
      </c>
      <c r="C190" s="92" t="s">
        <v>344</v>
      </c>
      <c r="D190" s="33" t="s">
        <v>410</v>
      </c>
      <c r="E190" s="34">
        <v>43921</v>
      </c>
      <c r="F190" s="34">
        <v>43922</v>
      </c>
      <c r="G190" s="34">
        <v>43927</v>
      </c>
      <c r="H190" s="35">
        <v>3.5000000000000003E-2</v>
      </c>
      <c r="I190" s="67">
        <v>4.1799999999999997E-2</v>
      </c>
      <c r="J190" s="67">
        <v>0</v>
      </c>
      <c r="K190" s="67">
        <v>4.1799999999999997E-2</v>
      </c>
      <c r="L190" s="36">
        <f>+K190-((K190*0.837*0.125)+(K190*(1-0.837)*0.26))</f>
        <v>3.5655190999999996E-2</v>
      </c>
      <c r="M190" s="64">
        <f t="shared" si="3"/>
        <v>3.5655190999999996E-2</v>
      </c>
      <c r="N190" s="33" t="s">
        <v>248</v>
      </c>
    </row>
    <row r="191" spans="1:14" ht="15">
      <c r="A191" s="12" t="s">
        <v>15</v>
      </c>
      <c r="B191" s="33" t="s">
        <v>161</v>
      </c>
      <c r="C191" s="92" t="s">
        <v>345</v>
      </c>
      <c r="D191" s="33" t="s">
        <v>410</v>
      </c>
      <c r="E191" s="34">
        <v>43921</v>
      </c>
      <c r="F191" s="34">
        <v>43922</v>
      </c>
      <c r="G191" s="34">
        <v>43927</v>
      </c>
      <c r="H191" s="35">
        <v>3.5000000000000003E-2</v>
      </c>
      <c r="I191" s="67">
        <v>4.1700000000000001E-2</v>
      </c>
      <c r="J191" s="67">
        <v>0</v>
      </c>
      <c r="K191" s="67">
        <v>4.1700000000000001E-2</v>
      </c>
      <c r="L191" s="36">
        <f>+K191-((K191*0.837*0.125)+(K191*(1-0.837)*0.26))</f>
        <v>3.5569891499999999E-2</v>
      </c>
      <c r="M191" s="64">
        <f t="shared" si="3"/>
        <v>3.5569891499999999E-2</v>
      </c>
      <c r="N191" s="33" t="s">
        <v>248</v>
      </c>
    </row>
    <row r="192" spans="1:14" ht="15">
      <c r="A192" s="12" t="s">
        <v>91</v>
      </c>
      <c r="B192" s="33" t="s">
        <v>141</v>
      </c>
      <c r="C192" s="92" t="s">
        <v>348</v>
      </c>
      <c r="D192" s="33" t="s">
        <v>410</v>
      </c>
      <c r="E192" s="34">
        <v>43921</v>
      </c>
      <c r="F192" s="34">
        <v>43922</v>
      </c>
      <c r="G192" s="34">
        <v>43927</v>
      </c>
      <c r="H192" s="35">
        <v>4.2500000000000003E-2</v>
      </c>
      <c r="I192" s="67">
        <v>5.1700000000000003E-2</v>
      </c>
      <c r="J192" s="67">
        <v>0</v>
      </c>
      <c r="K192" s="67">
        <v>5.1700000000000003E-2</v>
      </c>
      <c r="L192" s="36">
        <f>+K192-((K192*0.104*0.125)+(K192*(1-0.104)*0.26))</f>
        <v>3.8983868000000005E-2</v>
      </c>
      <c r="M192" s="64">
        <f t="shared" si="3"/>
        <v>3.8983868000000005E-2</v>
      </c>
      <c r="N192" s="33" t="s">
        <v>248</v>
      </c>
    </row>
    <row r="193" spans="1:14" ht="15">
      <c r="A193" s="12" t="s">
        <v>90</v>
      </c>
      <c r="B193" s="33" t="s">
        <v>140</v>
      </c>
      <c r="C193" s="92" t="s">
        <v>349</v>
      </c>
      <c r="D193" s="33" t="s">
        <v>410</v>
      </c>
      <c r="E193" s="34">
        <v>43921</v>
      </c>
      <c r="F193" s="34">
        <v>43922</v>
      </c>
      <c r="G193" s="34">
        <v>43927</v>
      </c>
      <c r="H193" s="35">
        <v>4.2500000000000003E-2</v>
      </c>
      <c r="I193" s="67">
        <v>5.67E-2</v>
      </c>
      <c r="J193" s="67">
        <v>0</v>
      </c>
      <c r="K193" s="67">
        <v>5.67E-2</v>
      </c>
      <c r="L193" s="36">
        <f>+K193-((K193*0.104*0.125)+(K193*(1-0.104)*0.26))</f>
        <v>4.2754067999999999E-2</v>
      </c>
      <c r="M193" s="64">
        <f t="shared" si="3"/>
        <v>4.2754067999999999E-2</v>
      </c>
      <c r="N193" s="33" t="s">
        <v>248</v>
      </c>
    </row>
    <row r="194" spans="1:14" ht="15">
      <c r="A194" s="12" t="s">
        <v>17</v>
      </c>
      <c r="B194" s="33" t="s">
        <v>162</v>
      </c>
      <c r="C194" s="92" t="s">
        <v>350</v>
      </c>
      <c r="D194" s="33" t="s">
        <v>410</v>
      </c>
      <c r="E194" s="34">
        <v>43921</v>
      </c>
      <c r="F194" s="34">
        <v>43922</v>
      </c>
      <c r="G194" s="34">
        <v>43927</v>
      </c>
      <c r="H194" s="35">
        <v>4.2500000000000003E-2</v>
      </c>
      <c r="I194" s="67">
        <v>5.6500000000000002E-2</v>
      </c>
      <c r="J194" s="67">
        <v>0</v>
      </c>
      <c r="K194" s="67">
        <v>5.6500000000000002E-2</v>
      </c>
      <c r="L194" s="36">
        <f>+K194-((K194*0.104*0.125)+(K194*(1-0.104)*0.26))</f>
        <v>4.2603260000000004E-2</v>
      </c>
      <c r="M194" s="64">
        <f t="shared" si="3"/>
        <v>4.2603260000000004E-2</v>
      </c>
      <c r="N194" s="33" t="s">
        <v>248</v>
      </c>
    </row>
    <row r="195" spans="1:14" ht="15">
      <c r="A195" s="12"/>
      <c r="B195" s="33" t="s">
        <v>302</v>
      </c>
      <c r="C195" s="92" t="s">
        <v>405</v>
      </c>
      <c r="D195" s="33" t="s">
        <v>410</v>
      </c>
      <c r="E195" s="34">
        <v>43921</v>
      </c>
      <c r="F195" s="34">
        <v>43922</v>
      </c>
      <c r="G195" s="34">
        <v>43927</v>
      </c>
      <c r="H195" s="35">
        <v>4.2500000000000003E-2</v>
      </c>
      <c r="I195" s="67">
        <v>5.3800000000000001E-2</v>
      </c>
      <c r="J195" s="67">
        <v>0</v>
      </c>
      <c r="K195" s="67">
        <v>5.3800000000000001E-2</v>
      </c>
      <c r="L195" s="36">
        <f>+K195-((K195*0.104*0.125)+(K195*(1-0.104)*0.26))</f>
        <v>4.0567352000000001E-2</v>
      </c>
      <c r="M195" s="64">
        <f t="shared" si="3"/>
        <v>4.0567352000000001E-2</v>
      </c>
      <c r="N195" s="33" t="s">
        <v>248</v>
      </c>
    </row>
    <row r="196" spans="1:14" ht="15">
      <c r="A196" s="12"/>
      <c r="B196" s="33" t="s">
        <v>303</v>
      </c>
      <c r="C196" s="92" t="s">
        <v>406</v>
      </c>
      <c r="D196" s="33" t="s">
        <v>410</v>
      </c>
      <c r="E196" s="34">
        <v>43921</v>
      </c>
      <c r="F196" s="34">
        <v>43922</v>
      </c>
      <c r="G196" s="34">
        <v>43927</v>
      </c>
      <c r="H196" s="35">
        <v>4.2500000000000003E-2</v>
      </c>
      <c r="I196" s="67">
        <v>5.3199999999999997E-2</v>
      </c>
      <c r="J196" s="67">
        <v>0</v>
      </c>
      <c r="K196" s="67">
        <v>5.3199999999999997E-2</v>
      </c>
      <c r="L196" s="36">
        <f>+K196-((K196*0.104*0.125)+(K196*(1-0.104)*0.26))</f>
        <v>4.0114927999999994E-2</v>
      </c>
      <c r="M196" s="64">
        <f t="shared" si="3"/>
        <v>4.0114927999999994E-2</v>
      </c>
      <c r="N196" s="33" t="s">
        <v>248</v>
      </c>
    </row>
    <row r="197" spans="1:14" ht="15">
      <c r="A197" s="12" t="s">
        <v>92</v>
      </c>
      <c r="B197" s="33" t="s">
        <v>143</v>
      </c>
      <c r="C197" s="92" t="s">
        <v>351</v>
      </c>
      <c r="D197" s="33" t="s">
        <v>410</v>
      </c>
      <c r="E197" s="34">
        <v>43921</v>
      </c>
      <c r="F197" s="34">
        <v>43922</v>
      </c>
      <c r="G197" s="34">
        <v>43927</v>
      </c>
      <c r="H197" s="35">
        <v>4.0000000000000001E-3</v>
      </c>
      <c r="I197" s="67">
        <v>5.1000000000000004E-3</v>
      </c>
      <c r="J197" s="67">
        <v>0</v>
      </c>
      <c r="K197" s="67">
        <v>5.1000000000000004E-3</v>
      </c>
      <c r="L197" s="36">
        <f>+K197-((K197*0.666*0.125)+(K197*(1-0.666)*0.26))</f>
        <v>4.2325410000000003E-3</v>
      </c>
      <c r="M197" s="64">
        <f t="shared" si="3"/>
        <v>4.2325410000000003E-3</v>
      </c>
      <c r="N197" s="33" t="s">
        <v>248</v>
      </c>
    </row>
    <row r="198" spans="1:14" ht="15">
      <c r="A198" s="12" t="s">
        <v>94</v>
      </c>
      <c r="B198" s="33" t="s">
        <v>145</v>
      </c>
      <c r="C198" s="92" t="s">
        <v>352</v>
      </c>
      <c r="D198" s="33" t="s">
        <v>410</v>
      </c>
      <c r="E198" s="34">
        <v>43921</v>
      </c>
      <c r="F198" s="34">
        <v>43922</v>
      </c>
      <c r="G198" s="34">
        <v>43927</v>
      </c>
      <c r="H198" s="35">
        <v>4.4999999999999997E-3</v>
      </c>
      <c r="I198" s="67">
        <v>5.7999999999999996E-3</v>
      </c>
      <c r="J198" s="67">
        <v>0</v>
      </c>
      <c r="K198" s="67">
        <v>5.7999999999999996E-3</v>
      </c>
      <c r="L198" s="36">
        <f>+K198-((K198*0.008*0.125)+(K198*(1-0.008)*0.26))</f>
        <v>4.2982639999999996E-3</v>
      </c>
      <c r="M198" s="64">
        <f t="shared" ref="M198:M261" si="4">J198+L198</f>
        <v>4.2982639999999996E-3</v>
      </c>
      <c r="N198" s="33" t="s">
        <v>248</v>
      </c>
    </row>
    <row r="199" spans="1:14" ht="15">
      <c r="A199" s="12" t="s">
        <v>93</v>
      </c>
      <c r="B199" s="33" t="s">
        <v>144</v>
      </c>
      <c r="C199" s="92" t="s">
        <v>353</v>
      </c>
      <c r="D199" s="33" t="s">
        <v>410</v>
      </c>
      <c r="E199" s="34">
        <v>43921</v>
      </c>
      <c r="F199" s="34">
        <v>43922</v>
      </c>
      <c r="G199" s="34">
        <v>43927</v>
      </c>
      <c r="H199" s="35">
        <v>2E-3</v>
      </c>
      <c r="I199" s="67">
        <v>2.5000000000000001E-3</v>
      </c>
      <c r="J199" s="67">
        <v>0</v>
      </c>
      <c r="K199" s="67">
        <v>2.5000000000000001E-3</v>
      </c>
      <c r="L199" s="36">
        <f>+K199-((K199*0.949*0.125)+(K199*(1-0.949)*0.26))</f>
        <v>2.1702875000000001E-3</v>
      </c>
      <c r="M199" s="64">
        <f t="shared" si="4"/>
        <v>2.1702875000000001E-3</v>
      </c>
      <c r="N199" s="33" t="s">
        <v>248</v>
      </c>
    </row>
    <row r="200" spans="1:14" ht="15">
      <c r="A200" s="12" t="s">
        <v>97</v>
      </c>
      <c r="B200" s="33" t="s">
        <v>148</v>
      </c>
      <c r="C200" s="92" t="s">
        <v>362</v>
      </c>
      <c r="D200" s="33" t="s">
        <v>410</v>
      </c>
      <c r="E200" s="34">
        <v>43921</v>
      </c>
      <c r="F200" s="34">
        <v>43922</v>
      </c>
      <c r="G200" s="34">
        <v>43927</v>
      </c>
      <c r="H200" s="35">
        <v>1.4999999999999999E-2</v>
      </c>
      <c r="I200" s="67">
        <v>1.9900000000000001E-2</v>
      </c>
      <c r="J200" s="67">
        <v>0</v>
      </c>
      <c r="K200" s="67">
        <v>1.9900000000000001E-2</v>
      </c>
      <c r="L200" s="36">
        <f>+K200-((K200*0.478*0.125)+(K200*(1-0.478)*0.26))</f>
        <v>1.6010147000000002E-2</v>
      </c>
      <c r="M200" s="64">
        <f t="shared" si="4"/>
        <v>1.6010147000000002E-2</v>
      </c>
      <c r="N200" s="33" t="s">
        <v>248</v>
      </c>
    </row>
    <row r="201" spans="1:14" ht="15">
      <c r="A201" s="12" t="s">
        <v>200</v>
      </c>
      <c r="B201" s="33" t="s">
        <v>200</v>
      </c>
      <c r="C201" s="92" t="s">
        <v>365</v>
      </c>
      <c r="D201" s="33" t="s">
        <v>410</v>
      </c>
      <c r="E201" s="34">
        <v>43921</v>
      </c>
      <c r="F201" s="34">
        <v>43922</v>
      </c>
      <c r="G201" s="34">
        <v>43927</v>
      </c>
      <c r="H201" s="35">
        <v>1.4999999999999999E-2</v>
      </c>
      <c r="I201" s="67">
        <v>0.37040000000000001</v>
      </c>
      <c r="J201" s="67">
        <v>0</v>
      </c>
      <c r="K201" s="67">
        <v>0.37040000000000001</v>
      </c>
      <c r="L201" s="36">
        <f>+K201-((K201*0.478*0.125)+(K201*(1-0.478)*0.26))</f>
        <v>0.29799791200000003</v>
      </c>
      <c r="M201" s="64">
        <f t="shared" si="4"/>
        <v>0.29799791200000003</v>
      </c>
      <c r="N201" s="33" t="s">
        <v>248</v>
      </c>
    </row>
    <row r="202" spans="1:14" ht="15">
      <c r="A202" s="12" t="s">
        <v>58</v>
      </c>
      <c r="B202" s="33" t="s">
        <v>173</v>
      </c>
      <c r="C202" s="92" t="s">
        <v>372</v>
      </c>
      <c r="D202" s="33" t="s">
        <v>410</v>
      </c>
      <c r="E202" s="34">
        <v>43921</v>
      </c>
      <c r="F202" s="34">
        <v>43922</v>
      </c>
      <c r="G202" s="34">
        <v>43927</v>
      </c>
      <c r="H202" s="35">
        <v>0.01</v>
      </c>
      <c r="I202" s="67">
        <v>1.3100000000000001E-2</v>
      </c>
      <c r="J202" s="67">
        <v>0</v>
      </c>
      <c r="K202" s="67">
        <v>1.3100000000000001E-2</v>
      </c>
      <c r="L202" s="36">
        <f>+K202-((K202*0.4*0.125)+(K202*(1-0.4)*0.26))</f>
        <v>1.04014E-2</v>
      </c>
      <c r="M202" s="64">
        <f t="shared" si="4"/>
        <v>1.04014E-2</v>
      </c>
      <c r="N202" s="33" t="s">
        <v>248</v>
      </c>
    </row>
    <row r="203" spans="1:14" ht="15">
      <c r="A203" s="12" t="s">
        <v>99</v>
      </c>
      <c r="B203" s="33" t="s">
        <v>150</v>
      </c>
      <c r="C203" s="92" t="s">
        <v>377</v>
      </c>
      <c r="D203" s="33" t="s">
        <v>410</v>
      </c>
      <c r="E203" s="34">
        <v>43921</v>
      </c>
      <c r="F203" s="34">
        <v>43922</v>
      </c>
      <c r="G203" s="34">
        <v>43927</v>
      </c>
      <c r="H203" s="35">
        <v>2.2499999999999999E-2</v>
      </c>
      <c r="I203" s="67">
        <v>3.1699999999999999E-2</v>
      </c>
      <c r="J203" s="67">
        <v>0</v>
      </c>
      <c r="K203" s="67">
        <v>3.1699999999999999E-2</v>
      </c>
      <c r="L203" s="36">
        <f>+K203-((K203*0.00000001*0.125)+(K203*(1-0.00000001)*0.26))</f>
        <v>2.3458000042795E-2</v>
      </c>
      <c r="M203" s="64">
        <f t="shared" si="4"/>
        <v>2.3458000042795E-2</v>
      </c>
      <c r="N203" s="33" t="s">
        <v>248</v>
      </c>
    </row>
    <row r="204" spans="1:14" ht="15">
      <c r="A204" s="12"/>
      <c r="B204" s="33" t="s">
        <v>510</v>
      </c>
      <c r="C204" s="92" t="s">
        <v>509</v>
      </c>
      <c r="D204" s="33" t="s">
        <v>410</v>
      </c>
      <c r="E204" s="34">
        <v>43921</v>
      </c>
      <c r="F204" s="34">
        <v>43922</v>
      </c>
      <c r="G204" s="34">
        <v>43927</v>
      </c>
      <c r="H204" s="35">
        <v>2.2499999999999999E-2</v>
      </c>
      <c r="I204" s="67">
        <v>2.81E-2</v>
      </c>
      <c r="J204" s="67">
        <v>0</v>
      </c>
      <c r="K204" s="67">
        <v>2.81E-2</v>
      </c>
      <c r="L204" s="36">
        <f>+K204-((K204*0.00000001*0.125)+(K204*(1-0.00000001)*0.26))</f>
        <v>2.0794000037934999E-2</v>
      </c>
      <c r="M204" s="64">
        <f t="shared" si="4"/>
        <v>2.0794000037934999E-2</v>
      </c>
      <c r="N204" s="33" t="s">
        <v>248</v>
      </c>
    </row>
    <row r="205" spans="1:14" ht="15">
      <c r="A205" s="12"/>
      <c r="B205" s="33" t="s">
        <v>441</v>
      </c>
      <c r="C205" s="92" t="s">
        <v>444</v>
      </c>
      <c r="D205" s="33" t="s">
        <v>410</v>
      </c>
      <c r="E205" s="34">
        <v>43921</v>
      </c>
      <c r="F205" s="34">
        <v>43922</v>
      </c>
      <c r="G205" s="34">
        <v>43927</v>
      </c>
      <c r="H205" s="35">
        <v>1.4999999999999999E-2</v>
      </c>
      <c r="I205" s="67">
        <v>1.8700000000000001E-2</v>
      </c>
      <c r="J205" s="67">
        <v>0</v>
      </c>
      <c r="K205" s="67">
        <v>1.8700000000000001E-2</v>
      </c>
      <c r="L205" s="36">
        <f>+K205-((K205*0.199*0.125)+(K205*(1-0.199)*0.26))</f>
        <v>1.4340375500000002E-2</v>
      </c>
      <c r="M205" s="64">
        <f t="shared" si="4"/>
        <v>1.4340375500000002E-2</v>
      </c>
      <c r="N205" s="33" t="s">
        <v>248</v>
      </c>
    </row>
    <row r="206" spans="1:14" ht="15">
      <c r="A206" s="12"/>
      <c r="B206" s="33" t="s">
        <v>439</v>
      </c>
      <c r="C206" s="92" t="s">
        <v>442</v>
      </c>
      <c r="D206" s="33" t="s">
        <v>410</v>
      </c>
      <c r="E206" s="34">
        <v>43921</v>
      </c>
      <c r="F206" s="34">
        <v>43922</v>
      </c>
      <c r="G206" s="34">
        <v>43927</v>
      </c>
      <c r="H206" s="35">
        <v>1.4999999999999999E-2</v>
      </c>
      <c r="I206" s="67">
        <v>0.377</v>
      </c>
      <c r="J206" s="67">
        <v>0</v>
      </c>
      <c r="K206" s="67">
        <v>0.377</v>
      </c>
      <c r="L206" s="36">
        <f>+K206-((K206*0.199*0.125)+(K206*(1-0.199)*0.26))</f>
        <v>0.289108105</v>
      </c>
      <c r="M206" s="64">
        <f t="shared" si="4"/>
        <v>0.289108105</v>
      </c>
      <c r="N206" s="33" t="s">
        <v>248</v>
      </c>
    </row>
    <row r="207" spans="1:14" ht="15">
      <c r="A207" s="12"/>
      <c r="B207" s="33" t="s">
        <v>440</v>
      </c>
      <c r="C207" s="92" t="s">
        <v>443</v>
      </c>
      <c r="D207" s="33" t="s">
        <v>410</v>
      </c>
      <c r="E207" s="34">
        <v>43921</v>
      </c>
      <c r="F207" s="34">
        <v>43922</v>
      </c>
      <c r="G207" s="34">
        <v>43927</v>
      </c>
      <c r="H207" s="35">
        <v>1.4999999999999999E-2</v>
      </c>
      <c r="I207" s="67">
        <v>0.37919999999999998</v>
      </c>
      <c r="J207" s="67">
        <v>0</v>
      </c>
      <c r="K207" s="67">
        <v>0.37919999999999998</v>
      </c>
      <c r="L207" s="36">
        <f>+K207-((K207*0.199*0.125)+(K207*(1-0.199)*0.26))</f>
        <v>0.29079520799999997</v>
      </c>
      <c r="M207" s="64">
        <f t="shared" si="4"/>
        <v>0.29079520799999997</v>
      </c>
      <c r="N207" s="33" t="s">
        <v>248</v>
      </c>
    </row>
    <row r="208" spans="1:14" ht="15">
      <c r="A208" s="12"/>
      <c r="B208" s="33" t="s">
        <v>299</v>
      </c>
      <c r="C208" s="92" t="s">
        <v>517</v>
      </c>
      <c r="D208" s="33" t="s">
        <v>410</v>
      </c>
      <c r="E208" s="34">
        <v>43921</v>
      </c>
      <c r="F208" s="34">
        <v>43922</v>
      </c>
      <c r="G208" s="34">
        <v>43927</v>
      </c>
      <c r="H208" s="35">
        <v>1.4999999999999999E-2</v>
      </c>
      <c r="I208" s="67">
        <v>1.8700000000000001E-2</v>
      </c>
      <c r="J208" s="67">
        <v>1.8700000000000001E-2</v>
      </c>
      <c r="K208" s="67">
        <v>0</v>
      </c>
      <c r="L208" s="36">
        <f>+K208-((K208*0.345*0.125)+(K208*(1-0.345)*0.26))</f>
        <v>0</v>
      </c>
      <c r="M208" s="64">
        <f t="shared" si="4"/>
        <v>1.8700000000000001E-2</v>
      </c>
      <c r="N208" s="33" t="s">
        <v>248</v>
      </c>
    </row>
    <row r="209" spans="1:14" ht="15">
      <c r="A209" s="12" t="s">
        <v>182</v>
      </c>
      <c r="B209" s="33" t="s">
        <v>182</v>
      </c>
      <c r="C209" s="92" t="s">
        <v>477</v>
      </c>
      <c r="D209" s="33" t="s">
        <v>410</v>
      </c>
      <c r="E209" s="34">
        <v>43921</v>
      </c>
      <c r="F209" s="34">
        <v>43922</v>
      </c>
      <c r="G209" s="34">
        <v>43927</v>
      </c>
      <c r="H209" s="35">
        <v>1.4999999999999999E-2</v>
      </c>
      <c r="I209" s="67">
        <v>0.36559999999999998</v>
      </c>
      <c r="J209" s="67">
        <v>0</v>
      </c>
      <c r="K209" s="67">
        <v>0.36559999999999998</v>
      </c>
      <c r="L209" s="36">
        <f>+K209-((K209*0.345*0.125)+(K209*(1-0.345)*0.26))</f>
        <v>0.28757181999999998</v>
      </c>
      <c r="M209" s="64">
        <f t="shared" si="4"/>
        <v>0.28757181999999998</v>
      </c>
      <c r="N209" s="33" t="s">
        <v>248</v>
      </c>
    </row>
    <row r="210" spans="1:14" ht="15">
      <c r="A210" s="12" t="s">
        <v>202</v>
      </c>
      <c r="B210" s="33" t="s">
        <v>202</v>
      </c>
      <c r="C210" s="92" t="s">
        <v>478</v>
      </c>
      <c r="D210" s="33" t="s">
        <v>410</v>
      </c>
      <c r="E210" s="34">
        <v>43921</v>
      </c>
      <c r="F210" s="34">
        <v>43922</v>
      </c>
      <c r="G210" s="34">
        <v>43927</v>
      </c>
      <c r="H210" s="35">
        <v>1.4999999999999999E-2</v>
      </c>
      <c r="I210" s="67">
        <v>0.36809999999999998</v>
      </c>
      <c r="J210" s="67">
        <v>0</v>
      </c>
      <c r="K210" s="67">
        <v>0.36809999999999998</v>
      </c>
      <c r="L210" s="36">
        <f>+K210-((K210*0.345*0.125)+(K210*(1-0.345)*0.26))</f>
        <v>0.28953825749999995</v>
      </c>
      <c r="M210" s="64">
        <f t="shared" si="4"/>
        <v>0.28953825749999995</v>
      </c>
      <c r="N210" s="33" t="s">
        <v>248</v>
      </c>
    </row>
    <row r="211" spans="1:14" ht="15">
      <c r="A211" s="12" t="s">
        <v>95</v>
      </c>
      <c r="B211" s="33" t="s">
        <v>146</v>
      </c>
      <c r="C211" s="92" t="s">
        <v>380</v>
      </c>
      <c r="D211" s="33" t="s">
        <v>410</v>
      </c>
      <c r="E211" s="34">
        <v>43921</v>
      </c>
      <c r="F211" s="34">
        <v>43922</v>
      </c>
      <c r="G211" s="34">
        <v>43927</v>
      </c>
      <c r="H211" s="35">
        <v>2.5000000000000001E-2</v>
      </c>
      <c r="I211" s="67">
        <v>3.95E-2</v>
      </c>
      <c r="J211" s="67">
        <v>0</v>
      </c>
      <c r="K211" s="67">
        <v>3.95E-2</v>
      </c>
      <c r="L211" s="36">
        <f>+K211-((K211*0.004*0.125)+(K211*(1-0.004)*0.26))</f>
        <v>2.9251329999999999E-2</v>
      </c>
      <c r="M211" s="64">
        <f t="shared" si="4"/>
        <v>2.9251329999999999E-2</v>
      </c>
      <c r="N211" s="33" t="s">
        <v>248</v>
      </c>
    </row>
    <row r="212" spans="1:14" ht="15">
      <c r="A212" s="12" t="s">
        <v>10</v>
      </c>
      <c r="B212" s="33" t="s">
        <v>163</v>
      </c>
      <c r="C212" s="92" t="s">
        <v>381</v>
      </c>
      <c r="D212" s="33" t="s">
        <v>410</v>
      </c>
      <c r="E212" s="34">
        <v>43921</v>
      </c>
      <c r="F212" s="34">
        <v>43922</v>
      </c>
      <c r="G212" s="34">
        <v>43927</v>
      </c>
      <c r="H212" s="35">
        <v>2.5000000000000001E-2</v>
      </c>
      <c r="I212" s="67">
        <v>3.5700000000000003E-2</v>
      </c>
      <c r="J212" s="67">
        <v>0</v>
      </c>
      <c r="K212" s="67">
        <v>3.5700000000000003E-2</v>
      </c>
      <c r="L212" s="36">
        <f>+K212-((K212*0.004*0.125)+(K212*(1-0.004)*0.26))</f>
        <v>2.6437278000000002E-2</v>
      </c>
      <c r="M212" s="64">
        <f t="shared" si="4"/>
        <v>2.6437278000000002E-2</v>
      </c>
      <c r="N212" s="33" t="s">
        <v>248</v>
      </c>
    </row>
    <row r="213" spans="1:14" ht="15">
      <c r="A213" s="12" t="s">
        <v>100</v>
      </c>
      <c r="B213" s="33" t="s">
        <v>151</v>
      </c>
      <c r="C213" s="92" t="s">
        <v>383</v>
      </c>
      <c r="D213" s="33" t="s">
        <v>410</v>
      </c>
      <c r="E213" s="34">
        <v>43921</v>
      </c>
      <c r="F213" s="34">
        <v>43922</v>
      </c>
      <c r="G213" s="34">
        <v>43927</v>
      </c>
      <c r="H213" s="35">
        <v>2.3E-2</v>
      </c>
      <c r="I213" s="67">
        <v>2.8799999999999999E-2</v>
      </c>
      <c r="J213" s="67">
        <v>0</v>
      </c>
      <c r="K213" s="67">
        <v>2.8799999999999999E-2</v>
      </c>
      <c r="L213" s="36">
        <f>+K213-((K213*0.004*0.125)+(K213*(1-0.004)*0.26))</f>
        <v>2.1327552E-2</v>
      </c>
      <c r="M213" s="64">
        <f t="shared" si="4"/>
        <v>2.1327552E-2</v>
      </c>
      <c r="N213" s="33" t="s">
        <v>248</v>
      </c>
    </row>
    <row r="214" spans="1:14" ht="15">
      <c r="A214" s="12" t="s">
        <v>27</v>
      </c>
      <c r="B214" s="33" t="s">
        <v>166</v>
      </c>
      <c r="C214" s="92" t="s">
        <v>384</v>
      </c>
      <c r="D214" s="33" t="s">
        <v>410</v>
      </c>
      <c r="E214" s="34">
        <v>43921</v>
      </c>
      <c r="F214" s="34">
        <v>43922</v>
      </c>
      <c r="G214" s="34">
        <v>43927</v>
      </c>
      <c r="H214" s="35">
        <v>2.3E-2</v>
      </c>
      <c r="I214" s="67">
        <v>2.8799999999999999E-2</v>
      </c>
      <c r="J214" s="67">
        <v>0</v>
      </c>
      <c r="K214" s="67">
        <v>2.8799999999999999E-2</v>
      </c>
      <c r="L214" s="36">
        <f>+K214-((K214*0.004*0.125)+(K214*(1-0.004)*0.26))</f>
        <v>2.1327552E-2</v>
      </c>
      <c r="M214" s="64">
        <f t="shared" si="4"/>
        <v>2.1327552E-2</v>
      </c>
      <c r="N214" s="33" t="s">
        <v>248</v>
      </c>
    </row>
    <row r="215" spans="1:14" ht="15">
      <c r="A215" s="12" t="s">
        <v>98</v>
      </c>
      <c r="B215" s="33" t="s">
        <v>149</v>
      </c>
      <c r="C215" s="92" t="s">
        <v>386</v>
      </c>
      <c r="D215" s="33" t="s">
        <v>410</v>
      </c>
      <c r="E215" s="34">
        <v>43921</v>
      </c>
      <c r="F215" s="34">
        <v>43922</v>
      </c>
      <c r="G215" s="34">
        <v>43927</v>
      </c>
      <c r="H215" s="35">
        <v>0.05</v>
      </c>
      <c r="I215" s="67">
        <v>7.6399999999999996E-2</v>
      </c>
      <c r="J215" s="67">
        <v>0</v>
      </c>
      <c r="K215" s="67">
        <v>7.6399999999999996E-2</v>
      </c>
      <c r="L215" s="36">
        <f>+K215-((K215*0.09*0.125)+(K215*(1-0.092)*0.26))</f>
        <v>5.7503987999999999E-2</v>
      </c>
      <c r="M215" s="64">
        <f t="shared" si="4"/>
        <v>5.7503987999999999E-2</v>
      </c>
      <c r="N215" s="33" t="s">
        <v>248</v>
      </c>
    </row>
    <row r="216" spans="1:14" ht="15">
      <c r="A216" s="12" t="s">
        <v>11</v>
      </c>
      <c r="B216" s="33" t="s">
        <v>165</v>
      </c>
      <c r="C216" s="92" t="s">
        <v>387</v>
      </c>
      <c r="D216" s="33" t="s">
        <v>410</v>
      </c>
      <c r="E216" s="34">
        <v>43921</v>
      </c>
      <c r="F216" s="34">
        <v>43922</v>
      </c>
      <c r="G216" s="34">
        <v>43927</v>
      </c>
      <c r="H216" s="35">
        <v>0.05</v>
      </c>
      <c r="I216" s="67">
        <v>7.22E-2</v>
      </c>
      <c r="J216" s="67">
        <v>0</v>
      </c>
      <c r="K216" s="67">
        <v>7.22E-2</v>
      </c>
      <c r="L216" s="36">
        <f>+K216-((K216*0.09*0.125)+(K216*(1-0.092)*0.26))</f>
        <v>5.4342773999999996E-2</v>
      </c>
      <c r="M216" s="64">
        <f t="shared" si="4"/>
        <v>5.4342773999999996E-2</v>
      </c>
      <c r="N216" s="33" t="s">
        <v>248</v>
      </c>
    </row>
    <row r="217" spans="1:14" ht="15">
      <c r="A217" s="12" t="s">
        <v>102</v>
      </c>
      <c r="B217" s="33" t="s">
        <v>153</v>
      </c>
      <c r="C217" s="92" t="s">
        <v>394</v>
      </c>
      <c r="D217" s="33" t="s">
        <v>410</v>
      </c>
      <c r="E217" s="34">
        <v>43921</v>
      </c>
      <c r="F217" s="34">
        <v>43922</v>
      </c>
      <c r="G217" s="34">
        <v>43927</v>
      </c>
      <c r="H217" s="35">
        <v>2.5000000000000001E-2</v>
      </c>
      <c r="I217" s="67">
        <v>3.0099999999999998E-2</v>
      </c>
      <c r="J217" s="67">
        <v>0</v>
      </c>
      <c r="K217" s="67">
        <v>3.0099999999999998E-2</v>
      </c>
      <c r="L217" s="36">
        <f>+K217-((K217*0.089*0.125)+(K217*(1-0.089)*0.26))</f>
        <v>2.2635651499999999E-2</v>
      </c>
      <c r="M217" s="64">
        <f t="shared" si="4"/>
        <v>2.2635651499999999E-2</v>
      </c>
      <c r="N217" s="33" t="s">
        <v>248</v>
      </c>
    </row>
    <row r="218" spans="1:14" ht="15">
      <c r="A218" s="12" t="s">
        <v>101</v>
      </c>
      <c r="B218" s="33" t="s">
        <v>152</v>
      </c>
      <c r="C218" s="92" t="s">
        <v>395</v>
      </c>
      <c r="D218" s="33" t="s">
        <v>410</v>
      </c>
      <c r="E218" s="34">
        <v>43921</v>
      </c>
      <c r="F218" s="34">
        <v>43922</v>
      </c>
      <c r="G218" s="34">
        <v>43927</v>
      </c>
      <c r="H218" s="35">
        <v>2.5000000000000001E-2</v>
      </c>
      <c r="I218" s="67">
        <v>4.0599999999999997E-2</v>
      </c>
      <c r="J218" s="67">
        <v>0</v>
      </c>
      <c r="K218" s="67">
        <v>4.0599999999999997E-2</v>
      </c>
      <c r="L218" s="36">
        <f>+K218-((K218*0.089*0.125)+(K218*(1-0.089)*0.26))</f>
        <v>3.0531808999999997E-2</v>
      </c>
      <c r="M218" s="64">
        <f t="shared" si="4"/>
        <v>3.0531808999999997E-2</v>
      </c>
      <c r="N218" s="33" t="s">
        <v>248</v>
      </c>
    </row>
    <row r="219" spans="1:14" ht="15">
      <c r="A219" s="12" t="s">
        <v>12</v>
      </c>
      <c r="B219" s="33" t="s">
        <v>167</v>
      </c>
      <c r="C219" s="92" t="s">
        <v>396</v>
      </c>
      <c r="D219" s="33" t="s">
        <v>410</v>
      </c>
      <c r="E219" s="34">
        <v>43921</v>
      </c>
      <c r="F219" s="34">
        <v>43922</v>
      </c>
      <c r="G219" s="34">
        <v>43927</v>
      </c>
      <c r="H219" s="35">
        <v>2.5000000000000001E-2</v>
      </c>
      <c r="I219" s="67">
        <v>3.9199999999999999E-2</v>
      </c>
      <c r="J219" s="67">
        <v>0</v>
      </c>
      <c r="K219" s="67">
        <v>3.9199999999999999E-2</v>
      </c>
      <c r="L219" s="36">
        <f>+K219-((K219*0.089*0.125)+(K219*(1-0.089)*0.26))</f>
        <v>2.9478987999999998E-2</v>
      </c>
      <c r="M219" s="64">
        <f t="shared" si="4"/>
        <v>2.9478987999999998E-2</v>
      </c>
      <c r="N219" s="33" t="s">
        <v>248</v>
      </c>
    </row>
    <row r="220" spans="1:14" ht="15">
      <c r="A220" s="12"/>
      <c r="B220" s="33" t="s">
        <v>301</v>
      </c>
      <c r="C220" s="92" t="s">
        <v>407</v>
      </c>
      <c r="D220" s="33" t="s">
        <v>410</v>
      </c>
      <c r="E220" s="34">
        <v>43921</v>
      </c>
      <c r="F220" s="34">
        <v>43922</v>
      </c>
      <c r="G220" s="34">
        <v>43927</v>
      </c>
      <c r="H220" s="35">
        <v>2.5000000000000001E-2</v>
      </c>
      <c r="I220" s="67">
        <v>3.09E-2</v>
      </c>
      <c r="J220" s="67">
        <v>0</v>
      </c>
      <c r="K220" s="67">
        <v>3.09E-2</v>
      </c>
      <c r="L220" s="36">
        <f>+K220-((K220*0.089*0.125)+(K220*(1-0.089)*0.26))</f>
        <v>2.3237263500000001E-2</v>
      </c>
      <c r="M220" s="64">
        <f t="shared" si="4"/>
        <v>2.3237263500000001E-2</v>
      </c>
      <c r="N220" s="33" t="s">
        <v>248</v>
      </c>
    </row>
    <row r="221" spans="1:14" ht="15">
      <c r="A221" s="12"/>
      <c r="B221" s="33" t="s">
        <v>304</v>
      </c>
      <c r="C221" s="92" t="s">
        <v>408</v>
      </c>
      <c r="D221" s="33" t="s">
        <v>410</v>
      </c>
      <c r="E221" s="34">
        <v>43921</v>
      </c>
      <c r="F221" s="34">
        <v>43922</v>
      </c>
      <c r="G221" s="34">
        <v>43927</v>
      </c>
      <c r="H221" s="35">
        <v>2.2499999999999999E-2</v>
      </c>
      <c r="I221" s="67">
        <v>2.7799999999999998E-2</v>
      </c>
      <c r="J221" s="67">
        <v>0</v>
      </c>
      <c r="K221" s="67">
        <v>2.7799999999999998E-2</v>
      </c>
      <c r="L221" s="36">
        <f>+K221-((K221*0.135*0.125)+(K221*(1-0.135)*0.26))</f>
        <v>2.1078654999999998E-2</v>
      </c>
      <c r="M221" s="64">
        <f t="shared" si="4"/>
        <v>2.1078654999999998E-2</v>
      </c>
      <c r="N221" s="33" t="s">
        <v>248</v>
      </c>
    </row>
    <row r="222" spans="1:14" ht="15">
      <c r="A222" s="12" t="s">
        <v>230</v>
      </c>
      <c r="B222" s="33" t="s">
        <v>183</v>
      </c>
      <c r="C222" s="92" t="s">
        <v>398</v>
      </c>
      <c r="D222" s="33" t="s">
        <v>410</v>
      </c>
      <c r="E222" s="34">
        <v>43921</v>
      </c>
      <c r="F222" s="34">
        <v>43922</v>
      </c>
      <c r="G222" s="34">
        <v>43927</v>
      </c>
      <c r="H222" s="35">
        <v>2.2499999999999999E-2</v>
      </c>
      <c r="I222" s="67">
        <v>2.7900000000000001E-2</v>
      </c>
      <c r="J222" s="67">
        <v>0</v>
      </c>
      <c r="K222" s="67">
        <v>2.7900000000000001E-2</v>
      </c>
      <c r="L222" s="36">
        <f>+K222-((K222*0.135*0.125)+(K222*(1-0.135)*0.26))</f>
        <v>2.1154477500000001E-2</v>
      </c>
      <c r="M222" s="64">
        <f t="shared" si="4"/>
        <v>2.1154477500000001E-2</v>
      </c>
      <c r="N222" s="33" t="s">
        <v>248</v>
      </c>
    </row>
    <row r="223" spans="1:14" ht="15">
      <c r="A223" s="12"/>
      <c r="B223" s="33" t="s">
        <v>305</v>
      </c>
      <c r="C223" s="92" t="s">
        <v>409</v>
      </c>
      <c r="D223" s="33" t="s">
        <v>410</v>
      </c>
      <c r="E223" s="34">
        <v>43921</v>
      </c>
      <c r="F223" s="34">
        <v>43922</v>
      </c>
      <c r="G223" s="34">
        <v>43927</v>
      </c>
      <c r="H223" s="35">
        <v>2.2499999999999999E-2</v>
      </c>
      <c r="I223" s="67">
        <v>2.8000000000000001E-2</v>
      </c>
      <c r="J223" s="67">
        <v>0</v>
      </c>
      <c r="K223" s="67">
        <v>2.8000000000000001E-2</v>
      </c>
      <c r="L223" s="36">
        <f>+K223-((K223*0.135*0.125)+(K223*(1-0.135)*0.26))</f>
        <v>2.1230300000000001E-2</v>
      </c>
      <c r="M223" s="64">
        <f t="shared" si="4"/>
        <v>2.1230300000000001E-2</v>
      </c>
      <c r="N223" s="33" t="s">
        <v>248</v>
      </c>
    </row>
    <row r="224" spans="1:14" ht="15">
      <c r="A224" s="12" t="s">
        <v>96</v>
      </c>
      <c r="B224" s="33" t="s">
        <v>147</v>
      </c>
      <c r="C224" s="92" t="s">
        <v>466</v>
      </c>
      <c r="D224" s="33" t="s">
        <v>410</v>
      </c>
      <c r="E224" s="34">
        <v>43921</v>
      </c>
      <c r="F224" s="34">
        <v>43922</v>
      </c>
      <c r="G224" s="34">
        <v>43927</v>
      </c>
      <c r="H224" s="35">
        <v>2.3E-2</v>
      </c>
      <c r="I224" s="67">
        <v>3.1300000000000001E-2</v>
      </c>
      <c r="J224" s="67">
        <v>0</v>
      </c>
      <c r="K224" s="67">
        <v>3.1300000000000001E-2</v>
      </c>
      <c r="L224" s="36">
        <f>+K224-((K224*0.112*0.125)+(K224*(1-0.112)*0.26))</f>
        <v>2.3635256E-2</v>
      </c>
      <c r="M224" s="64">
        <f t="shared" si="4"/>
        <v>2.3635256E-2</v>
      </c>
      <c r="N224" s="33" t="s">
        <v>248</v>
      </c>
    </row>
    <row r="225" spans="1:14" ht="15">
      <c r="A225" s="12" t="s">
        <v>9</v>
      </c>
      <c r="B225" s="33" t="s">
        <v>164</v>
      </c>
      <c r="C225" s="92" t="s">
        <v>467</v>
      </c>
      <c r="D225" s="33" t="s">
        <v>410</v>
      </c>
      <c r="E225" s="34">
        <v>43921</v>
      </c>
      <c r="F225" s="34">
        <v>43922</v>
      </c>
      <c r="G225" s="34">
        <v>43927</v>
      </c>
      <c r="H225" s="35">
        <v>2.3E-2</v>
      </c>
      <c r="I225" s="67">
        <v>2.9499999999999998E-2</v>
      </c>
      <c r="J225" s="67">
        <v>0</v>
      </c>
      <c r="K225" s="67">
        <v>2.9499999999999998E-2</v>
      </c>
      <c r="L225" s="36">
        <f>+K225-((K225*0.112*0.125)+(K225*(1-0.112)*0.26))</f>
        <v>2.2276039999999997E-2</v>
      </c>
      <c r="M225" s="64">
        <f t="shared" si="4"/>
        <v>2.2276039999999997E-2</v>
      </c>
      <c r="N225" s="33" t="s">
        <v>248</v>
      </c>
    </row>
    <row r="226" spans="1:14" ht="15">
      <c r="A226" s="12" t="s">
        <v>107</v>
      </c>
      <c r="B226" s="33" t="s">
        <v>132</v>
      </c>
      <c r="C226" s="92" t="s">
        <v>358</v>
      </c>
      <c r="D226" s="33" t="s">
        <v>410</v>
      </c>
      <c r="E226" s="34">
        <v>43945</v>
      </c>
      <c r="F226" s="34">
        <v>43948</v>
      </c>
      <c r="G226" s="34">
        <v>43951</v>
      </c>
      <c r="H226" s="35">
        <v>0.03</v>
      </c>
      <c r="I226" s="67">
        <v>3.5400000000000001E-2</v>
      </c>
      <c r="J226" s="67">
        <v>0</v>
      </c>
      <c r="K226" s="67">
        <v>3.5400000000000001E-2</v>
      </c>
      <c r="L226" s="36">
        <f>+K226-((K226*0.268*0.125)+(K226*(1-0.268)*0.26))</f>
        <v>2.7476772E-2</v>
      </c>
      <c r="M226" s="64">
        <f t="shared" si="4"/>
        <v>2.7476772E-2</v>
      </c>
      <c r="N226" s="33" t="s">
        <v>249</v>
      </c>
    </row>
    <row r="227" spans="1:14" ht="15">
      <c r="A227" s="12" t="s">
        <v>121</v>
      </c>
      <c r="B227" s="33" t="s">
        <v>227</v>
      </c>
      <c r="C227" s="92" t="s">
        <v>359</v>
      </c>
      <c r="D227" s="33" t="s">
        <v>410</v>
      </c>
      <c r="E227" s="34">
        <v>43945</v>
      </c>
      <c r="F227" s="34">
        <v>43948</v>
      </c>
      <c r="G227" s="34">
        <v>43951</v>
      </c>
      <c r="H227" s="35">
        <v>0.03</v>
      </c>
      <c r="I227" s="67">
        <v>3.5200000000000002E-2</v>
      </c>
      <c r="J227" s="67">
        <v>0</v>
      </c>
      <c r="K227" s="67">
        <v>3.5200000000000002E-2</v>
      </c>
      <c r="L227" s="36">
        <f>+K227-((K227*0.268*0.125)+(K227*(1-0.268)*0.26))</f>
        <v>2.7321536E-2</v>
      </c>
      <c r="M227" s="64">
        <f t="shared" si="4"/>
        <v>2.7321536E-2</v>
      </c>
      <c r="N227" s="33" t="s">
        <v>249</v>
      </c>
    </row>
    <row r="228" spans="1:14" ht="15">
      <c r="A228" s="12" t="s">
        <v>108</v>
      </c>
      <c r="B228" s="33" t="s">
        <v>133</v>
      </c>
      <c r="C228" s="92" t="s">
        <v>474</v>
      </c>
      <c r="D228" s="33" t="s">
        <v>410</v>
      </c>
      <c r="E228" s="34">
        <v>43945</v>
      </c>
      <c r="F228" s="34">
        <v>43948</v>
      </c>
      <c r="G228" s="34">
        <v>43951</v>
      </c>
      <c r="H228" s="35">
        <v>0.04</v>
      </c>
      <c r="I228" s="67">
        <v>4.3099999999999999E-2</v>
      </c>
      <c r="J228" s="67">
        <v>0</v>
      </c>
      <c r="K228" s="67">
        <v>4.3099999999999999E-2</v>
      </c>
      <c r="L228" s="36">
        <f>+K228-((K228*0.000000001*0.125)+(K228*(1-0.000000001)*0.26))</f>
        <v>3.1894000005818497E-2</v>
      </c>
      <c r="M228" s="64">
        <f t="shared" si="4"/>
        <v>3.1894000005818497E-2</v>
      </c>
      <c r="N228" s="33" t="s">
        <v>249</v>
      </c>
    </row>
    <row r="229" spans="1:14" ht="15">
      <c r="A229" s="12" t="s">
        <v>109</v>
      </c>
      <c r="B229" s="33" t="s">
        <v>134</v>
      </c>
      <c r="C229" s="92" t="s">
        <v>374</v>
      </c>
      <c r="D229" s="33" t="s">
        <v>410</v>
      </c>
      <c r="E229" s="34">
        <v>43945</v>
      </c>
      <c r="F229" s="34">
        <v>43948</v>
      </c>
      <c r="G229" s="34">
        <v>43951</v>
      </c>
      <c r="H229" s="35">
        <v>4.2500000000000003E-2</v>
      </c>
      <c r="I229" s="67">
        <v>5.4600000000000003E-2</v>
      </c>
      <c r="J229" s="67">
        <v>0</v>
      </c>
      <c r="K229" s="67">
        <v>5.4600000000000003E-2</v>
      </c>
      <c r="L229" s="36">
        <f>+K229-((K229*0.242*0.125)+(K229*(1-0.242)*0.26))</f>
        <v>4.2187782000000007E-2</v>
      </c>
      <c r="M229" s="64">
        <f t="shared" si="4"/>
        <v>4.2187782000000007E-2</v>
      </c>
      <c r="N229" s="33" t="s">
        <v>249</v>
      </c>
    </row>
    <row r="230" spans="1:14" ht="15">
      <c r="A230" s="12" t="s">
        <v>37</v>
      </c>
      <c r="B230" s="33" t="s">
        <v>168</v>
      </c>
      <c r="C230" s="92" t="s">
        <v>376</v>
      </c>
      <c r="D230" s="33" t="s">
        <v>410</v>
      </c>
      <c r="E230" s="34">
        <v>43945</v>
      </c>
      <c r="F230" s="34">
        <v>43948</v>
      </c>
      <c r="G230" s="34">
        <v>43951</v>
      </c>
      <c r="H230" s="35">
        <v>4.2500000000000003E-2</v>
      </c>
      <c r="I230" s="67">
        <v>4.7300000000000002E-2</v>
      </c>
      <c r="J230" s="67">
        <v>0</v>
      </c>
      <c r="K230" s="67">
        <v>4.7300000000000002E-2</v>
      </c>
      <c r="L230" s="36">
        <f>+K230-((K230*0.242*0.125)+(K230*(1-0.242)*0.26))</f>
        <v>3.6547291000000003E-2</v>
      </c>
      <c r="M230" s="64">
        <f t="shared" si="4"/>
        <v>3.6547291000000003E-2</v>
      </c>
      <c r="N230" s="33" t="s">
        <v>249</v>
      </c>
    </row>
    <row r="231" spans="1:14" ht="15">
      <c r="A231" s="12" t="s">
        <v>111</v>
      </c>
      <c r="B231" s="33" t="s">
        <v>136</v>
      </c>
      <c r="C231" s="92" t="s">
        <v>388</v>
      </c>
      <c r="D231" s="33" t="s">
        <v>410</v>
      </c>
      <c r="E231" s="34">
        <v>43945</v>
      </c>
      <c r="F231" s="34">
        <v>43948</v>
      </c>
      <c r="G231" s="34">
        <v>43951</v>
      </c>
      <c r="H231" s="35">
        <v>0.02</v>
      </c>
      <c r="I231" s="67">
        <v>2.3900000000000001E-2</v>
      </c>
      <c r="J231" s="67">
        <v>0</v>
      </c>
      <c r="K231" s="67">
        <v>2.3900000000000001E-2</v>
      </c>
      <c r="L231" s="36">
        <f t="shared" ref="L231:L236" si="5">+K231-((K231*0.171*0.125)+(K231*(1-0.171)*0.26))</f>
        <v>1.82377315E-2</v>
      </c>
      <c r="M231" s="64">
        <f t="shared" si="4"/>
        <v>1.82377315E-2</v>
      </c>
      <c r="N231" s="33" t="s">
        <v>249</v>
      </c>
    </row>
    <row r="232" spans="1:14" ht="15">
      <c r="A232" s="12" t="s">
        <v>112</v>
      </c>
      <c r="B232" s="33" t="s">
        <v>137</v>
      </c>
      <c r="C232" s="92" t="s">
        <v>389</v>
      </c>
      <c r="D232" s="33" t="s">
        <v>410</v>
      </c>
      <c r="E232" s="34">
        <v>43945</v>
      </c>
      <c r="F232" s="34">
        <v>43948</v>
      </c>
      <c r="G232" s="34">
        <v>43951</v>
      </c>
      <c r="H232" s="35">
        <v>3.5000000000000003E-2</v>
      </c>
      <c r="I232" s="67">
        <v>4.41E-2</v>
      </c>
      <c r="J232" s="67">
        <v>0</v>
      </c>
      <c r="K232" s="67">
        <v>4.41E-2</v>
      </c>
      <c r="L232" s="36">
        <f t="shared" si="5"/>
        <v>3.3652048500000004E-2</v>
      </c>
      <c r="M232" s="64">
        <f t="shared" si="4"/>
        <v>3.3652048500000004E-2</v>
      </c>
      <c r="N232" s="33" t="s">
        <v>249</v>
      </c>
    </row>
    <row r="233" spans="1:14" ht="15">
      <c r="A233" s="12" t="s">
        <v>110</v>
      </c>
      <c r="B233" s="33" t="s">
        <v>135</v>
      </c>
      <c r="C233" s="92" t="s">
        <v>390</v>
      </c>
      <c r="D233" s="33" t="s">
        <v>410</v>
      </c>
      <c r="E233" s="34">
        <v>43945</v>
      </c>
      <c r="F233" s="34">
        <v>43948</v>
      </c>
      <c r="G233" s="34">
        <v>43951</v>
      </c>
      <c r="H233" s="35">
        <v>4.4999999999999998E-2</v>
      </c>
      <c r="I233" s="67">
        <v>5.7000000000000002E-2</v>
      </c>
      <c r="J233" s="67">
        <v>0</v>
      </c>
      <c r="K233" s="67">
        <v>5.7000000000000002E-2</v>
      </c>
      <c r="L233" s="36">
        <f t="shared" si="5"/>
        <v>4.3495845000000005E-2</v>
      </c>
      <c r="M233" s="64">
        <f t="shared" si="4"/>
        <v>4.3495845000000005E-2</v>
      </c>
      <c r="N233" s="33" t="s">
        <v>249</v>
      </c>
    </row>
    <row r="234" spans="1:14" ht="15">
      <c r="A234" s="12" t="s">
        <v>113</v>
      </c>
      <c r="B234" s="33" t="s">
        <v>170</v>
      </c>
      <c r="C234" s="92" t="s">
        <v>391</v>
      </c>
      <c r="D234" s="33" t="s">
        <v>410</v>
      </c>
      <c r="E234" s="34">
        <v>43945</v>
      </c>
      <c r="F234" s="34">
        <v>43948</v>
      </c>
      <c r="G234" s="34">
        <v>43951</v>
      </c>
      <c r="H234" s="35">
        <v>0.02</v>
      </c>
      <c r="I234" s="67">
        <v>2.3800000000000002E-2</v>
      </c>
      <c r="J234" s="67">
        <v>0</v>
      </c>
      <c r="K234" s="67">
        <v>2.3800000000000002E-2</v>
      </c>
      <c r="L234" s="36">
        <f t="shared" si="5"/>
        <v>1.8161423000000003E-2</v>
      </c>
      <c r="M234" s="64">
        <f t="shared" si="4"/>
        <v>1.8161423000000003E-2</v>
      </c>
      <c r="N234" s="33" t="s">
        <v>249</v>
      </c>
    </row>
    <row r="235" spans="1:14" ht="15">
      <c r="A235" s="12" t="s">
        <v>114</v>
      </c>
      <c r="B235" s="33" t="s">
        <v>171</v>
      </c>
      <c r="C235" s="92" t="s">
        <v>392</v>
      </c>
      <c r="D235" s="33" t="s">
        <v>410</v>
      </c>
      <c r="E235" s="34">
        <v>43945</v>
      </c>
      <c r="F235" s="34">
        <v>43948</v>
      </c>
      <c r="G235" s="34">
        <v>43951</v>
      </c>
      <c r="H235" s="35">
        <v>3.5000000000000003E-2</v>
      </c>
      <c r="I235" s="67">
        <v>4.3700000000000003E-2</v>
      </c>
      <c r="J235" s="67">
        <v>0</v>
      </c>
      <c r="K235" s="67">
        <v>4.3700000000000003E-2</v>
      </c>
      <c r="L235" s="36">
        <f t="shared" si="5"/>
        <v>3.3346814500000002E-2</v>
      </c>
      <c r="M235" s="64">
        <f t="shared" si="4"/>
        <v>3.3346814500000002E-2</v>
      </c>
      <c r="N235" s="33" t="s">
        <v>249</v>
      </c>
    </row>
    <row r="236" spans="1:14" ht="15">
      <c r="A236" s="12" t="s">
        <v>120</v>
      </c>
      <c r="B236" s="33" t="s">
        <v>172</v>
      </c>
      <c r="C236" s="92" t="s">
        <v>393</v>
      </c>
      <c r="D236" s="33" t="s">
        <v>410</v>
      </c>
      <c r="E236" s="34">
        <v>43945</v>
      </c>
      <c r="F236" s="34">
        <v>43948</v>
      </c>
      <c r="G236" s="34">
        <v>43951</v>
      </c>
      <c r="H236" s="35">
        <v>4.4999999999999998E-2</v>
      </c>
      <c r="I236" s="67">
        <v>5.6599999999999998E-2</v>
      </c>
      <c r="J236" s="67">
        <v>0</v>
      </c>
      <c r="K236" s="67">
        <v>5.6599999999999998E-2</v>
      </c>
      <c r="L236" s="36">
        <f t="shared" si="5"/>
        <v>4.3190610999999997E-2</v>
      </c>
      <c r="M236" s="64">
        <f t="shared" si="4"/>
        <v>4.3190610999999997E-2</v>
      </c>
      <c r="N236" s="33" t="s">
        <v>249</v>
      </c>
    </row>
    <row r="237" spans="1:14" ht="15">
      <c r="A237" s="12" t="s">
        <v>38</v>
      </c>
      <c r="B237" s="33" t="s">
        <v>169</v>
      </c>
      <c r="C237" s="92" t="s">
        <v>400</v>
      </c>
      <c r="D237" s="33" t="s">
        <v>410</v>
      </c>
      <c r="E237" s="34">
        <v>43945</v>
      </c>
      <c r="F237" s="34">
        <v>43948</v>
      </c>
      <c r="G237" s="34">
        <v>43951</v>
      </c>
      <c r="H237" s="35">
        <v>5.5E-2</v>
      </c>
      <c r="I237" s="67">
        <v>6.1699999999999998E-2</v>
      </c>
      <c r="J237" s="67">
        <v>0</v>
      </c>
      <c r="K237" s="67">
        <v>6.1699999999999998E-2</v>
      </c>
      <c r="L237" s="36">
        <f>+K237-((K237*0.159*0.125)+(K237*(1-0.159)*0.26))</f>
        <v>4.6982390499999999E-2</v>
      </c>
      <c r="M237" s="64">
        <f t="shared" si="4"/>
        <v>4.6982390499999999E-2</v>
      </c>
      <c r="N237" s="33" t="s">
        <v>249</v>
      </c>
    </row>
    <row r="238" spans="1:14" ht="15">
      <c r="A238" s="12"/>
      <c r="B238" s="33" t="s">
        <v>511</v>
      </c>
      <c r="C238" s="92" t="s">
        <v>512</v>
      </c>
      <c r="D238" s="33" t="s">
        <v>411</v>
      </c>
      <c r="E238" s="34">
        <v>43951</v>
      </c>
      <c r="F238" s="34">
        <v>43955</v>
      </c>
      <c r="G238" s="34">
        <v>43958</v>
      </c>
      <c r="H238" s="35">
        <v>0.03</v>
      </c>
      <c r="I238" s="67">
        <v>0.19159999999999999</v>
      </c>
      <c r="J238" s="67">
        <v>0</v>
      </c>
      <c r="K238" s="67">
        <v>0.19159999999999999</v>
      </c>
      <c r="L238" s="36">
        <f>+K238-((K238*0.135*0.125)+(K238*(1-0.135)*0.26))</f>
        <v>0.14527591000000001</v>
      </c>
      <c r="M238" s="64">
        <f t="shared" si="4"/>
        <v>0.14527591000000001</v>
      </c>
      <c r="N238" s="33" t="s">
        <v>251</v>
      </c>
    </row>
    <row r="239" spans="1:14" ht="15">
      <c r="A239" s="12"/>
      <c r="B239" s="33" t="s">
        <v>310</v>
      </c>
      <c r="C239" s="92" t="s">
        <v>424</v>
      </c>
      <c r="D239" s="33" t="s">
        <v>411</v>
      </c>
      <c r="E239" s="34">
        <v>43951</v>
      </c>
      <c r="F239" s="34">
        <v>43955</v>
      </c>
      <c r="G239" s="34">
        <v>43958</v>
      </c>
      <c r="H239" s="35">
        <v>0.05</v>
      </c>
      <c r="I239" s="67">
        <v>2.0899999999999998E-2</v>
      </c>
      <c r="J239" s="67">
        <v>0</v>
      </c>
      <c r="K239" s="67">
        <v>2.0899999999999998E-2</v>
      </c>
      <c r="L239" s="36">
        <f>+K239-((K239*0.04*0.125)+(K239*(1-0.04)*0.26))</f>
        <v>1.5578859999999998E-2</v>
      </c>
      <c r="M239" s="64">
        <f t="shared" si="4"/>
        <v>1.5578859999999998E-2</v>
      </c>
      <c r="N239" s="33" t="s">
        <v>251</v>
      </c>
    </row>
    <row r="240" spans="1:14" ht="15">
      <c r="A240" s="12" t="s">
        <v>188</v>
      </c>
      <c r="B240" s="33" t="s">
        <v>188</v>
      </c>
      <c r="C240" s="92" t="s">
        <v>339</v>
      </c>
      <c r="D240" s="33" t="s">
        <v>411</v>
      </c>
      <c r="E240" s="34">
        <v>43951</v>
      </c>
      <c r="F240" s="34">
        <v>43955</v>
      </c>
      <c r="G240" s="34">
        <v>43958</v>
      </c>
      <c r="H240" s="35">
        <v>0.05</v>
      </c>
      <c r="I240" s="67">
        <v>0.36549999999999999</v>
      </c>
      <c r="J240" s="67">
        <v>0</v>
      </c>
      <c r="K240" s="67">
        <v>0.36549999999999999</v>
      </c>
      <c r="L240" s="36">
        <f>+K240-((K240*0.04*0.125)+(K240*(1-0.04)*0.26))</f>
        <v>0.27244370000000001</v>
      </c>
      <c r="M240" s="64">
        <f t="shared" si="4"/>
        <v>0.27244370000000001</v>
      </c>
      <c r="N240" s="33" t="s">
        <v>251</v>
      </c>
    </row>
    <row r="241" spans="1:14" ht="15">
      <c r="A241" s="12" t="s">
        <v>196</v>
      </c>
      <c r="B241" s="33" t="s">
        <v>196</v>
      </c>
      <c r="C241" s="92" t="s">
        <v>340</v>
      </c>
      <c r="D241" s="33" t="s">
        <v>411</v>
      </c>
      <c r="E241" s="34">
        <v>43951</v>
      </c>
      <c r="F241" s="34">
        <v>43955</v>
      </c>
      <c r="G241" s="34">
        <v>43958</v>
      </c>
      <c r="H241" s="35">
        <v>0.05</v>
      </c>
      <c r="I241" s="67">
        <v>0.37780000000000002</v>
      </c>
      <c r="J241" s="67">
        <v>0</v>
      </c>
      <c r="K241" s="67">
        <v>0.37780000000000002</v>
      </c>
      <c r="L241" s="36">
        <f>+K241-((K241*0.04*0.125)+(K241*(1-0.04)*0.26))</f>
        <v>0.28161212000000002</v>
      </c>
      <c r="M241" s="64">
        <f t="shared" si="4"/>
        <v>0.28161212000000002</v>
      </c>
      <c r="N241" s="33" t="s">
        <v>251</v>
      </c>
    </row>
    <row r="242" spans="1:14" ht="15">
      <c r="A242" s="12" t="s">
        <v>229</v>
      </c>
      <c r="B242" s="33" t="s">
        <v>191</v>
      </c>
      <c r="C242" s="92" t="s">
        <v>346</v>
      </c>
      <c r="D242" s="33" t="s">
        <v>411</v>
      </c>
      <c r="E242" s="34">
        <v>43951</v>
      </c>
      <c r="F242" s="34">
        <v>43955</v>
      </c>
      <c r="G242" s="34">
        <v>43958</v>
      </c>
      <c r="H242" s="35">
        <v>3.5000000000000003E-2</v>
      </c>
      <c r="I242" s="67">
        <v>1.47E-2</v>
      </c>
      <c r="J242" s="67">
        <v>0</v>
      </c>
      <c r="K242" s="67">
        <v>1.47E-2</v>
      </c>
      <c r="L242" s="36">
        <f>+K242-((K242*0.837*0.125)+(K242*(1-0.837)*0.26))</f>
        <v>1.25390265E-2</v>
      </c>
      <c r="M242" s="64">
        <f t="shared" si="4"/>
        <v>1.25390265E-2</v>
      </c>
      <c r="N242" s="33" t="s">
        <v>251</v>
      </c>
    </row>
    <row r="243" spans="1:14" ht="15">
      <c r="A243" s="12" t="s">
        <v>231</v>
      </c>
      <c r="B243" s="33" t="s">
        <v>199</v>
      </c>
      <c r="C243" s="92" t="s">
        <v>347</v>
      </c>
      <c r="D243" s="33" t="s">
        <v>411</v>
      </c>
      <c r="E243" s="34">
        <v>43951</v>
      </c>
      <c r="F243" s="34">
        <v>43955</v>
      </c>
      <c r="G243" s="34">
        <v>43958</v>
      </c>
      <c r="H243" s="35">
        <v>3.5000000000000003E-2</v>
      </c>
      <c r="I243" s="67">
        <v>1.47E-2</v>
      </c>
      <c r="J243" s="67">
        <v>0</v>
      </c>
      <c r="K243" s="67">
        <v>1.47E-2</v>
      </c>
      <c r="L243" s="36">
        <f>+K243-((K243*0.837*0.125)+(K243*(1-0.837)*0.26))</f>
        <v>1.25390265E-2</v>
      </c>
      <c r="M243" s="64">
        <f t="shared" si="4"/>
        <v>1.25390265E-2</v>
      </c>
      <c r="N243" s="33" t="s">
        <v>251</v>
      </c>
    </row>
    <row r="244" spans="1:14" ht="15">
      <c r="A244" s="12"/>
      <c r="B244" s="33" t="s">
        <v>306</v>
      </c>
      <c r="C244" s="92" t="s">
        <v>430</v>
      </c>
      <c r="D244" s="33" t="s">
        <v>411</v>
      </c>
      <c r="E244" s="34">
        <v>43951</v>
      </c>
      <c r="F244" s="34">
        <v>43955</v>
      </c>
      <c r="G244" s="34">
        <v>43958</v>
      </c>
      <c r="H244" s="35">
        <v>0.02</v>
      </c>
      <c r="I244" s="67">
        <v>8.3999999999999995E-3</v>
      </c>
      <c r="J244" s="67">
        <v>0</v>
      </c>
      <c r="K244" s="67">
        <v>8.3999999999999995E-3</v>
      </c>
      <c r="L244" s="36">
        <f>+K244-((K244*0.0000001*0.125)+(K244*(1-0.0000001)*0.26))</f>
        <v>6.2160001133999996E-3</v>
      </c>
      <c r="M244" s="64">
        <f t="shared" si="4"/>
        <v>6.2160001133999996E-3</v>
      </c>
      <c r="N244" s="33" t="s">
        <v>251</v>
      </c>
    </row>
    <row r="245" spans="1:14" ht="15">
      <c r="A245" s="12" t="s">
        <v>184</v>
      </c>
      <c r="B245" s="33" t="s">
        <v>184</v>
      </c>
      <c r="C245" s="92" t="s">
        <v>354</v>
      </c>
      <c r="D245" s="33" t="s">
        <v>411</v>
      </c>
      <c r="E245" s="34">
        <v>43951</v>
      </c>
      <c r="F245" s="34">
        <v>43955</v>
      </c>
      <c r="G245" s="34">
        <v>43958</v>
      </c>
      <c r="H245" s="35">
        <v>0.02</v>
      </c>
      <c r="I245" s="67">
        <v>0.16880000000000001</v>
      </c>
      <c r="J245" s="67">
        <v>0</v>
      </c>
      <c r="K245" s="67">
        <v>0.16880000000000001</v>
      </c>
      <c r="L245" s="36">
        <f>+K245-((K245*0.0000001*0.125)+(K245*(1-0.0000001)*0.26))</f>
        <v>0.12491200227880001</v>
      </c>
      <c r="M245" s="64">
        <f t="shared" si="4"/>
        <v>0.12491200227880001</v>
      </c>
      <c r="N245" s="33" t="s">
        <v>251</v>
      </c>
    </row>
    <row r="246" spans="1:14" ht="15">
      <c r="A246" s="12" t="s">
        <v>192</v>
      </c>
      <c r="B246" s="33" t="s">
        <v>192</v>
      </c>
      <c r="C246" s="92" t="s">
        <v>355</v>
      </c>
      <c r="D246" s="33" t="s">
        <v>411</v>
      </c>
      <c r="E246" s="34">
        <v>43951</v>
      </c>
      <c r="F246" s="34">
        <v>43955</v>
      </c>
      <c r="G246" s="34">
        <v>43958</v>
      </c>
      <c r="H246" s="35">
        <v>0.02</v>
      </c>
      <c r="I246" s="67">
        <v>0.16980000000000001</v>
      </c>
      <c r="J246" s="67">
        <v>0</v>
      </c>
      <c r="K246" s="67">
        <v>0.16980000000000001</v>
      </c>
      <c r="L246" s="36">
        <f>+K246-((K246*0.0000001*0.125)+(K246*(1-0.0000001)*0.26))</f>
        <v>0.1256520022923</v>
      </c>
      <c r="M246" s="64">
        <f t="shared" si="4"/>
        <v>0.1256520022923</v>
      </c>
      <c r="N246" s="33" t="s">
        <v>251</v>
      </c>
    </row>
    <row r="247" spans="1:14" ht="15">
      <c r="A247" s="12"/>
      <c r="B247" s="33" t="s">
        <v>311</v>
      </c>
      <c r="C247" s="92" t="s">
        <v>425</v>
      </c>
      <c r="D247" s="33" t="s">
        <v>411</v>
      </c>
      <c r="E247" s="34">
        <v>43951</v>
      </c>
      <c r="F247" s="34">
        <v>43955</v>
      </c>
      <c r="G247" s="34">
        <v>43958</v>
      </c>
      <c r="H247" s="35">
        <v>0.01</v>
      </c>
      <c r="I247" s="67">
        <v>4.1999999999999997E-3</v>
      </c>
      <c r="J247" s="67">
        <v>0</v>
      </c>
      <c r="K247" s="67">
        <v>4.1999999999999997E-3</v>
      </c>
      <c r="L247" s="36">
        <f>+K247-((K247*0.0000000001*0.125)+(K247*(1-0.000000001)*0.26))</f>
        <v>3.1080000010394997E-3</v>
      </c>
      <c r="M247" s="64">
        <f t="shared" si="4"/>
        <v>3.1080000010394997E-3</v>
      </c>
      <c r="N247" s="33" t="s">
        <v>251</v>
      </c>
    </row>
    <row r="248" spans="1:14" ht="15">
      <c r="A248" s="12" t="s">
        <v>189</v>
      </c>
      <c r="B248" s="33" t="s">
        <v>189</v>
      </c>
      <c r="C248" s="92" t="s">
        <v>356</v>
      </c>
      <c r="D248" s="33" t="s">
        <v>411</v>
      </c>
      <c r="E248" s="34">
        <v>43951</v>
      </c>
      <c r="F248" s="34">
        <v>43955</v>
      </c>
      <c r="G248" s="34">
        <v>43958</v>
      </c>
      <c r="H248" s="35">
        <v>0.01</v>
      </c>
      <c r="I248" s="67">
        <v>7.6300000000000007E-2</v>
      </c>
      <c r="J248" s="67">
        <v>0</v>
      </c>
      <c r="K248" s="67">
        <v>7.6300000000000007E-2</v>
      </c>
      <c r="L248" s="36">
        <f>+K248-((K248*0.0000000001*0.125)+(K248*(1-0.000000001)*0.26))</f>
        <v>5.6462000018884254E-2</v>
      </c>
      <c r="M248" s="64">
        <f t="shared" si="4"/>
        <v>5.6462000018884254E-2</v>
      </c>
      <c r="N248" s="33" t="s">
        <v>251</v>
      </c>
    </row>
    <row r="249" spans="1:14" ht="15">
      <c r="A249" s="12" t="s">
        <v>197</v>
      </c>
      <c r="B249" s="33" t="s">
        <v>197</v>
      </c>
      <c r="C249" s="92" t="s">
        <v>357</v>
      </c>
      <c r="D249" s="33" t="s">
        <v>411</v>
      </c>
      <c r="E249" s="34">
        <v>43951</v>
      </c>
      <c r="F249" s="34">
        <v>43955</v>
      </c>
      <c r="G249" s="34">
        <v>43958</v>
      </c>
      <c r="H249" s="35">
        <v>0.01</v>
      </c>
      <c r="I249" s="67">
        <v>7.7399999999999997E-2</v>
      </c>
      <c r="J249" s="67">
        <v>0</v>
      </c>
      <c r="K249" s="67">
        <v>7.7399999999999997E-2</v>
      </c>
      <c r="L249" s="36">
        <f>+K249-((K249*0.0000000001*0.125)+(K249*(1-0.000000001)*0.26))</f>
        <v>5.7276000019156496E-2</v>
      </c>
      <c r="M249" s="64">
        <f t="shared" si="4"/>
        <v>5.7276000019156496E-2</v>
      </c>
      <c r="N249" s="33" t="s">
        <v>251</v>
      </c>
    </row>
    <row r="250" spans="1:14" ht="15">
      <c r="A250" s="12"/>
      <c r="B250" s="33" t="s">
        <v>308</v>
      </c>
      <c r="C250" s="92" t="s">
        <v>426</v>
      </c>
      <c r="D250" s="33" t="s">
        <v>411</v>
      </c>
      <c r="E250" s="34">
        <v>43951</v>
      </c>
      <c r="F250" s="34">
        <v>43955</v>
      </c>
      <c r="G250" s="34">
        <v>43958</v>
      </c>
      <c r="H250" s="35">
        <v>1.4999999999999999E-2</v>
      </c>
      <c r="I250" s="67">
        <v>6.1999999999999998E-3</v>
      </c>
      <c r="J250" s="67">
        <v>0</v>
      </c>
      <c r="K250" s="67">
        <v>6.1999999999999998E-3</v>
      </c>
      <c r="L250" s="36">
        <f>+K250-((K250*0.478*0.125)+(K250*(1-0.478)*0.26))</f>
        <v>4.9880860000000001E-3</v>
      </c>
      <c r="M250" s="64">
        <f t="shared" si="4"/>
        <v>4.9880860000000001E-3</v>
      </c>
      <c r="N250" s="33" t="s">
        <v>251</v>
      </c>
    </row>
    <row r="251" spans="1:14" ht="15">
      <c r="A251" s="12" t="s">
        <v>186</v>
      </c>
      <c r="B251" s="33" t="s">
        <v>186</v>
      </c>
      <c r="C251" s="92" t="s">
        <v>363</v>
      </c>
      <c r="D251" s="33" t="s">
        <v>411</v>
      </c>
      <c r="E251" s="34">
        <v>43951</v>
      </c>
      <c r="F251" s="34">
        <v>43955</v>
      </c>
      <c r="G251" s="34">
        <v>43958</v>
      </c>
      <c r="H251" s="35">
        <v>1.4999999999999999E-2</v>
      </c>
      <c r="I251" s="67">
        <v>0.114</v>
      </c>
      <c r="J251" s="67">
        <v>0</v>
      </c>
      <c r="K251" s="67">
        <v>0.114</v>
      </c>
      <c r="L251" s="36">
        <f>+K251-((K251*0.478*0.125)+(K251*(1-0.478)*0.26))</f>
        <v>9.1716419999999993E-2</v>
      </c>
      <c r="M251" s="64">
        <f t="shared" si="4"/>
        <v>9.1716419999999993E-2</v>
      </c>
      <c r="N251" s="33" t="s">
        <v>251</v>
      </c>
    </row>
    <row r="252" spans="1:14" ht="15">
      <c r="A252" s="12" t="s">
        <v>194</v>
      </c>
      <c r="B252" s="33" t="s">
        <v>194</v>
      </c>
      <c r="C252" s="92" t="s">
        <v>364</v>
      </c>
      <c r="D252" s="33" t="s">
        <v>411</v>
      </c>
      <c r="E252" s="34">
        <v>43951</v>
      </c>
      <c r="F252" s="34">
        <v>43955</v>
      </c>
      <c r="G252" s="34">
        <v>43958</v>
      </c>
      <c r="H252" s="35">
        <v>1.4999999999999999E-2</v>
      </c>
      <c r="I252" s="67">
        <v>0.1168</v>
      </c>
      <c r="J252" s="67">
        <v>0</v>
      </c>
      <c r="K252" s="67">
        <v>0.1168</v>
      </c>
      <c r="L252" s="36">
        <f>+K252-((K252*0.478*0.125)+(K252*(1-0.478)*0.26))</f>
        <v>9.3969103999999998E-2</v>
      </c>
      <c r="M252" s="64">
        <f t="shared" si="4"/>
        <v>9.3969103999999998E-2</v>
      </c>
      <c r="N252" s="33" t="s">
        <v>251</v>
      </c>
    </row>
    <row r="253" spans="1:14" ht="15">
      <c r="A253" s="12"/>
      <c r="B253" s="33" t="s">
        <v>307</v>
      </c>
      <c r="C253" s="92" t="s">
        <v>420</v>
      </c>
      <c r="D253" s="33" t="s">
        <v>411</v>
      </c>
      <c r="E253" s="34">
        <v>43951</v>
      </c>
      <c r="F253" s="34">
        <v>43955</v>
      </c>
      <c r="G253" s="34">
        <v>43958</v>
      </c>
      <c r="H253" s="35">
        <v>1.4999999999999999E-2</v>
      </c>
      <c r="I253" s="67">
        <v>6.1999999999999998E-3</v>
      </c>
      <c r="J253" s="67">
        <v>0</v>
      </c>
      <c r="K253" s="67">
        <v>6.1999999999999998E-3</v>
      </c>
      <c r="L253" s="36">
        <f>+K253-((K253*0.588*0.125)+(K253*(1-0.588)*0.26))</f>
        <v>5.0801559999999997E-3</v>
      </c>
      <c r="M253" s="64">
        <f t="shared" si="4"/>
        <v>5.0801559999999997E-3</v>
      </c>
      <c r="N253" s="33" t="s">
        <v>251</v>
      </c>
    </row>
    <row r="254" spans="1:14" ht="15">
      <c r="A254" s="12" t="s">
        <v>185</v>
      </c>
      <c r="B254" s="33" t="s">
        <v>185</v>
      </c>
      <c r="C254" s="92" t="s">
        <v>366</v>
      </c>
      <c r="D254" s="33" t="s">
        <v>411</v>
      </c>
      <c r="E254" s="34">
        <v>43951</v>
      </c>
      <c r="F254" s="34">
        <v>43955</v>
      </c>
      <c r="G254" s="34">
        <v>43958</v>
      </c>
      <c r="H254" s="35">
        <v>1.4999999999999999E-2</v>
      </c>
      <c r="I254" s="67">
        <v>0.10390000000000001</v>
      </c>
      <c r="J254" s="67">
        <v>0</v>
      </c>
      <c r="K254" s="67">
        <v>0.10390000000000001</v>
      </c>
      <c r="L254" s="36">
        <f>+K254-((K254*0.588*0.125)+(K254*(1-0.588)*0.26))</f>
        <v>8.5133582000000013E-2</v>
      </c>
      <c r="M254" s="64">
        <f t="shared" si="4"/>
        <v>8.5133582000000013E-2</v>
      </c>
      <c r="N254" s="33" t="s">
        <v>251</v>
      </c>
    </row>
    <row r="255" spans="1:14" ht="15">
      <c r="A255" s="12" t="s">
        <v>193</v>
      </c>
      <c r="B255" s="33" t="s">
        <v>193</v>
      </c>
      <c r="C255" s="92" t="s">
        <v>367</v>
      </c>
      <c r="D255" s="33" t="s">
        <v>411</v>
      </c>
      <c r="E255" s="34">
        <v>43951</v>
      </c>
      <c r="F255" s="34">
        <v>43955</v>
      </c>
      <c r="G255" s="34">
        <v>43958</v>
      </c>
      <c r="H255" s="35">
        <v>1.4999999999999999E-2</v>
      </c>
      <c r="I255" s="67">
        <v>0.1009</v>
      </c>
      <c r="J255" s="67">
        <v>0</v>
      </c>
      <c r="K255" s="67">
        <v>0.1009</v>
      </c>
      <c r="L255" s="36">
        <f>+K255-((K255*0.588*0.125)+(K255*(1-0.588)*0.26))</f>
        <v>8.2675442000000002E-2</v>
      </c>
      <c r="M255" s="64">
        <f t="shared" si="4"/>
        <v>8.2675442000000002E-2</v>
      </c>
      <c r="N255" s="33" t="s">
        <v>251</v>
      </c>
    </row>
    <row r="256" spans="1:14" ht="15">
      <c r="A256" s="12"/>
      <c r="B256" s="33" t="s">
        <v>309</v>
      </c>
      <c r="C256" s="92" t="s">
        <v>427</v>
      </c>
      <c r="D256" s="33" t="s">
        <v>411</v>
      </c>
      <c r="E256" s="34">
        <v>43951</v>
      </c>
      <c r="F256" s="34">
        <v>43955</v>
      </c>
      <c r="G256" s="34">
        <v>43958</v>
      </c>
      <c r="H256" s="35">
        <v>3.5000000000000003E-2</v>
      </c>
      <c r="I256" s="67">
        <v>1.4500000000000001E-2</v>
      </c>
      <c r="J256" s="67">
        <v>0</v>
      </c>
      <c r="K256" s="67">
        <v>1.4500000000000001E-2</v>
      </c>
      <c r="L256" s="36">
        <f>+K256-((K256*0.001*0.125)+(K256*(1-0.001)*0.26))</f>
        <v>1.07319575E-2</v>
      </c>
      <c r="M256" s="64">
        <f t="shared" si="4"/>
        <v>1.07319575E-2</v>
      </c>
      <c r="N256" s="33" t="s">
        <v>251</v>
      </c>
    </row>
    <row r="257" spans="1:14" ht="15">
      <c r="A257" s="12" t="s">
        <v>187</v>
      </c>
      <c r="B257" s="33" t="s">
        <v>187</v>
      </c>
      <c r="C257" s="92" t="s">
        <v>368</v>
      </c>
      <c r="D257" s="33" t="s">
        <v>411</v>
      </c>
      <c r="E257" s="34">
        <v>43951</v>
      </c>
      <c r="F257" s="34">
        <v>43955</v>
      </c>
      <c r="G257" s="34">
        <v>43958</v>
      </c>
      <c r="H257" s="35">
        <v>3.5000000000000003E-2</v>
      </c>
      <c r="I257" s="67">
        <v>0.25679999999999997</v>
      </c>
      <c r="J257" s="67">
        <v>0</v>
      </c>
      <c r="K257" s="67">
        <v>0.25679999999999997</v>
      </c>
      <c r="L257" s="36">
        <f>+K257-((K257*0.001*0.125)+(K257*(1-0.001)*0.26))</f>
        <v>0.19006666799999999</v>
      </c>
      <c r="M257" s="64">
        <f t="shared" si="4"/>
        <v>0.19006666799999999</v>
      </c>
      <c r="N257" s="33" t="s">
        <v>251</v>
      </c>
    </row>
    <row r="258" spans="1:14" ht="15">
      <c r="A258" s="12" t="s">
        <v>195</v>
      </c>
      <c r="B258" s="33" t="s">
        <v>195</v>
      </c>
      <c r="C258" s="92" t="s">
        <v>369</v>
      </c>
      <c r="D258" s="33" t="s">
        <v>411</v>
      </c>
      <c r="E258" s="34">
        <v>43951</v>
      </c>
      <c r="F258" s="34">
        <v>43955</v>
      </c>
      <c r="G258" s="34">
        <v>43958</v>
      </c>
      <c r="H258" s="35">
        <v>3.5000000000000003E-2</v>
      </c>
      <c r="I258" s="67">
        <v>0.26400000000000001</v>
      </c>
      <c r="J258" s="67">
        <v>0</v>
      </c>
      <c r="K258" s="67">
        <v>0.26400000000000001</v>
      </c>
      <c r="L258" s="36">
        <f>+K258-((K258*0.001*0.125)+(K258*(1-0.001)*0.26))</f>
        <v>0.19539563999999998</v>
      </c>
      <c r="M258" s="64">
        <f t="shared" si="4"/>
        <v>0.19539563999999998</v>
      </c>
      <c r="N258" s="33" t="s">
        <v>251</v>
      </c>
    </row>
    <row r="259" spans="1:14" ht="15">
      <c r="A259" s="12"/>
      <c r="B259" s="33" t="s">
        <v>312</v>
      </c>
      <c r="C259" s="92" t="s">
        <v>428</v>
      </c>
      <c r="D259" s="33" t="s">
        <v>411</v>
      </c>
      <c r="E259" s="34">
        <v>43951</v>
      </c>
      <c r="F259" s="34">
        <v>43955</v>
      </c>
      <c r="G259" s="34">
        <v>43958</v>
      </c>
      <c r="H259" s="35">
        <v>0.05</v>
      </c>
      <c r="I259" s="67">
        <v>2.1100000000000001E-2</v>
      </c>
      <c r="J259" s="67">
        <v>0</v>
      </c>
      <c r="K259" s="67">
        <v>2.1100000000000001E-2</v>
      </c>
      <c r="L259" s="36">
        <f>+K259-((K259*0.002*0.125)+(K259*(1-0.002)*0.26))</f>
        <v>1.5619697E-2</v>
      </c>
      <c r="M259" s="64">
        <f t="shared" si="4"/>
        <v>1.5619697E-2</v>
      </c>
      <c r="N259" s="33" t="s">
        <v>251</v>
      </c>
    </row>
    <row r="260" spans="1:14" ht="15">
      <c r="A260" s="12" t="s">
        <v>190</v>
      </c>
      <c r="B260" s="33" t="s">
        <v>190</v>
      </c>
      <c r="C260" s="92" t="s">
        <v>370</v>
      </c>
      <c r="D260" s="33" t="s">
        <v>411</v>
      </c>
      <c r="E260" s="34">
        <v>43951</v>
      </c>
      <c r="F260" s="34">
        <v>43955</v>
      </c>
      <c r="G260" s="34">
        <v>43958</v>
      </c>
      <c r="H260" s="35">
        <v>0.05</v>
      </c>
      <c r="I260" s="67">
        <v>0.39989999999999998</v>
      </c>
      <c r="J260" s="67">
        <v>0</v>
      </c>
      <c r="K260" s="67">
        <v>0.39989999999999998</v>
      </c>
      <c r="L260" s="36">
        <f>+K260-((K260*0.002*0.125)+(K260*(1-0.002)*0.26))</f>
        <v>0.29603397300000001</v>
      </c>
      <c r="M260" s="64">
        <f t="shared" si="4"/>
        <v>0.29603397300000001</v>
      </c>
      <c r="N260" s="33" t="s">
        <v>251</v>
      </c>
    </row>
    <row r="261" spans="1:14" ht="15">
      <c r="A261" s="12" t="s">
        <v>198</v>
      </c>
      <c r="B261" s="33" t="s">
        <v>198</v>
      </c>
      <c r="C261" s="92" t="s">
        <v>371</v>
      </c>
      <c r="D261" s="33" t="s">
        <v>411</v>
      </c>
      <c r="E261" s="34">
        <v>43951</v>
      </c>
      <c r="F261" s="34">
        <v>43955</v>
      </c>
      <c r="G261" s="34">
        <v>43958</v>
      </c>
      <c r="H261" s="35">
        <v>0.05</v>
      </c>
      <c r="I261" s="67">
        <v>0.39950000000000002</v>
      </c>
      <c r="J261" s="67">
        <v>0</v>
      </c>
      <c r="K261" s="67">
        <v>0.39950000000000002</v>
      </c>
      <c r="L261" s="36">
        <f>+K261-((K261*0.002*0.125)+(K261*(1-0.002)*0.26))</f>
        <v>0.29573786499999999</v>
      </c>
      <c r="M261" s="64">
        <f t="shared" si="4"/>
        <v>0.29573786499999999</v>
      </c>
      <c r="N261" s="33" t="s">
        <v>251</v>
      </c>
    </row>
    <row r="262" spans="1:14" ht="15">
      <c r="A262" s="12"/>
      <c r="B262" s="33" t="s">
        <v>513</v>
      </c>
      <c r="C262" s="92" t="s">
        <v>515</v>
      </c>
      <c r="D262" s="33" t="s">
        <v>411</v>
      </c>
      <c r="E262" s="34">
        <v>43951</v>
      </c>
      <c r="F262" s="34">
        <v>43955</v>
      </c>
      <c r="G262" s="34">
        <v>43958</v>
      </c>
      <c r="H262" s="35">
        <v>0.02</v>
      </c>
      <c r="I262" s="67">
        <v>0.13569999999999999</v>
      </c>
      <c r="J262" s="67">
        <v>0</v>
      </c>
      <c r="K262" s="67">
        <v>0.13569999999999999</v>
      </c>
      <c r="L262" s="36">
        <f>+K262-((K262*0.135*0.125)+(K262*(1-0.135)*0.26))</f>
        <v>0.10289113249999998</v>
      </c>
      <c r="M262" s="64">
        <f t="shared" ref="M262:M325" si="6">J262+L262</f>
        <v>0.10289113249999998</v>
      </c>
      <c r="N262" s="33" t="s">
        <v>251</v>
      </c>
    </row>
    <row r="263" spans="1:14" ht="15">
      <c r="A263" s="12"/>
      <c r="B263" s="33" t="s">
        <v>514</v>
      </c>
      <c r="C263" s="92" t="s">
        <v>516</v>
      </c>
      <c r="D263" s="33" t="s">
        <v>411</v>
      </c>
      <c r="E263" s="34">
        <v>43951</v>
      </c>
      <c r="F263" s="34">
        <v>43955</v>
      </c>
      <c r="G263" s="34">
        <v>43958</v>
      </c>
      <c r="H263" s="35">
        <v>0.02</v>
      </c>
      <c r="I263" s="67">
        <v>0.13639999999999999</v>
      </c>
      <c r="J263" s="67">
        <v>0</v>
      </c>
      <c r="K263" s="67">
        <v>0.13639999999999999</v>
      </c>
      <c r="L263" s="36">
        <f>+K263-((K263*0.135*0.125)+(K263*(1-0.135)*0.26))</f>
        <v>0.10342188999999999</v>
      </c>
      <c r="M263" s="64">
        <f t="shared" si="6"/>
        <v>0.10342188999999999</v>
      </c>
      <c r="N263" s="33" t="s">
        <v>251</v>
      </c>
    </row>
    <row r="264" spans="1:14" ht="15">
      <c r="A264" s="12"/>
      <c r="B264" s="33" t="s">
        <v>313</v>
      </c>
      <c r="C264" s="92" t="s">
        <v>429</v>
      </c>
      <c r="D264" s="33" t="s">
        <v>411</v>
      </c>
      <c r="E264" s="34">
        <v>43951</v>
      </c>
      <c r="F264" s="34">
        <v>43955</v>
      </c>
      <c r="G264" s="34">
        <v>43958</v>
      </c>
      <c r="H264" s="35">
        <v>2.2499999999999999E-2</v>
      </c>
      <c r="I264" s="67">
        <v>9.2999999999999992E-3</v>
      </c>
      <c r="J264" s="67">
        <v>0</v>
      </c>
      <c r="K264" s="67">
        <v>9.2999999999999992E-3</v>
      </c>
      <c r="L264" s="36">
        <f>+K264-((K264*0.135*0.125)+(K264*(1-0.135)*0.26))</f>
        <v>7.0514924999999992E-3</v>
      </c>
      <c r="M264" s="64">
        <f t="shared" si="6"/>
        <v>7.0514924999999992E-3</v>
      </c>
      <c r="N264" s="33" t="s">
        <v>251</v>
      </c>
    </row>
    <row r="265" spans="1:14" ht="15">
      <c r="A265" s="12"/>
      <c r="B265" s="33" t="s">
        <v>511</v>
      </c>
      <c r="C265" s="92" t="s">
        <v>512</v>
      </c>
      <c r="D265" s="33" t="s">
        <v>411</v>
      </c>
      <c r="E265" s="34">
        <v>43980</v>
      </c>
      <c r="F265" s="34">
        <v>43984</v>
      </c>
      <c r="G265" s="34">
        <v>43987</v>
      </c>
      <c r="H265" s="35">
        <v>0.03</v>
      </c>
      <c r="I265" s="67">
        <v>0.19159999999999999</v>
      </c>
      <c r="J265" s="67">
        <v>0</v>
      </c>
      <c r="K265" s="67">
        <v>0.19159999999999999</v>
      </c>
      <c r="L265" s="36">
        <f>+K265-((K265*0.135*0.125)+(K265*(1-0.135)*0.26))</f>
        <v>0.14527591000000001</v>
      </c>
      <c r="M265" s="64">
        <f t="shared" si="6"/>
        <v>0.14527591000000001</v>
      </c>
      <c r="N265" s="33" t="s">
        <v>251</v>
      </c>
    </row>
    <row r="266" spans="1:14" ht="15">
      <c r="A266" s="12"/>
      <c r="B266" s="33" t="s">
        <v>310</v>
      </c>
      <c r="C266" s="92" t="s">
        <v>424</v>
      </c>
      <c r="D266" s="33" t="s">
        <v>411</v>
      </c>
      <c r="E266" s="34">
        <v>43980</v>
      </c>
      <c r="F266" s="34">
        <v>43984</v>
      </c>
      <c r="G266" s="34">
        <v>43987</v>
      </c>
      <c r="H266" s="35">
        <v>0.05</v>
      </c>
      <c r="I266" s="67">
        <v>2.0899999999999998E-2</v>
      </c>
      <c r="J266" s="67">
        <v>0</v>
      </c>
      <c r="K266" s="67">
        <v>2.0899999999999998E-2</v>
      </c>
      <c r="L266" s="36">
        <f>+K266-((K266*0.04*0.125)+(K266*(1-0.04)*0.26))</f>
        <v>1.5578859999999998E-2</v>
      </c>
      <c r="M266" s="64">
        <f t="shared" si="6"/>
        <v>1.5578859999999998E-2</v>
      </c>
      <c r="N266" s="33" t="s">
        <v>251</v>
      </c>
    </row>
    <row r="267" spans="1:14" ht="15">
      <c r="A267" s="12" t="s">
        <v>188</v>
      </c>
      <c r="B267" s="33" t="s">
        <v>188</v>
      </c>
      <c r="C267" s="92" t="s">
        <v>339</v>
      </c>
      <c r="D267" s="33" t="s">
        <v>411</v>
      </c>
      <c r="E267" s="34">
        <v>43980</v>
      </c>
      <c r="F267" s="34">
        <v>43984</v>
      </c>
      <c r="G267" s="34">
        <v>43987</v>
      </c>
      <c r="H267" s="35">
        <v>0.05</v>
      </c>
      <c r="I267" s="67">
        <v>0.36549999999999999</v>
      </c>
      <c r="J267" s="67">
        <v>0</v>
      </c>
      <c r="K267" s="67">
        <v>0.36549999999999999</v>
      </c>
      <c r="L267" s="36">
        <f>+K267-((K267*0.04*0.125)+(K267*(1-0.04)*0.26))</f>
        <v>0.27244370000000001</v>
      </c>
      <c r="M267" s="64">
        <f t="shared" si="6"/>
        <v>0.27244370000000001</v>
      </c>
      <c r="N267" s="33" t="s">
        <v>251</v>
      </c>
    </row>
    <row r="268" spans="1:14" ht="15">
      <c r="A268" s="12" t="s">
        <v>196</v>
      </c>
      <c r="B268" s="33" t="s">
        <v>196</v>
      </c>
      <c r="C268" s="92" t="s">
        <v>340</v>
      </c>
      <c r="D268" s="33" t="s">
        <v>411</v>
      </c>
      <c r="E268" s="34">
        <v>43980</v>
      </c>
      <c r="F268" s="34">
        <v>43984</v>
      </c>
      <c r="G268" s="34">
        <v>43987</v>
      </c>
      <c r="H268" s="35">
        <v>0.05</v>
      </c>
      <c r="I268" s="67">
        <v>0.37780000000000002</v>
      </c>
      <c r="J268" s="67">
        <v>0</v>
      </c>
      <c r="K268" s="67">
        <v>0.37780000000000002</v>
      </c>
      <c r="L268" s="36">
        <f>+K268-((K268*0.04*0.125)+(K268*(1-0.04)*0.26))</f>
        <v>0.28161212000000002</v>
      </c>
      <c r="M268" s="64">
        <f t="shared" si="6"/>
        <v>0.28161212000000002</v>
      </c>
      <c r="N268" s="33" t="s">
        <v>251</v>
      </c>
    </row>
    <row r="269" spans="1:14" ht="15">
      <c r="A269" s="12" t="s">
        <v>229</v>
      </c>
      <c r="B269" s="33" t="s">
        <v>191</v>
      </c>
      <c r="C269" s="92" t="s">
        <v>346</v>
      </c>
      <c r="D269" s="33" t="s">
        <v>411</v>
      </c>
      <c r="E269" s="34">
        <v>43980</v>
      </c>
      <c r="F269" s="34">
        <v>43984</v>
      </c>
      <c r="G269" s="34">
        <v>43987</v>
      </c>
      <c r="H269" s="35">
        <v>3.5000000000000003E-2</v>
      </c>
      <c r="I269" s="67">
        <v>1.47E-2</v>
      </c>
      <c r="J269" s="67">
        <v>0</v>
      </c>
      <c r="K269" s="67">
        <v>1.47E-2</v>
      </c>
      <c r="L269" s="36">
        <f>+K269-((K269*0.837*0.125)+(K269*(1-0.837)*0.26))</f>
        <v>1.25390265E-2</v>
      </c>
      <c r="M269" s="64">
        <f t="shared" si="6"/>
        <v>1.25390265E-2</v>
      </c>
      <c r="N269" s="33" t="s">
        <v>251</v>
      </c>
    </row>
    <row r="270" spans="1:14" ht="15">
      <c r="A270" s="12" t="s">
        <v>231</v>
      </c>
      <c r="B270" s="33" t="s">
        <v>199</v>
      </c>
      <c r="C270" s="92" t="s">
        <v>347</v>
      </c>
      <c r="D270" s="33" t="s">
        <v>411</v>
      </c>
      <c r="E270" s="34">
        <v>43980</v>
      </c>
      <c r="F270" s="34">
        <v>43984</v>
      </c>
      <c r="G270" s="34">
        <v>43987</v>
      </c>
      <c r="H270" s="35">
        <v>3.5000000000000003E-2</v>
      </c>
      <c r="I270" s="67">
        <v>1.47E-2</v>
      </c>
      <c r="J270" s="67">
        <v>0</v>
      </c>
      <c r="K270" s="67">
        <v>1.47E-2</v>
      </c>
      <c r="L270" s="36">
        <f>+K270-((K270*0.837*0.125)+(K270*(1-0.837)*0.26))</f>
        <v>1.25390265E-2</v>
      </c>
      <c r="M270" s="64">
        <f t="shared" si="6"/>
        <v>1.25390265E-2</v>
      </c>
      <c r="N270" s="33" t="s">
        <v>251</v>
      </c>
    </row>
    <row r="271" spans="1:14" ht="15">
      <c r="A271" s="12"/>
      <c r="B271" s="33" t="s">
        <v>306</v>
      </c>
      <c r="C271" s="92" t="s">
        <v>430</v>
      </c>
      <c r="D271" s="33" t="s">
        <v>411</v>
      </c>
      <c r="E271" s="34">
        <v>43980</v>
      </c>
      <c r="F271" s="34">
        <v>43984</v>
      </c>
      <c r="G271" s="34">
        <v>43987</v>
      </c>
      <c r="H271" s="35">
        <v>0.02</v>
      </c>
      <c r="I271" s="67">
        <v>8.3999999999999995E-3</v>
      </c>
      <c r="J271" s="67">
        <v>0</v>
      </c>
      <c r="K271" s="67">
        <v>8.3999999999999995E-3</v>
      </c>
      <c r="L271" s="36">
        <f>+K271-((K271*0.0000001*0.125)+(K271*(1-0.0000001)*0.26))</f>
        <v>6.2160001133999996E-3</v>
      </c>
      <c r="M271" s="64">
        <f t="shared" si="6"/>
        <v>6.2160001133999996E-3</v>
      </c>
      <c r="N271" s="33" t="s">
        <v>251</v>
      </c>
    </row>
    <row r="272" spans="1:14" ht="15">
      <c r="A272" s="12" t="s">
        <v>184</v>
      </c>
      <c r="B272" s="33" t="s">
        <v>184</v>
      </c>
      <c r="C272" s="92" t="s">
        <v>354</v>
      </c>
      <c r="D272" s="33" t="s">
        <v>411</v>
      </c>
      <c r="E272" s="34">
        <v>43980</v>
      </c>
      <c r="F272" s="34">
        <v>43984</v>
      </c>
      <c r="G272" s="34">
        <v>43987</v>
      </c>
      <c r="H272" s="35">
        <v>0.02</v>
      </c>
      <c r="I272" s="67">
        <v>0.16880000000000001</v>
      </c>
      <c r="J272" s="67">
        <v>0</v>
      </c>
      <c r="K272" s="67">
        <v>0.16880000000000001</v>
      </c>
      <c r="L272" s="36">
        <f>+K272-((K272*0.0000001*0.125)+(K272*(1-0.0000001)*0.26))</f>
        <v>0.12491200227880001</v>
      </c>
      <c r="M272" s="64">
        <f t="shared" si="6"/>
        <v>0.12491200227880001</v>
      </c>
      <c r="N272" s="33" t="s">
        <v>251</v>
      </c>
    </row>
    <row r="273" spans="1:14" ht="15">
      <c r="A273" s="12" t="s">
        <v>192</v>
      </c>
      <c r="B273" s="33" t="s">
        <v>192</v>
      </c>
      <c r="C273" s="92" t="s">
        <v>355</v>
      </c>
      <c r="D273" s="33" t="s">
        <v>411</v>
      </c>
      <c r="E273" s="34">
        <v>43980</v>
      </c>
      <c r="F273" s="34">
        <v>43984</v>
      </c>
      <c r="G273" s="34">
        <v>43987</v>
      </c>
      <c r="H273" s="35">
        <v>0.02</v>
      </c>
      <c r="I273" s="67">
        <v>0.16980000000000001</v>
      </c>
      <c r="J273" s="67">
        <v>0</v>
      </c>
      <c r="K273" s="67">
        <v>0.16980000000000001</v>
      </c>
      <c r="L273" s="36">
        <f>+K273-((K273*0.0000001*0.125)+(K273*(1-0.0000001)*0.26))</f>
        <v>0.1256520022923</v>
      </c>
      <c r="M273" s="64">
        <f t="shared" si="6"/>
        <v>0.1256520022923</v>
      </c>
      <c r="N273" s="33" t="s">
        <v>251</v>
      </c>
    </row>
    <row r="274" spans="1:14" ht="15">
      <c r="A274" s="12"/>
      <c r="B274" s="33" t="s">
        <v>311</v>
      </c>
      <c r="C274" s="92" t="s">
        <v>425</v>
      </c>
      <c r="D274" s="33" t="s">
        <v>411</v>
      </c>
      <c r="E274" s="34">
        <v>43980</v>
      </c>
      <c r="F274" s="34">
        <v>43984</v>
      </c>
      <c r="G274" s="34">
        <v>43987</v>
      </c>
      <c r="H274" s="35">
        <v>0.01</v>
      </c>
      <c r="I274" s="67">
        <v>4.1999999999999997E-3</v>
      </c>
      <c r="J274" s="67">
        <v>0</v>
      </c>
      <c r="K274" s="67">
        <v>4.1999999999999997E-3</v>
      </c>
      <c r="L274" s="36">
        <f>+K274-((K274*0.0000000001*0.125)+(K274*(1-0.000000001)*0.26))</f>
        <v>3.1080000010394997E-3</v>
      </c>
      <c r="M274" s="64">
        <f t="shared" si="6"/>
        <v>3.1080000010394997E-3</v>
      </c>
      <c r="N274" s="33" t="s">
        <v>251</v>
      </c>
    </row>
    <row r="275" spans="1:14" ht="15">
      <c r="A275" s="12" t="s">
        <v>189</v>
      </c>
      <c r="B275" s="33" t="s">
        <v>189</v>
      </c>
      <c r="C275" s="92" t="s">
        <v>356</v>
      </c>
      <c r="D275" s="33" t="s">
        <v>411</v>
      </c>
      <c r="E275" s="34">
        <v>43980</v>
      </c>
      <c r="F275" s="34">
        <v>43984</v>
      </c>
      <c r="G275" s="34">
        <v>43987</v>
      </c>
      <c r="H275" s="35">
        <v>0.01</v>
      </c>
      <c r="I275" s="67">
        <v>7.6300000000000007E-2</v>
      </c>
      <c r="J275" s="67">
        <v>0</v>
      </c>
      <c r="K275" s="67">
        <v>7.6300000000000007E-2</v>
      </c>
      <c r="L275" s="36">
        <f>+K275-((K275*0.0000000001*0.125)+(K275*(1-0.000000001)*0.26))</f>
        <v>5.6462000018884254E-2</v>
      </c>
      <c r="M275" s="64">
        <f t="shared" si="6"/>
        <v>5.6462000018884254E-2</v>
      </c>
      <c r="N275" s="33" t="s">
        <v>251</v>
      </c>
    </row>
    <row r="276" spans="1:14" ht="15">
      <c r="A276" s="12" t="s">
        <v>197</v>
      </c>
      <c r="B276" s="33" t="s">
        <v>197</v>
      </c>
      <c r="C276" s="92" t="s">
        <v>357</v>
      </c>
      <c r="D276" s="33" t="s">
        <v>411</v>
      </c>
      <c r="E276" s="34">
        <v>43980</v>
      </c>
      <c r="F276" s="34">
        <v>43984</v>
      </c>
      <c r="G276" s="34">
        <v>43987</v>
      </c>
      <c r="H276" s="35">
        <v>0.01</v>
      </c>
      <c r="I276" s="67">
        <v>7.7399999999999997E-2</v>
      </c>
      <c r="J276" s="67">
        <v>0</v>
      </c>
      <c r="K276" s="67">
        <v>7.7399999999999997E-2</v>
      </c>
      <c r="L276" s="36">
        <f>+K276-((K276*0.0000000001*0.125)+(K276*(1-0.000000001)*0.26))</f>
        <v>5.7276000019156496E-2</v>
      </c>
      <c r="M276" s="64">
        <f t="shared" si="6"/>
        <v>5.7276000019156496E-2</v>
      </c>
      <c r="N276" s="33" t="s">
        <v>251</v>
      </c>
    </row>
    <row r="277" spans="1:14" ht="15">
      <c r="A277" s="12"/>
      <c r="B277" s="33" t="s">
        <v>308</v>
      </c>
      <c r="C277" s="92" t="s">
        <v>426</v>
      </c>
      <c r="D277" s="33" t="s">
        <v>411</v>
      </c>
      <c r="E277" s="34">
        <v>43980</v>
      </c>
      <c r="F277" s="34">
        <v>43984</v>
      </c>
      <c r="G277" s="34">
        <v>43987</v>
      </c>
      <c r="H277" s="35">
        <v>1.4999999999999999E-2</v>
      </c>
      <c r="I277" s="67">
        <v>6.1999999999999998E-3</v>
      </c>
      <c r="J277" s="67">
        <v>0</v>
      </c>
      <c r="K277" s="67">
        <v>6.1999999999999998E-3</v>
      </c>
      <c r="L277" s="36">
        <f>+K277-((K277*0.478*0.125)+(K277*(1-0.478)*0.26))</f>
        <v>4.9880860000000001E-3</v>
      </c>
      <c r="M277" s="64">
        <f t="shared" si="6"/>
        <v>4.9880860000000001E-3</v>
      </c>
      <c r="N277" s="33" t="s">
        <v>251</v>
      </c>
    </row>
    <row r="278" spans="1:14" ht="15">
      <c r="A278" s="12" t="s">
        <v>186</v>
      </c>
      <c r="B278" s="33" t="s">
        <v>186</v>
      </c>
      <c r="C278" s="92" t="s">
        <v>363</v>
      </c>
      <c r="D278" s="33" t="s">
        <v>411</v>
      </c>
      <c r="E278" s="34">
        <v>43980</v>
      </c>
      <c r="F278" s="34">
        <v>43984</v>
      </c>
      <c r="G278" s="34">
        <v>43987</v>
      </c>
      <c r="H278" s="35">
        <v>1.4999999999999999E-2</v>
      </c>
      <c r="I278" s="67">
        <v>0.114</v>
      </c>
      <c r="J278" s="67">
        <v>0</v>
      </c>
      <c r="K278" s="67">
        <v>0.114</v>
      </c>
      <c r="L278" s="36">
        <f>+K278-((K278*0.478*0.125)+(K278*(1-0.478)*0.26))</f>
        <v>9.1716419999999993E-2</v>
      </c>
      <c r="M278" s="64">
        <f t="shared" si="6"/>
        <v>9.1716419999999993E-2</v>
      </c>
      <c r="N278" s="33" t="s">
        <v>251</v>
      </c>
    </row>
    <row r="279" spans="1:14" ht="15">
      <c r="A279" s="12" t="s">
        <v>194</v>
      </c>
      <c r="B279" s="33" t="s">
        <v>194</v>
      </c>
      <c r="C279" s="92" t="s">
        <v>364</v>
      </c>
      <c r="D279" s="33" t="s">
        <v>411</v>
      </c>
      <c r="E279" s="34">
        <v>43980</v>
      </c>
      <c r="F279" s="34">
        <v>43984</v>
      </c>
      <c r="G279" s="34">
        <v>43987</v>
      </c>
      <c r="H279" s="35">
        <v>1.4999999999999999E-2</v>
      </c>
      <c r="I279" s="67">
        <v>0.1168</v>
      </c>
      <c r="J279" s="67">
        <v>0</v>
      </c>
      <c r="K279" s="67">
        <v>0.1168</v>
      </c>
      <c r="L279" s="36">
        <f>+K279-((K279*0.478*0.125)+(K279*(1-0.478)*0.26))</f>
        <v>9.3969103999999998E-2</v>
      </c>
      <c r="M279" s="64">
        <f t="shared" si="6"/>
        <v>9.3969103999999998E-2</v>
      </c>
      <c r="N279" s="33" t="s">
        <v>251</v>
      </c>
    </row>
    <row r="280" spans="1:14" ht="15">
      <c r="A280" s="12"/>
      <c r="B280" s="33" t="s">
        <v>307</v>
      </c>
      <c r="C280" s="92" t="s">
        <v>420</v>
      </c>
      <c r="D280" s="33" t="s">
        <v>411</v>
      </c>
      <c r="E280" s="34">
        <v>43980</v>
      </c>
      <c r="F280" s="34">
        <v>43984</v>
      </c>
      <c r="G280" s="34">
        <v>43987</v>
      </c>
      <c r="H280" s="35">
        <v>1.4999999999999999E-2</v>
      </c>
      <c r="I280" s="67">
        <v>6.1999999999999998E-3</v>
      </c>
      <c r="J280" s="67">
        <v>0</v>
      </c>
      <c r="K280" s="67">
        <v>6.1999999999999998E-3</v>
      </c>
      <c r="L280" s="36">
        <f>+K280-((K280*0.588*0.125)+(K280*(1-0.588)*0.26))</f>
        <v>5.0801559999999997E-3</v>
      </c>
      <c r="M280" s="64">
        <f t="shared" si="6"/>
        <v>5.0801559999999997E-3</v>
      </c>
      <c r="N280" s="33" t="s">
        <v>251</v>
      </c>
    </row>
    <row r="281" spans="1:14" ht="15">
      <c r="A281" s="12" t="s">
        <v>185</v>
      </c>
      <c r="B281" s="33" t="s">
        <v>185</v>
      </c>
      <c r="C281" s="92" t="s">
        <v>366</v>
      </c>
      <c r="D281" s="33" t="s">
        <v>411</v>
      </c>
      <c r="E281" s="34">
        <v>43980</v>
      </c>
      <c r="F281" s="34">
        <v>43984</v>
      </c>
      <c r="G281" s="34">
        <v>43987</v>
      </c>
      <c r="H281" s="35">
        <v>1.4999999999999999E-2</v>
      </c>
      <c r="I281" s="67">
        <v>0.10390000000000001</v>
      </c>
      <c r="J281" s="67">
        <v>0</v>
      </c>
      <c r="K281" s="67">
        <v>0.10390000000000001</v>
      </c>
      <c r="L281" s="36">
        <f>+K281-((K281*0.588*0.125)+(K281*(1-0.588)*0.26))</f>
        <v>8.5133582000000013E-2</v>
      </c>
      <c r="M281" s="64">
        <f t="shared" si="6"/>
        <v>8.5133582000000013E-2</v>
      </c>
      <c r="N281" s="33" t="s">
        <v>251</v>
      </c>
    </row>
    <row r="282" spans="1:14" ht="15">
      <c r="A282" s="12" t="s">
        <v>193</v>
      </c>
      <c r="B282" s="33" t="s">
        <v>193</v>
      </c>
      <c r="C282" s="92" t="s">
        <v>367</v>
      </c>
      <c r="D282" s="33" t="s">
        <v>411</v>
      </c>
      <c r="E282" s="34">
        <v>43980</v>
      </c>
      <c r="F282" s="34">
        <v>43984</v>
      </c>
      <c r="G282" s="34">
        <v>43987</v>
      </c>
      <c r="H282" s="35">
        <v>1.4999999999999999E-2</v>
      </c>
      <c r="I282" s="67">
        <v>0.1009</v>
      </c>
      <c r="J282" s="67">
        <v>0</v>
      </c>
      <c r="K282" s="67">
        <v>0.1009</v>
      </c>
      <c r="L282" s="36">
        <f>+K282-((K282*0.588*0.125)+(K282*(1-0.588)*0.26))</f>
        <v>8.2675442000000002E-2</v>
      </c>
      <c r="M282" s="64">
        <f t="shared" si="6"/>
        <v>8.2675442000000002E-2</v>
      </c>
      <c r="N282" s="33" t="s">
        <v>251</v>
      </c>
    </row>
    <row r="283" spans="1:14" ht="15">
      <c r="A283" s="12"/>
      <c r="B283" s="33" t="s">
        <v>309</v>
      </c>
      <c r="C283" s="92" t="s">
        <v>427</v>
      </c>
      <c r="D283" s="33" t="s">
        <v>411</v>
      </c>
      <c r="E283" s="34">
        <v>43980</v>
      </c>
      <c r="F283" s="34">
        <v>43984</v>
      </c>
      <c r="G283" s="34">
        <v>43987</v>
      </c>
      <c r="H283" s="35">
        <v>3.5000000000000003E-2</v>
      </c>
      <c r="I283" s="67">
        <v>1.4500000000000001E-2</v>
      </c>
      <c r="J283" s="67">
        <v>0</v>
      </c>
      <c r="K283" s="67">
        <v>1.4500000000000001E-2</v>
      </c>
      <c r="L283" s="36">
        <f>+K283-((K283*0.001*0.125)+(K283*(1-0.001)*0.26))</f>
        <v>1.07319575E-2</v>
      </c>
      <c r="M283" s="64">
        <f t="shared" si="6"/>
        <v>1.07319575E-2</v>
      </c>
      <c r="N283" s="33" t="s">
        <v>251</v>
      </c>
    </row>
    <row r="284" spans="1:14" ht="15">
      <c r="A284" s="12" t="s">
        <v>187</v>
      </c>
      <c r="B284" s="33" t="s">
        <v>187</v>
      </c>
      <c r="C284" s="92" t="s">
        <v>368</v>
      </c>
      <c r="D284" s="33" t="s">
        <v>411</v>
      </c>
      <c r="E284" s="34">
        <v>43980</v>
      </c>
      <c r="F284" s="34">
        <v>43984</v>
      </c>
      <c r="G284" s="34">
        <v>43987</v>
      </c>
      <c r="H284" s="35">
        <v>3.5000000000000003E-2</v>
      </c>
      <c r="I284" s="67">
        <v>0.25679999999999997</v>
      </c>
      <c r="J284" s="67">
        <v>0</v>
      </c>
      <c r="K284" s="67">
        <v>0.25679999999999997</v>
      </c>
      <c r="L284" s="36">
        <f>+K284-((K284*0.001*0.125)+(K284*(1-0.001)*0.26))</f>
        <v>0.19006666799999999</v>
      </c>
      <c r="M284" s="64">
        <f t="shared" si="6"/>
        <v>0.19006666799999999</v>
      </c>
      <c r="N284" s="33" t="s">
        <v>251</v>
      </c>
    </row>
    <row r="285" spans="1:14" ht="15">
      <c r="A285" s="12" t="s">
        <v>195</v>
      </c>
      <c r="B285" s="33" t="s">
        <v>195</v>
      </c>
      <c r="C285" s="92" t="s">
        <v>369</v>
      </c>
      <c r="D285" s="33" t="s">
        <v>411</v>
      </c>
      <c r="E285" s="34">
        <v>43980</v>
      </c>
      <c r="F285" s="34">
        <v>43984</v>
      </c>
      <c r="G285" s="34">
        <v>43987</v>
      </c>
      <c r="H285" s="35">
        <v>3.5000000000000003E-2</v>
      </c>
      <c r="I285" s="67">
        <v>0.26400000000000001</v>
      </c>
      <c r="J285" s="67">
        <v>0</v>
      </c>
      <c r="K285" s="67">
        <v>0.26400000000000001</v>
      </c>
      <c r="L285" s="36">
        <f>+K285-((K285*0.001*0.125)+(K285*(1-0.001)*0.26))</f>
        <v>0.19539563999999998</v>
      </c>
      <c r="M285" s="64">
        <f t="shared" si="6"/>
        <v>0.19539563999999998</v>
      </c>
      <c r="N285" s="33" t="s">
        <v>251</v>
      </c>
    </row>
    <row r="286" spans="1:14" ht="15">
      <c r="A286" s="12"/>
      <c r="B286" s="33" t="s">
        <v>312</v>
      </c>
      <c r="C286" s="92" t="s">
        <v>428</v>
      </c>
      <c r="D286" s="33" t="s">
        <v>411</v>
      </c>
      <c r="E286" s="34">
        <v>43980</v>
      </c>
      <c r="F286" s="34">
        <v>43984</v>
      </c>
      <c r="G286" s="34">
        <v>43987</v>
      </c>
      <c r="H286" s="35">
        <v>0.05</v>
      </c>
      <c r="I286" s="67">
        <v>2.1100000000000001E-2</v>
      </c>
      <c r="J286" s="67">
        <v>0</v>
      </c>
      <c r="K286" s="67">
        <v>2.1100000000000001E-2</v>
      </c>
      <c r="L286" s="36">
        <f>+K286-((K286*0.002*0.125)+(K286*(1-0.002)*0.26))</f>
        <v>1.5619697E-2</v>
      </c>
      <c r="M286" s="64">
        <f t="shared" si="6"/>
        <v>1.5619697E-2</v>
      </c>
      <c r="N286" s="33" t="s">
        <v>251</v>
      </c>
    </row>
    <row r="287" spans="1:14" ht="15">
      <c r="A287" s="12" t="s">
        <v>190</v>
      </c>
      <c r="B287" s="33" t="s">
        <v>190</v>
      </c>
      <c r="C287" s="92" t="s">
        <v>370</v>
      </c>
      <c r="D287" s="33" t="s">
        <v>411</v>
      </c>
      <c r="E287" s="34">
        <v>43980</v>
      </c>
      <c r="F287" s="34">
        <v>43984</v>
      </c>
      <c r="G287" s="34">
        <v>43987</v>
      </c>
      <c r="H287" s="35">
        <v>0.05</v>
      </c>
      <c r="I287" s="67">
        <v>0.39989999999999998</v>
      </c>
      <c r="J287" s="67">
        <v>0</v>
      </c>
      <c r="K287" s="67">
        <v>0.39989999999999998</v>
      </c>
      <c r="L287" s="36">
        <f>+K287-((K287*0.002*0.125)+(K287*(1-0.002)*0.26))</f>
        <v>0.29603397300000001</v>
      </c>
      <c r="M287" s="64">
        <f t="shared" si="6"/>
        <v>0.29603397300000001</v>
      </c>
      <c r="N287" s="33" t="s">
        <v>251</v>
      </c>
    </row>
    <row r="288" spans="1:14" ht="15">
      <c r="A288" s="12" t="s">
        <v>198</v>
      </c>
      <c r="B288" s="33" t="s">
        <v>198</v>
      </c>
      <c r="C288" s="92" t="s">
        <v>371</v>
      </c>
      <c r="D288" s="33" t="s">
        <v>411</v>
      </c>
      <c r="E288" s="34">
        <v>43980</v>
      </c>
      <c r="F288" s="34">
        <v>43984</v>
      </c>
      <c r="G288" s="34">
        <v>43987</v>
      </c>
      <c r="H288" s="35">
        <v>0.05</v>
      </c>
      <c r="I288" s="67">
        <v>0.39950000000000002</v>
      </c>
      <c r="J288" s="67">
        <v>0</v>
      </c>
      <c r="K288" s="67">
        <v>0.39950000000000002</v>
      </c>
      <c r="L288" s="36">
        <f>+K288-((K288*0.002*0.125)+(K288*(1-0.002)*0.26))</f>
        <v>0.29573786499999999</v>
      </c>
      <c r="M288" s="64">
        <f t="shared" si="6"/>
        <v>0.29573786499999999</v>
      </c>
      <c r="N288" s="33" t="s">
        <v>251</v>
      </c>
    </row>
    <row r="289" spans="1:14" ht="15">
      <c r="A289" s="12"/>
      <c r="B289" s="33" t="s">
        <v>513</v>
      </c>
      <c r="C289" s="92" t="s">
        <v>515</v>
      </c>
      <c r="D289" s="33" t="s">
        <v>411</v>
      </c>
      <c r="E289" s="34">
        <v>43980</v>
      </c>
      <c r="F289" s="34">
        <v>43984</v>
      </c>
      <c r="G289" s="34">
        <v>43987</v>
      </c>
      <c r="H289" s="35">
        <v>0.02</v>
      </c>
      <c r="I289" s="67">
        <v>0.13569999999999999</v>
      </c>
      <c r="J289" s="67">
        <v>0</v>
      </c>
      <c r="K289" s="67">
        <v>0.13569999999999999</v>
      </c>
      <c r="L289" s="36">
        <f>+K289-((K289*0.135*0.125)+(K289*(1-0.135)*0.26))</f>
        <v>0.10289113249999998</v>
      </c>
      <c r="M289" s="64">
        <f t="shared" si="6"/>
        <v>0.10289113249999998</v>
      </c>
      <c r="N289" s="33" t="s">
        <v>251</v>
      </c>
    </row>
    <row r="290" spans="1:14" ht="15">
      <c r="A290" s="12"/>
      <c r="B290" s="33" t="s">
        <v>514</v>
      </c>
      <c r="C290" s="92" t="s">
        <v>516</v>
      </c>
      <c r="D290" s="33" t="s">
        <v>411</v>
      </c>
      <c r="E290" s="34">
        <v>43980</v>
      </c>
      <c r="F290" s="34">
        <v>43984</v>
      </c>
      <c r="G290" s="34">
        <v>43987</v>
      </c>
      <c r="H290" s="35">
        <v>0.02</v>
      </c>
      <c r="I290" s="67">
        <v>0.13639999999999999</v>
      </c>
      <c r="J290" s="67">
        <v>0</v>
      </c>
      <c r="K290" s="67">
        <v>0.13639999999999999</v>
      </c>
      <c r="L290" s="36">
        <f>+K290-((K290*0.135*0.125)+(K290*(1-0.135)*0.26))</f>
        <v>0.10342188999999999</v>
      </c>
      <c r="M290" s="64">
        <f t="shared" si="6"/>
        <v>0.10342188999999999</v>
      </c>
      <c r="N290" s="33" t="s">
        <v>251</v>
      </c>
    </row>
    <row r="291" spans="1:14" ht="15">
      <c r="A291" s="12"/>
      <c r="B291" s="33" t="s">
        <v>313</v>
      </c>
      <c r="C291" s="92" t="s">
        <v>429</v>
      </c>
      <c r="D291" s="33" t="s">
        <v>411</v>
      </c>
      <c r="E291" s="34">
        <v>43980</v>
      </c>
      <c r="F291" s="34">
        <v>43984</v>
      </c>
      <c r="G291" s="34">
        <v>43987</v>
      </c>
      <c r="H291" s="35">
        <v>2.2499999999999999E-2</v>
      </c>
      <c r="I291" s="67">
        <v>9.2999999999999992E-3</v>
      </c>
      <c r="J291" s="67">
        <v>0</v>
      </c>
      <c r="K291" s="67">
        <v>9.2999999999999992E-3</v>
      </c>
      <c r="L291" s="36">
        <f>+K291-((K291*0.135*0.125)+(K291*(1-0.135)*0.26))</f>
        <v>7.0514924999999992E-3</v>
      </c>
      <c r="M291" s="64">
        <f t="shared" si="6"/>
        <v>7.0514924999999992E-3</v>
      </c>
      <c r="N291" s="33" t="s">
        <v>251</v>
      </c>
    </row>
    <row r="292" spans="1:14" ht="15">
      <c r="A292" s="12" t="s">
        <v>122</v>
      </c>
      <c r="B292" s="33" t="s">
        <v>174</v>
      </c>
      <c r="C292" s="92" t="s">
        <v>382</v>
      </c>
      <c r="D292" s="33" t="s">
        <v>410</v>
      </c>
      <c r="E292" s="34">
        <v>44011</v>
      </c>
      <c r="F292" s="34">
        <v>44012</v>
      </c>
      <c r="G292" s="34">
        <v>44015</v>
      </c>
      <c r="H292" s="35"/>
      <c r="I292" s="67">
        <v>2.8476000000000001E-2</v>
      </c>
      <c r="J292" s="67">
        <v>0</v>
      </c>
      <c r="K292" s="67">
        <v>2.8476109999999999E-2</v>
      </c>
      <c r="L292" s="36">
        <f>+K292-((K292*0.004*0.125)+(K292*(1-0.004)*0.26))</f>
        <v>2.1087698499399999E-2</v>
      </c>
      <c r="M292" s="64">
        <f t="shared" si="6"/>
        <v>2.1087698499399999E-2</v>
      </c>
      <c r="N292" s="33" t="s">
        <v>247</v>
      </c>
    </row>
    <row r="293" spans="1:14" ht="15">
      <c r="A293" s="12" t="s">
        <v>123</v>
      </c>
      <c r="B293" s="33" t="s">
        <v>176</v>
      </c>
      <c r="C293" s="92" t="s">
        <v>397</v>
      </c>
      <c r="D293" s="33" t="s">
        <v>410</v>
      </c>
      <c r="E293" s="34">
        <v>44011</v>
      </c>
      <c r="F293" s="34">
        <v>44012</v>
      </c>
      <c r="G293" s="34">
        <v>44015</v>
      </c>
      <c r="H293" s="35"/>
      <c r="I293" s="67">
        <v>3.7990000000000003E-2</v>
      </c>
      <c r="J293" s="67">
        <v>0</v>
      </c>
      <c r="K293" s="67">
        <v>3.7990179999999998E-2</v>
      </c>
      <c r="L293" s="36">
        <f>+K293-((K293*0.089*0.125)+(K293*(1-0.089)*0.26))</f>
        <v>2.85691852127E-2</v>
      </c>
      <c r="M293" s="64">
        <f t="shared" si="6"/>
        <v>2.85691852127E-2</v>
      </c>
      <c r="N293" s="33" t="s">
        <v>247</v>
      </c>
    </row>
    <row r="294" spans="1:14" ht="15">
      <c r="A294" s="12" t="s">
        <v>124</v>
      </c>
      <c r="B294" s="33" t="s">
        <v>175</v>
      </c>
      <c r="C294" s="92" t="s">
        <v>465</v>
      </c>
      <c r="D294" s="33" t="s">
        <v>410</v>
      </c>
      <c r="E294" s="34">
        <v>44011</v>
      </c>
      <c r="F294" s="34">
        <v>44012</v>
      </c>
      <c r="G294" s="34">
        <v>44015</v>
      </c>
      <c r="H294" s="35"/>
      <c r="I294" s="67">
        <v>5.2143000000000002E-2</v>
      </c>
      <c r="J294" s="67">
        <v>0</v>
      </c>
      <c r="K294" s="67">
        <v>5.2143330000000002E-2</v>
      </c>
      <c r="L294" s="36">
        <f>+K294-((K294*0.112*0.125)+(K294*(1-0.112)*0.26))</f>
        <v>3.9374471349600003E-2</v>
      </c>
      <c r="M294" s="64">
        <f t="shared" si="6"/>
        <v>3.9374471349600003E-2</v>
      </c>
      <c r="N294" s="33" t="s">
        <v>247</v>
      </c>
    </row>
    <row r="295" spans="1:14" ht="15">
      <c r="A295" s="12"/>
      <c r="B295" s="33" t="s">
        <v>511</v>
      </c>
      <c r="C295" s="92" t="s">
        <v>512</v>
      </c>
      <c r="D295" s="33" t="s">
        <v>411</v>
      </c>
      <c r="E295" s="34">
        <v>44012</v>
      </c>
      <c r="F295" s="34">
        <v>44013</v>
      </c>
      <c r="G295" s="34">
        <v>44018</v>
      </c>
      <c r="H295" s="35">
        <v>0.03</v>
      </c>
      <c r="I295" s="67">
        <v>0.19159999999999999</v>
      </c>
      <c r="J295" s="67">
        <v>0</v>
      </c>
      <c r="K295" s="67">
        <v>0.19159999999999999</v>
      </c>
      <c r="L295" s="36">
        <f>+K295-((K295*0.9057*0.125)+(K295*(1-0.9057)*0.26))</f>
        <v>0.16521083619999999</v>
      </c>
      <c r="M295" s="64">
        <f t="shared" si="6"/>
        <v>0.16521083619999999</v>
      </c>
      <c r="N295" s="33" t="s">
        <v>251</v>
      </c>
    </row>
    <row r="296" spans="1:14" ht="15">
      <c r="A296" s="12"/>
      <c r="B296" s="33" t="s">
        <v>310</v>
      </c>
      <c r="C296" s="92" t="s">
        <v>424</v>
      </c>
      <c r="D296" s="33" t="s">
        <v>411</v>
      </c>
      <c r="E296" s="34">
        <v>44012</v>
      </c>
      <c r="F296" s="34">
        <v>44013</v>
      </c>
      <c r="G296" s="34">
        <v>44018</v>
      </c>
      <c r="H296" s="35">
        <v>0.05</v>
      </c>
      <c r="I296" s="67">
        <v>2.0899999999999998E-2</v>
      </c>
      <c r="J296" s="67">
        <v>0</v>
      </c>
      <c r="K296" s="67">
        <v>2.0899999999999998E-2</v>
      </c>
      <c r="L296" s="36">
        <f>+K296-((K296*0.03783*0.125)+(K296*(1-0.089)*0.26))</f>
        <v>1.5850795124999997E-2</v>
      </c>
      <c r="M296" s="64">
        <f t="shared" si="6"/>
        <v>1.5850795124999997E-2</v>
      </c>
      <c r="N296" s="33" t="s">
        <v>251</v>
      </c>
    </row>
    <row r="297" spans="1:14" ht="15">
      <c r="A297" s="12" t="s">
        <v>188</v>
      </c>
      <c r="B297" s="33" t="s">
        <v>188</v>
      </c>
      <c r="C297" s="92" t="s">
        <v>339</v>
      </c>
      <c r="D297" s="33" t="s">
        <v>411</v>
      </c>
      <c r="E297" s="34">
        <v>44012</v>
      </c>
      <c r="F297" s="34">
        <v>44013</v>
      </c>
      <c r="G297" s="34">
        <v>44018</v>
      </c>
      <c r="H297" s="35">
        <v>0.05</v>
      </c>
      <c r="I297" s="67">
        <v>0.36549999999999999</v>
      </c>
      <c r="J297" s="67">
        <v>0</v>
      </c>
      <c r="K297" s="67">
        <v>0.36549999999999999</v>
      </c>
      <c r="L297" s="36">
        <f>+K297-((K297*0.03783*0.125)+(K297*(1-0.089)*0.26))</f>
        <v>0.27719931187500002</v>
      </c>
      <c r="M297" s="64">
        <f t="shared" si="6"/>
        <v>0.27719931187500002</v>
      </c>
      <c r="N297" s="33" t="s">
        <v>251</v>
      </c>
    </row>
    <row r="298" spans="1:14" ht="15">
      <c r="A298" s="12" t="s">
        <v>196</v>
      </c>
      <c r="B298" s="33" t="s">
        <v>196</v>
      </c>
      <c r="C298" s="92" t="s">
        <v>340</v>
      </c>
      <c r="D298" s="33" t="s">
        <v>411</v>
      </c>
      <c r="E298" s="34">
        <v>44012</v>
      </c>
      <c r="F298" s="34">
        <v>44013</v>
      </c>
      <c r="G298" s="34">
        <v>44018</v>
      </c>
      <c r="H298" s="35">
        <v>0.05</v>
      </c>
      <c r="I298" s="67">
        <v>0.37780000000000002</v>
      </c>
      <c r="J298" s="67">
        <v>0</v>
      </c>
      <c r="K298" s="67">
        <v>0.37780000000000002</v>
      </c>
      <c r="L298" s="36">
        <f>+K298-((K298*0.03783*0.125)+(K298*(1-0.089)*0.26))</f>
        <v>0.28652777024999998</v>
      </c>
      <c r="M298" s="64">
        <f t="shared" si="6"/>
        <v>0.28652777024999998</v>
      </c>
      <c r="N298" s="33" t="s">
        <v>251</v>
      </c>
    </row>
    <row r="299" spans="1:14" ht="15">
      <c r="A299" s="12" t="s">
        <v>229</v>
      </c>
      <c r="B299" s="33" t="s">
        <v>191</v>
      </c>
      <c r="C299" s="92" t="s">
        <v>346</v>
      </c>
      <c r="D299" s="33" t="s">
        <v>411</v>
      </c>
      <c r="E299" s="34">
        <v>44012</v>
      </c>
      <c r="F299" s="34">
        <v>44013</v>
      </c>
      <c r="G299" s="34">
        <v>44018</v>
      </c>
      <c r="H299" s="35">
        <v>3.5000000000000003E-2</v>
      </c>
      <c r="I299" s="67">
        <v>1.47E-2</v>
      </c>
      <c r="J299" s="67">
        <v>0</v>
      </c>
      <c r="K299" s="67">
        <v>1.47E-2</v>
      </c>
      <c r="L299" s="36">
        <f>+K299-((K299*0.7742*0.125)+(K299*(1-0.7742)*0.26))</f>
        <v>1.2414399899999999E-2</v>
      </c>
      <c r="M299" s="64">
        <f t="shared" si="6"/>
        <v>1.2414399899999999E-2</v>
      </c>
      <c r="N299" s="33" t="s">
        <v>251</v>
      </c>
    </row>
    <row r="300" spans="1:14" ht="15">
      <c r="A300" s="12" t="s">
        <v>231</v>
      </c>
      <c r="B300" s="33" t="s">
        <v>199</v>
      </c>
      <c r="C300" s="92" t="s">
        <v>347</v>
      </c>
      <c r="D300" s="33" t="s">
        <v>411</v>
      </c>
      <c r="E300" s="34">
        <v>44012</v>
      </c>
      <c r="F300" s="34">
        <v>44013</v>
      </c>
      <c r="G300" s="34">
        <v>44018</v>
      </c>
      <c r="H300" s="35">
        <v>3.5000000000000003E-2</v>
      </c>
      <c r="I300" s="67">
        <v>1.47E-2</v>
      </c>
      <c r="J300" s="67">
        <v>0</v>
      </c>
      <c r="K300" s="67">
        <v>1.47E-2</v>
      </c>
      <c r="L300" s="36">
        <f>+K300-((K300*0.7742*0.125)+(K300*(1-0.7742)*0.26))</f>
        <v>1.2414399899999999E-2</v>
      </c>
      <c r="M300" s="64">
        <f t="shared" si="6"/>
        <v>1.2414399899999999E-2</v>
      </c>
      <c r="N300" s="33" t="s">
        <v>251</v>
      </c>
    </row>
    <row r="301" spans="1:14" ht="15">
      <c r="A301" s="12"/>
      <c r="B301" s="33" t="s">
        <v>306</v>
      </c>
      <c r="C301" s="92" t="s">
        <v>430</v>
      </c>
      <c r="D301" s="33" t="s">
        <v>411</v>
      </c>
      <c r="E301" s="34">
        <v>44012</v>
      </c>
      <c r="F301" s="34">
        <v>44013</v>
      </c>
      <c r="G301" s="34">
        <v>44018</v>
      </c>
      <c r="H301" s="35">
        <v>0.02</v>
      </c>
      <c r="I301" s="67">
        <v>8.3999999999999995E-3</v>
      </c>
      <c r="J301" s="67">
        <v>0</v>
      </c>
      <c r="K301" s="67">
        <v>8.3999999999999995E-3</v>
      </c>
      <c r="L301" s="36">
        <f t="shared" ref="L301:L306" si="7">+K301-((K301*0.0000001*0.125)+(K301*(1-0.0000001)*0.26))</f>
        <v>6.2160001133999996E-3</v>
      </c>
      <c r="M301" s="64">
        <f t="shared" si="6"/>
        <v>6.2160001133999996E-3</v>
      </c>
      <c r="N301" s="33" t="s">
        <v>251</v>
      </c>
    </row>
    <row r="302" spans="1:14" ht="15">
      <c r="A302" s="12" t="s">
        <v>184</v>
      </c>
      <c r="B302" s="33" t="s">
        <v>184</v>
      </c>
      <c r="C302" s="92" t="s">
        <v>354</v>
      </c>
      <c r="D302" s="33" t="s">
        <v>411</v>
      </c>
      <c r="E302" s="34">
        <v>44012</v>
      </c>
      <c r="F302" s="34">
        <v>44013</v>
      </c>
      <c r="G302" s="34">
        <v>44018</v>
      </c>
      <c r="H302" s="35">
        <v>0.02</v>
      </c>
      <c r="I302" s="67">
        <v>0.16880000000000001</v>
      </c>
      <c r="J302" s="67">
        <v>0</v>
      </c>
      <c r="K302" s="67">
        <v>0.16880000000000001</v>
      </c>
      <c r="L302" s="36">
        <f t="shared" si="7"/>
        <v>0.12491200227880001</v>
      </c>
      <c r="M302" s="64">
        <f t="shared" si="6"/>
        <v>0.12491200227880001</v>
      </c>
      <c r="N302" s="33" t="s">
        <v>251</v>
      </c>
    </row>
    <row r="303" spans="1:14" ht="15">
      <c r="A303" s="12" t="s">
        <v>192</v>
      </c>
      <c r="B303" s="33" t="s">
        <v>192</v>
      </c>
      <c r="C303" s="92" t="s">
        <v>355</v>
      </c>
      <c r="D303" s="33" t="s">
        <v>411</v>
      </c>
      <c r="E303" s="34">
        <v>44012</v>
      </c>
      <c r="F303" s="34">
        <v>44013</v>
      </c>
      <c r="G303" s="34">
        <v>44018</v>
      </c>
      <c r="H303" s="35">
        <v>0.02</v>
      </c>
      <c r="I303" s="67">
        <v>0.16980000000000001</v>
      </c>
      <c r="J303" s="67">
        <v>0</v>
      </c>
      <c r="K303" s="67">
        <v>0.16980000000000001</v>
      </c>
      <c r="L303" s="36">
        <f t="shared" si="7"/>
        <v>0.1256520022923</v>
      </c>
      <c r="M303" s="64">
        <f t="shared" si="6"/>
        <v>0.1256520022923</v>
      </c>
      <c r="N303" s="33" t="s">
        <v>251</v>
      </c>
    </row>
    <row r="304" spans="1:14" ht="15">
      <c r="A304" s="12"/>
      <c r="B304" s="33" t="s">
        <v>311</v>
      </c>
      <c r="C304" s="92" t="s">
        <v>425</v>
      </c>
      <c r="D304" s="33" t="s">
        <v>411</v>
      </c>
      <c r="E304" s="34">
        <v>44012</v>
      </c>
      <c r="F304" s="34">
        <v>44013</v>
      </c>
      <c r="G304" s="34">
        <v>44018</v>
      </c>
      <c r="H304" s="35">
        <v>0.01</v>
      </c>
      <c r="I304" s="67">
        <v>4.1999999999999997E-3</v>
      </c>
      <c r="J304" s="67">
        <v>0</v>
      </c>
      <c r="K304" s="67">
        <v>4.1999999999999997E-3</v>
      </c>
      <c r="L304" s="36">
        <f t="shared" si="7"/>
        <v>3.1080000566999998E-3</v>
      </c>
      <c r="M304" s="64">
        <f t="shared" si="6"/>
        <v>3.1080000566999998E-3</v>
      </c>
      <c r="N304" s="33" t="s">
        <v>251</v>
      </c>
    </row>
    <row r="305" spans="1:14" ht="15">
      <c r="A305" s="12" t="s">
        <v>189</v>
      </c>
      <c r="B305" s="33" t="s">
        <v>189</v>
      </c>
      <c r="C305" s="92" t="s">
        <v>356</v>
      </c>
      <c r="D305" s="33" t="s">
        <v>411</v>
      </c>
      <c r="E305" s="34">
        <v>44012</v>
      </c>
      <c r="F305" s="34">
        <v>44013</v>
      </c>
      <c r="G305" s="34">
        <v>44018</v>
      </c>
      <c r="H305" s="35">
        <v>0.01</v>
      </c>
      <c r="I305" s="67">
        <v>7.6300000000000007E-2</v>
      </c>
      <c r="J305" s="67">
        <v>0</v>
      </c>
      <c r="K305" s="67">
        <v>7.6300000000000007E-2</v>
      </c>
      <c r="L305" s="36">
        <f t="shared" si="7"/>
        <v>5.6462001030050002E-2</v>
      </c>
      <c r="M305" s="64">
        <f t="shared" si="6"/>
        <v>5.6462001030050002E-2</v>
      </c>
      <c r="N305" s="33" t="s">
        <v>251</v>
      </c>
    </row>
    <row r="306" spans="1:14" ht="15">
      <c r="A306" s="12" t="s">
        <v>197</v>
      </c>
      <c r="B306" s="33" t="s">
        <v>197</v>
      </c>
      <c r="C306" s="92" t="s">
        <v>357</v>
      </c>
      <c r="D306" s="33" t="s">
        <v>411</v>
      </c>
      <c r="E306" s="34">
        <v>44012</v>
      </c>
      <c r="F306" s="34">
        <v>44013</v>
      </c>
      <c r="G306" s="34">
        <v>44018</v>
      </c>
      <c r="H306" s="35">
        <v>0.01</v>
      </c>
      <c r="I306" s="67">
        <v>7.7399999999999997E-2</v>
      </c>
      <c r="J306" s="67">
        <v>0</v>
      </c>
      <c r="K306" s="67">
        <v>7.7399999999999997E-2</v>
      </c>
      <c r="L306" s="36">
        <f t="shared" si="7"/>
        <v>5.7276001044899993E-2</v>
      </c>
      <c r="M306" s="64">
        <f t="shared" si="6"/>
        <v>5.7276001044899993E-2</v>
      </c>
      <c r="N306" s="33" t="s">
        <v>251</v>
      </c>
    </row>
    <row r="307" spans="1:14" ht="15">
      <c r="A307" s="12"/>
      <c r="B307" s="33" t="s">
        <v>308</v>
      </c>
      <c r="C307" s="92" t="s">
        <v>426</v>
      </c>
      <c r="D307" s="33" t="s">
        <v>411</v>
      </c>
      <c r="E307" s="34">
        <v>44012</v>
      </c>
      <c r="F307" s="34">
        <v>44013</v>
      </c>
      <c r="G307" s="34">
        <v>44018</v>
      </c>
      <c r="H307" s="35">
        <v>1.4999999999999999E-2</v>
      </c>
      <c r="I307" s="67">
        <v>6.1999999999999998E-3</v>
      </c>
      <c r="J307" s="67">
        <v>0</v>
      </c>
      <c r="K307" s="67">
        <v>6.1999999999999998E-3</v>
      </c>
      <c r="L307" s="36">
        <f>+K307-((K307*0.4996*0.125)+(K307*(1-0.4996)*0.26))</f>
        <v>5.0061652E-3</v>
      </c>
      <c r="M307" s="64">
        <f t="shared" si="6"/>
        <v>5.0061652E-3</v>
      </c>
      <c r="N307" s="33" t="s">
        <v>251</v>
      </c>
    </row>
    <row r="308" spans="1:14" ht="15">
      <c r="A308" s="12" t="s">
        <v>186</v>
      </c>
      <c r="B308" s="33" t="s">
        <v>186</v>
      </c>
      <c r="C308" s="92" t="s">
        <v>363</v>
      </c>
      <c r="D308" s="33" t="s">
        <v>411</v>
      </c>
      <c r="E308" s="34">
        <v>44012</v>
      </c>
      <c r="F308" s="34">
        <v>44013</v>
      </c>
      <c r="G308" s="34">
        <v>44018</v>
      </c>
      <c r="H308" s="35">
        <v>1.4999999999999999E-2</v>
      </c>
      <c r="I308" s="67">
        <v>0.114</v>
      </c>
      <c r="J308" s="67">
        <v>0</v>
      </c>
      <c r="K308" s="67">
        <v>0.114</v>
      </c>
      <c r="L308" s="36">
        <f>+K308-((K308*0.4996*0.125)+(K308*(1-0.4996)*0.26))</f>
        <v>9.2048844000000005E-2</v>
      </c>
      <c r="M308" s="64">
        <f t="shared" si="6"/>
        <v>9.2048844000000005E-2</v>
      </c>
      <c r="N308" s="33" t="s">
        <v>251</v>
      </c>
    </row>
    <row r="309" spans="1:14" ht="15">
      <c r="A309" s="12" t="s">
        <v>194</v>
      </c>
      <c r="B309" s="33" t="s">
        <v>194</v>
      </c>
      <c r="C309" s="92" t="s">
        <v>364</v>
      </c>
      <c r="D309" s="33" t="s">
        <v>411</v>
      </c>
      <c r="E309" s="34">
        <v>44012</v>
      </c>
      <c r="F309" s="34">
        <v>44013</v>
      </c>
      <c r="G309" s="34">
        <v>44018</v>
      </c>
      <c r="H309" s="35">
        <v>1.4999999999999999E-2</v>
      </c>
      <c r="I309" s="67">
        <v>0.1168</v>
      </c>
      <c r="J309" s="67">
        <v>0</v>
      </c>
      <c r="K309" s="67">
        <v>0.1168</v>
      </c>
      <c r="L309" s="36">
        <f>+K309-((K309*0.4996*0.125)+(K309*(1-0.4996)*0.26))</f>
        <v>9.4309692799999997E-2</v>
      </c>
      <c r="M309" s="64">
        <f t="shared" si="6"/>
        <v>9.4309692799999997E-2</v>
      </c>
      <c r="N309" s="33" t="s">
        <v>251</v>
      </c>
    </row>
    <row r="310" spans="1:14" ht="15">
      <c r="A310" s="12"/>
      <c r="B310" s="33" t="s">
        <v>307</v>
      </c>
      <c r="C310" s="92" t="s">
        <v>420</v>
      </c>
      <c r="D310" s="33" t="s">
        <v>411</v>
      </c>
      <c r="E310" s="34">
        <v>44012</v>
      </c>
      <c r="F310" s="34">
        <v>44013</v>
      </c>
      <c r="G310" s="34">
        <v>44018</v>
      </c>
      <c r="H310" s="35">
        <v>1.4999999999999999E-2</v>
      </c>
      <c r="I310" s="67">
        <v>6.1999999999999998E-3</v>
      </c>
      <c r="J310" s="67">
        <v>0</v>
      </c>
      <c r="K310" s="67">
        <v>6.1999999999999998E-3</v>
      </c>
      <c r="L310" s="36">
        <f>+K310-((K310*0.619*0.125)+(K310*(1-0.619)*0.26))</f>
        <v>5.1061029999999999E-3</v>
      </c>
      <c r="M310" s="64">
        <f t="shared" si="6"/>
        <v>5.1061029999999999E-3</v>
      </c>
      <c r="N310" s="33" t="s">
        <v>251</v>
      </c>
    </row>
    <row r="311" spans="1:14" ht="15">
      <c r="A311" s="12" t="s">
        <v>185</v>
      </c>
      <c r="B311" s="33" t="s">
        <v>185</v>
      </c>
      <c r="C311" s="92" t="s">
        <v>366</v>
      </c>
      <c r="D311" s="33" t="s">
        <v>411</v>
      </c>
      <c r="E311" s="34">
        <v>44012</v>
      </c>
      <c r="F311" s="34">
        <v>44013</v>
      </c>
      <c r="G311" s="34">
        <v>44018</v>
      </c>
      <c r="H311" s="35">
        <v>1.4999999999999999E-2</v>
      </c>
      <c r="I311" s="67">
        <v>0.10390000000000001</v>
      </c>
      <c r="J311" s="67">
        <v>0</v>
      </c>
      <c r="K311" s="67">
        <v>0.10390000000000001</v>
      </c>
      <c r="L311" s="36">
        <f>+K311-((K311*0.619*0.125)+(K311*(1-0.619)*0.26))</f>
        <v>8.5568403500000001E-2</v>
      </c>
      <c r="M311" s="64">
        <f t="shared" si="6"/>
        <v>8.5568403500000001E-2</v>
      </c>
      <c r="N311" s="33" t="s">
        <v>251</v>
      </c>
    </row>
    <row r="312" spans="1:14" ht="15">
      <c r="A312" s="12" t="s">
        <v>193</v>
      </c>
      <c r="B312" s="33" t="s">
        <v>193</v>
      </c>
      <c r="C312" s="92" t="s">
        <v>367</v>
      </c>
      <c r="D312" s="33" t="s">
        <v>411</v>
      </c>
      <c r="E312" s="34">
        <v>44012</v>
      </c>
      <c r="F312" s="34">
        <v>44013</v>
      </c>
      <c r="G312" s="34">
        <v>44018</v>
      </c>
      <c r="H312" s="35">
        <v>1.4999999999999999E-2</v>
      </c>
      <c r="I312" s="67">
        <v>0.1009</v>
      </c>
      <c r="J312" s="67">
        <v>0</v>
      </c>
      <c r="K312" s="67">
        <v>0.1009</v>
      </c>
      <c r="L312" s="36">
        <f>+K312-((K312*0.619*0.125)+(K312*(1-0.619)*0.26))</f>
        <v>8.3097708500000006E-2</v>
      </c>
      <c r="M312" s="64">
        <f t="shared" si="6"/>
        <v>8.3097708500000006E-2</v>
      </c>
      <c r="N312" s="33" t="s">
        <v>251</v>
      </c>
    </row>
    <row r="313" spans="1:14" ht="15">
      <c r="A313" s="12"/>
      <c r="B313" s="33" t="s">
        <v>309</v>
      </c>
      <c r="C313" s="92" t="s">
        <v>427</v>
      </c>
      <c r="D313" s="33" t="s">
        <v>411</v>
      </c>
      <c r="E313" s="34">
        <v>44012</v>
      </c>
      <c r="F313" s="34">
        <v>44013</v>
      </c>
      <c r="G313" s="34">
        <v>44018</v>
      </c>
      <c r="H313" s="35">
        <v>3.5000000000000003E-2</v>
      </c>
      <c r="I313" s="67">
        <v>1.4500000000000001E-2</v>
      </c>
      <c r="J313" s="67">
        <v>0</v>
      </c>
      <c r="K313" s="67">
        <v>1.4500000000000001E-2</v>
      </c>
      <c r="L313" s="36">
        <f>+K313-((K313*0.0000001*0.125)+(K313*(1-0.0000001)*0.26))</f>
        <v>1.0730000195749999E-2</v>
      </c>
      <c r="M313" s="64">
        <f t="shared" si="6"/>
        <v>1.0730000195749999E-2</v>
      </c>
      <c r="N313" s="33" t="s">
        <v>251</v>
      </c>
    </row>
    <row r="314" spans="1:14" ht="15">
      <c r="A314" s="12" t="s">
        <v>187</v>
      </c>
      <c r="B314" s="33" t="s">
        <v>187</v>
      </c>
      <c r="C314" s="92" t="s">
        <v>368</v>
      </c>
      <c r="D314" s="33" t="s">
        <v>411</v>
      </c>
      <c r="E314" s="34">
        <v>44012</v>
      </c>
      <c r="F314" s="34">
        <v>44013</v>
      </c>
      <c r="G314" s="34">
        <v>44018</v>
      </c>
      <c r="H314" s="35">
        <v>3.5000000000000003E-2</v>
      </c>
      <c r="I314" s="67">
        <v>0.25679999999999997</v>
      </c>
      <c r="J314" s="67">
        <v>0</v>
      </c>
      <c r="K314" s="67">
        <v>0.25679999999999997</v>
      </c>
      <c r="L314" s="36">
        <f>+K314-((K314*0.0000001*0.125)+(K314*(1-0.0000001)*0.26))</f>
        <v>0.19003200346679996</v>
      </c>
      <c r="M314" s="64">
        <f t="shared" si="6"/>
        <v>0.19003200346679996</v>
      </c>
      <c r="N314" s="33" t="s">
        <v>251</v>
      </c>
    </row>
    <row r="315" spans="1:14" ht="15">
      <c r="A315" s="12" t="s">
        <v>195</v>
      </c>
      <c r="B315" s="33" t="s">
        <v>195</v>
      </c>
      <c r="C315" s="92" t="s">
        <v>369</v>
      </c>
      <c r="D315" s="33" t="s">
        <v>411</v>
      </c>
      <c r="E315" s="34">
        <v>44012</v>
      </c>
      <c r="F315" s="34">
        <v>44013</v>
      </c>
      <c r="G315" s="34">
        <v>44018</v>
      </c>
      <c r="H315" s="35">
        <v>3.5000000000000003E-2</v>
      </c>
      <c r="I315" s="67">
        <v>0.26400000000000001</v>
      </c>
      <c r="J315" s="67">
        <v>0</v>
      </c>
      <c r="K315" s="67">
        <v>0.26400000000000001</v>
      </c>
      <c r="L315" s="36">
        <f>+K315-((K315*0.0000001*0.125)+(K315*(1-0.0000001)*0.26))</f>
        <v>0.19536000356400002</v>
      </c>
      <c r="M315" s="64">
        <f t="shared" si="6"/>
        <v>0.19536000356400002</v>
      </c>
      <c r="N315" s="33" t="s">
        <v>251</v>
      </c>
    </row>
    <row r="316" spans="1:14" ht="15">
      <c r="A316" s="12"/>
      <c r="B316" s="33" t="s">
        <v>312</v>
      </c>
      <c r="C316" s="92" t="s">
        <v>428</v>
      </c>
      <c r="D316" s="33" t="s">
        <v>411</v>
      </c>
      <c r="E316" s="34">
        <v>44012</v>
      </c>
      <c r="F316" s="34">
        <v>44013</v>
      </c>
      <c r="G316" s="34">
        <v>44018</v>
      </c>
      <c r="H316" s="35">
        <v>0.05</v>
      </c>
      <c r="I316" s="67">
        <v>2.1100000000000001E-2</v>
      </c>
      <c r="J316" s="67">
        <v>0</v>
      </c>
      <c r="K316" s="67">
        <v>2.1100000000000001E-2</v>
      </c>
      <c r="L316" s="36">
        <f>+K316-((K316*0.028*0.125)+(K316*(1-0.028)*0.26))</f>
        <v>1.5693757999999999E-2</v>
      </c>
      <c r="M316" s="64">
        <f t="shared" si="6"/>
        <v>1.5693757999999999E-2</v>
      </c>
      <c r="N316" s="33" t="s">
        <v>251</v>
      </c>
    </row>
    <row r="317" spans="1:14" ht="15">
      <c r="A317" s="12" t="s">
        <v>190</v>
      </c>
      <c r="B317" s="33" t="s">
        <v>190</v>
      </c>
      <c r="C317" s="92" t="s">
        <v>370</v>
      </c>
      <c r="D317" s="33" t="s">
        <v>411</v>
      </c>
      <c r="E317" s="34">
        <v>44012</v>
      </c>
      <c r="F317" s="34">
        <v>44013</v>
      </c>
      <c r="G317" s="34">
        <v>44018</v>
      </c>
      <c r="H317" s="35">
        <v>0.05</v>
      </c>
      <c r="I317" s="67">
        <v>0.39989999999999998</v>
      </c>
      <c r="J317" s="67">
        <v>0</v>
      </c>
      <c r="K317" s="67">
        <v>0.39989999999999998</v>
      </c>
      <c r="L317" s="36">
        <f>+K317-((K317*0.028*0.125)+(K317*(1-0.028)*0.26))</f>
        <v>0.29743762200000001</v>
      </c>
      <c r="M317" s="64">
        <f t="shared" si="6"/>
        <v>0.29743762200000001</v>
      </c>
      <c r="N317" s="33" t="s">
        <v>251</v>
      </c>
    </row>
    <row r="318" spans="1:14" ht="15">
      <c r="A318" s="12" t="s">
        <v>198</v>
      </c>
      <c r="B318" s="33" t="s">
        <v>198</v>
      </c>
      <c r="C318" s="92" t="s">
        <v>371</v>
      </c>
      <c r="D318" s="33" t="s">
        <v>411</v>
      </c>
      <c r="E318" s="34">
        <v>44012</v>
      </c>
      <c r="F318" s="34">
        <v>44013</v>
      </c>
      <c r="G318" s="34">
        <v>44018</v>
      </c>
      <c r="H318" s="35">
        <v>0.05</v>
      </c>
      <c r="I318" s="67">
        <v>0.39950000000000002</v>
      </c>
      <c r="J318" s="67">
        <v>0</v>
      </c>
      <c r="K318" s="67">
        <v>0.39950000000000002</v>
      </c>
      <c r="L318" s="36">
        <f>+K318-((K318*0.028*0.125)+(K318*(1-0.028)*0.26))</f>
        <v>0.29714011000000001</v>
      </c>
      <c r="M318" s="64">
        <f t="shared" si="6"/>
        <v>0.29714011000000001</v>
      </c>
      <c r="N318" s="33" t="s">
        <v>251</v>
      </c>
    </row>
    <row r="319" spans="1:14" ht="15">
      <c r="A319" s="12"/>
      <c r="B319" s="33" t="s">
        <v>513</v>
      </c>
      <c r="C319" s="92" t="s">
        <v>515</v>
      </c>
      <c r="D319" s="33" t="s">
        <v>411</v>
      </c>
      <c r="E319" s="34">
        <v>44012</v>
      </c>
      <c r="F319" s="34">
        <v>44013</v>
      </c>
      <c r="G319" s="34">
        <v>44018</v>
      </c>
      <c r="H319" s="35">
        <v>0.02</v>
      </c>
      <c r="I319" s="67">
        <v>0.13569999999999999</v>
      </c>
      <c r="J319" s="67">
        <v>0</v>
      </c>
      <c r="K319" s="67">
        <v>0.13569999999999999</v>
      </c>
      <c r="L319" s="36">
        <f>+K319-((K319*0.4903*0.125)+(K319*(1-0.4903)*0.26))</f>
        <v>0.10940005084999999</v>
      </c>
      <c r="M319" s="64">
        <f t="shared" si="6"/>
        <v>0.10940005084999999</v>
      </c>
      <c r="N319" s="33" t="s">
        <v>251</v>
      </c>
    </row>
    <row r="320" spans="1:14" ht="15">
      <c r="A320" s="12"/>
      <c r="B320" s="33" t="s">
        <v>514</v>
      </c>
      <c r="C320" s="92" t="s">
        <v>516</v>
      </c>
      <c r="D320" s="33" t="s">
        <v>411</v>
      </c>
      <c r="E320" s="34">
        <v>44012</v>
      </c>
      <c r="F320" s="34">
        <v>44013</v>
      </c>
      <c r="G320" s="34">
        <v>44018</v>
      </c>
      <c r="H320" s="35">
        <v>0.02</v>
      </c>
      <c r="I320" s="67">
        <v>0.13639999999999999</v>
      </c>
      <c r="J320" s="67">
        <v>0</v>
      </c>
      <c r="K320" s="67">
        <v>0.13639999999999999</v>
      </c>
      <c r="L320" s="36">
        <f>+K320-((K320*0.4903*0.125)+(K320*(1-0.4903)*0.26))</f>
        <v>0.10996438419999999</v>
      </c>
      <c r="M320" s="64">
        <f t="shared" si="6"/>
        <v>0.10996438419999999</v>
      </c>
      <c r="N320" s="33" t="s">
        <v>251</v>
      </c>
    </row>
    <row r="321" spans="1:14" ht="15">
      <c r="A321" s="12"/>
      <c r="B321" s="33" t="s">
        <v>313</v>
      </c>
      <c r="C321" s="92" t="s">
        <v>429</v>
      </c>
      <c r="D321" s="33" t="s">
        <v>411</v>
      </c>
      <c r="E321" s="34">
        <v>44012</v>
      </c>
      <c r="F321" s="34">
        <v>44013</v>
      </c>
      <c r="G321" s="34">
        <v>44018</v>
      </c>
      <c r="H321" s="35">
        <v>2.2499999999999999E-2</v>
      </c>
      <c r="I321" s="67">
        <v>9.2999999999999992E-3</v>
      </c>
      <c r="J321" s="67">
        <v>0</v>
      </c>
      <c r="K321" s="67">
        <v>9.2999999999999992E-3</v>
      </c>
      <c r="L321" s="36">
        <f>+K321-((K321*0.1466*0.125)+(K321*(1-0.1466)*0.26))</f>
        <v>7.0660562999999999E-3</v>
      </c>
      <c r="M321" s="64">
        <f t="shared" si="6"/>
        <v>7.0660562999999999E-3</v>
      </c>
      <c r="N321" s="33" t="s">
        <v>251</v>
      </c>
    </row>
    <row r="322" spans="1:14" ht="15">
      <c r="A322" s="12"/>
      <c r="B322" s="33" t="s">
        <v>298</v>
      </c>
      <c r="C322" s="92" t="s">
        <v>403</v>
      </c>
      <c r="D322" s="33" t="s">
        <v>410</v>
      </c>
      <c r="E322" s="34">
        <v>44012</v>
      </c>
      <c r="F322" s="34">
        <v>44013</v>
      </c>
      <c r="G322" s="34">
        <v>44018</v>
      </c>
      <c r="H322" s="35">
        <v>4.4999999999999998E-2</v>
      </c>
      <c r="I322" s="67">
        <v>5.62E-2</v>
      </c>
      <c r="J322" s="67">
        <v>0</v>
      </c>
      <c r="K322" s="67">
        <v>5.62E-2</v>
      </c>
      <c r="L322" s="36">
        <f>+K322-((K322*0.4755*0.125)+(K322*(1-0.4755)*0.26))</f>
        <v>4.51956185E-2</v>
      </c>
      <c r="M322" s="64">
        <f t="shared" si="6"/>
        <v>4.51956185E-2</v>
      </c>
      <c r="N322" s="33" t="s">
        <v>248</v>
      </c>
    </row>
    <row r="323" spans="1:14" ht="15">
      <c r="A323" s="12" t="s">
        <v>181</v>
      </c>
      <c r="B323" s="33" t="s">
        <v>181</v>
      </c>
      <c r="C323" s="92" t="s">
        <v>335</v>
      </c>
      <c r="D323" s="33" t="s">
        <v>410</v>
      </c>
      <c r="E323" s="34">
        <v>44012</v>
      </c>
      <c r="F323" s="34">
        <v>44013</v>
      </c>
      <c r="G323" s="34">
        <v>44018</v>
      </c>
      <c r="H323" s="35">
        <v>4.4999999999999998E-2</v>
      </c>
      <c r="I323" s="67">
        <v>1.0031000000000001</v>
      </c>
      <c r="J323" s="67">
        <v>0</v>
      </c>
      <c r="K323" s="67">
        <v>1.0031000000000001</v>
      </c>
      <c r="L323" s="36">
        <f>+K323-((K323*0.4755*0.125)+(K323*(1-0.4755)*0.26))</f>
        <v>0.80668549675000012</v>
      </c>
      <c r="M323" s="64">
        <f t="shared" si="6"/>
        <v>0.80668549675000012</v>
      </c>
      <c r="N323" s="33" t="s">
        <v>248</v>
      </c>
    </row>
    <row r="324" spans="1:14" ht="15">
      <c r="A324" s="12" t="s">
        <v>201</v>
      </c>
      <c r="B324" s="33" t="s">
        <v>201</v>
      </c>
      <c r="C324" s="92" t="s">
        <v>336</v>
      </c>
      <c r="D324" s="33" t="s">
        <v>410</v>
      </c>
      <c r="E324" s="34">
        <v>44012</v>
      </c>
      <c r="F324" s="34">
        <v>44013</v>
      </c>
      <c r="G324" s="34">
        <v>44018</v>
      </c>
      <c r="H324" s="35">
        <v>4.4999999999999998E-2</v>
      </c>
      <c r="I324" s="67">
        <v>1.014</v>
      </c>
      <c r="J324" s="67">
        <v>0</v>
      </c>
      <c r="K324" s="67">
        <v>1.014</v>
      </c>
      <c r="L324" s="36">
        <f>+K324-((K324*0.4755*0.125)+(K324*(1-0.4755)*0.26))</f>
        <v>0.81545119500000007</v>
      </c>
      <c r="M324" s="64">
        <f t="shared" si="6"/>
        <v>0.81545119500000007</v>
      </c>
      <c r="N324" s="33" t="s">
        <v>248</v>
      </c>
    </row>
    <row r="325" spans="1:14" ht="15">
      <c r="A325" s="12" t="s">
        <v>88</v>
      </c>
      <c r="B325" s="33" t="s">
        <v>138</v>
      </c>
      <c r="C325" s="92" t="s">
        <v>337</v>
      </c>
      <c r="D325" s="33" t="s">
        <v>410</v>
      </c>
      <c r="E325" s="34">
        <v>44012</v>
      </c>
      <c r="F325" s="34">
        <v>44013</v>
      </c>
      <c r="G325" s="34">
        <v>44018</v>
      </c>
      <c r="H325" s="35">
        <v>0.05</v>
      </c>
      <c r="I325" s="67">
        <v>7.8799999999999995E-2</v>
      </c>
      <c r="J325" s="67">
        <v>0</v>
      </c>
      <c r="K325" s="67">
        <v>7.8799999999999995E-2</v>
      </c>
      <c r="L325" s="36">
        <f>+K325-((K325*0.3017*0.125)+(K325*(1-0.089)*0.26))</f>
        <v>5.7163686999999991E-2</v>
      </c>
      <c r="M325" s="64">
        <f t="shared" si="6"/>
        <v>5.7163686999999991E-2</v>
      </c>
      <c r="N325" s="33" t="s">
        <v>248</v>
      </c>
    </row>
    <row r="326" spans="1:14" ht="15">
      <c r="A326" s="12" t="s">
        <v>13</v>
      </c>
      <c r="B326" s="33" t="s">
        <v>160</v>
      </c>
      <c r="C326" s="92" t="s">
        <v>338</v>
      </c>
      <c r="D326" s="33" t="s">
        <v>410</v>
      </c>
      <c r="E326" s="34">
        <v>44012</v>
      </c>
      <c r="F326" s="34">
        <v>44013</v>
      </c>
      <c r="G326" s="34">
        <v>44018</v>
      </c>
      <c r="H326" s="35">
        <v>0.05</v>
      </c>
      <c r="I326" s="67">
        <v>7.8399999999999997E-2</v>
      </c>
      <c r="J326" s="67">
        <v>0</v>
      </c>
      <c r="K326" s="67">
        <v>7.8399999999999997E-2</v>
      </c>
      <c r="L326" s="36">
        <f>+K326-((K326*0.3017*0.125)+(K326*(1-0.089)*0.26))</f>
        <v>5.6873515999999999E-2</v>
      </c>
      <c r="M326" s="64">
        <f t="shared" ref="M326:M389" si="8">J326+L326</f>
        <v>5.6873515999999999E-2</v>
      </c>
      <c r="N326" s="33" t="s">
        <v>248</v>
      </c>
    </row>
    <row r="327" spans="1:14" ht="15">
      <c r="A327" s="12"/>
      <c r="B327" s="33" t="s">
        <v>300</v>
      </c>
      <c r="C327" s="92" t="s">
        <v>404</v>
      </c>
      <c r="D327" s="33" t="s">
        <v>410</v>
      </c>
      <c r="E327" s="34">
        <v>44012</v>
      </c>
      <c r="F327" s="34">
        <v>44013</v>
      </c>
      <c r="G327" s="34">
        <v>44018</v>
      </c>
      <c r="H327" s="35">
        <v>0.05</v>
      </c>
      <c r="I327" s="67">
        <v>6.1499999999999999E-2</v>
      </c>
      <c r="J327" s="67">
        <v>0</v>
      </c>
      <c r="K327" s="67">
        <v>6.1499999999999999E-2</v>
      </c>
      <c r="L327" s="36">
        <f>+K327-((K327*0.3017*0.125)+(K327*(1-0.089)*0.26))</f>
        <v>4.461379125E-2</v>
      </c>
      <c r="M327" s="64">
        <f t="shared" si="8"/>
        <v>4.461379125E-2</v>
      </c>
      <c r="N327" s="33" t="s">
        <v>248</v>
      </c>
    </row>
    <row r="328" spans="1:14" ht="15">
      <c r="A328" s="12" t="s">
        <v>87</v>
      </c>
      <c r="B328" s="33" t="s">
        <v>142</v>
      </c>
      <c r="C328" s="92" t="s">
        <v>341</v>
      </c>
      <c r="D328" s="33" t="s">
        <v>410</v>
      </c>
      <c r="E328" s="34">
        <v>44012</v>
      </c>
      <c r="F328" s="34">
        <v>44013</v>
      </c>
      <c r="G328" s="34">
        <v>44018</v>
      </c>
      <c r="H328" s="35">
        <v>5.2499999999999998E-2</v>
      </c>
      <c r="I328" s="67">
        <v>8.3900000000000002E-2</v>
      </c>
      <c r="J328" s="67">
        <v>0</v>
      </c>
      <c r="K328" s="67">
        <v>8.3900000000000002E-2</v>
      </c>
      <c r="L328" s="36">
        <f>+K328-((K328*0.0016*0.125)+(K328*(1-0.0016)*0.26))</f>
        <v>6.2104122400000003E-2</v>
      </c>
      <c r="M328" s="64">
        <f t="shared" si="8"/>
        <v>6.2104122400000003E-2</v>
      </c>
      <c r="N328" s="33" t="s">
        <v>248</v>
      </c>
    </row>
    <row r="329" spans="1:14" ht="15">
      <c r="A329" s="12" t="s">
        <v>14</v>
      </c>
      <c r="B329" s="33" t="s">
        <v>159</v>
      </c>
      <c r="C329" s="92" t="s">
        <v>342</v>
      </c>
      <c r="D329" s="33" t="s">
        <v>410</v>
      </c>
      <c r="E329" s="34">
        <v>44012</v>
      </c>
      <c r="F329" s="34">
        <v>44013</v>
      </c>
      <c r="G329" s="34">
        <v>44018</v>
      </c>
      <c r="H329" s="35">
        <v>5.2499999999999998E-2</v>
      </c>
      <c r="I329" s="67">
        <v>8.3599999999999994E-2</v>
      </c>
      <c r="J329" s="67">
        <v>0</v>
      </c>
      <c r="K329" s="67">
        <v>8.3599999999999994E-2</v>
      </c>
      <c r="L329" s="36">
        <f>+K329-((K329*0.0016*0.125)+(K329*(1-0.0016)*0.26))</f>
        <v>6.1882057599999998E-2</v>
      </c>
      <c r="M329" s="64">
        <f t="shared" si="8"/>
        <v>6.1882057599999998E-2</v>
      </c>
      <c r="N329" s="33" t="s">
        <v>248</v>
      </c>
    </row>
    <row r="330" spans="1:14" ht="15">
      <c r="A330" s="12"/>
      <c r="B330" s="33" t="s">
        <v>507</v>
      </c>
      <c r="C330" s="92" t="s">
        <v>508</v>
      </c>
      <c r="D330" s="33" t="s">
        <v>410</v>
      </c>
      <c r="E330" s="34">
        <v>44012</v>
      </c>
      <c r="F330" s="34">
        <v>44013</v>
      </c>
      <c r="G330" s="34">
        <v>44018</v>
      </c>
      <c r="H330" s="35">
        <v>5.2499999999999998E-2</v>
      </c>
      <c r="I330" s="67">
        <v>6.5799999999999997E-2</v>
      </c>
      <c r="J330" s="67">
        <v>0</v>
      </c>
      <c r="K330" s="67">
        <v>6.5799999999999997E-2</v>
      </c>
      <c r="L330" s="36">
        <f>+K330-((K330*0.0016*0.125)+(K330*(1-0.0016)*0.26))</f>
        <v>4.8706212799999996E-2</v>
      </c>
      <c r="M330" s="64">
        <f t="shared" si="8"/>
        <v>4.8706212799999996E-2</v>
      </c>
      <c r="N330" s="33" t="s">
        <v>248</v>
      </c>
    </row>
    <row r="331" spans="1:14" ht="15">
      <c r="A331" s="12" t="s">
        <v>89</v>
      </c>
      <c r="B331" s="33" t="s">
        <v>139</v>
      </c>
      <c r="C331" s="92" t="s">
        <v>344</v>
      </c>
      <c r="D331" s="33" t="s">
        <v>410</v>
      </c>
      <c r="E331" s="34">
        <v>44012</v>
      </c>
      <c r="F331" s="34">
        <v>44013</v>
      </c>
      <c r="G331" s="34">
        <v>44018</v>
      </c>
      <c r="H331" s="35">
        <v>3.5000000000000003E-2</v>
      </c>
      <c r="I331" s="67">
        <v>4.1799999999999997E-2</v>
      </c>
      <c r="J331" s="67">
        <v>0</v>
      </c>
      <c r="K331" s="67">
        <v>4.1799999999999997E-2</v>
      </c>
      <c r="L331" s="36">
        <f>+K331-((K331*0.7742*0.125)+(K331*(1-0.7742)*0.26))</f>
        <v>3.5300810599999996E-2</v>
      </c>
      <c r="M331" s="64">
        <f t="shared" si="8"/>
        <v>3.5300810599999996E-2</v>
      </c>
      <c r="N331" s="33" t="s">
        <v>248</v>
      </c>
    </row>
    <row r="332" spans="1:14" ht="15">
      <c r="A332" s="12" t="s">
        <v>15</v>
      </c>
      <c r="B332" s="33" t="s">
        <v>161</v>
      </c>
      <c r="C332" s="92" t="s">
        <v>345</v>
      </c>
      <c r="D332" s="33" t="s">
        <v>410</v>
      </c>
      <c r="E332" s="34">
        <v>44012</v>
      </c>
      <c r="F332" s="34">
        <v>44013</v>
      </c>
      <c r="G332" s="34">
        <v>44018</v>
      </c>
      <c r="H332" s="35">
        <v>3.5000000000000003E-2</v>
      </c>
      <c r="I332" s="67">
        <v>4.1700000000000001E-2</v>
      </c>
      <c r="J332" s="67">
        <v>0</v>
      </c>
      <c r="K332" s="67">
        <v>4.1700000000000001E-2</v>
      </c>
      <c r="L332" s="36">
        <f>+K332-((K332*0.7742*0.125)+(K332*(1-0.7742)*0.26))</f>
        <v>3.5216358900000001E-2</v>
      </c>
      <c r="M332" s="64">
        <f t="shared" si="8"/>
        <v>3.5216358900000001E-2</v>
      </c>
      <c r="N332" s="33" t="s">
        <v>248</v>
      </c>
    </row>
    <row r="333" spans="1:14" ht="15">
      <c r="A333" s="12" t="s">
        <v>91</v>
      </c>
      <c r="B333" s="33" t="s">
        <v>141</v>
      </c>
      <c r="C333" s="92" t="s">
        <v>348</v>
      </c>
      <c r="D333" s="33" t="s">
        <v>410</v>
      </c>
      <c r="E333" s="34">
        <v>44012</v>
      </c>
      <c r="F333" s="34">
        <v>44013</v>
      </c>
      <c r="G333" s="34">
        <v>44018</v>
      </c>
      <c r="H333" s="35">
        <v>4.2500000000000003E-2</v>
      </c>
      <c r="I333" s="67">
        <v>5.1700000000000003E-2</v>
      </c>
      <c r="J333" s="67">
        <v>0</v>
      </c>
      <c r="K333" s="67">
        <v>5.1700000000000003E-2</v>
      </c>
      <c r="L333" s="36">
        <f>+K333-((K333*0.082*0.125)+(K333*(1-0.082)*0.26))</f>
        <v>3.8830319000000002E-2</v>
      </c>
      <c r="M333" s="64">
        <f t="shared" si="8"/>
        <v>3.8830319000000002E-2</v>
      </c>
      <c r="N333" s="33" t="s">
        <v>248</v>
      </c>
    </row>
    <row r="334" spans="1:14" ht="15">
      <c r="A334" s="12" t="s">
        <v>90</v>
      </c>
      <c r="B334" s="33" t="s">
        <v>140</v>
      </c>
      <c r="C334" s="92" t="s">
        <v>349</v>
      </c>
      <c r="D334" s="33" t="s">
        <v>410</v>
      </c>
      <c r="E334" s="34">
        <v>44012</v>
      </c>
      <c r="F334" s="34">
        <v>44013</v>
      </c>
      <c r="G334" s="34">
        <v>44018</v>
      </c>
      <c r="H334" s="35">
        <v>4.2500000000000003E-2</v>
      </c>
      <c r="I334" s="67">
        <v>5.67E-2</v>
      </c>
      <c r="J334" s="67">
        <v>0</v>
      </c>
      <c r="K334" s="67">
        <v>5.67E-2</v>
      </c>
      <c r="L334" s="36">
        <f>+K334-((K334*0.082*0.125)+(K334*(1-0.082)*0.26))</f>
        <v>4.2585669E-2</v>
      </c>
      <c r="M334" s="64">
        <f t="shared" si="8"/>
        <v>4.2585669E-2</v>
      </c>
      <c r="N334" s="33" t="s">
        <v>248</v>
      </c>
    </row>
    <row r="335" spans="1:14" ht="15">
      <c r="A335" s="12" t="s">
        <v>17</v>
      </c>
      <c r="B335" s="33" t="s">
        <v>162</v>
      </c>
      <c r="C335" s="92" t="s">
        <v>350</v>
      </c>
      <c r="D335" s="33" t="s">
        <v>410</v>
      </c>
      <c r="E335" s="34">
        <v>44012</v>
      </c>
      <c r="F335" s="34">
        <v>44013</v>
      </c>
      <c r="G335" s="34">
        <v>44018</v>
      </c>
      <c r="H335" s="35">
        <v>4.2500000000000003E-2</v>
      </c>
      <c r="I335" s="67">
        <v>5.6500000000000002E-2</v>
      </c>
      <c r="J335" s="67">
        <v>0</v>
      </c>
      <c r="K335" s="67">
        <v>5.6500000000000002E-2</v>
      </c>
      <c r="L335" s="36">
        <f>+K335-((K335*0.082*0.125)+(K335*(1-0.082)*0.26))</f>
        <v>4.2435454999999997E-2</v>
      </c>
      <c r="M335" s="64">
        <f t="shared" si="8"/>
        <v>4.2435454999999997E-2</v>
      </c>
      <c r="N335" s="33" t="s">
        <v>248</v>
      </c>
    </row>
    <row r="336" spans="1:14" ht="15">
      <c r="A336" s="12"/>
      <c r="B336" s="33" t="s">
        <v>302</v>
      </c>
      <c r="C336" s="92" t="s">
        <v>405</v>
      </c>
      <c r="D336" s="33" t="s">
        <v>410</v>
      </c>
      <c r="E336" s="34">
        <v>44012</v>
      </c>
      <c r="F336" s="34">
        <v>44013</v>
      </c>
      <c r="G336" s="34">
        <v>44018</v>
      </c>
      <c r="H336" s="35">
        <v>4.2500000000000003E-2</v>
      </c>
      <c r="I336" s="67">
        <v>5.3800000000000001E-2</v>
      </c>
      <c r="J336" s="67">
        <v>0</v>
      </c>
      <c r="K336" s="67">
        <v>5.3800000000000001E-2</v>
      </c>
      <c r="L336" s="36">
        <f>+K336-((K336*0.082*0.125)+(K336*(1-0.082)*0.26))</f>
        <v>4.0407565999999999E-2</v>
      </c>
      <c r="M336" s="64">
        <f t="shared" si="8"/>
        <v>4.0407565999999999E-2</v>
      </c>
      <c r="N336" s="33" t="s">
        <v>248</v>
      </c>
    </row>
    <row r="337" spans="1:14" ht="15">
      <c r="A337" s="12"/>
      <c r="B337" s="33" t="s">
        <v>303</v>
      </c>
      <c r="C337" s="92" t="s">
        <v>406</v>
      </c>
      <c r="D337" s="33" t="s">
        <v>410</v>
      </c>
      <c r="E337" s="34">
        <v>44012</v>
      </c>
      <c r="F337" s="34">
        <v>44013</v>
      </c>
      <c r="G337" s="34">
        <v>44018</v>
      </c>
      <c r="H337" s="35">
        <v>4.2500000000000003E-2</v>
      </c>
      <c r="I337" s="67">
        <v>5.3199999999999997E-2</v>
      </c>
      <c r="J337" s="67">
        <v>0</v>
      </c>
      <c r="K337" s="67">
        <v>5.3199999999999997E-2</v>
      </c>
      <c r="L337" s="36">
        <f>+K337-((K337*0.082*0.125)+(K337*(1-0.082)*0.26))</f>
        <v>3.9956923999999998E-2</v>
      </c>
      <c r="M337" s="64">
        <f t="shared" si="8"/>
        <v>3.9956923999999998E-2</v>
      </c>
      <c r="N337" s="33" t="s">
        <v>248</v>
      </c>
    </row>
    <row r="338" spans="1:14" ht="15">
      <c r="A338" s="12" t="s">
        <v>92</v>
      </c>
      <c r="B338" s="33" t="s">
        <v>143</v>
      </c>
      <c r="C338" s="92" t="s">
        <v>351</v>
      </c>
      <c r="D338" s="33" t="s">
        <v>410</v>
      </c>
      <c r="E338" s="34">
        <v>44012</v>
      </c>
      <c r="F338" s="34">
        <v>44013</v>
      </c>
      <c r="G338" s="34">
        <v>44018</v>
      </c>
      <c r="H338" s="35">
        <v>4.0000000000000001E-3</v>
      </c>
      <c r="I338" s="67">
        <v>5.1000000000000004E-3</v>
      </c>
      <c r="J338" s="67">
        <v>0</v>
      </c>
      <c r="K338" s="67">
        <v>5.1000000000000004E-3</v>
      </c>
      <c r="L338" s="36">
        <f>+K338-((K338*0.5914*0.125)+(K338*(1-0.5914)*0.26))</f>
        <v>4.1811789000000005E-3</v>
      </c>
      <c r="M338" s="64">
        <f t="shared" si="8"/>
        <v>4.1811789000000005E-3</v>
      </c>
      <c r="N338" s="33" t="s">
        <v>248</v>
      </c>
    </row>
    <row r="339" spans="1:14" ht="15">
      <c r="A339" s="12" t="s">
        <v>94</v>
      </c>
      <c r="B339" s="33" t="s">
        <v>145</v>
      </c>
      <c r="C339" s="92" t="s">
        <v>352</v>
      </c>
      <c r="D339" s="33" t="s">
        <v>410</v>
      </c>
      <c r="E339" s="34">
        <v>44012</v>
      </c>
      <c r="F339" s="34">
        <v>44013</v>
      </c>
      <c r="G339" s="34">
        <v>44018</v>
      </c>
      <c r="H339" s="35">
        <v>4.4999999999999997E-3</v>
      </c>
      <c r="I339" s="67">
        <v>5.7999999999999996E-3</v>
      </c>
      <c r="J339" s="67">
        <v>0</v>
      </c>
      <c r="K339" s="67">
        <v>5.7999999999999996E-3</v>
      </c>
      <c r="L339" s="36">
        <f>+K339-((K339*0.0006*0.125)+(K339*(1-0.0006)*0.26))</f>
        <v>4.2924697999999996E-3</v>
      </c>
      <c r="M339" s="64">
        <f t="shared" si="8"/>
        <v>4.2924697999999996E-3</v>
      </c>
      <c r="N339" s="33" t="s">
        <v>248</v>
      </c>
    </row>
    <row r="340" spans="1:14" ht="15">
      <c r="A340" s="12" t="s">
        <v>93</v>
      </c>
      <c r="B340" s="33" t="s">
        <v>144</v>
      </c>
      <c r="C340" s="92" t="s">
        <v>353</v>
      </c>
      <c r="D340" s="33" t="s">
        <v>410</v>
      </c>
      <c r="E340" s="34">
        <v>44012</v>
      </c>
      <c r="F340" s="34">
        <v>44013</v>
      </c>
      <c r="G340" s="34">
        <v>44018</v>
      </c>
      <c r="H340" s="35">
        <v>2E-3</v>
      </c>
      <c r="I340" s="67">
        <v>2.5000000000000001E-3</v>
      </c>
      <c r="J340" s="67">
        <v>0</v>
      </c>
      <c r="K340" s="67">
        <v>2.5000000000000001E-3</v>
      </c>
      <c r="L340" s="36">
        <f>+K340-((K340*0.9352*0.125)+(K340*(1-0.9352)*0.26))</f>
        <v>2.16563E-3</v>
      </c>
      <c r="M340" s="64">
        <f t="shared" si="8"/>
        <v>2.16563E-3</v>
      </c>
      <c r="N340" s="33" t="s">
        <v>248</v>
      </c>
    </row>
    <row r="341" spans="1:14" ht="15">
      <c r="A341" s="12" t="s">
        <v>97</v>
      </c>
      <c r="B341" s="33" t="s">
        <v>148</v>
      </c>
      <c r="C341" s="92" t="s">
        <v>362</v>
      </c>
      <c r="D341" s="33" t="s">
        <v>410</v>
      </c>
      <c r="E341" s="34">
        <v>44012</v>
      </c>
      <c r="F341" s="34">
        <v>44013</v>
      </c>
      <c r="G341" s="34">
        <v>44018</v>
      </c>
      <c r="H341" s="35">
        <v>1.4999999999999999E-2</v>
      </c>
      <c r="I341" s="67">
        <v>1.9900000000000001E-2</v>
      </c>
      <c r="J341" s="67">
        <v>0</v>
      </c>
      <c r="K341" s="67">
        <v>1.9900000000000001E-2</v>
      </c>
      <c r="L341" s="36">
        <f>+K341-((K341*0.4996*0.125)+(K341*(1-0.4996)*0.26))</f>
        <v>1.6068175400000002E-2</v>
      </c>
      <c r="M341" s="64">
        <f t="shared" si="8"/>
        <v>1.6068175400000002E-2</v>
      </c>
      <c r="N341" s="33" t="s">
        <v>248</v>
      </c>
    </row>
    <row r="342" spans="1:14" ht="15">
      <c r="A342" s="12" t="s">
        <v>200</v>
      </c>
      <c r="B342" s="33" t="s">
        <v>200</v>
      </c>
      <c r="C342" s="92" t="s">
        <v>365</v>
      </c>
      <c r="D342" s="33" t="s">
        <v>410</v>
      </c>
      <c r="E342" s="34">
        <v>44012</v>
      </c>
      <c r="F342" s="34">
        <v>44013</v>
      </c>
      <c r="G342" s="34">
        <v>44018</v>
      </c>
      <c r="H342" s="35">
        <v>1.4999999999999999E-2</v>
      </c>
      <c r="I342" s="67">
        <v>0.37040000000000001</v>
      </c>
      <c r="J342" s="67">
        <v>0</v>
      </c>
      <c r="K342" s="67">
        <v>0.37040000000000001</v>
      </c>
      <c r="L342" s="36">
        <f>+K342-((K342*0.4996*0.125)+(K342*(1-0.4996)*0.26))</f>
        <v>0.29907799840000004</v>
      </c>
      <c r="M342" s="64">
        <f t="shared" si="8"/>
        <v>0.29907799840000004</v>
      </c>
      <c r="N342" s="33" t="s">
        <v>248</v>
      </c>
    </row>
    <row r="343" spans="1:14" ht="15">
      <c r="A343" s="12" t="s">
        <v>58</v>
      </c>
      <c r="B343" s="33" t="s">
        <v>173</v>
      </c>
      <c r="C343" s="92" t="s">
        <v>372</v>
      </c>
      <c r="D343" s="33" t="s">
        <v>410</v>
      </c>
      <c r="E343" s="34">
        <v>44012</v>
      </c>
      <c r="F343" s="34">
        <v>44013</v>
      </c>
      <c r="G343" s="34">
        <v>44018</v>
      </c>
      <c r="H343" s="35">
        <v>0.01</v>
      </c>
      <c r="I343" s="67">
        <v>1.3100000000000001E-2</v>
      </c>
      <c r="J343" s="67">
        <v>0</v>
      </c>
      <c r="K343" s="67">
        <v>1.3100000000000001E-2</v>
      </c>
      <c r="L343" s="36">
        <f>+K343-((K343*0.355*0.125)+(K343*(1-0.355)*0.26))</f>
        <v>1.03218175E-2</v>
      </c>
      <c r="M343" s="64">
        <f t="shared" si="8"/>
        <v>1.03218175E-2</v>
      </c>
      <c r="N343" s="33" t="s">
        <v>248</v>
      </c>
    </row>
    <row r="344" spans="1:14" ht="15">
      <c r="A344" s="12" t="s">
        <v>99</v>
      </c>
      <c r="B344" s="33" t="s">
        <v>150</v>
      </c>
      <c r="C344" s="92" t="s">
        <v>377</v>
      </c>
      <c r="D344" s="33" t="s">
        <v>410</v>
      </c>
      <c r="E344" s="34">
        <v>44012</v>
      </c>
      <c r="F344" s="34">
        <v>44013</v>
      </c>
      <c r="G344" s="34">
        <v>44018</v>
      </c>
      <c r="H344" s="35">
        <v>2.2499999999999999E-2</v>
      </c>
      <c r="I344" s="67">
        <v>3.1699999999999999E-2</v>
      </c>
      <c r="J344" s="67">
        <v>0</v>
      </c>
      <c r="K344" s="67">
        <v>3.1699999999999999E-2</v>
      </c>
      <c r="L344" s="36">
        <f>+K344-((K344*0.0000001*0.125)+(K344*(1-0.0000001)*0.26))</f>
        <v>2.3458000427949998E-2</v>
      </c>
      <c r="M344" s="64">
        <f t="shared" si="8"/>
        <v>2.3458000427949998E-2</v>
      </c>
      <c r="N344" s="33" t="s">
        <v>248</v>
      </c>
    </row>
    <row r="345" spans="1:14" ht="15">
      <c r="A345" s="12"/>
      <c r="B345" s="33" t="s">
        <v>510</v>
      </c>
      <c r="C345" s="92" t="s">
        <v>509</v>
      </c>
      <c r="D345" s="33" t="s">
        <v>410</v>
      </c>
      <c r="E345" s="34">
        <v>44012</v>
      </c>
      <c r="F345" s="34">
        <v>44013</v>
      </c>
      <c r="G345" s="34">
        <v>44018</v>
      </c>
      <c r="H345" s="35">
        <v>2.2499999999999999E-2</v>
      </c>
      <c r="I345" s="67">
        <v>2.81E-2</v>
      </c>
      <c r="J345" s="67">
        <v>0</v>
      </c>
      <c r="K345" s="67">
        <v>2.81E-2</v>
      </c>
      <c r="L345" s="36">
        <f>+K345-((K345*0.0000001*0.125)+(K345*(1-0.0000001)*0.26))</f>
        <v>2.0794000379349999E-2</v>
      </c>
      <c r="M345" s="64">
        <f t="shared" si="8"/>
        <v>2.0794000379349999E-2</v>
      </c>
      <c r="N345" s="33" t="s">
        <v>248</v>
      </c>
    </row>
    <row r="346" spans="1:14" ht="15">
      <c r="A346" s="12"/>
      <c r="B346" s="33" t="s">
        <v>441</v>
      </c>
      <c r="C346" s="92" t="s">
        <v>444</v>
      </c>
      <c r="D346" s="33" t="s">
        <v>410</v>
      </c>
      <c r="E346" s="34">
        <v>44012</v>
      </c>
      <c r="F346" s="34">
        <v>44013</v>
      </c>
      <c r="G346" s="34">
        <v>44018</v>
      </c>
      <c r="H346" s="35">
        <v>1.4999999999999999E-2</v>
      </c>
      <c r="I346" s="67">
        <v>1.8700000000000001E-2</v>
      </c>
      <c r="J346" s="67">
        <v>0</v>
      </c>
      <c r="K346" s="67">
        <v>1.8700000000000001E-2</v>
      </c>
      <c r="L346" s="36">
        <f>+K346-((K346*0.2111*0.125)+(K346*(1-0.2111)*0.26))</f>
        <v>1.4370921950000001E-2</v>
      </c>
      <c r="M346" s="64">
        <f t="shared" si="8"/>
        <v>1.4370921950000001E-2</v>
      </c>
      <c r="N346" s="33" t="s">
        <v>248</v>
      </c>
    </row>
    <row r="347" spans="1:14" ht="15">
      <c r="A347" s="12"/>
      <c r="B347" s="33" t="s">
        <v>439</v>
      </c>
      <c r="C347" s="92" t="s">
        <v>442</v>
      </c>
      <c r="D347" s="33" t="s">
        <v>410</v>
      </c>
      <c r="E347" s="34">
        <v>44012</v>
      </c>
      <c r="F347" s="34">
        <v>44013</v>
      </c>
      <c r="G347" s="34">
        <v>44018</v>
      </c>
      <c r="H347" s="35">
        <v>1.4999999999999999E-2</v>
      </c>
      <c r="I347" s="67">
        <v>0.377</v>
      </c>
      <c r="J347" s="67">
        <v>0</v>
      </c>
      <c r="K347" s="67">
        <v>0.377</v>
      </c>
      <c r="L347" s="36">
        <f>+K347-((K347*0.2111*0.125)+(K347*(1-0.2111)*0.26))</f>
        <v>0.2897239345</v>
      </c>
      <c r="M347" s="64">
        <f t="shared" si="8"/>
        <v>0.2897239345</v>
      </c>
      <c r="N347" s="33" t="s">
        <v>248</v>
      </c>
    </row>
    <row r="348" spans="1:14" ht="15">
      <c r="A348" s="12"/>
      <c r="B348" s="33" t="s">
        <v>440</v>
      </c>
      <c r="C348" s="92" t="s">
        <v>443</v>
      </c>
      <c r="D348" s="33" t="s">
        <v>410</v>
      </c>
      <c r="E348" s="34">
        <v>44012</v>
      </c>
      <c r="F348" s="34">
        <v>44013</v>
      </c>
      <c r="G348" s="34">
        <v>44018</v>
      </c>
      <c r="H348" s="35">
        <v>1.4999999999999999E-2</v>
      </c>
      <c r="I348" s="67">
        <v>0.37919999999999998</v>
      </c>
      <c r="J348" s="67">
        <v>0</v>
      </c>
      <c r="K348" s="67">
        <v>0.37919999999999998</v>
      </c>
      <c r="L348" s="36">
        <f>+K348-((K348*0.2111*0.125)+(K348*(1-0.2111)*0.26))</f>
        <v>0.2914146312</v>
      </c>
      <c r="M348" s="64">
        <f t="shared" si="8"/>
        <v>0.2914146312</v>
      </c>
      <c r="N348" s="33" t="s">
        <v>248</v>
      </c>
    </row>
    <row r="349" spans="1:14" ht="15">
      <c r="A349" s="12"/>
      <c r="B349" s="33" t="s">
        <v>299</v>
      </c>
      <c r="C349" s="92" t="s">
        <v>517</v>
      </c>
      <c r="D349" s="33" t="s">
        <v>410</v>
      </c>
      <c r="E349" s="34">
        <v>44012</v>
      </c>
      <c r="F349" s="34">
        <v>44013</v>
      </c>
      <c r="G349" s="34">
        <v>44018</v>
      </c>
      <c r="H349" s="35"/>
      <c r="I349" s="67">
        <v>1.8700000000000001E-2</v>
      </c>
      <c r="J349" s="67">
        <v>0</v>
      </c>
      <c r="K349" s="67">
        <v>1.8700000000000001E-2</v>
      </c>
      <c r="L349" s="36">
        <f>+K349-((K349*0.3305*0.125)+(K349*(1-0.3305)*0.26))</f>
        <v>1.4672347250000002E-2</v>
      </c>
      <c r="M349" s="64">
        <f t="shared" si="8"/>
        <v>1.4672347250000002E-2</v>
      </c>
      <c r="N349" s="33" t="s">
        <v>248</v>
      </c>
    </row>
    <row r="350" spans="1:14" ht="15">
      <c r="A350" s="12"/>
      <c r="B350" s="33" t="s">
        <v>299</v>
      </c>
      <c r="C350" s="92" t="s">
        <v>517</v>
      </c>
      <c r="D350" s="33" t="s">
        <v>410</v>
      </c>
      <c r="E350" s="34">
        <v>44012</v>
      </c>
      <c r="F350" s="34">
        <v>44013</v>
      </c>
      <c r="G350" s="34">
        <v>44018</v>
      </c>
      <c r="H350" s="35">
        <v>1.4999999999999999E-2</v>
      </c>
      <c r="I350" s="67">
        <v>1.8700000000000001E-2</v>
      </c>
      <c r="J350" s="67">
        <v>0</v>
      </c>
      <c r="K350" s="67">
        <v>1.8700000000000001E-2</v>
      </c>
      <c r="L350" s="36">
        <f>+K350-((K350*0.3305*0.125)+(K350*(1-0.3305)*0.26))</f>
        <v>1.4672347250000002E-2</v>
      </c>
      <c r="M350" s="64">
        <f t="shared" si="8"/>
        <v>1.4672347250000002E-2</v>
      </c>
      <c r="N350" s="33" t="s">
        <v>248</v>
      </c>
    </row>
    <row r="351" spans="1:14" ht="15">
      <c r="A351" s="12" t="s">
        <v>182</v>
      </c>
      <c r="B351" s="33" t="s">
        <v>182</v>
      </c>
      <c r="C351" s="92" t="s">
        <v>477</v>
      </c>
      <c r="D351" s="33" t="s">
        <v>410</v>
      </c>
      <c r="E351" s="34">
        <v>44012</v>
      </c>
      <c r="F351" s="34">
        <v>44013</v>
      </c>
      <c r="G351" s="34">
        <v>44018</v>
      </c>
      <c r="H351" s="35">
        <v>1.4999999999999999E-2</v>
      </c>
      <c r="I351" s="67">
        <v>0.36559999999999998</v>
      </c>
      <c r="J351" s="67">
        <v>0</v>
      </c>
      <c r="K351" s="67">
        <v>0.36559999999999998</v>
      </c>
      <c r="L351" s="36">
        <f>+K351-((K351*0.3305*0.125)+(K351*(1-0.3305)*0.26))</f>
        <v>0.28685615799999997</v>
      </c>
      <c r="M351" s="64">
        <f t="shared" si="8"/>
        <v>0.28685615799999997</v>
      </c>
      <c r="N351" s="33" t="s">
        <v>248</v>
      </c>
    </row>
    <row r="352" spans="1:14" ht="15">
      <c r="A352" s="12" t="s">
        <v>202</v>
      </c>
      <c r="B352" s="33" t="s">
        <v>202</v>
      </c>
      <c r="C352" s="92" t="s">
        <v>478</v>
      </c>
      <c r="D352" s="33" t="s">
        <v>410</v>
      </c>
      <c r="E352" s="34">
        <v>44012</v>
      </c>
      <c r="F352" s="34">
        <v>44013</v>
      </c>
      <c r="G352" s="34">
        <v>44018</v>
      </c>
      <c r="H352" s="35">
        <v>1.4999999999999999E-2</v>
      </c>
      <c r="I352" s="67">
        <v>0.36809999999999998</v>
      </c>
      <c r="J352" s="67">
        <v>0</v>
      </c>
      <c r="K352" s="67">
        <v>0.36809999999999998</v>
      </c>
      <c r="L352" s="36">
        <f>+K352-((K352*0.3305*0.125)+(K352*(1-0.3305)*0.26))</f>
        <v>0.28881770174999999</v>
      </c>
      <c r="M352" s="64">
        <f t="shared" si="8"/>
        <v>0.28881770174999999</v>
      </c>
      <c r="N352" s="33" t="s">
        <v>248</v>
      </c>
    </row>
    <row r="353" spans="1:14" ht="15">
      <c r="A353" s="12" t="s">
        <v>95</v>
      </c>
      <c r="B353" s="33" t="s">
        <v>146</v>
      </c>
      <c r="C353" s="92" t="s">
        <v>380</v>
      </c>
      <c r="D353" s="33" t="s">
        <v>410</v>
      </c>
      <c r="E353" s="34">
        <v>44012</v>
      </c>
      <c r="F353" s="34">
        <v>44013</v>
      </c>
      <c r="G353" s="34">
        <v>44018</v>
      </c>
      <c r="H353" s="35">
        <v>2.5000000000000001E-2</v>
      </c>
      <c r="I353" s="67">
        <v>3.95E-2</v>
      </c>
      <c r="J353" s="67">
        <v>0</v>
      </c>
      <c r="K353" s="67">
        <v>3.95E-2</v>
      </c>
      <c r="L353" s="36">
        <f>+K353-((K353*0.004*0.125)+(K353*(1-0.004)*0.26))</f>
        <v>2.9251329999999999E-2</v>
      </c>
      <c r="M353" s="64">
        <f t="shared" si="8"/>
        <v>2.9251329999999999E-2</v>
      </c>
      <c r="N353" s="33" t="s">
        <v>248</v>
      </c>
    </row>
    <row r="354" spans="1:14" ht="15">
      <c r="A354" s="12" t="s">
        <v>10</v>
      </c>
      <c r="B354" s="33" t="s">
        <v>163</v>
      </c>
      <c r="C354" s="92" t="s">
        <v>381</v>
      </c>
      <c r="D354" s="33" t="s">
        <v>410</v>
      </c>
      <c r="E354" s="34">
        <v>44012</v>
      </c>
      <c r="F354" s="34">
        <v>44013</v>
      </c>
      <c r="G354" s="34">
        <v>44018</v>
      </c>
      <c r="H354" s="35">
        <v>2.5000000000000001E-2</v>
      </c>
      <c r="I354" s="67">
        <v>3.5700000000000003E-2</v>
      </c>
      <c r="J354" s="67">
        <v>0</v>
      </c>
      <c r="K354" s="67">
        <v>3.5700000000000003E-2</v>
      </c>
      <c r="L354" s="36">
        <f>+K354-((K354*0.004*0.125)+(K354*(1-0.004)*0.26))</f>
        <v>2.6437278000000002E-2</v>
      </c>
      <c r="M354" s="64">
        <f t="shared" si="8"/>
        <v>2.6437278000000002E-2</v>
      </c>
      <c r="N354" s="33" t="s">
        <v>248</v>
      </c>
    </row>
    <row r="355" spans="1:14" ht="15">
      <c r="A355" s="12" t="s">
        <v>100</v>
      </c>
      <c r="B355" s="33" t="s">
        <v>151</v>
      </c>
      <c r="C355" s="92" t="s">
        <v>383</v>
      </c>
      <c r="D355" s="33" t="s">
        <v>410</v>
      </c>
      <c r="E355" s="34">
        <v>44012</v>
      </c>
      <c r="F355" s="34">
        <v>44013</v>
      </c>
      <c r="G355" s="34">
        <v>44018</v>
      </c>
      <c r="H355" s="35">
        <v>2.3E-2</v>
      </c>
      <c r="I355" s="67">
        <v>2.8799999999999999E-2</v>
      </c>
      <c r="J355" s="67">
        <v>0</v>
      </c>
      <c r="K355" s="67">
        <v>2.8799999999999999E-2</v>
      </c>
      <c r="L355" s="36">
        <f>+K355-((K355*0.0509*0.125)+(K355*(1-0.0509)*0.26))</f>
        <v>2.1509899199999998E-2</v>
      </c>
      <c r="M355" s="64">
        <f t="shared" si="8"/>
        <v>2.1509899199999998E-2</v>
      </c>
      <c r="N355" s="33" t="s">
        <v>248</v>
      </c>
    </row>
    <row r="356" spans="1:14" ht="15">
      <c r="A356" s="12" t="s">
        <v>27</v>
      </c>
      <c r="B356" s="33" t="s">
        <v>166</v>
      </c>
      <c r="C356" s="92" t="s">
        <v>384</v>
      </c>
      <c r="D356" s="33" t="s">
        <v>410</v>
      </c>
      <c r="E356" s="34">
        <v>44012</v>
      </c>
      <c r="F356" s="34">
        <v>44013</v>
      </c>
      <c r="G356" s="34">
        <v>44018</v>
      </c>
      <c r="H356" s="35">
        <v>2.3E-2</v>
      </c>
      <c r="I356" s="67">
        <v>2.8799999999999999E-2</v>
      </c>
      <c r="J356" s="67">
        <v>0</v>
      </c>
      <c r="K356" s="67">
        <v>2.8799999999999999E-2</v>
      </c>
      <c r="L356" s="36">
        <f>+K356-((K356*0.0509*0.125)+(K356*(1-0.0509)*0.26))</f>
        <v>2.1509899199999998E-2</v>
      </c>
      <c r="M356" s="64">
        <f t="shared" si="8"/>
        <v>2.1509899199999998E-2</v>
      </c>
      <c r="N356" s="33" t="s">
        <v>248</v>
      </c>
    </row>
    <row r="357" spans="1:14" ht="15">
      <c r="A357" s="12" t="s">
        <v>98</v>
      </c>
      <c r="B357" s="33" t="s">
        <v>149</v>
      </c>
      <c r="C357" s="92" t="s">
        <v>386</v>
      </c>
      <c r="D357" s="33" t="s">
        <v>410</v>
      </c>
      <c r="E357" s="34">
        <v>44012</v>
      </c>
      <c r="F357" s="34">
        <v>44013</v>
      </c>
      <c r="G357" s="34">
        <v>44018</v>
      </c>
      <c r="H357" s="35">
        <v>0.05</v>
      </c>
      <c r="I357" s="67">
        <v>7.6399999999999996E-2</v>
      </c>
      <c r="J357" s="67">
        <v>0</v>
      </c>
      <c r="K357" s="67">
        <v>7.6399999999999996E-2</v>
      </c>
      <c r="L357" s="36">
        <f>+K357-((K357*0.0921*0.125)+(K357*(1-0.921)*0.26))</f>
        <v>7.3951189000000001E-2</v>
      </c>
      <c r="M357" s="64">
        <f t="shared" si="8"/>
        <v>7.3951189000000001E-2</v>
      </c>
      <c r="N357" s="33" t="s">
        <v>248</v>
      </c>
    </row>
    <row r="358" spans="1:14" ht="15">
      <c r="A358" s="12" t="s">
        <v>11</v>
      </c>
      <c r="B358" s="33" t="s">
        <v>165</v>
      </c>
      <c r="C358" s="92" t="s">
        <v>387</v>
      </c>
      <c r="D358" s="33" t="s">
        <v>410</v>
      </c>
      <c r="E358" s="34">
        <v>44012</v>
      </c>
      <c r="F358" s="34">
        <v>44013</v>
      </c>
      <c r="G358" s="34">
        <v>44018</v>
      </c>
      <c r="H358" s="35">
        <v>0.05</v>
      </c>
      <c r="I358" s="67">
        <v>7.22E-2</v>
      </c>
      <c r="J358" s="67">
        <v>0</v>
      </c>
      <c r="K358" s="67">
        <v>7.22E-2</v>
      </c>
      <c r="L358" s="36">
        <f>+K358-((K358*0.0921*0.125)+(K358*(1-0.921)*0.26))</f>
        <v>6.9885809500000007E-2</v>
      </c>
      <c r="M358" s="64">
        <f t="shared" si="8"/>
        <v>6.9885809500000007E-2</v>
      </c>
      <c r="N358" s="33" t="s">
        <v>248</v>
      </c>
    </row>
    <row r="359" spans="1:14" ht="15">
      <c r="A359" s="12" t="s">
        <v>102</v>
      </c>
      <c r="B359" s="33" t="s">
        <v>153</v>
      </c>
      <c r="C359" s="92" t="s">
        <v>394</v>
      </c>
      <c r="D359" s="33" t="s">
        <v>410</v>
      </c>
      <c r="E359" s="34">
        <v>44012</v>
      </c>
      <c r="F359" s="34">
        <v>44013</v>
      </c>
      <c r="G359" s="34">
        <v>44018</v>
      </c>
      <c r="H359" s="35">
        <v>2.5000000000000001E-2</v>
      </c>
      <c r="I359" s="67">
        <v>3.0099999999999998E-2</v>
      </c>
      <c r="J359" s="67">
        <v>0</v>
      </c>
      <c r="K359" s="67">
        <v>3.0099999999999998E-2</v>
      </c>
      <c r="L359" s="36">
        <f>+K359-((K359*0.1243*0.125)+(K359*(1-0.1243)*0.26))</f>
        <v>2.2779093049999997E-2</v>
      </c>
      <c r="M359" s="64">
        <f t="shared" si="8"/>
        <v>2.2779093049999997E-2</v>
      </c>
      <c r="N359" s="33" t="s">
        <v>248</v>
      </c>
    </row>
    <row r="360" spans="1:14" ht="15">
      <c r="A360" s="12" t="s">
        <v>101</v>
      </c>
      <c r="B360" s="33" t="s">
        <v>152</v>
      </c>
      <c r="C360" s="92" t="s">
        <v>395</v>
      </c>
      <c r="D360" s="33" t="s">
        <v>410</v>
      </c>
      <c r="E360" s="34">
        <v>44012</v>
      </c>
      <c r="F360" s="34">
        <v>44013</v>
      </c>
      <c r="G360" s="34">
        <v>44018</v>
      </c>
      <c r="H360" s="35">
        <v>2.5000000000000001E-2</v>
      </c>
      <c r="I360" s="67">
        <v>4.0599999999999997E-2</v>
      </c>
      <c r="J360" s="67">
        <v>0</v>
      </c>
      <c r="K360" s="67">
        <v>4.0599999999999997E-2</v>
      </c>
      <c r="L360" s="36">
        <f>+K360-((K360*0.1243*0.125)+(K360*(1-0.1243)*0.26))</f>
        <v>3.0725288299999997E-2</v>
      </c>
      <c r="M360" s="64">
        <f t="shared" si="8"/>
        <v>3.0725288299999997E-2</v>
      </c>
      <c r="N360" s="33" t="s">
        <v>248</v>
      </c>
    </row>
    <row r="361" spans="1:14" ht="15">
      <c r="A361" s="12" t="s">
        <v>12</v>
      </c>
      <c r="B361" s="33" t="s">
        <v>167</v>
      </c>
      <c r="C361" s="92" t="s">
        <v>396</v>
      </c>
      <c r="D361" s="33" t="s">
        <v>410</v>
      </c>
      <c r="E361" s="34">
        <v>44012</v>
      </c>
      <c r="F361" s="34">
        <v>44013</v>
      </c>
      <c r="G361" s="34">
        <v>44018</v>
      </c>
      <c r="H361" s="35">
        <v>2.5000000000000001E-2</v>
      </c>
      <c r="I361" s="67">
        <v>3.9199999999999999E-2</v>
      </c>
      <c r="J361" s="67">
        <v>0</v>
      </c>
      <c r="K361" s="67">
        <v>3.9199999999999999E-2</v>
      </c>
      <c r="L361" s="36">
        <f>+K361-((K361*0.1243*0.125)+(K361*(1-0.1243)*0.26))</f>
        <v>2.9665795599999999E-2</v>
      </c>
      <c r="M361" s="64">
        <f t="shared" si="8"/>
        <v>2.9665795599999999E-2</v>
      </c>
      <c r="N361" s="33" t="s">
        <v>248</v>
      </c>
    </row>
    <row r="362" spans="1:14" ht="15">
      <c r="A362" s="12"/>
      <c r="B362" s="33" t="s">
        <v>301</v>
      </c>
      <c r="C362" s="92" t="s">
        <v>407</v>
      </c>
      <c r="D362" s="33" t="s">
        <v>410</v>
      </c>
      <c r="E362" s="34">
        <v>44012</v>
      </c>
      <c r="F362" s="34">
        <v>44013</v>
      </c>
      <c r="G362" s="34">
        <v>44018</v>
      </c>
      <c r="H362" s="35">
        <v>2.5000000000000001E-2</v>
      </c>
      <c r="I362" s="67">
        <v>3.09E-2</v>
      </c>
      <c r="J362" s="67">
        <v>0</v>
      </c>
      <c r="K362" s="67">
        <v>3.09E-2</v>
      </c>
      <c r="L362" s="36">
        <f>+K362-((K362*0.1243*0.125)+(K362*(1-0.1243)*0.26))</f>
        <v>2.338451745E-2</v>
      </c>
      <c r="M362" s="64">
        <f t="shared" si="8"/>
        <v>2.338451745E-2</v>
      </c>
      <c r="N362" s="33" t="s">
        <v>248</v>
      </c>
    </row>
    <row r="363" spans="1:14" ht="15">
      <c r="A363" s="12"/>
      <c r="B363" s="33" t="s">
        <v>304</v>
      </c>
      <c r="C363" s="92" t="s">
        <v>408</v>
      </c>
      <c r="D363" s="33" t="s">
        <v>410</v>
      </c>
      <c r="E363" s="34">
        <v>44012</v>
      </c>
      <c r="F363" s="34">
        <v>44013</v>
      </c>
      <c r="G363" s="34">
        <v>44018</v>
      </c>
      <c r="H363" s="35">
        <v>2.2499999999999999E-2</v>
      </c>
      <c r="I363" s="67">
        <v>2.7799999999999998E-2</v>
      </c>
      <c r="J363" s="67">
        <v>0</v>
      </c>
      <c r="K363" s="67">
        <v>2.7799999999999998E-2</v>
      </c>
      <c r="L363" s="36">
        <f>+K363-((K363*0.1466*0.125)+(K363*(1-0.1466)*0.26))</f>
        <v>2.11221898E-2</v>
      </c>
      <c r="M363" s="64">
        <f t="shared" si="8"/>
        <v>2.11221898E-2</v>
      </c>
      <c r="N363" s="33" t="s">
        <v>248</v>
      </c>
    </row>
    <row r="364" spans="1:14" ht="15">
      <c r="A364" s="12" t="s">
        <v>230</v>
      </c>
      <c r="B364" s="33" t="s">
        <v>183</v>
      </c>
      <c r="C364" s="92" t="s">
        <v>398</v>
      </c>
      <c r="D364" s="33" t="s">
        <v>410</v>
      </c>
      <c r="E364" s="34">
        <v>44012</v>
      </c>
      <c r="F364" s="34">
        <v>44013</v>
      </c>
      <c r="G364" s="34">
        <v>44018</v>
      </c>
      <c r="H364" s="35">
        <v>2.2499999999999999E-2</v>
      </c>
      <c r="I364" s="67">
        <v>2.7900000000000001E-2</v>
      </c>
      <c r="J364" s="67">
        <v>0</v>
      </c>
      <c r="K364" s="67">
        <v>2.7900000000000001E-2</v>
      </c>
      <c r="L364" s="36">
        <f>+K364-((K364*0.1466*0.125)+(K364*(1-0.1466)*0.26))</f>
        <v>2.1198168900000001E-2</v>
      </c>
      <c r="M364" s="64">
        <f t="shared" si="8"/>
        <v>2.1198168900000001E-2</v>
      </c>
      <c r="N364" s="33" t="s">
        <v>248</v>
      </c>
    </row>
    <row r="365" spans="1:14" ht="15">
      <c r="A365" s="12"/>
      <c r="B365" s="33" t="s">
        <v>305</v>
      </c>
      <c r="C365" s="92" t="s">
        <v>409</v>
      </c>
      <c r="D365" s="33" t="s">
        <v>410</v>
      </c>
      <c r="E365" s="34">
        <v>44012</v>
      </c>
      <c r="F365" s="34">
        <v>44013</v>
      </c>
      <c r="G365" s="34">
        <v>44018</v>
      </c>
      <c r="H365" s="35">
        <v>2.2499999999999999E-2</v>
      </c>
      <c r="I365" s="67">
        <v>2.8000000000000001E-2</v>
      </c>
      <c r="J365" s="67">
        <v>0</v>
      </c>
      <c r="K365" s="67">
        <v>2.8000000000000001E-2</v>
      </c>
      <c r="L365" s="36">
        <f>+K365-((K365*0.1466*0.125)+(K365*(1-0.1466)*0.26))</f>
        <v>2.1274148E-2</v>
      </c>
      <c r="M365" s="64">
        <f t="shared" si="8"/>
        <v>2.1274148E-2</v>
      </c>
      <c r="N365" s="33" t="s">
        <v>248</v>
      </c>
    </row>
    <row r="366" spans="1:14" ht="15">
      <c r="A366" s="12" t="s">
        <v>96</v>
      </c>
      <c r="B366" s="33" t="s">
        <v>147</v>
      </c>
      <c r="C366" s="92" t="s">
        <v>466</v>
      </c>
      <c r="D366" s="33" t="s">
        <v>410</v>
      </c>
      <c r="E366" s="34">
        <v>44012</v>
      </c>
      <c r="F366" s="34">
        <v>44013</v>
      </c>
      <c r="G366" s="34">
        <v>44018</v>
      </c>
      <c r="H366" s="35">
        <v>2.3E-2</v>
      </c>
      <c r="I366" s="67">
        <v>3.1300000000000001E-2</v>
      </c>
      <c r="J366" s="67">
        <v>0</v>
      </c>
      <c r="K366" s="67">
        <v>3.1300000000000001E-2</v>
      </c>
      <c r="L366" s="36">
        <f>+K366-((K366*0.127*0.125)+(K366*(1-0.127)*0.26))</f>
        <v>2.3698638500000001E-2</v>
      </c>
      <c r="M366" s="64">
        <f t="shared" si="8"/>
        <v>2.3698638500000001E-2</v>
      </c>
      <c r="N366" s="33" t="s">
        <v>248</v>
      </c>
    </row>
    <row r="367" spans="1:14" ht="15">
      <c r="A367" s="12" t="s">
        <v>9</v>
      </c>
      <c r="B367" s="33" t="s">
        <v>164</v>
      </c>
      <c r="C367" s="92" t="s">
        <v>467</v>
      </c>
      <c r="D367" s="33" t="s">
        <v>410</v>
      </c>
      <c r="E367" s="34">
        <v>44012</v>
      </c>
      <c r="F367" s="34">
        <v>44013</v>
      </c>
      <c r="G367" s="34">
        <v>44018</v>
      </c>
      <c r="H367" s="35">
        <v>2.3E-2</v>
      </c>
      <c r="I367" s="67">
        <v>2.9499999999999998E-2</v>
      </c>
      <c r="J367" s="67">
        <v>0</v>
      </c>
      <c r="K367" s="67">
        <v>2.9499999999999998E-2</v>
      </c>
      <c r="L367" s="36">
        <f>+K367-((K367*0.127*0.125)+(K367*(1-0.127)*0.26))</f>
        <v>2.2335777499999997E-2</v>
      </c>
      <c r="M367" s="64">
        <f t="shared" si="8"/>
        <v>2.2335777499999997E-2</v>
      </c>
      <c r="N367" s="33" t="s">
        <v>248</v>
      </c>
    </row>
    <row r="368" spans="1:14" ht="15">
      <c r="A368" s="12" t="s">
        <v>107</v>
      </c>
      <c r="B368" s="33" t="s">
        <v>132</v>
      </c>
      <c r="C368" s="92" t="s">
        <v>358</v>
      </c>
      <c r="D368" s="33" t="s">
        <v>410</v>
      </c>
      <c r="E368" s="34">
        <v>44039</v>
      </c>
      <c r="F368" s="34">
        <v>44040</v>
      </c>
      <c r="G368" s="34">
        <v>44043</v>
      </c>
      <c r="H368" s="35">
        <v>0.03</v>
      </c>
      <c r="I368" s="67">
        <v>3.5400000000000001E-2</v>
      </c>
      <c r="J368" s="67">
        <v>0</v>
      </c>
      <c r="K368" s="67">
        <v>3.5400000000000001E-2</v>
      </c>
      <c r="L368" s="36">
        <f>+K368-((K368*0.2612*0.125)+(K368*(1-0.2612)*0.26))</f>
        <v>2.7444274800000001E-2</v>
      </c>
      <c r="M368" s="64">
        <f t="shared" si="8"/>
        <v>2.7444274800000001E-2</v>
      </c>
      <c r="N368" s="33" t="s">
        <v>249</v>
      </c>
    </row>
    <row r="369" spans="1:14" ht="15">
      <c r="A369" s="12" t="s">
        <v>121</v>
      </c>
      <c r="B369" s="33" t="s">
        <v>227</v>
      </c>
      <c r="C369" s="92" t="s">
        <v>359</v>
      </c>
      <c r="D369" s="33" t="s">
        <v>410</v>
      </c>
      <c r="E369" s="34">
        <v>44039</v>
      </c>
      <c r="F369" s="34">
        <v>44040</v>
      </c>
      <c r="G369" s="34">
        <v>44043</v>
      </c>
      <c r="H369" s="35">
        <v>0.03</v>
      </c>
      <c r="I369" s="67">
        <v>3.5200000000000002E-2</v>
      </c>
      <c r="J369" s="67">
        <v>0</v>
      </c>
      <c r="K369" s="67">
        <v>3.5200000000000002E-2</v>
      </c>
      <c r="L369" s="36">
        <f>+K369-((K369*0.2612*0.125)+(K369*(1-0.2612)*0.26))</f>
        <v>2.72892224E-2</v>
      </c>
      <c r="M369" s="64">
        <f t="shared" si="8"/>
        <v>2.72892224E-2</v>
      </c>
      <c r="N369" s="33" t="s">
        <v>249</v>
      </c>
    </row>
    <row r="370" spans="1:14" ht="15">
      <c r="A370" s="12" t="s">
        <v>108</v>
      </c>
      <c r="B370" s="33" t="s">
        <v>133</v>
      </c>
      <c r="C370" s="92" t="s">
        <v>474</v>
      </c>
      <c r="D370" s="33" t="s">
        <v>410</v>
      </c>
      <c r="E370" s="34">
        <v>44039</v>
      </c>
      <c r="F370" s="34">
        <v>44040</v>
      </c>
      <c r="G370" s="34">
        <v>44043</v>
      </c>
      <c r="H370" s="35">
        <v>0.04</v>
      </c>
      <c r="I370" s="67">
        <v>4.3099999999999999E-2</v>
      </c>
      <c r="J370" s="67">
        <v>0</v>
      </c>
      <c r="K370" s="67">
        <v>4.3099999999999999E-2</v>
      </c>
      <c r="L370" s="36">
        <f>+K370-((K370*0.0000001*0.125)+(K370*(1-0.0000001)*0.26))</f>
        <v>3.1894000581849997E-2</v>
      </c>
      <c r="M370" s="64">
        <f t="shared" si="8"/>
        <v>3.1894000581849997E-2</v>
      </c>
      <c r="N370" s="33" t="s">
        <v>249</v>
      </c>
    </row>
    <row r="371" spans="1:14" ht="15">
      <c r="A371" s="12" t="s">
        <v>109</v>
      </c>
      <c r="B371" s="33" t="s">
        <v>134</v>
      </c>
      <c r="C371" s="92" t="s">
        <v>374</v>
      </c>
      <c r="D371" s="33" t="s">
        <v>410</v>
      </c>
      <c r="E371" s="34">
        <v>44039</v>
      </c>
      <c r="F371" s="34">
        <v>44040</v>
      </c>
      <c r="G371" s="34">
        <v>44043</v>
      </c>
      <c r="H371" s="35">
        <v>4.2500000000000003E-2</v>
      </c>
      <c r="I371" s="67">
        <v>5.4600000000000003E-2</v>
      </c>
      <c r="J371" s="67">
        <v>0</v>
      </c>
      <c r="K371" s="67">
        <v>5.4600000000000003E-2</v>
      </c>
      <c r="L371" s="36">
        <f>+K371-((K371*0.2536*0.125)+(K371*(1-0.2536)*0.26))</f>
        <v>4.2273285600000002E-2</v>
      </c>
      <c r="M371" s="64">
        <f t="shared" si="8"/>
        <v>4.2273285600000002E-2</v>
      </c>
      <c r="N371" s="33" t="s">
        <v>249</v>
      </c>
    </row>
    <row r="372" spans="1:14" ht="15">
      <c r="A372" s="12" t="s">
        <v>37</v>
      </c>
      <c r="B372" s="33" t="s">
        <v>168</v>
      </c>
      <c r="C372" s="92" t="s">
        <v>376</v>
      </c>
      <c r="D372" s="33" t="s">
        <v>410</v>
      </c>
      <c r="E372" s="34">
        <v>44039</v>
      </c>
      <c r="F372" s="34">
        <v>44040</v>
      </c>
      <c r="G372" s="34">
        <v>44043</v>
      </c>
      <c r="H372" s="35">
        <v>4.2500000000000003E-2</v>
      </c>
      <c r="I372" s="67">
        <v>4.7300000000000002E-2</v>
      </c>
      <c r="J372" s="67">
        <v>0</v>
      </c>
      <c r="K372" s="67">
        <v>4.7300000000000002E-2</v>
      </c>
      <c r="L372" s="36">
        <f>+K372-((K372*0.2536*0.125)+(K372*(1-0.2536)*0.26))</f>
        <v>3.6621362800000001E-2</v>
      </c>
      <c r="M372" s="64">
        <f t="shared" si="8"/>
        <v>3.6621362800000001E-2</v>
      </c>
      <c r="N372" s="33" t="s">
        <v>249</v>
      </c>
    </row>
    <row r="373" spans="1:14" ht="15">
      <c r="A373" s="12" t="s">
        <v>111</v>
      </c>
      <c r="B373" s="33" t="s">
        <v>136</v>
      </c>
      <c r="C373" s="92" t="s">
        <v>388</v>
      </c>
      <c r="D373" s="33" t="s">
        <v>410</v>
      </c>
      <c r="E373" s="34">
        <v>44039</v>
      </c>
      <c r="F373" s="34">
        <v>44040</v>
      </c>
      <c r="G373" s="34">
        <v>44043</v>
      </c>
      <c r="H373" s="35">
        <v>0.02</v>
      </c>
      <c r="I373" s="67">
        <v>2.3900000000000001E-2</v>
      </c>
      <c r="J373" s="67">
        <v>0</v>
      </c>
      <c r="K373" s="67">
        <v>2.3900000000000001E-2</v>
      </c>
      <c r="L373" s="36">
        <f t="shared" ref="L373:L378" si="9">+K373-((K373*0.078*0.125)+(K373*(1-0.078)*0.26))</f>
        <v>1.7937667000000001E-2</v>
      </c>
      <c r="M373" s="64">
        <f t="shared" si="8"/>
        <v>1.7937667000000001E-2</v>
      </c>
      <c r="N373" s="33" t="s">
        <v>249</v>
      </c>
    </row>
    <row r="374" spans="1:14" ht="15">
      <c r="A374" s="12" t="s">
        <v>112</v>
      </c>
      <c r="B374" s="33" t="s">
        <v>137</v>
      </c>
      <c r="C374" s="92" t="s">
        <v>389</v>
      </c>
      <c r="D374" s="33" t="s">
        <v>410</v>
      </c>
      <c r="E374" s="34">
        <v>44039</v>
      </c>
      <c r="F374" s="34">
        <v>44040</v>
      </c>
      <c r="G374" s="34">
        <v>44043</v>
      </c>
      <c r="H374" s="35">
        <v>3.5000000000000003E-2</v>
      </c>
      <c r="I374" s="67">
        <v>4.41E-2</v>
      </c>
      <c r="J374" s="67">
        <v>0</v>
      </c>
      <c r="K374" s="67">
        <v>4.41E-2</v>
      </c>
      <c r="L374" s="36">
        <f t="shared" si="9"/>
        <v>3.3098373E-2</v>
      </c>
      <c r="M374" s="64">
        <f t="shared" si="8"/>
        <v>3.3098373E-2</v>
      </c>
      <c r="N374" s="33" t="s">
        <v>249</v>
      </c>
    </row>
    <row r="375" spans="1:14" ht="15">
      <c r="A375" s="12" t="s">
        <v>110</v>
      </c>
      <c r="B375" s="33" t="s">
        <v>135</v>
      </c>
      <c r="C375" s="92" t="s">
        <v>390</v>
      </c>
      <c r="D375" s="33" t="s">
        <v>410</v>
      </c>
      <c r="E375" s="34">
        <v>44039</v>
      </c>
      <c r="F375" s="34">
        <v>44040</v>
      </c>
      <c r="G375" s="34">
        <v>44043</v>
      </c>
      <c r="H375" s="35">
        <v>4.4999999999999998E-2</v>
      </c>
      <c r="I375" s="67">
        <v>5.7000000000000002E-2</v>
      </c>
      <c r="J375" s="67">
        <v>0</v>
      </c>
      <c r="K375" s="67">
        <v>5.7000000000000002E-2</v>
      </c>
      <c r="L375" s="36">
        <f t="shared" si="9"/>
        <v>4.2780209999999999E-2</v>
      </c>
      <c r="M375" s="64">
        <f t="shared" si="8"/>
        <v>4.2780209999999999E-2</v>
      </c>
      <c r="N375" s="33" t="s">
        <v>249</v>
      </c>
    </row>
    <row r="376" spans="1:14" ht="15">
      <c r="A376" s="12" t="s">
        <v>113</v>
      </c>
      <c r="B376" s="33" t="s">
        <v>170</v>
      </c>
      <c r="C376" s="92" t="s">
        <v>391</v>
      </c>
      <c r="D376" s="33" t="s">
        <v>410</v>
      </c>
      <c r="E376" s="34">
        <v>44039</v>
      </c>
      <c r="F376" s="34">
        <v>44040</v>
      </c>
      <c r="G376" s="34">
        <v>44043</v>
      </c>
      <c r="H376" s="35">
        <v>0.02</v>
      </c>
      <c r="I376" s="67">
        <v>2.3800000000000002E-2</v>
      </c>
      <c r="J376" s="67">
        <v>0</v>
      </c>
      <c r="K376" s="67">
        <v>2.3800000000000002E-2</v>
      </c>
      <c r="L376" s="36">
        <f t="shared" si="9"/>
        <v>1.7862613999999999E-2</v>
      </c>
      <c r="M376" s="64">
        <f t="shared" si="8"/>
        <v>1.7862613999999999E-2</v>
      </c>
      <c r="N376" s="33" t="s">
        <v>249</v>
      </c>
    </row>
    <row r="377" spans="1:14" ht="15">
      <c r="A377" s="12" t="s">
        <v>114</v>
      </c>
      <c r="B377" s="33" t="s">
        <v>171</v>
      </c>
      <c r="C377" s="92" t="s">
        <v>392</v>
      </c>
      <c r="D377" s="33" t="s">
        <v>410</v>
      </c>
      <c r="E377" s="34">
        <v>44039</v>
      </c>
      <c r="F377" s="34">
        <v>44040</v>
      </c>
      <c r="G377" s="34">
        <v>44043</v>
      </c>
      <c r="H377" s="35">
        <v>3.5000000000000003E-2</v>
      </c>
      <c r="I377" s="67">
        <v>4.3700000000000003E-2</v>
      </c>
      <c r="J377" s="67">
        <v>0</v>
      </c>
      <c r="K377" s="67">
        <v>4.3700000000000003E-2</v>
      </c>
      <c r="L377" s="36">
        <f t="shared" si="9"/>
        <v>3.2798160999999999E-2</v>
      </c>
      <c r="M377" s="64">
        <f t="shared" si="8"/>
        <v>3.2798160999999999E-2</v>
      </c>
      <c r="N377" s="33" t="s">
        <v>249</v>
      </c>
    </row>
    <row r="378" spans="1:14" ht="15">
      <c r="A378" s="12" t="s">
        <v>120</v>
      </c>
      <c r="B378" s="33" t="s">
        <v>172</v>
      </c>
      <c r="C378" s="92" t="s">
        <v>393</v>
      </c>
      <c r="D378" s="33" t="s">
        <v>410</v>
      </c>
      <c r="E378" s="34">
        <v>44039</v>
      </c>
      <c r="F378" s="34">
        <v>44040</v>
      </c>
      <c r="G378" s="34">
        <v>44043</v>
      </c>
      <c r="H378" s="35">
        <v>4.4999999999999998E-2</v>
      </c>
      <c r="I378" s="67">
        <v>5.6599999999999998E-2</v>
      </c>
      <c r="J378" s="67">
        <v>0</v>
      </c>
      <c r="K378" s="67">
        <v>5.6599999999999998E-2</v>
      </c>
      <c r="L378" s="36">
        <f t="shared" si="9"/>
        <v>4.2479997999999998E-2</v>
      </c>
      <c r="M378" s="64">
        <f t="shared" si="8"/>
        <v>4.2479997999999998E-2</v>
      </c>
      <c r="N378" s="33" t="s">
        <v>249</v>
      </c>
    </row>
    <row r="379" spans="1:14" ht="15">
      <c r="A379" s="12" t="s">
        <v>38</v>
      </c>
      <c r="B379" s="33" t="s">
        <v>169</v>
      </c>
      <c r="C379" s="92" t="s">
        <v>400</v>
      </c>
      <c r="D379" s="33" t="s">
        <v>410</v>
      </c>
      <c r="E379" s="34">
        <v>44039</v>
      </c>
      <c r="F379" s="34">
        <v>44040</v>
      </c>
      <c r="G379" s="34">
        <v>44043</v>
      </c>
      <c r="H379" s="35">
        <v>5.5E-2</v>
      </c>
      <c r="I379" s="67">
        <v>6.1699999999999998E-2</v>
      </c>
      <c r="J379" s="67">
        <v>0</v>
      </c>
      <c r="K379" s="67">
        <v>6.1699999999999998E-2</v>
      </c>
      <c r="L379" s="36">
        <f>+K379-((K379*0.1813*0.125)+(K379*(1-0.1813)*0.26))</f>
        <v>4.716813835E-2</v>
      </c>
      <c r="M379" s="64">
        <f t="shared" si="8"/>
        <v>4.716813835E-2</v>
      </c>
      <c r="N379" s="33" t="s">
        <v>249</v>
      </c>
    </row>
    <row r="380" spans="1:14" ht="15">
      <c r="A380" s="12" t="s">
        <v>73</v>
      </c>
      <c r="B380" s="33" t="s">
        <v>156</v>
      </c>
      <c r="C380" s="92" t="s">
        <v>471</v>
      </c>
      <c r="D380" s="33" t="s">
        <v>496</v>
      </c>
      <c r="E380" s="34">
        <v>44039</v>
      </c>
      <c r="F380" s="34">
        <v>44040</v>
      </c>
      <c r="G380" s="34">
        <v>44043</v>
      </c>
      <c r="H380" s="35">
        <v>0.04</v>
      </c>
      <c r="I380" s="67">
        <v>0.1026</v>
      </c>
      <c r="J380" s="67">
        <v>0</v>
      </c>
      <c r="K380" s="67">
        <v>0.1026</v>
      </c>
      <c r="L380" s="36">
        <f>+K380-((K380*0.0000001*0.125)+(K380*(1-0.0000001)*0.26))</f>
        <v>7.5924001385099998E-2</v>
      </c>
      <c r="M380" s="64">
        <f t="shared" si="8"/>
        <v>7.5924001385099998E-2</v>
      </c>
      <c r="N380" s="33" t="s">
        <v>250</v>
      </c>
    </row>
    <row r="381" spans="1:14" ht="15">
      <c r="A381" s="12" t="s">
        <v>40</v>
      </c>
      <c r="B381" s="33" t="s">
        <v>178</v>
      </c>
      <c r="C381" s="92" t="s">
        <v>472</v>
      </c>
      <c r="D381" s="33" t="s">
        <v>496</v>
      </c>
      <c r="E381" s="34">
        <v>44039</v>
      </c>
      <c r="F381" s="34">
        <v>44040</v>
      </c>
      <c r="G381" s="34">
        <v>44043</v>
      </c>
      <c r="H381" s="35">
        <v>0.04</v>
      </c>
      <c r="I381" s="67">
        <v>8.9399999999999993E-2</v>
      </c>
      <c r="J381" s="67">
        <v>6.4812800000000059E-3</v>
      </c>
      <c r="K381" s="67">
        <v>8.9399999999999993E-2</v>
      </c>
      <c r="L381" s="36">
        <f>+K381-((K381*0.0000001*0.125)+(K381*(1-0.0000001)*0.26))</f>
        <v>6.6156001206899989E-2</v>
      </c>
      <c r="M381" s="64">
        <f t="shared" si="8"/>
        <v>7.2637281206899995E-2</v>
      </c>
      <c r="N381" s="33" t="s">
        <v>250</v>
      </c>
    </row>
    <row r="382" spans="1:14" ht="15">
      <c r="A382" s="12" t="s">
        <v>72</v>
      </c>
      <c r="B382" s="33" t="s">
        <v>155</v>
      </c>
      <c r="C382" s="92" t="s">
        <v>475</v>
      </c>
      <c r="D382" s="33" t="s">
        <v>496</v>
      </c>
      <c r="E382" s="34">
        <v>44039</v>
      </c>
      <c r="F382" s="34">
        <v>44040</v>
      </c>
      <c r="G382" s="34">
        <v>44043</v>
      </c>
      <c r="H382" s="35">
        <v>0.04</v>
      </c>
      <c r="I382" s="67">
        <v>9.8000000000000004E-2</v>
      </c>
      <c r="J382" s="67">
        <v>9.4526900000000101E-3</v>
      </c>
      <c r="K382" s="67">
        <v>9.8000000000000004E-2</v>
      </c>
      <c r="L382" s="36">
        <f>+K382-((K382*0.0000001*0.125)+(K382*(1-0.0000001)*0.26))</f>
        <v>7.2520001323000002E-2</v>
      </c>
      <c r="M382" s="64">
        <f t="shared" si="8"/>
        <v>8.1972691323000016E-2</v>
      </c>
      <c r="N382" s="33" t="s">
        <v>250</v>
      </c>
    </row>
    <row r="383" spans="1:14" ht="15">
      <c r="A383" s="12" t="s">
        <v>39</v>
      </c>
      <c r="B383" s="33" t="s">
        <v>177</v>
      </c>
      <c r="C383" s="92" t="s">
        <v>476</v>
      </c>
      <c r="D383" s="33" t="s">
        <v>496</v>
      </c>
      <c r="E383" s="34">
        <v>44039</v>
      </c>
      <c r="F383" s="34">
        <v>44040</v>
      </c>
      <c r="G383" s="34">
        <v>44043</v>
      </c>
      <c r="H383" s="35">
        <v>0.04</v>
      </c>
      <c r="I383" s="67">
        <v>9.9900000000000003E-2</v>
      </c>
      <c r="J383" s="67">
        <v>0</v>
      </c>
      <c r="K383" s="67">
        <v>9.9900000000000003E-2</v>
      </c>
      <c r="L383" s="36">
        <f>+K383-((K383*0.0000001*0.125)+(K383*(1-0.0000001)*0.26))</f>
        <v>7.3926001348650003E-2</v>
      </c>
      <c r="M383" s="64">
        <f t="shared" si="8"/>
        <v>7.3926001348650003E-2</v>
      </c>
      <c r="N383" s="33" t="s">
        <v>250</v>
      </c>
    </row>
    <row r="384" spans="1:14" ht="15">
      <c r="A384" s="12" t="s">
        <v>76</v>
      </c>
      <c r="B384" s="33" t="s">
        <v>158</v>
      </c>
      <c r="C384" s="92" t="s">
        <v>373</v>
      </c>
      <c r="D384" s="33" t="s">
        <v>496</v>
      </c>
      <c r="E384" s="34">
        <v>44039</v>
      </c>
      <c r="F384" s="34">
        <v>44040</v>
      </c>
      <c r="G384" s="34">
        <v>44043</v>
      </c>
      <c r="H384" s="35">
        <v>4.2500000000000003E-2</v>
      </c>
      <c r="I384" s="67">
        <v>8.6400000000000005E-2</v>
      </c>
      <c r="J384" s="67">
        <v>0</v>
      </c>
      <c r="K384" s="67">
        <v>8.6400000000000005E-2</v>
      </c>
      <c r="L384" s="36">
        <f>+K384-((K384*0.2536*0.125)+(K384*(1-0.2536)*0.26))</f>
        <v>6.6893990400000006E-2</v>
      </c>
      <c r="M384" s="64">
        <f t="shared" si="8"/>
        <v>6.6893990400000006E-2</v>
      </c>
      <c r="N384" s="33" t="s">
        <v>250</v>
      </c>
    </row>
    <row r="385" spans="1:14" ht="15">
      <c r="A385" s="12" t="s">
        <v>75</v>
      </c>
      <c r="B385" s="33" t="s">
        <v>157</v>
      </c>
      <c r="C385" s="92" t="s">
        <v>375</v>
      </c>
      <c r="D385" s="33" t="s">
        <v>496</v>
      </c>
      <c r="E385" s="34">
        <v>44039</v>
      </c>
      <c r="F385" s="34">
        <v>44040</v>
      </c>
      <c r="G385" s="34">
        <v>44043</v>
      </c>
      <c r="H385" s="35">
        <v>4.2500000000000003E-2</v>
      </c>
      <c r="I385" s="67">
        <v>8.2799999999999999E-2</v>
      </c>
      <c r="J385" s="67">
        <v>1.1667255665473749E-2</v>
      </c>
      <c r="K385" s="67">
        <v>8.2799999999999999E-2</v>
      </c>
      <c r="L385" s="36">
        <f>+K385-((K385*0.2536*0.125)+(K385*(1-0.2536)*0.26))</f>
        <v>6.4106740800000006E-2</v>
      </c>
      <c r="M385" s="64">
        <f t="shared" si="8"/>
        <v>7.5773996465473753E-2</v>
      </c>
      <c r="N385" s="33" t="s">
        <v>250</v>
      </c>
    </row>
    <row r="386" spans="1:14" ht="15">
      <c r="A386" s="12" t="s">
        <v>74</v>
      </c>
      <c r="B386" s="33" t="s">
        <v>154</v>
      </c>
      <c r="C386" s="92" t="s">
        <v>399</v>
      </c>
      <c r="D386" s="33" t="s">
        <v>496</v>
      </c>
      <c r="E386" s="34">
        <v>44039</v>
      </c>
      <c r="F386" s="34">
        <v>44040</v>
      </c>
      <c r="G386" s="34">
        <v>44043</v>
      </c>
      <c r="H386" s="35">
        <v>5.5E-2</v>
      </c>
      <c r="I386" s="67">
        <v>0.10970000000000001</v>
      </c>
      <c r="J386" s="67">
        <v>0</v>
      </c>
      <c r="K386" s="67">
        <v>0.10970000000000001</v>
      </c>
      <c r="L386" s="36">
        <f>+K386-((K386*0.1813*0.125)+(K386*(1-0.1813)*0.26))</f>
        <v>8.386296235E-2</v>
      </c>
      <c r="M386" s="64">
        <f t="shared" si="8"/>
        <v>8.386296235E-2</v>
      </c>
      <c r="N386" s="33" t="s">
        <v>250</v>
      </c>
    </row>
    <row r="387" spans="1:14" ht="15">
      <c r="A387" s="12"/>
      <c r="B387" s="33" t="s">
        <v>511</v>
      </c>
      <c r="C387" s="92" t="s">
        <v>512</v>
      </c>
      <c r="D387" s="33" t="s">
        <v>411</v>
      </c>
      <c r="E387" s="34">
        <v>44043</v>
      </c>
      <c r="F387" s="34">
        <v>44046</v>
      </c>
      <c r="G387" s="34">
        <v>44049</v>
      </c>
      <c r="H387" s="35">
        <v>0.03</v>
      </c>
      <c r="I387" s="67">
        <v>0.19159999999999999</v>
      </c>
      <c r="J387" s="67">
        <v>6.9254231766865876E-2</v>
      </c>
      <c r="K387" s="67">
        <v>0.12234576823313412</v>
      </c>
      <c r="L387" s="36">
        <f>+K387-((K387*0.9057*0.125)+(K387*(1-0.9057)*0.26))</f>
        <v>0.10549502440150044</v>
      </c>
      <c r="M387" s="64">
        <f t="shared" si="8"/>
        <v>0.17474925616836631</v>
      </c>
      <c r="N387" s="33" t="s">
        <v>251</v>
      </c>
    </row>
    <row r="388" spans="1:14" ht="15">
      <c r="A388" s="12"/>
      <c r="B388" s="33" t="s">
        <v>310</v>
      </c>
      <c r="C388" s="92" t="s">
        <v>424</v>
      </c>
      <c r="D388" s="33" t="s">
        <v>411</v>
      </c>
      <c r="E388" s="34">
        <v>44043</v>
      </c>
      <c r="F388" s="34">
        <v>44046</v>
      </c>
      <c r="G388" s="34">
        <v>44049</v>
      </c>
      <c r="H388" s="35">
        <v>0.05</v>
      </c>
      <c r="I388" s="67">
        <v>2.0899999999999998E-2</v>
      </c>
      <c r="J388" s="67">
        <v>8.2552949091828018E-3</v>
      </c>
      <c r="K388" s="67">
        <v>1.2644705090817197E-2</v>
      </c>
      <c r="L388" s="36">
        <f>+K388-((K388*0.03783*0.125)+(K388*(1-0.089)*0.26))</f>
        <v>9.5898865938080328E-3</v>
      </c>
      <c r="M388" s="64">
        <f t="shared" si="8"/>
        <v>1.7845181502990835E-2</v>
      </c>
      <c r="N388" s="33" t="s">
        <v>251</v>
      </c>
    </row>
    <row r="389" spans="1:14" ht="15">
      <c r="A389" s="12" t="s">
        <v>188</v>
      </c>
      <c r="B389" s="33" t="s">
        <v>188</v>
      </c>
      <c r="C389" s="92" t="s">
        <v>339</v>
      </c>
      <c r="D389" s="33" t="s">
        <v>411</v>
      </c>
      <c r="E389" s="34">
        <v>44043</v>
      </c>
      <c r="F389" s="34">
        <v>44046</v>
      </c>
      <c r="G389" s="34">
        <v>44049</v>
      </c>
      <c r="H389" s="35">
        <v>0.05</v>
      </c>
      <c r="I389" s="67">
        <v>0.36549999999999999</v>
      </c>
      <c r="J389" s="67">
        <v>0.1546850932981795</v>
      </c>
      <c r="K389" s="67">
        <v>0.21081490670182049</v>
      </c>
      <c r="L389" s="36">
        <f>+K389-((K389*0.03783*0.125)+(K389*(1-0.089)*0.26))</f>
        <v>0.15988439691036105</v>
      </c>
      <c r="M389" s="64">
        <f t="shared" si="8"/>
        <v>0.31456949020854053</v>
      </c>
      <c r="N389" s="33" t="s">
        <v>251</v>
      </c>
    </row>
    <row r="390" spans="1:14" ht="15">
      <c r="A390" s="12" t="s">
        <v>196</v>
      </c>
      <c r="B390" s="33" t="s">
        <v>196</v>
      </c>
      <c r="C390" s="92" t="s">
        <v>340</v>
      </c>
      <c r="D390" s="33" t="s">
        <v>411</v>
      </c>
      <c r="E390" s="34">
        <v>44043</v>
      </c>
      <c r="F390" s="34">
        <v>44046</v>
      </c>
      <c r="G390" s="34">
        <v>44049</v>
      </c>
      <c r="H390" s="35">
        <v>0.05</v>
      </c>
      <c r="I390" s="67">
        <v>0.37780000000000002</v>
      </c>
      <c r="J390" s="67">
        <v>0.12784148128713416</v>
      </c>
      <c r="K390" s="67">
        <v>0.24995851871286587</v>
      </c>
      <c r="L390" s="36">
        <f>+K390-((K390*0.03783*0.125)+(K390*(1-0.089)*0.26))</f>
        <v>0.189571352625173</v>
      </c>
      <c r="M390" s="64">
        <f t="shared" ref="M390:M413" si="10">J390+L390</f>
        <v>0.31741283391230712</v>
      </c>
      <c r="N390" s="33" t="s">
        <v>251</v>
      </c>
    </row>
    <row r="391" spans="1:14" ht="15">
      <c r="A391" s="12" t="s">
        <v>229</v>
      </c>
      <c r="B391" s="33" t="s">
        <v>191</v>
      </c>
      <c r="C391" s="92" t="s">
        <v>346</v>
      </c>
      <c r="D391" s="33" t="s">
        <v>411</v>
      </c>
      <c r="E391" s="34">
        <v>44043</v>
      </c>
      <c r="F391" s="34">
        <v>44046</v>
      </c>
      <c r="G391" s="34">
        <v>44049</v>
      </c>
      <c r="H391" s="35">
        <v>3.5000000000000003E-2</v>
      </c>
      <c r="I391" s="67">
        <v>1.47E-2</v>
      </c>
      <c r="J391" s="67">
        <v>5.4762508617754776E-3</v>
      </c>
      <c r="K391" s="67">
        <v>9.2237491382245219E-3</v>
      </c>
      <c r="L391" s="36">
        <f>+K391-((K391*0.7742*0.125)+(K391*(1-0.7742)*0.26))</f>
        <v>7.7896129509659583E-3</v>
      </c>
      <c r="M391" s="64">
        <f t="shared" si="10"/>
        <v>1.3265863812741436E-2</v>
      </c>
      <c r="N391" s="33" t="s">
        <v>251</v>
      </c>
    </row>
    <row r="392" spans="1:14" ht="15">
      <c r="A392" s="12" t="s">
        <v>231</v>
      </c>
      <c r="B392" s="33" t="s">
        <v>199</v>
      </c>
      <c r="C392" s="92" t="s">
        <v>347</v>
      </c>
      <c r="D392" s="33" t="s">
        <v>411</v>
      </c>
      <c r="E392" s="34">
        <v>44043</v>
      </c>
      <c r="F392" s="34">
        <v>44046</v>
      </c>
      <c r="G392" s="34">
        <v>44049</v>
      </c>
      <c r="H392" s="35">
        <v>3.5000000000000003E-2</v>
      </c>
      <c r="I392" s="67">
        <v>1.47E-2</v>
      </c>
      <c r="J392" s="67">
        <v>3.6776869903904115E-3</v>
      </c>
      <c r="K392" s="67">
        <v>1.1022313009609588E-2</v>
      </c>
      <c r="L392" s="36">
        <f>+K392-((K392*0.7742*0.125)+(K392*(1-0.7742)*0.26))</f>
        <v>9.30853071593646E-3</v>
      </c>
      <c r="M392" s="64">
        <f t="shared" si="10"/>
        <v>1.2986217706326872E-2</v>
      </c>
      <c r="N392" s="33" t="s">
        <v>251</v>
      </c>
    </row>
    <row r="393" spans="1:14" ht="15">
      <c r="A393" s="12"/>
      <c r="B393" s="33" t="s">
        <v>306</v>
      </c>
      <c r="C393" s="92" t="s">
        <v>430</v>
      </c>
      <c r="D393" s="33" t="s">
        <v>411</v>
      </c>
      <c r="E393" s="34">
        <v>44043</v>
      </c>
      <c r="F393" s="34">
        <v>44046</v>
      </c>
      <c r="G393" s="34">
        <v>44049</v>
      </c>
      <c r="H393" s="35">
        <v>0.02</v>
      </c>
      <c r="I393" s="67">
        <v>8.3999999999999995E-3</v>
      </c>
      <c r="J393" s="67">
        <v>2.4700000000000004E-3</v>
      </c>
      <c r="K393" s="67">
        <v>5.9299999999999995E-3</v>
      </c>
      <c r="L393" s="36">
        <f t="shared" ref="L393:L398" si="11">+K393-((K393*0.0000001*0.125)+(K393*(1-0.0000001)*0.26))</f>
        <v>4.3882000800549992E-3</v>
      </c>
      <c r="M393" s="64">
        <f t="shared" si="10"/>
        <v>6.8582000800549991E-3</v>
      </c>
      <c r="N393" s="33" t="s">
        <v>251</v>
      </c>
    </row>
    <row r="394" spans="1:14" ht="15">
      <c r="A394" s="12" t="s">
        <v>184</v>
      </c>
      <c r="B394" s="33" t="s">
        <v>184</v>
      </c>
      <c r="C394" s="92" t="s">
        <v>354</v>
      </c>
      <c r="D394" s="33" t="s">
        <v>411</v>
      </c>
      <c r="E394" s="34">
        <v>44043</v>
      </c>
      <c r="F394" s="34">
        <v>44046</v>
      </c>
      <c r="G394" s="34">
        <v>44049</v>
      </c>
      <c r="H394" s="35">
        <v>0.02</v>
      </c>
      <c r="I394" s="67">
        <v>0.16880000000000001</v>
      </c>
      <c r="J394" s="67">
        <v>5.8866427436088588E-2</v>
      </c>
      <c r="K394" s="67">
        <v>0.10993357256391142</v>
      </c>
      <c r="L394" s="36">
        <f t="shared" si="11"/>
        <v>8.135084518139768E-2</v>
      </c>
      <c r="M394" s="64">
        <f t="shared" si="10"/>
        <v>0.14021727261748626</v>
      </c>
      <c r="N394" s="33" t="s">
        <v>251</v>
      </c>
    </row>
    <row r="395" spans="1:14" ht="15">
      <c r="A395" s="12" t="s">
        <v>192</v>
      </c>
      <c r="B395" s="33" t="s">
        <v>192</v>
      </c>
      <c r="C395" s="92" t="s">
        <v>355</v>
      </c>
      <c r="D395" s="33" t="s">
        <v>411</v>
      </c>
      <c r="E395" s="34">
        <v>44043</v>
      </c>
      <c r="F395" s="34">
        <v>44046</v>
      </c>
      <c r="G395" s="34">
        <v>44049</v>
      </c>
      <c r="H395" s="35">
        <v>0.02</v>
      </c>
      <c r="I395" s="67">
        <v>0.16980000000000001</v>
      </c>
      <c r="J395" s="67">
        <v>2.2380421757759485E-2</v>
      </c>
      <c r="K395" s="67">
        <v>0.14741957824224053</v>
      </c>
      <c r="L395" s="36">
        <f t="shared" si="11"/>
        <v>0.1090904898894223</v>
      </c>
      <c r="M395" s="64">
        <f t="shared" si="10"/>
        <v>0.13147091164718178</v>
      </c>
      <c r="N395" s="33" t="s">
        <v>251</v>
      </c>
    </row>
    <row r="396" spans="1:14" ht="15">
      <c r="A396" s="12"/>
      <c r="B396" s="33" t="s">
        <v>311</v>
      </c>
      <c r="C396" s="92" t="s">
        <v>425</v>
      </c>
      <c r="D396" s="33" t="s">
        <v>411</v>
      </c>
      <c r="E396" s="34">
        <v>44043</v>
      </c>
      <c r="F396" s="34">
        <v>44046</v>
      </c>
      <c r="G396" s="34">
        <v>44049</v>
      </c>
      <c r="H396" s="35">
        <v>0.01</v>
      </c>
      <c r="I396" s="67">
        <v>4.1999999999999997E-3</v>
      </c>
      <c r="J396" s="67">
        <v>0</v>
      </c>
      <c r="K396" s="67">
        <v>4.1999999999999997E-3</v>
      </c>
      <c r="L396" s="36">
        <f t="shared" si="11"/>
        <v>3.1080000566999998E-3</v>
      </c>
      <c r="M396" s="64">
        <f t="shared" si="10"/>
        <v>3.1080000566999998E-3</v>
      </c>
      <c r="N396" s="33" t="s">
        <v>251</v>
      </c>
    </row>
    <row r="397" spans="1:14" ht="15">
      <c r="A397" s="12" t="s">
        <v>189</v>
      </c>
      <c r="B397" s="33" t="s">
        <v>189</v>
      </c>
      <c r="C397" s="92" t="s">
        <v>356</v>
      </c>
      <c r="D397" s="33" t="s">
        <v>411</v>
      </c>
      <c r="E397" s="34">
        <v>44043</v>
      </c>
      <c r="F397" s="34">
        <v>44046</v>
      </c>
      <c r="G397" s="34">
        <v>44049</v>
      </c>
      <c r="H397" s="35">
        <v>0.01</v>
      </c>
      <c r="I397" s="67">
        <v>7.6300000000000007E-2</v>
      </c>
      <c r="J397" s="67">
        <v>0</v>
      </c>
      <c r="K397" s="67">
        <v>7.6300000000000007E-2</v>
      </c>
      <c r="L397" s="36">
        <f t="shared" si="11"/>
        <v>5.6462001030050002E-2</v>
      </c>
      <c r="M397" s="64">
        <f t="shared" si="10"/>
        <v>5.6462001030050002E-2</v>
      </c>
      <c r="N397" s="33" t="s">
        <v>251</v>
      </c>
    </row>
    <row r="398" spans="1:14" ht="15">
      <c r="A398" s="12" t="s">
        <v>197</v>
      </c>
      <c r="B398" s="33" t="s">
        <v>197</v>
      </c>
      <c r="C398" s="92" t="s">
        <v>357</v>
      </c>
      <c r="D398" s="33" t="s">
        <v>411</v>
      </c>
      <c r="E398" s="34">
        <v>44043</v>
      </c>
      <c r="F398" s="34">
        <v>44046</v>
      </c>
      <c r="G398" s="34">
        <v>44049</v>
      </c>
      <c r="H398" s="35">
        <v>0.01</v>
      </c>
      <c r="I398" s="67">
        <v>7.7399999999999997E-2</v>
      </c>
      <c r="J398" s="67">
        <v>0</v>
      </c>
      <c r="K398" s="67">
        <v>7.7399999999999997E-2</v>
      </c>
      <c r="L398" s="36">
        <f t="shared" si="11"/>
        <v>5.7276001044899993E-2</v>
      </c>
      <c r="M398" s="64">
        <f t="shared" si="10"/>
        <v>5.7276001044899993E-2</v>
      </c>
      <c r="N398" s="33" t="s">
        <v>251</v>
      </c>
    </row>
    <row r="399" spans="1:14" ht="15">
      <c r="A399" s="12"/>
      <c r="B399" s="33" t="s">
        <v>308</v>
      </c>
      <c r="C399" s="92" t="s">
        <v>426</v>
      </c>
      <c r="D399" s="33" t="s">
        <v>411</v>
      </c>
      <c r="E399" s="34">
        <v>44043</v>
      </c>
      <c r="F399" s="34">
        <v>44046</v>
      </c>
      <c r="G399" s="34">
        <v>44049</v>
      </c>
      <c r="H399" s="35">
        <v>1.4999999999999999E-2</v>
      </c>
      <c r="I399" s="67">
        <v>6.1999999999999998E-3</v>
      </c>
      <c r="J399" s="67">
        <v>5.1374509718057578E-4</v>
      </c>
      <c r="K399" s="67">
        <v>5.6862549028194242E-3</v>
      </c>
      <c r="L399" s="36">
        <f>+K399-((K399*0.4996*0.125)+(K399*(1-0.4996)*0.26))</f>
        <v>4.5913437762619327E-3</v>
      </c>
      <c r="M399" s="64">
        <f t="shared" si="10"/>
        <v>5.1050888734425082E-3</v>
      </c>
      <c r="N399" s="33" t="s">
        <v>251</v>
      </c>
    </row>
    <row r="400" spans="1:14" ht="15">
      <c r="A400" s="12" t="s">
        <v>186</v>
      </c>
      <c r="B400" s="33" t="s">
        <v>186</v>
      </c>
      <c r="C400" s="92" t="s">
        <v>363</v>
      </c>
      <c r="D400" s="33" t="s">
        <v>411</v>
      </c>
      <c r="E400" s="34">
        <v>44043</v>
      </c>
      <c r="F400" s="34">
        <v>44046</v>
      </c>
      <c r="G400" s="34">
        <v>44049</v>
      </c>
      <c r="H400" s="35">
        <v>1.4999999999999999E-2</v>
      </c>
      <c r="I400" s="67">
        <v>0.114</v>
      </c>
      <c r="J400" s="67">
        <v>2.0800612532113166E-2</v>
      </c>
      <c r="K400" s="67">
        <v>9.3199387467886835E-2</v>
      </c>
      <c r="L400" s="36">
        <f>+K400-((K400*0.4996*0.125)+(K400*(1-0.4996)*0.26))</f>
        <v>7.525347261339535E-2</v>
      </c>
      <c r="M400" s="64">
        <f t="shared" si="10"/>
        <v>9.6054085145508519E-2</v>
      </c>
      <c r="N400" s="33" t="s">
        <v>251</v>
      </c>
    </row>
    <row r="401" spans="1:14" ht="15">
      <c r="A401" s="12" t="s">
        <v>194</v>
      </c>
      <c r="B401" s="33" t="s">
        <v>194</v>
      </c>
      <c r="C401" s="92" t="s">
        <v>364</v>
      </c>
      <c r="D401" s="33" t="s">
        <v>411</v>
      </c>
      <c r="E401" s="34">
        <v>44043</v>
      </c>
      <c r="F401" s="34">
        <v>44046</v>
      </c>
      <c r="G401" s="34">
        <v>44049</v>
      </c>
      <c r="H401" s="35">
        <v>1.4999999999999999E-2</v>
      </c>
      <c r="I401" s="67">
        <v>0.1168</v>
      </c>
      <c r="J401" s="67">
        <v>0</v>
      </c>
      <c r="K401" s="67">
        <v>0.1168</v>
      </c>
      <c r="L401" s="36">
        <f>+K401-((K401*0.4996*0.125)+(K401*(1-0.4996)*0.26))</f>
        <v>9.4309692799999997E-2</v>
      </c>
      <c r="M401" s="64">
        <f t="shared" si="10"/>
        <v>9.4309692799999997E-2</v>
      </c>
      <c r="N401" s="33" t="s">
        <v>251</v>
      </c>
    </row>
    <row r="402" spans="1:14" ht="15">
      <c r="A402" s="12"/>
      <c r="B402" s="33" t="s">
        <v>307</v>
      </c>
      <c r="C402" s="92" t="s">
        <v>420</v>
      </c>
      <c r="D402" s="33" t="s">
        <v>411</v>
      </c>
      <c r="E402" s="34">
        <v>44043</v>
      </c>
      <c r="F402" s="34">
        <v>44046</v>
      </c>
      <c r="G402" s="34">
        <v>44049</v>
      </c>
      <c r="H402" s="35">
        <v>1.4999999999999999E-2</v>
      </c>
      <c r="I402" s="67">
        <v>6.1999999999999998E-3</v>
      </c>
      <c r="J402" s="67">
        <v>2.2236310391973305E-3</v>
      </c>
      <c r="K402" s="67">
        <v>3.9763689608026693E-3</v>
      </c>
      <c r="L402" s="36">
        <f>+K402-((K402*0.619*0.125)+(K402*(1-0.619)*0.26))</f>
        <v>3.2747983032034504E-3</v>
      </c>
      <c r="M402" s="64">
        <f t="shared" si="10"/>
        <v>5.4984293424007805E-3</v>
      </c>
      <c r="N402" s="33" t="s">
        <v>251</v>
      </c>
    </row>
    <row r="403" spans="1:14" ht="15">
      <c r="A403" s="12" t="s">
        <v>185</v>
      </c>
      <c r="B403" s="33" t="s">
        <v>185</v>
      </c>
      <c r="C403" s="92" t="s">
        <v>366</v>
      </c>
      <c r="D403" s="33" t="s">
        <v>411</v>
      </c>
      <c r="E403" s="34">
        <v>44043</v>
      </c>
      <c r="F403" s="34">
        <v>44046</v>
      </c>
      <c r="G403" s="34">
        <v>44049</v>
      </c>
      <c r="H403" s="35">
        <v>1.4999999999999999E-2</v>
      </c>
      <c r="I403" s="67">
        <v>0.10390000000000001</v>
      </c>
      <c r="J403" s="67">
        <v>4.7242331709527512E-2</v>
      </c>
      <c r="K403" s="67">
        <v>5.6657668290472495E-2</v>
      </c>
      <c r="L403" s="36">
        <f>+K403-((K403*0.619*0.125)+(K403*(1-0.619)*0.26))</f>
        <v>4.6661272585642982E-2</v>
      </c>
      <c r="M403" s="64">
        <f t="shared" si="10"/>
        <v>9.3903604295170501E-2</v>
      </c>
      <c r="N403" s="33" t="s">
        <v>251</v>
      </c>
    </row>
    <row r="404" spans="1:14" ht="15">
      <c r="A404" s="12" t="s">
        <v>193</v>
      </c>
      <c r="B404" s="33" t="s">
        <v>193</v>
      </c>
      <c r="C404" s="92" t="s">
        <v>367</v>
      </c>
      <c r="D404" s="33" t="s">
        <v>411</v>
      </c>
      <c r="E404" s="34">
        <v>44043</v>
      </c>
      <c r="F404" s="34">
        <v>44046</v>
      </c>
      <c r="G404" s="34">
        <v>44049</v>
      </c>
      <c r="H404" s="35">
        <v>1.4999999999999999E-2</v>
      </c>
      <c r="I404" s="67">
        <v>0.1009</v>
      </c>
      <c r="J404" s="67">
        <v>1.6164894265490611E-2</v>
      </c>
      <c r="K404" s="67">
        <v>8.4735105734509389E-2</v>
      </c>
      <c r="L404" s="36">
        <f>+K404-((K404*0.619*0.125)+(K404*(1-0.619)*0.26))</f>
        <v>6.978486735424122E-2</v>
      </c>
      <c r="M404" s="64">
        <f t="shared" si="10"/>
        <v>8.5949761619731835E-2</v>
      </c>
      <c r="N404" s="33" t="s">
        <v>251</v>
      </c>
    </row>
    <row r="405" spans="1:14" ht="15">
      <c r="A405" s="12"/>
      <c r="B405" s="33" t="s">
        <v>309</v>
      </c>
      <c r="C405" s="92" t="s">
        <v>427</v>
      </c>
      <c r="D405" s="33" t="s">
        <v>411</v>
      </c>
      <c r="E405" s="34">
        <v>44043</v>
      </c>
      <c r="F405" s="34">
        <v>44046</v>
      </c>
      <c r="G405" s="34">
        <v>44049</v>
      </c>
      <c r="H405" s="35">
        <v>3.5000000000000003E-2</v>
      </c>
      <c r="I405" s="67">
        <v>1.4500000000000001E-2</v>
      </c>
      <c r="J405" s="67">
        <v>9.8851636353418943E-3</v>
      </c>
      <c r="K405" s="67">
        <v>4.6148363646581064E-3</v>
      </c>
      <c r="L405" s="36">
        <f>+K405-((K405*0.0000001*0.125)+(K405*(1-0.0000001)*0.26))</f>
        <v>3.4149789721472897E-3</v>
      </c>
      <c r="M405" s="64">
        <f t="shared" si="10"/>
        <v>1.3300142607489185E-2</v>
      </c>
      <c r="N405" s="33" t="s">
        <v>251</v>
      </c>
    </row>
    <row r="406" spans="1:14" ht="15">
      <c r="A406" s="12" t="s">
        <v>187</v>
      </c>
      <c r="B406" s="33" t="s">
        <v>187</v>
      </c>
      <c r="C406" s="92" t="s">
        <v>368</v>
      </c>
      <c r="D406" s="33" t="s">
        <v>411</v>
      </c>
      <c r="E406" s="34">
        <v>44043</v>
      </c>
      <c r="F406" s="34">
        <v>44046</v>
      </c>
      <c r="G406" s="34">
        <v>44049</v>
      </c>
      <c r="H406" s="35">
        <v>3.5000000000000003E-2</v>
      </c>
      <c r="I406" s="67">
        <v>0.25679999999999997</v>
      </c>
      <c r="J406" s="67">
        <v>0.18537698993161991</v>
      </c>
      <c r="K406" s="67">
        <v>7.1423010068380061E-2</v>
      </c>
      <c r="L406" s="36">
        <f>+K406-((K406*0.0000001*0.125)+(K406*(1-0.0000001)*0.26))</f>
        <v>5.2853028414811876E-2</v>
      </c>
      <c r="M406" s="64">
        <f t="shared" si="10"/>
        <v>0.23823001834643179</v>
      </c>
      <c r="N406" s="33" t="s">
        <v>251</v>
      </c>
    </row>
    <row r="407" spans="1:14" ht="15">
      <c r="A407" s="12" t="s">
        <v>195</v>
      </c>
      <c r="B407" s="33" t="s">
        <v>195</v>
      </c>
      <c r="C407" s="92" t="s">
        <v>369</v>
      </c>
      <c r="D407" s="33" t="s">
        <v>411</v>
      </c>
      <c r="E407" s="34">
        <v>44043</v>
      </c>
      <c r="F407" s="34">
        <v>44046</v>
      </c>
      <c r="G407" s="34">
        <v>44049</v>
      </c>
      <c r="H407" s="35">
        <v>3.5000000000000003E-2</v>
      </c>
      <c r="I407" s="67">
        <v>0.26400000000000001</v>
      </c>
      <c r="J407" s="67">
        <v>0.15626730190951904</v>
      </c>
      <c r="K407" s="67">
        <v>0.10773269809048096</v>
      </c>
      <c r="L407" s="36">
        <f>+K407-((K407*0.0000001*0.125)+(K407*(1-0.0000001)*0.26))</f>
        <v>7.9722198041347336E-2</v>
      </c>
      <c r="M407" s="64">
        <f t="shared" si="10"/>
        <v>0.23598949995086638</v>
      </c>
      <c r="N407" s="33" t="s">
        <v>251</v>
      </c>
    </row>
    <row r="408" spans="1:14" ht="15">
      <c r="A408" s="12"/>
      <c r="B408" s="33" t="s">
        <v>312</v>
      </c>
      <c r="C408" s="92" t="s">
        <v>428</v>
      </c>
      <c r="D408" s="33" t="s">
        <v>411</v>
      </c>
      <c r="E408" s="34">
        <v>44043</v>
      </c>
      <c r="F408" s="34">
        <v>44046</v>
      </c>
      <c r="G408" s="34">
        <v>44049</v>
      </c>
      <c r="H408" s="35">
        <v>0.05</v>
      </c>
      <c r="I408" s="67">
        <v>2.1100000000000001E-2</v>
      </c>
      <c r="J408" s="67">
        <v>6.0441609735038242E-3</v>
      </c>
      <c r="K408" s="67">
        <v>1.5055839026496176E-2</v>
      </c>
      <c r="L408" s="36">
        <f>+K408-((K408*0.028*0.125)+(K408*(1-0.028)*0.26))</f>
        <v>1.1198231951127326E-2</v>
      </c>
      <c r="M408" s="64">
        <f t="shared" si="10"/>
        <v>1.7242392924631152E-2</v>
      </c>
      <c r="N408" s="33" t="s">
        <v>251</v>
      </c>
    </row>
    <row r="409" spans="1:14" ht="15">
      <c r="A409" s="12" t="s">
        <v>190</v>
      </c>
      <c r="B409" s="33" t="s">
        <v>190</v>
      </c>
      <c r="C409" s="92" t="s">
        <v>370</v>
      </c>
      <c r="D409" s="33" t="s">
        <v>411</v>
      </c>
      <c r="E409" s="34">
        <v>44043</v>
      </c>
      <c r="F409" s="34">
        <v>44046</v>
      </c>
      <c r="G409" s="34">
        <v>44049</v>
      </c>
      <c r="H409" s="35">
        <v>0.05</v>
      </c>
      <c r="I409" s="67">
        <v>0.39989999999999998</v>
      </c>
      <c r="J409" s="67">
        <v>0.12197550523385448</v>
      </c>
      <c r="K409" s="67">
        <v>0.2779244947661455</v>
      </c>
      <c r="L409" s="36">
        <f>+K409-((K409*0.028*0.125)+(K409*(1-0.028)*0.26))</f>
        <v>0.2067146807171637</v>
      </c>
      <c r="M409" s="64">
        <f t="shared" si="10"/>
        <v>0.32869018595101818</v>
      </c>
      <c r="N409" s="33" t="s">
        <v>251</v>
      </c>
    </row>
    <row r="410" spans="1:14" ht="15">
      <c r="A410" s="12" t="s">
        <v>198</v>
      </c>
      <c r="B410" s="33" t="s">
        <v>198</v>
      </c>
      <c r="C410" s="92" t="s">
        <v>371</v>
      </c>
      <c r="D410" s="33" t="s">
        <v>411</v>
      </c>
      <c r="E410" s="34">
        <v>44043</v>
      </c>
      <c r="F410" s="34">
        <v>44046</v>
      </c>
      <c r="G410" s="34">
        <v>44049</v>
      </c>
      <c r="H410" s="35">
        <v>0.05</v>
      </c>
      <c r="I410" s="67">
        <v>0.39950000000000002</v>
      </c>
      <c r="J410" s="67">
        <v>9.1231236670044805E-2</v>
      </c>
      <c r="K410" s="67">
        <v>0.30826876332995523</v>
      </c>
      <c r="L410" s="36">
        <f>+K410-((K410*0.028*0.125)+(K410*(1-0.028)*0.26))</f>
        <v>0.22928414078955411</v>
      </c>
      <c r="M410" s="64">
        <f t="shared" si="10"/>
        <v>0.3205153774595989</v>
      </c>
      <c r="N410" s="33" t="s">
        <v>251</v>
      </c>
    </row>
    <row r="411" spans="1:14" ht="15">
      <c r="A411" s="12"/>
      <c r="B411" s="33" t="s">
        <v>513</v>
      </c>
      <c r="C411" s="92" t="s">
        <v>515</v>
      </c>
      <c r="D411" s="33" t="s">
        <v>411</v>
      </c>
      <c r="E411" s="34">
        <v>44043</v>
      </c>
      <c r="F411" s="34">
        <v>44046</v>
      </c>
      <c r="G411" s="34">
        <v>44049</v>
      </c>
      <c r="H411" s="35">
        <v>0.02</v>
      </c>
      <c r="I411" s="67">
        <v>0.13569999999999999</v>
      </c>
      <c r="J411" s="67">
        <v>0.13569999999999999</v>
      </c>
      <c r="K411" s="67">
        <v>0</v>
      </c>
      <c r="L411" s="36">
        <f>+K411-((K411*0.4903*0.125)+(K411*(1-0.4903)*0.26))</f>
        <v>0</v>
      </c>
      <c r="M411" s="64">
        <f t="shared" si="10"/>
        <v>0.13569999999999999</v>
      </c>
      <c r="N411" s="33" t="s">
        <v>251</v>
      </c>
    </row>
    <row r="412" spans="1:14" ht="15">
      <c r="A412" s="12"/>
      <c r="B412" s="33" t="s">
        <v>514</v>
      </c>
      <c r="C412" s="92" t="s">
        <v>516</v>
      </c>
      <c r="D412" s="33" t="s">
        <v>411</v>
      </c>
      <c r="E412" s="34">
        <v>44043</v>
      </c>
      <c r="F412" s="34">
        <v>44046</v>
      </c>
      <c r="G412" s="34">
        <v>44049</v>
      </c>
      <c r="H412" s="35">
        <v>0.02</v>
      </c>
      <c r="I412" s="67">
        <v>0.13639999999999999</v>
      </c>
      <c r="J412" s="67">
        <v>0.13639999999999999</v>
      </c>
      <c r="K412" s="67">
        <v>0</v>
      </c>
      <c r="L412" s="36">
        <f>+K412-((K412*0.4903*0.125)+(K412*(1-0.4903)*0.26))</f>
        <v>0</v>
      </c>
      <c r="M412" s="64">
        <f t="shared" si="10"/>
        <v>0.13639999999999999</v>
      </c>
      <c r="N412" s="33" t="s">
        <v>251</v>
      </c>
    </row>
    <row r="413" spans="1:14" ht="15">
      <c r="A413" s="12"/>
      <c r="B413" s="33" t="s">
        <v>313</v>
      </c>
      <c r="C413" s="92" t="s">
        <v>429</v>
      </c>
      <c r="D413" s="33" t="s">
        <v>411</v>
      </c>
      <c r="E413" s="34">
        <v>44043</v>
      </c>
      <c r="F413" s="34">
        <v>44046</v>
      </c>
      <c r="G413" s="34">
        <v>44049</v>
      </c>
      <c r="H413" s="35">
        <v>2.2499999999999999E-2</v>
      </c>
      <c r="I413" s="67">
        <v>9.2999999999999992E-3</v>
      </c>
      <c r="J413" s="67">
        <v>1.3792048543713532E-3</v>
      </c>
      <c r="K413" s="67">
        <v>7.9207951456286459E-3</v>
      </c>
      <c r="L413" s="36">
        <f>+K413-((K413*0.1466*0.125)+(K413*(1-0.1466)*0.26))</f>
        <v>6.0181488644923346E-3</v>
      </c>
      <c r="M413" s="64">
        <f t="shared" si="10"/>
        <v>7.3973537188636879E-3</v>
      </c>
      <c r="N413" s="33" t="s">
        <v>251</v>
      </c>
    </row>
    <row r="414" spans="1:14" ht="15">
      <c r="A414" s="12"/>
      <c r="B414" s="33" t="s">
        <v>511</v>
      </c>
      <c r="C414" s="92" t="s">
        <v>512</v>
      </c>
      <c r="D414" s="33" t="s">
        <v>411</v>
      </c>
      <c r="E414" s="34">
        <v>44074</v>
      </c>
      <c r="F414" s="34">
        <v>44075</v>
      </c>
      <c r="G414" s="34">
        <v>44078</v>
      </c>
      <c r="H414" s="35">
        <v>0.03</v>
      </c>
      <c r="I414" s="67">
        <v>0.19159999999999999</v>
      </c>
      <c r="J414" s="67">
        <v>0</v>
      </c>
      <c r="K414" s="67">
        <v>0.19159999999999999</v>
      </c>
      <c r="L414" s="36">
        <v>0.16521083619999999</v>
      </c>
      <c r="M414" s="64">
        <v>0.16521083619999999</v>
      </c>
      <c r="N414" s="33" t="s">
        <v>251</v>
      </c>
    </row>
    <row r="415" spans="1:14" ht="15">
      <c r="A415" s="12"/>
      <c r="B415" s="33" t="s">
        <v>310</v>
      </c>
      <c r="C415" s="92" t="s">
        <v>424</v>
      </c>
      <c r="D415" s="33" t="s">
        <v>411</v>
      </c>
      <c r="E415" s="34">
        <v>44074</v>
      </c>
      <c r="F415" s="34">
        <v>44075</v>
      </c>
      <c r="G415" s="34">
        <v>44078</v>
      </c>
      <c r="H415" s="35">
        <v>0.05</v>
      </c>
      <c r="I415" s="67">
        <v>2.0899999999999998E-2</v>
      </c>
      <c r="J415" s="67">
        <v>8.6183672764112915E-4</v>
      </c>
      <c r="K415" s="67">
        <v>2.0899999999999998E-2</v>
      </c>
      <c r="L415" s="36">
        <v>1.5850795124999997E-2</v>
      </c>
      <c r="M415" s="64">
        <v>1.6712631852641126E-2</v>
      </c>
      <c r="N415" s="33" t="s">
        <v>251</v>
      </c>
    </row>
    <row r="416" spans="1:14" ht="15">
      <c r="A416" s="12" t="s">
        <v>188</v>
      </c>
      <c r="B416" s="33" t="s">
        <v>188</v>
      </c>
      <c r="C416" s="92" t="s">
        <v>339</v>
      </c>
      <c r="D416" s="33" t="s">
        <v>411</v>
      </c>
      <c r="E416" s="34">
        <v>44074</v>
      </c>
      <c r="F416" s="34">
        <v>44075</v>
      </c>
      <c r="G416" s="34">
        <v>44078</v>
      </c>
      <c r="H416" s="35">
        <v>0.05</v>
      </c>
      <c r="I416" s="67">
        <v>0.36549999999999999</v>
      </c>
      <c r="J416" s="67">
        <v>1.4817334529482364E-2</v>
      </c>
      <c r="K416" s="67">
        <v>0.36549999999999999</v>
      </c>
      <c r="L416" s="36">
        <v>0.27719931187500002</v>
      </c>
      <c r="M416" s="64">
        <v>0.29201664640448238</v>
      </c>
      <c r="N416" s="33" t="s">
        <v>251</v>
      </c>
    </row>
    <row r="417" spans="1:14" ht="15">
      <c r="A417" s="12" t="s">
        <v>196</v>
      </c>
      <c r="B417" s="33" t="s">
        <v>196</v>
      </c>
      <c r="C417" s="92" t="s">
        <v>340</v>
      </c>
      <c r="D417" s="33" t="s">
        <v>411</v>
      </c>
      <c r="E417" s="34">
        <v>44074</v>
      </c>
      <c r="F417" s="34">
        <v>44075</v>
      </c>
      <c r="G417" s="34">
        <v>44078</v>
      </c>
      <c r="H417" s="35">
        <v>0.05</v>
      </c>
      <c r="I417" s="67">
        <v>0.37780000000000002</v>
      </c>
      <c r="J417" s="67">
        <v>1.6349681223743771E-2</v>
      </c>
      <c r="K417" s="67">
        <v>0.37780000000000002</v>
      </c>
      <c r="L417" s="36">
        <v>0.28652777024999998</v>
      </c>
      <c r="M417" s="64">
        <v>0.30287745147374373</v>
      </c>
      <c r="N417" s="33" t="s">
        <v>251</v>
      </c>
    </row>
    <row r="418" spans="1:14" ht="15">
      <c r="A418" s="12" t="s">
        <v>229</v>
      </c>
      <c r="B418" s="33" t="s">
        <v>191</v>
      </c>
      <c r="C418" s="92" t="s">
        <v>346</v>
      </c>
      <c r="D418" s="33" t="s">
        <v>411</v>
      </c>
      <c r="E418" s="34">
        <v>44074</v>
      </c>
      <c r="F418" s="34">
        <v>44075</v>
      </c>
      <c r="G418" s="34">
        <v>44078</v>
      </c>
      <c r="H418" s="35">
        <v>3.5000000000000003E-2</v>
      </c>
      <c r="I418" s="67">
        <v>1.47E-2</v>
      </c>
      <c r="J418" s="67">
        <v>0</v>
      </c>
      <c r="K418" s="67">
        <v>1.47E-2</v>
      </c>
      <c r="L418" s="36">
        <v>1.2414399899999999E-2</v>
      </c>
      <c r="M418" s="64">
        <v>1.2414399899999999E-2</v>
      </c>
      <c r="N418" s="33" t="s">
        <v>251</v>
      </c>
    </row>
    <row r="419" spans="1:14" ht="15">
      <c r="A419" s="12" t="s">
        <v>231</v>
      </c>
      <c r="B419" s="33" t="s">
        <v>199</v>
      </c>
      <c r="C419" s="92" t="s">
        <v>347</v>
      </c>
      <c r="D419" s="33" t="s">
        <v>411</v>
      </c>
      <c r="E419" s="34">
        <v>44074</v>
      </c>
      <c r="F419" s="34">
        <v>44075</v>
      </c>
      <c r="G419" s="34">
        <v>44078</v>
      </c>
      <c r="H419" s="35">
        <v>3.5000000000000003E-2</v>
      </c>
      <c r="I419" s="67">
        <v>1.47E-2</v>
      </c>
      <c r="J419" s="67">
        <v>0</v>
      </c>
      <c r="K419" s="67">
        <v>1.47E-2</v>
      </c>
      <c r="L419" s="36">
        <v>1.2414399899999999E-2</v>
      </c>
      <c r="M419" s="64">
        <v>1.2414399899999999E-2</v>
      </c>
      <c r="N419" s="33" t="s">
        <v>251</v>
      </c>
    </row>
    <row r="420" spans="1:14" ht="15">
      <c r="A420" s="12"/>
      <c r="B420" s="33" t="s">
        <v>306</v>
      </c>
      <c r="C420" s="92" t="s">
        <v>430</v>
      </c>
      <c r="D420" s="33" t="s">
        <v>411</v>
      </c>
      <c r="E420" s="34">
        <v>44074</v>
      </c>
      <c r="F420" s="34">
        <v>44075</v>
      </c>
      <c r="G420" s="34">
        <v>44078</v>
      </c>
      <c r="H420" s="35">
        <v>0.02</v>
      </c>
      <c r="I420" s="67">
        <v>8.3999999999999995E-3</v>
      </c>
      <c r="J420" s="67">
        <v>0</v>
      </c>
      <c r="K420" s="67">
        <v>8.3999999999999995E-3</v>
      </c>
      <c r="L420" s="36">
        <v>6.2160001133999996E-3</v>
      </c>
      <c r="M420" s="64">
        <v>6.2160001133999996E-3</v>
      </c>
      <c r="N420" s="33" t="s">
        <v>251</v>
      </c>
    </row>
    <row r="421" spans="1:14" ht="15">
      <c r="A421" s="12" t="s">
        <v>184</v>
      </c>
      <c r="B421" s="33" t="s">
        <v>184</v>
      </c>
      <c r="C421" s="92" t="s">
        <v>354</v>
      </c>
      <c r="D421" s="33" t="s">
        <v>411</v>
      </c>
      <c r="E421" s="34">
        <v>44074</v>
      </c>
      <c r="F421" s="34">
        <v>44075</v>
      </c>
      <c r="G421" s="34">
        <v>44078</v>
      </c>
      <c r="H421" s="35">
        <v>0.02</v>
      </c>
      <c r="I421" s="67">
        <v>0.16880000000000001</v>
      </c>
      <c r="J421" s="67">
        <v>0</v>
      </c>
      <c r="K421" s="67">
        <v>0.16880000000000001</v>
      </c>
      <c r="L421" s="36">
        <v>0.12491200227880001</v>
      </c>
      <c r="M421" s="64">
        <v>0.12491200227880001</v>
      </c>
      <c r="N421" s="33" t="s">
        <v>251</v>
      </c>
    </row>
    <row r="422" spans="1:14" ht="15">
      <c r="A422" s="12" t="s">
        <v>192</v>
      </c>
      <c r="B422" s="33" t="s">
        <v>192</v>
      </c>
      <c r="C422" s="92" t="s">
        <v>355</v>
      </c>
      <c r="D422" s="33" t="s">
        <v>411</v>
      </c>
      <c r="E422" s="34">
        <v>44074</v>
      </c>
      <c r="F422" s="34">
        <v>44075</v>
      </c>
      <c r="G422" s="34">
        <v>44078</v>
      </c>
      <c r="H422" s="35">
        <v>0.02</v>
      </c>
      <c r="I422" s="67">
        <v>0.16980000000000001</v>
      </c>
      <c r="J422" s="67">
        <v>0</v>
      </c>
      <c r="K422" s="67">
        <v>0.16980000000000001</v>
      </c>
      <c r="L422" s="36">
        <v>0.1256520022923</v>
      </c>
      <c r="M422" s="64">
        <v>0.1256520022923</v>
      </c>
      <c r="N422" s="33" t="s">
        <v>251</v>
      </c>
    </row>
    <row r="423" spans="1:14" ht="15">
      <c r="A423" s="12"/>
      <c r="B423" s="33" t="s">
        <v>311</v>
      </c>
      <c r="C423" s="92" t="s">
        <v>425</v>
      </c>
      <c r="D423" s="33" t="s">
        <v>411</v>
      </c>
      <c r="E423" s="34">
        <v>44074</v>
      </c>
      <c r="F423" s="34">
        <v>44075</v>
      </c>
      <c r="G423" s="34">
        <v>44078</v>
      </c>
      <c r="H423" s="35">
        <v>0.01</v>
      </c>
      <c r="I423" s="67">
        <v>4.1999999999999997E-3</v>
      </c>
      <c r="J423" s="67">
        <v>0</v>
      </c>
      <c r="K423" s="67">
        <v>4.1999999999999997E-3</v>
      </c>
      <c r="L423" s="36">
        <v>3.1080000566999998E-3</v>
      </c>
      <c r="M423" s="64">
        <v>3.1080000566999998E-3</v>
      </c>
      <c r="N423" s="33" t="s">
        <v>251</v>
      </c>
    </row>
    <row r="424" spans="1:14" ht="15">
      <c r="A424" s="12" t="s">
        <v>189</v>
      </c>
      <c r="B424" s="33" t="s">
        <v>189</v>
      </c>
      <c r="C424" s="92" t="s">
        <v>356</v>
      </c>
      <c r="D424" s="33" t="s">
        <v>411</v>
      </c>
      <c r="E424" s="34">
        <v>44074</v>
      </c>
      <c r="F424" s="34">
        <v>44075</v>
      </c>
      <c r="G424" s="34">
        <v>44078</v>
      </c>
      <c r="H424" s="35">
        <v>0.01</v>
      </c>
      <c r="I424" s="67">
        <v>7.6300000000000007E-2</v>
      </c>
      <c r="J424" s="67">
        <v>0</v>
      </c>
      <c r="K424" s="67">
        <v>7.6300000000000007E-2</v>
      </c>
      <c r="L424" s="36">
        <v>5.6462001030050002E-2</v>
      </c>
      <c r="M424" s="64">
        <v>5.6462001030050002E-2</v>
      </c>
      <c r="N424" s="33" t="s">
        <v>251</v>
      </c>
    </row>
    <row r="425" spans="1:14" ht="15">
      <c r="A425" s="12" t="s">
        <v>197</v>
      </c>
      <c r="B425" s="33" t="s">
        <v>197</v>
      </c>
      <c r="C425" s="92" t="s">
        <v>357</v>
      </c>
      <c r="D425" s="33" t="s">
        <v>411</v>
      </c>
      <c r="E425" s="34">
        <v>44074</v>
      </c>
      <c r="F425" s="34">
        <v>44075</v>
      </c>
      <c r="G425" s="34">
        <v>44078</v>
      </c>
      <c r="H425" s="35">
        <v>0.01</v>
      </c>
      <c r="I425" s="67">
        <v>7.7399999999999997E-2</v>
      </c>
      <c r="J425" s="67">
        <v>0</v>
      </c>
      <c r="K425" s="67">
        <v>7.7399999999999997E-2</v>
      </c>
      <c r="L425" s="36">
        <v>5.7276001044899993E-2</v>
      </c>
      <c r="M425" s="64">
        <v>5.7276001044899993E-2</v>
      </c>
      <c r="N425" s="33" t="s">
        <v>251</v>
      </c>
    </row>
    <row r="426" spans="1:14" ht="15">
      <c r="A426" s="12"/>
      <c r="B426" s="33" t="s">
        <v>308</v>
      </c>
      <c r="C426" s="92" t="s">
        <v>426</v>
      </c>
      <c r="D426" s="33" t="s">
        <v>411</v>
      </c>
      <c r="E426" s="34">
        <v>44074</v>
      </c>
      <c r="F426" s="34">
        <v>44075</v>
      </c>
      <c r="G426" s="34">
        <v>44078</v>
      </c>
      <c r="H426" s="35">
        <v>1.4999999999999999E-2</v>
      </c>
      <c r="I426" s="67">
        <v>6.1999999999999998E-3</v>
      </c>
      <c r="J426" s="67">
        <v>0</v>
      </c>
      <c r="K426" s="67">
        <v>6.1999999999999998E-3</v>
      </c>
      <c r="L426" s="36">
        <v>5.0061652E-3</v>
      </c>
      <c r="M426" s="64">
        <v>5.0061652E-3</v>
      </c>
      <c r="N426" s="33" t="s">
        <v>251</v>
      </c>
    </row>
    <row r="427" spans="1:14" ht="15">
      <c r="A427" s="12" t="s">
        <v>186</v>
      </c>
      <c r="B427" s="33" t="s">
        <v>186</v>
      </c>
      <c r="C427" s="92" t="s">
        <v>363</v>
      </c>
      <c r="D427" s="33" t="s">
        <v>411</v>
      </c>
      <c r="E427" s="34">
        <v>44074</v>
      </c>
      <c r="F427" s="34">
        <v>44075</v>
      </c>
      <c r="G427" s="34">
        <v>44078</v>
      </c>
      <c r="H427" s="35">
        <v>1.4999999999999999E-2</v>
      </c>
      <c r="I427" s="67">
        <v>0.114</v>
      </c>
      <c r="J427" s="67">
        <v>0</v>
      </c>
      <c r="K427" s="67">
        <v>0.114</v>
      </c>
      <c r="L427" s="36">
        <v>9.2048844000000005E-2</v>
      </c>
      <c r="M427" s="64">
        <v>9.2048844000000005E-2</v>
      </c>
      <c r="N427" s="33" t="s">
        <v>251</v>
      </c>
    </row>
    <row r="428" spans="1:14" ht="15">
      <c r="A428" s="12" t="s">
        <v>194</v>
      </c>
      <c r="B428" s="33" t="s">
        <v>194</v>
      </c>
      <c r="C428" s="92" t="s">
        <v>364</v>
      </c>
      <c r="D428" s="33" t="s">
        <v>411</v>
      </c>
      <c r="E428" s="34">
        <v>44074</v>
      </c>
      <c r="F428" s="34">
        <v>44075</v>
      </c>
      <c r="G428" s="34">
        <v>44078</v>
      </c>
      <c r="H428" s="35">
        <v>1.4999999999999999E-2</v>
      </c>
      <c r="I428" s="67">
        <v>0.1168</v>
      </c>
      <c r="J428" s="67">
        <v>0</v>
      </c>
      <c r="K428" s="67">
        <v>0.1168</v>
      </c>
      <c r="L428" s="36">
        <v>9.4309692799999997E-2</v>
      </c>
      <c r="M428" s="64">
        <v>9.4309692799999997E-2</v>
      </c>
      <c r="N428" s="33" t="s">
        <v>251</v>
      </c>
    </row>
    <row r="429" spans="1:14" ht="15">
      <c r="A429" s="12"/>
      <c r="B429" s="33" t="s">
        <v>307</v>
      </c>
      <c r="C429" s="92" t="s">
        <v>420</v>
      </c>
      <c r="D429" s="33" t="s">
        <v>411</v>
      </c>
      <c r="E429" s="34">
        <v>44074</v>
      </c>
      <c r="F429" s="34">
        <v>44075</v>
      </c>
      <c r="G429" s="34">
        <v>44078</v>
      </c>
      <c r="H429" s="35">
        <v>1.4999999999999999E-2</v>
      </c>
      <c r="I429" s="67">
        <v>6.1999999999999998E-3</v>
      </c>
      <c r="J429" s="67">
        <v>0</v>
      </c>
      <c r="K429" s="67">
        <v>6.1999999999999998E-3</v>
      </c>
      <c r="L429" s="36">
        <v>5.1061029999999999E-3</v>
      </c>
      <c r="M429" s="64">
        <v>5.1061029999999999E-3</v>
      </c>
      <c r="N429" s="33" t="s">
        <v>251</v>
      </c>
    </row>
    <row r="430" spans="1:14" ht="15">
      <c r="A430" s="12" t="s">
        <v>185</v>
      </c>
      <c r="B430" s="33" t="s">
        <v>185</v>
      </c>
      <c r="C430" s="92" t="s">
        <v>366</v>
      </c>
      <c r="D430" s="33" t="s">
        <v>411</v>
      </c>
      <c r="E430" s="34">
        <v>44074</v>
      </c>
      <c r="F430" s="34">
        <v>44075</v>
      </c>
      <c r="G430" s="34">
        <v>44078</v>
      </c>
      <c r="H430" s="35">
        <v>1.4999999999999999E-2</v>
      </c>
      <c r="I430" s="67">
        <v>0.10390000000000001</v>
      </c>
      <c r="J430" s="67">
        <v>0</v>
      </c>
      <c r="K430" s="67">
        <v>0.10390000000000001</v>
      </c>
      <c r="L430" s="36">
        <v>8.5568403500000001E-2</v>
      </c>
      <c r="M430" s="64">
        <v>8.5568403500000001E-2</v>
      </c>
      <c r="N430" s="33" t="s">
        <v>251</v>
      </c>
    </row>
    <row r="431" spans="1:14" ht="15">
      <c r="A431" s="12" t="s">
        <v>193</v>
      </c>
      <c r="B431" s="33" t="s">
        <v>193</v>
      </c>
      <c r="C431" s="92" t="s">
        <v>367</v>
      </c>
      <c r="D431" s="33" t="s">
        <v>411</v>
      </c>
      <c r="E431" s="34">
        <v>44074</v>
      </c>
      <c r="F431" s="34">
        <v>44075</v>
      </c>
      <c r="G431" s="34">
        <v>44078</v>
      </c>
      <c r="H431" s="35">
        <v>1.4999999999999999E-2</v>
      </c>
      <c r="I431" s="67">
        <v>0.1009</v>
      </c>
      <c r="J431" s="67">
        <v>0</v>
      </c>
      <c r="K431" s="67">
        <v>0.1009</v>
      </c>
      <c r="L431" s="36">
        <v>8.3097708500000006E-2</v>
      </c>
      <c r="M431" s="64">
        <v>8.3097708500000006E-2</v>
      </c>
      <c r="N431" s="33" t="s">
        <v>251</v>
      </c>
    </row>
    <row r="432" spans="1:14" ht="15">
      <c r="A432" s="12"/>
      <c r="B432" s="33" t="s">
        <v>309</v>
      </c>
      <c r="C432" s="92" t="s">
        <v>427</v>
      </c>
      <c r="D432" s="33" t="s">
        <v>411</v>
      </c>
      <c r="E432" s="34">
        <v>44074</v>
      </c>
      <c r="F432" s="34">
        <v>44075</v>
      </c>
      <c r="G432" s="34">
        <v>44078</v>
      </c>
      <c r="H432" s="35">
        <v>3.5000000000000003E-2</v>
      </c>
      <c r="I432" s="67">
        <v>1.4500000000000001E-2</v>
      </c>
      <c r="J432" s="67">
        <v>2.887686512311144E-3</v>
      </c>
      <c r="K432" s="67">
        <v>1.4500000000000001E-2</v>
      </c>
      <c r="L432" s="36">
        <v>1.0730000195749999E-2</v>
      </c>
      <c r="M432" s="64">
        <v>1.3617686708061143E-2</v>
      </c>
      <c r="N432" s="33" t="s">
        <v>251</v>
      </c>
    </row>
    <row r="433" spans="1:14" ht="15">
      <c r="A433" s="12" t="s">
        <v>187</v>
      </c>
      <c r="B433" s="33" t="s">
        <v>187</v>
      </c>
      <c r="C433" s="92" t="s">
        <v>368</v>
      </c>
      <c r="D433" s="33" t="s">
        <v>411</v>
      </c>
      <c r="E433" s="34">
        <v>44074</v>
      </c>
      <c r="F433" s="34">
        <v>44075</v>
      </c>
      <c r="G433" s="34">
        <v>44078</v>
      </c>
      <c r="H433" s="35">
        <v>3.5000000000000003E-2</v>
      </c>
      <c r="I433" s="67">
        <v>0.25679999999999997</v>
      </c>
      <c r="J433" s="67">
        <v>5.1443681326718137E-2</v>
      </c>
      <c r="K433" s="67">
        <v>0.25679999999999997</v>
      </c>
      <c r="L433" s="36">
        <v>0.19003200346679996</v>
      </c>
      <c r="M433" s="64">
        <v>0.24147568479351811</v>
      </c>
      <c r="N433" s="33" t="s">
        <v>251</v>
      </c>
    </row>
    <row r="434" spans="1:14" ht="15">
      <c r="A434" s="12" t="s">
        <v>195</v>
      </c>
      <c r="B434" s="33" t="s">
        <v>195</v>
      </c>
      <c r="C434" s="92" t="s">
        <v>369</v>
      </c>
      <c r="D434" s="33" t="s">
        <v>411</v>
      </c>
      <c r="E434" s="34">
        <v>44074</v>
      </c>
      <c r="F434" s="34">
        <v>44075</v>
      </c>
      <c r="G434" s="34">
        <v>44078</v>
      </c>
      <c r="H434" s="35">
        <v>3.5000000000000003E-2</v>
      </c>
      <c r="I434" s="67">
        <v>0.26400000000000001</v>
      </c>
      <c r="J434" s="67">
        <v>5.4270885682287273E-2</v>
      </c>
      <c r="K434" s="67">
        <v>0.26400000000000001</v>
      </c>
      <c r="L434" s="36">
        <v>0.19536000356400002</v>
      </c>
      <c r="M434" s="64">
        <v>0.24963088924628729</v>
      </c>
      <c r="N434" s="33" t="s">
        <v>251</v>
      </c>
    </row>
    <row r="435" spans="1:14" ht="15">
      <c r="A435" s="12"/>
      <c r="B435" s="33" t="s">
        <v>312</v>
      </c>
      <c r="C435" s="92" t="s">
        <v>428</v>
      </c>
      <c r="D435" s="33" t="s">
        <v>411</v>
      </c>
      <c r="E435" s="34">
        <v>44074</v>
      </c>
      <c r="F435" s="34">
        <v>44075</v>
      </c>
      <c r="G435" s="34">
        <v>44078</v>
      </c>
      <c r="H435" s="35">
        <v>0.05</v>
      </c>
      <c r="I435" s="67">
        <v>2.1100000000000001E-2</v>
      </c>
      <c r="J435" s="67">
        <v>5.1158600432169303E-4</v>
      </c>
      <c r="K435" s="67">
        <v>2.1100000000000001E-2</v>
      </c>
      <c r="L435" s="36">
        <v>1.5693757999999999E-2</v>
      </c>
      <c r="M435" s="64">
        <v>1.6205344004321692E-2</v>
      </c>
      <c r="N435" s="33" t="s">
        <v>251</v>
      </c>
    </row>
    <row r="436" spans="1:14" ht="15">
      <c r="A436" s="12" t="s">
        <v>190</v>
      </c>
      <c r="B436" s="33" t="s">
        <v>190</v>
      </c>
      <c r="C436" s="92" t="s">
        <v>370</v>
      </c>
      <c r="D436" s="33" t="s">
        <v>411</v>
      </c>
      <c r="E436" s="34">
        <v>44074</v>
      </c>
      <c r="F436" s="34">
        <v>44075</v>
      </c>
      <c r="G436" s="34">
        <v>44078</v>
      </c>
      <c r="H436" s="35">
        <v>0.05</v>
      </c>
      <c r="I436" s="67">
        <v>0.39989999999999998</v>
      </c>
      <c r="J436" s="67">
        <v>1.0258178540114017E-2</v>
      </c>
      <c r="K436" s="67">
        <v>0.39989999999999998</v>
      </c>
      <c r="L436" s="36">
        <v>0.29743762200000001</v>
      </c>
      <c r="M436" s="64">
        <v>0.30769580054011403</v>
      </c>
      <c r="N436" s="33" t="s">
        <v>251</v>
      </c>
    </row>
    <row r="437" spans="1:14" ht="15">
      <c r="A437" s="12" t="s">
        <v>198</v>
      </c>
      <c r="B437" s="33" t="s">
        <v>198</v>
      </c>
      <c r="C437" s="92" t="s">
        <v>371</v>
      </c>
      <c r="D437" s="33" t="s">
        <v>411</v>
      </c>
      <c r="E437" s="34">
        <v>44074</v>
      </c>
      <c r="F437" s="34">
        <v>44075</v>
      </c>
      <c r="G437" s="34">
        <v>44078</v>
      </c>
      <c r="H437" s="35">
        <v>0.05</v>
      </c>
      <c r="I437" s="67">
        <v>0.39950000000000002</v>
      </c>
      <c r="J437" s="67">
        <v>1.0708417807877733E-2</v>
      </c>
      <c r="K437" s="67">
        <v>0.39950000000000002</v>
      </c>
      <c r="L437" s="36">
        <v>0.29714011000000001</v>
      </c>
      <c r="M437" s="64">
        <v>0.30784852780787775</v>
      </c>
      <c r="N437" s="33" t="s">
        <v>251</v>
      </c>
    </row>
    <row r="438" spans="1:14" ht="15">
      <c r="A438" s="12"/>
      <c r="B438" s="33" t="s">
        <v>513</v>
      </c>
      <c r="C438" s="92" t="s">
        <v>515</v>
      </c>
      <c r="D438" s="33" t="s">
        <v>411</v>
      </c>
      <c r="E438" s="34">
        <v>44074</v>
      </c>
      <c r="F438" s="34">
        <v>44075</v>
      </c>
      <c r="G438" s="34">
        <v>44078</v>
      </c>
      <c r="H438" s="35">
        <v>0.02</v>
      </c>
      <c r="I438" s="67">
        <v>0.13569999999999999</v>
      </c>
      <c r="J438" s="67">
        <v>0.12781380486392352</v>
      </c>
      <c r="K438" s="67">
        <v>0.13569999999999999</v>
      </c>
      <c r="L438" s="36">
        <v>0.10940005084999999</v>
      </c>
      <c r="M438" s="64">
        <v>0.2372138557139235</v>
      </c>
      <c r="N438" s="33" t="s">
        <v>251</v>
      </c>
    </row>
    <row r="439" spans="1:14" ht="15">
      <c r="A439" s="12"/>
      <c r="B439" s="33" t="s">
        <v>514</v>
      </c>
      <c r="C439" s="92" t="s">
        <v>516</v>
      </c>
      <c r="D439" s="33" t="s">
        <v>411</v>
      </c>
      <c r="E439" s="34">
        <v>44074</v>
      </c>
      <c r="F439" s="34">
        <v>44075</v>
      </c>
      <c r="G439" s="34">
        <v>44078</v>
      </c>
      <c r="H439" s="35">
        <v>0.02</v>
      </c>
      <c r="I439" s="67">
        <v>0.13639999999999999</v>
      </c>
      <c r="J439" s="67">
        <v>0.12832915332932296</v>
      </c>
      <c r="K439" s="67">
        <v>0.13639999999999999</v>
      </c>
      <c r="L439" s="36">
        <v>0.10996438419999999</v>
      </c>
      <c r="M439" s="64">
        <v>0.23829353752932295</v>
      </c>
      <c r="N439" s="33" t="s">
        <v>251</v>
      </c>
    </row>
    <row r="440" spans="1:14" ht="15">
      <c r="A440" s="12"/>
      <c r="B440" s="33" t="s">
        <v>313</v>
      </c>
      <c r="C440" s="92" t="s">
        <v>429</v>
      </c>
      <c r="D440" s="33" t="s">
        <v>411</v>
      </c>
      <c r="E440" s="34">
        <v>44074</v>
      </c>
      <c r="F440" s="34">
        <v>44075</v>
      </c>
      <c r="G440" s="34">
        <v>44078</v>
      </c>
      <c r="H440" s="35">
        <v>2.2499999999999999E-2</v>
      </c>
      <c r="I440" s="67">
        <v>9.2999999999999992E-3</v>
      </c>
      <c r="J440" s="67">
        <v>0</v>
      </c>
      <c r="K440" s="67">
        <v>9.2999999999999992E-3</v>
      </c>
      <c r="L440" s="36">
        <v>7.0660562999999999E-3</v>
      </c>
      <c r="M440" s="64">
        <v>7.0660562999999999E-3</v>
      </c>
      <c r="N440" s="33" t="s">
        <v>251</v>
      </c>
    </row>
    <row r="441" spans="1:14" ht="15">
      <c r="A441" s="12" t="s">
        <v>124</v>
      </c>
      <c r="B441" s="33" t="s">
        <v>272</v>
      </c>
      <c r="C441" s="92" t="s">
        <v>431</v>
      </c>
      <c r="D441" s="33" t="s">
        <v>412</v>
      </c>
      <c r="E441" s="34">
        <v>44095</v>
      </c>
      <c r="F441" s="34">
        <v>44096</v>
      </c>
      <c r="G441" s="34">
        <v>44099</v>
      </c>
      <c r="H441" s="35"/>
      <c r="I441" s="67">
        <v>0.25</v>
      </c>
      <c r="J441" s="67">
        <v>0</v>
      </c>
      <c r="K441" s="67">
        <v>0.25</v>
      </c>
      <c r="L441" s="36">
        <f>+K441-((K441*0.3017*0.125)+(K441*(1-0.089)*0.26))</f>
        <v>0.181356875</v>
      </c>
      <c r="M441" s="64">
        <f t="shared" ref="M441:M472" si="12">J441+L441</f>
        <v>0.181356875</v>
      </c>
      <c r="N441" s="33" t="s">
        <v>288</v>
      </c>
    </row>
    <row r="442" spans="1:14" ht="15">
      <c r="A442" s="12" t="s">
        <v>122</v>
      </c>
      <c r="B442" s="33" t="s">
        <v>273</v>
      </c>
      <c r="C442" s="92" t="s">
        <v>343</v>
      </c>
      <c r="D442" s="33" t="s">
        <v>412</v>
      </c>
      <c r="E442" s="34">
        <v>44095</v>
      </c>
      <c r="F442" s="34">
        <v>44096</v>
      </c>
      <c r="G442" s="34">
        <v>44099</v>
      </c>
      <c r="H442" s="35"/>
      <c r="I442" s="67">
        <v>0.19</v>
      </c>
      <c r="J442" s="67">
        <v>0</v>
      </c>
      <c r="K442" s="67">
        <v>0.19</v>
      </c>
      <c r="L442" s="36">
        <f>+K442-((K442*0.7742*0.125)+(K442*(1-0.7742)*0.26))</f>
        <v>0.16045823000000001</v>
      </c>
      <c r="M442" s="64">
        <f t="shared" si="12"/>
        <v>0.16045823000000001</v>
      </c>
      <c r="N442" s="33" t="s">
        <v>288</v>
      </c>
    </row>
    <row r="443" spans="1:14" ht="15">
      <c r="A443" s="12" t="s">
        <v>123</v>
      </c>
      <c r="B443" s="33" t="s">
        <v>274</v>
      </c>
      <c r="C443" s="92" t="s">
        <v>432</v>
      </c>
      <c r="D443" s="33" t="s">
        <v>412</v>
      </c>
      <c r="E443" s="34">
        <v>44095</v>
      </c>
      <c r="F443" s="34">
        <v>44096</v>
      </c>
      <c r="G443" s="34">
        <v>44099</v>
      </c>
      <c r="H443" s="35"/>
      <c r="I443" s="67">
        <v>0.17</v>
      </c>
      <c r="J443" s="67">
        <v>0</v>
      </c>
      <c r="K443" s="67">
        <v>0.17</v>
      </c>
      <c r="L443" s="36">
        <f>+K443-((K443*0.7742*0.125)+(K443*(1-0.7742)*0.26))</f>
        <v>0.14356789</v>
      </c>
      <c r="M443" s="64">
        <f t="shared" si="12"/>
        <v>0.14356789</v>
      </c>
      <c r="N443" s="33" t="s">
        <v>288</v>
      </c>
    </row>
    <row r="444" spans="1:14" ht="15">
      <c r="A444" s="12"/>
      <c r="B444" s="33" t="s">
        <v>275</v>
      </c>
      <c r="C444" s="92" t="s">
        <v>418</v>
      </c>
      <c r="D444" s="33" t="s">
        <v>412</v>
      </c>
      <c r="E444" s="34">
        <v>44095</v>
      </c>
      <c r="F444" s="34">
        <v>44096</v>
      </c>
      <c r="G444" s="34">
        <v>44099</v>
      </c>
      <c r="H444" s="35"/>
      <c r="I444" s="67">
        <v>0.03</v>
      </c>
      <c r="J444" s="67">
        <v>0</v>
      </c>
      <c r="K444" s="67">
        <v>0.03</v>
      </c>
      <c r="L444" s="36">
        <f>+K444-((K444*0.5914*0.125)+(K444*(1-0.5914)*0.26))</f>
        <v>2.459517E-2</v>
      </c>
      <c r="M444" s="64">
        <f t="shared" si="12"/>
        <v>2.459517E-2</v>
      </c>
      <c r="N444" s="33" t="s">
        <v>288</v>
      </c>
    </row>
    <row r="445" spans="1:14" ht="15">
      <c r="A445" s="12" t="s">
        <v>181</v>
      </c>
      <c r="B445" s="33" t="s">
        <v>276</v>
      </c>
      <c r="C445" s="92" t="s">
        <v>419</v>
      </c>
      <c r="D445" s="33" t="s">
        <v>412</v>
      </c>
      <c r="E445" s="34">
        <v>44095</v>
      </c>
      <c r="F445" s="34">
        <v>44096</v>
      </c>
      <c r="G445" s="34">
        <v>44099</v>
      </c>
      <c r="H445" s="35"/>
      <c r="I445" s="67">
        <v>0.01</v>
      </c>
      <c r="J445" s="67">
        <v>0</v>
      </c>
      <c r="K445" s="67">
        <v>0.01</v>
      </c>
      <c r="L445" s="36">
        <f>+K445-((K445*0.5914*0.125)+(K445*(1-0.5914)*0.26))</f>
        <v>8.1983899999999998E-3</v>
      </c>
      <c r="M445" s="64">
        <f t="shared" si="12"/>
        <v>8.1983899999999998E-3</v>
      </c>
      <c r="N445" s="33" t="s">
        <v>288</v>
      </c>
    </row>
    <row r="446" spans="1:14" ht="15">
      <c r="A446" s="12"/>
      <c r="B446" s="33" t="s">
        <v>280</v>
      </c>
      <c r="C446" s="92" t="s">
        <v>385</v>
      </c>
      <c r="D446" s="33" t="s">
        <v>412</v>
      </c>
      <c r="E446" s="34">
        <v>44095</v>
      </c>
      <c r="F446" s="34">
        <v>44096</v>
      </c>
      <c r="G446" s="34">
        <v>44099</v>
      </c>
      <c r="H446" s="35"/>
      <c r="I446" s="67">
        <v>0.13</v>
      </c>
      <c r="J446" s="67">
        <v>0</v>
      </c>
      <c r="K446" s="67">
        <v>0.13</v>
      </c>
      <c r="L446" s="36">
        <f>+K446-((K446*0.0509*0.125)+(K446*(1-0.0509)*0.26))</f>
        <v>9.7093294999999996E-2</v>
      </c>
      <c r="M446" s="64">
        <f t="shared" si="12"/>
        <v>9.7093294999999996E-2</v>
      </c>
      <c r="N446" s="33" t="s">
        <v>288</v>
      </c>
    </row>
    <row r="447" spans="1:14" ht="15">
      <c r="A447" s="12" t="s">
        <v>188</v>
      </c>
      <c r="B447" s="33" t="s">
        <v>281</v>
      </c>
      <c r="C447" s="92" t="s">
        <v>433</v>
      </c>
      <c r="D447" s="33" t="s">
        <v>412</v>
      </c>
      <c r="E447" s="34">
        <v>44095</v>
      </c>
      <c r="F447" s="34">
        <v>44096</v>
      </c>
      <c r="G447" s="34">
        <v>44099</v>
      </c>
      <c r="H447" s="35"/>
      <c r="I447" s="67">
        <v>0.3</v>
      </c>
      <c r="J447" s="67">
        <v>0</v>
      </c>
      <c r="K447" s="67">
        <v>0.3</v>
      </c>
      <c r="L447" s="36">
        <f>+K447-((K447*0.0921*0.125)+(K447*(1-0.921)*0.26))</f>
        <v>0.29038425000000001</v>
      </c>
      <c r="M447" s="64">
        <f t="shared" si="12"/>
        <v>0.29038425000000001</v>
      </c>
      <c r="N447" s="33" t="s">
        <v>288</v>
      </c>
    </row>
    <row r="448" spans="1:14" ht="15">
      <c r="A448" s="12" t="s">
        <v>196</v>
      </c>
      <c r="B448" s="33" t="s">
        <v>282</v>
      </c>
      <c r="C448" s="92" t="s">
        <v>434</v>
      </c>
      <c r="D448" s="33" t="s">
        <v>412</v>
      </c>
      <c r="E448" s="34">
        <v>44095</v>
      </c>
      <c r="F448" s="34">
        <v>44096</v>
      </c>
      <c r="G448" s="34">
        <v>44099</v>
      </c>
      <c r="H448" s="35"/>
      <c r="I448" s="67">
        <v>0.21</v>
      </c>
      <c r="J448" s="67">
        <v>0</v>
      </c>
      <c r="K448" s="67">
        <v>0.21</v>
      </c>
      <c r="L448" s="36">
        <f>+K448-((K448*0.1243*0.125)+(K448*(1-0.1243)*0.26))</f>
        <v>0.15892390499999998</v>
      </c>
      <c r="M448" s="64">
        <f t="shared" si="12"/>
        <v>0.15892390499999998</v>
      </c>
      <c r="N448" s="33" t="s">
        <v>288</v>
      </c>
    </row>
    <row r="449" spans="1:14" ht="15">
      <c r="A449" s="12"/>
      <c r="B449" s="33" t="s">
        <v>283</v>
      </c>
      <c r="C449" s="92" t="s">
        <v>435</v>
      </c>
      <c r="D449" s="33" t="s">
        <v>412</v>
      </c>
      <c r="E449" s="34">
        <v>44095</v>
      </c>
      <c r="F449" s="34">
        <v>44096</v>
      </c>
      <c r="G449" s="34">
        <v>44099</v>
      </c>
      <c r="H449" s="35"/>
      <c r="I449" s="67">
        <v>0.17</v>
      </c>
      <c r="J449" s="67">
        <v>0</v>
      </c>
      <c r="K449" s="67">
        <v>0.17</v>
      </c>
      <c r="L449" s="36">
        <f>+K449-((K449*0.1243*0.125)+(K449*(1-0.1243)*0.26))</f>
        <v>0.12865268499999999</v>
      </c>
      <c r="M449" s="64">
        <f t="shared" si="12"/>
        <v>0.12865268499999999</v>
      </c>
      <c r="N449" s="33" t="s">
        <v>288</v>
      </c>
    </row>
    <row r="450" spans="1:14" ht="15">
      <c r="A450" s="12" t="s">
        <v>87</v>
      </c>
      <c r="B450" s="33" t="s">
        <v>284</v>
      </c>
      <c r="C450" s="92" t="s">
        <v>436</v>
      </c>
      <c r="D450" s="33" t="s">
        <v>412</v>
      </c>
      <c r="E450" s="34">
        <v>44095</v>
      </c>
      <c r="F450" s="34">
        <v>44096</v>
      </c>
      <c r="G450" s="34">
        <v>44099</v>
      </c>
      <c r="H450" s="35"/>
      <c r="I450" s="67">
        <v>0.18</v>
      </c>
      <c r="J450" s="67">
        <v>0</v>
      </c>
      <c r="K450" s="67">
        <v>0.18</v>
      </c>
      <c r="L450" s="36">
        <f>+K450-((K450*0.1243*0.125)+(K450*(1-0.1243)*0.26))</f>
        <v>0.13622049</v>
      </c>
      <c r="M450" s="64">
        <f t="shared" si="12"/>
        <v>0.13622049</v>
      </c>
      <c r="N450" s="33" t="s">
        <v>288</v>
      </c>
    </row>
    <row r="451" spans="1:14" ht="15">
      <c r="A451" s="12" t="s">
        <v>14</v>
      </c>
      <c r="B451" s="33" t="s">
        <v>285</v>
      </c>
      <c r="C451" s="92" t="s">
        <v>437</v>
      </c>
      <c r="D451" s="33" t="s">
        <v>412</v>
      </c>
      <c r="E451" s="34">
        <v>44095</v>
      </c>
      <c r="F451" s="34">
        <v>44096</v>
      </c>
      <c r="G451" s="34">
        <v>44099</v>
      </c>
      <c r="H451" s="35"/>
      <c r="I451" s="67">
        <v>0.14000000000000001</v>
      </c>
      <c r="J451" s="67">
        <v>0</v>
      </c>
      <c r="K451" s="67">
        <v>0.14000000000000001</v>
      </c>
      <c r="L451" s="36">
        <f>+K451-((K451*0.1243*0.125)+(K451*(1-0.1243)*0.26))</f>
        <v>0.10594927000000001</v>
      </c>
      <c r="M451" s="64">
        <f t="shared" si="12"/>
        <v>0.10594927000000001</v>
      </c>
      <c r="N451" s="33" t="s">
        <v>288</v>
      </c>
    </row>
    <row r="452" spans="1:14" ht="15">
      <c r="A452" s="12"/>
      <c r="B452" s="33" t="s">
        <v>286</v>
      </c>
      <c r="C452" s="92" t="s">
        <v>438</v>
      </c>
      <c r="D452" s="33" t="s">
        <v>412</v>
      </c>
      <c r="E452" s="34">
        <v>44095</v>
      </c>
      <c r="F452" s="34">
        <v>44096</v>
      </c>
      <c r="G452" s="34">
        <v>44099</v>
      </c>
      <c r="H452" s="35"/>
      <c r="I452" s="67">
        <v>0.16</v>
      </c>
      <c r="J452" s="67">
        <v>0</v>
      </c>
      <c r="K452" s="67">
        <v>0.16</v>
      </c>
      <c r="L452" s="36">
        <f>+K452-((K452*0.1243*0.125)+(K452*(1-0.1243)*0.26))</f>
        <v>0.12108488000000001</v>
      </c>
      <c r="M452" s="64">
        <f t="shared" si="12"/>
        <v>0.12108488000000001</v>
      </c>
      <c r="N452" s="33" t="s">
        <v>288</v>
      </c>
    </row>
    <row r="453" spans="1:14" ht="15">
      <c r="A453" s="12" t="s">
        <v>201</v>
      </c>
      <c r="B453" s="33" t="s">
        <v>277</v>
      </c>
      <c r="C453" s="92" t="s">
        <v>468</v>
      </c>
      <c r="D453" s="33" t="s">
        <v>412</v>
      </c>
      <c r="E453" s="34">
        <v>44095</v>
      </c>
      <c r="F453" s="34">
        <v>44096</v>
      </c>
      <c r="G453" s="34">
        <v>44099</v>
      </c>
      <c r="H453" s="35"/>
      <c r="I453" s="67">
        <v>0.17</v>
      </c>
      <c r="J453" s="67">
        <v>0</v>
      </c>
      <c r="K453" s="67">
        <v>0.17</v>
      </c>
      <c r="L453" s="36">
        <f>+K453-((K453*0.127*0.125)+(K453*(1-0.127)*0.26))</f>
        <v>0.12871465000000001</v>
      </c>
      <c r="M453" s="64">
        <f t="shared" si="12"/>
        <v>0.12871465000000001</v>
      </c>
      <c r="N453" s="33" t="s">
        <v>288</v>
      </c>
    </row>
    <row r="454" spans="1:14" ht="15">
      <c r="A454" s="12" t="s">
        <v>88</v>
      </c>
      <c r="B454" s="33" t="s">
        <v>278</v>
      </c>
      <c r="C454" s="92" t="s">
        <v>469</v>
      </c>
      <c r="D454" s="33" t="s">
        <v>412</v>
      </c>
      <c r="E454" s="34">
        <v>44095</v>
      </c>
      <c r="F454" s="34">
        <v>44096</v>
      </c>
      <c r="G454" s="34">
        <v>44099</v>
      </c>
      <c r="H454" s="35"/>
      <c r="I454" s="67">
        <v>0.15</v>
      </c>
      <c r="J454" s="67">
        <v>0</v>
      </c>
      <c r="K454" s="67">
        <v>0.15</v>
      </c>
      <c r="L454" s="36">
        <f>+K454-((K454*0.127*0.125)+(K454*(1-0.127)*0.26))</f>
        <v>0.11357175</v>
      </c>
      <c r="M454" s="64">
        <f t="shared" si="12"/>
        <v>0.11357175</v>
      </c>
      <c r="N454" s="33" t="s">
        <v>288</v>
      </c>
    </row>
    <row r="455" spans="1:14" ht="15">
      <c r="A455" s="12" t="s">
        <v>13</v>
      </c>
      <c r="B455" s="33" t="s">
        <v>279</v>
      </c>
      <c r="C455" s="92" t="s">
        <v>470</v>
      </c>
      <c r="D455" s="33" t="s">
        <v>412</v>
      </c>
      <c r="E455" s="34">
        <v>44095</v>
      </c>
      <c r="F455" s="34">
        <v>44096</v>
      </c>
      <c r="G455" s="34">
        <v>44099</v>
      </c>
      <c r="H455" s="35"/>
      <c r="I455" s="67">
        <v>0.18</v>
      </c>
      <c r="J455" s="67">
        <v>0</v>
      </c>
      <c r="K455" s="67">
        <v>0.18</v>
      </c>
      <c r="L455" s="36">
        <f>+K455-((K455*0.127*0.125)+(K455*(1-0.127)*0.26))</f>
        <v>0.13628609999999999</v>
      </c>
      <c r="M455" s="64">
        <f t="shared" si="12"/>
        <v>0.13628609999999999</v>
      </c>
      <c r="N455" s="33" t="s">
        <v>288</v>
      </c>
    </row>
    <row r="456" spans="1:14" ht="15">
      <c r="A456" s="12" t="s">
        <v>15</v>
      </c>
      <c r="B456" s="33" t="s">
        <v>174</v>
      </c>
      <c r="C456" s="92" t="s">
        <v>382</v>
      </c>
      <c r="D456" s="33" t="s">
        <v>410</v>
      </c>
      <c r="E456" s="34">
        <v>44103</v>
      </c>
      <c r="F456" s="34">
        <v>44104</v>
      </c>
      <c r="G456" s="34">
        <v>44109</v>
      </c>
      <c r="H456" s="35"/>
      <c r="I456" s="67">
        <v>2.0934999999999999E-2</v>
      </c>
      <c r="J456" s="67">
        <v>0</v>
      </c>
      <c r="K456" s="67">
        <v>2.093542E-2</v>
      </c>
      <c r="L456" s="36">
        <f>+K456-((K456*0.0094*0.125)+(K456*(1-0.0094)*0.26))</f>
        <v>1.551877784798E-2</v>
      </c>
      <c r="M456" s="64">
        <f t="shared" si="12"/>
        <v>1.551877784798E-2</v>
      </c>
      <c r="N456" s="33" t="s">
        <v>247</v>
      </c>
    </row>
    <row r="457" spans="1:14" ht="15">
      <c r="A457" s="12" t="s">
        <v>229</v>
      </c>
      <c r="B457" s="33" t="s">
        <v>176</v>
      </c>
      <c r="C457" s="92" t="s">
        <v>397</v>
      </c>
      <c r="D457" s="33" t="s">
        <v>410</v>
      </c>
      <c r="E457" s="34">
        <v>44103</v>
      </c>
      <c r="F457" s="34">
        <v>44104</v>
      </c>
      <c r="G457" s="34">
        <v>44109</v>
      </c>
      <c r="H457" s="35"/>
      <c r="I457" s="67">
        <v>3.6318000000000003E-2</v>
      </c>
      <c r="J457" s="67">
        <v>0</v>
      </c>
      <c r="K457" s="67">
        <v>3.6317790000000003E-2</v>
      </c>
      <c r="L457" s="36">
        <f>+K457-((K457*0.1243*0.125)+(K457*(1-0.1243)*0.26))</f>
        <v>2.7484595275095003E-2</v>
      </c>
      <c r="M457" s="64">
        <f t="shared" si="12"/>
        <v>2.7484595275095003E-2</v>
      </c>
      <c r="N457" s="33" t="s">
        <v>247</v>
      </c>
    </row>
    <row r="458" spans="1:14" ht="15">
      <c r="A458" s="12" t="s">
        <v>89</v>
      </c>
      <c r="B458" s="33" t="s">
        <v>175</v>
      </c>
      <c r="C458" s="92" t="s">
        <v>465</v>
      </c>
      <c r="D458" s="33" t="s">
        <v>410</v>
      </c>
      <c r="E458" s="34">
        <v>44103</v>
      </c>
      <c r="F458" s="34">
        <v>44104</v>
      </c>
      <c r="G458" s="34">
        <v>44109</v>
      </c>
      <c r="H458" s="35"/>
      <c r="I458" s="67">
        <v>4.1451000000000002E-2</v>
      </c>
      <c r="J458" s="67">
        <v>0</v>
      </c>
      <c r="K458" s="67">
        <v>4.1451309999999998E-2</v>
      </c>
      <c r="L458" s="36">
        <f>+K458-((K458*0.127*0.125)+(K458*(1-0.127)*0.26))</f>
        <v>3.1384652109949999E-2</v>
      </c>
      <c r="M458" s="64">
        <f t="shared" si="12"/>
        <v>3.1384652109949999E-2</v>
      </c>
      <c r="N458" s="33" t="s">
        <v>247</v>
      </c>
    </row>
    <row r="459" spans="1:14" ht="15">
      <c r="A459" s="12" t="s">
        <v>188</v>
      </c>
      <c r="B459" s="33" t="s">
        <v>511</v>
      </c>
      <c r="C459" s="92" t="s">
        <v>512</v>
      </c>
      <c r="D459" s="33" t="s">
        <v>411</v>
      </c>
      <c r="E459" s="34">
        <v>44104</v>
      </c>
      <c r="F459" s="34">
        <v>44105</v>
      </c>
      <c r="G459" s="34">
        <v>44110</v>
      </c>
      <c r="H459" s="35">
        <v>0.03</v>
      </c>
      <c r="I459" s="67">
        <v>0.19159999999999999</v>
      </c>
      <c r="J459" s="67">
        <v>0</v>
      </c>
      <c r="K459" s="67">
        <v>0.19159999999999999</v>
      </c>
      <c r="L459" s="36">
        <f>+K459-((K459*0.9057*0.125)+(K459*(1-0.9057)*0.26))</f>
        <v>0.16521083619999999</v>
      </c>
      <c r="M459" s="64">
        <f t="shared" si="12"/>
        <v>0.16521083619999999</v>
      </c>
      <c r="N459" s="33" t="s">
        <v>251</v>
      </c>
    </row>
    <row r="460" spans="1:14" ht="15">
      <c r="A460" s="12" t="s">
        <v>93</v>
      </c>
      <c r="B460" s="33" t="s">
        <v>310</v>
      </c>
      <c r="C460" s="92" t="s">
        <v>424</v>
      </c>
      <c r="D460" s="33" t="s">
        <v>411</v>
      </c>
      <c r="E460" s="34">
        <v>44104</v>
      </c>
      <c r="F460" s="34">
        <v>44105</v>
      </c>
      <c r="G460" s="34">
        <v>44110</v>
      </c>
      <c r="H460" s="35">
        <v>0.05</v>
      </c>
      <c r="I460" s="67">
        <v>2.0899999999999998E-2</v>
      </c>
      <c r="J460" s="67">
        <v>0</v>
      </c>
      <c r="K460" s="67">
        <v>2.0899999999999998E-2</v>
      </c>
      <c r="L460" s="36">
        <f>+K460-((K460*0.03783*0.125)+(K460*(1-0.089)*0.26))</f>
        <v>1.5850795124999997E-2</v>
      </c>
      <c r="M460" s="64">
        <f t="shared" si="12"/>
        <v>1.5850795124999997E-2</v>
      </c>
      <c r="N460" s="33" t="s">
        <v>251</v>
      </c>
    </row>
    <row r="461" spans="1:14" ht="15">
      <c r="A461" s="12" t="s">
        <v>92</v>
      </c>
      <c r="B461" s="33" t="s">
        <v>188</v>
      </c>
      <c r="C461" s="92" t="s">
        <v>339</v>
      </c>
      <c r="D461" s="33" t="s">
        <v>411</v>
      </c>
      <c r="E461" s="34">
        <v>44104</v>
      </c>
      <c r="F461" s="34">
        <v>44105</v>
      </c>
      <c r="G461" s="34">
        <v>44110</v>
      </c>
      <c r="H461" s="35">
        <v>0.05</v>
      </c>
      <c r="I461" s="67">
        <v>0.36549999999999999</v>
      </c>
      <c r="J461" s="67">
        <v>0</v>
      </c>
      <c r="K461" s="67">
        <v>0.36549999999999999</v>
      </c>
      <c r="L461" s="36">
        <f>+K461-((K461*0.03783*0.125)+(K461*(1-0.089)*0.26))</f>
        <v>0.27719931187500002</v>
      </c>
      <c r="M461" s="64">
        <f t="shared" si="12"/>
        <v>0.27719931187500002</v>
      </c>
      <c r="N461" s="33" t="s">
        <v>251</v>
      </c>
    </row>
    <row r="462" spans="1:14" ht="15">
      <c r="A462" s="12" t="s">
        <v>94</v>
      </c>
      <c r="B462" s="33" t="s">
        <v>196</v>
      </c>
      <c r="C462" s="92" t="s">
        <v>340</v>
      </c>
      <c r="D462" s="33" t="s">
        <v>411</v>
      </c>
      <c r="E462" s="34">
        <v>44104</v>
      </c>
      <c r="F462" s="34">
        <v>44105</v>
      </c>
      <c r="G462" s="34">
        <v>44110</v>
      </c>
      <c r="H462" s="35">
        <v>0.05</v>
      </c>
      <c r="I462" s="67">
        <v>0.37780000000000002</v>
      </c>
      <c r="J462" s="67">
        <v>0</v>
      </c>
      <c r="K462" s="67">
        <v>0.37780000000000002</v>
      </c>
      <c r="L462" s="36">
        <f>+K462-((K462*0.03783*0.125)+(K462*(1-0.089)*0.26))</f>
        <v>0.28652777024999998</v>
      </c>
      <c r="M462" s="64">
        <f t="shared" si="12"/>
        <v>0.28652777024999998</v>
      </c>
      <c r="N462" s="33" t="s">
        <v>251</v>
      </c>
    </row>
    <row r="463" spans="1:14" ht="15">
      <c r="A463" s="12"/>
      <c r="B463" s="33" t="s">
        <v>191</v>
      </c>
      <c r="C463" s="92" t="s">
        <v>346</v>
      </c>
      <c r="D463" s="33" t="s">
        <v>411</v>
      </c>
      <c r="E463" s="34">
        <v>44104</v>
      </c>
      <c r="F463" s="34">
        <v>44105</v>
      </c>
      <c r="G463" s="34">
        <v>44110</v>
      </c>
      <c r="H463" s="35">
        <v>3.5000000000000003E-2</v>
      </c>
      <c r="I463" s="67">
        <v>1.47E-2</v>
      </c>
      <c r="J463" s="67">
        <v>0</v>
      </c>
      <c r="K463" s="67">
        <v>1.47E-2</v>
      </c>
      <c r="L463" s="36">
        <f>+K463-((K463*0.7742*0.125)+(K463*(1-0.7742)*0.26))</f>
        <v>1.2414399899999999E-2</v>
      </c>
      <c r="M463" s="64">
        <f t="shared" si="12"/>
        <v>1.2414399899999999E-2</v>
      </c>
      <c r="N463" s="33" t="s">
        <v>251</v>
      </c>
    </row>
    <row r="464" spans="1:14" ht="15">
      <c r="A464" s="12" t="s">
        <v>96</v>
      </c>
      <c r="B464" s="33" t="s">
        <v>199</v>
      </c>
      <c r="C464" s="92" t="s">
        <v>347</v>
      </c>
      <c r="D464" s="33" t="s">
        <v>411</v>
      </c>
      <c r="E464" s="34">
        <v>44104</v>
      </c>
      <c r="F464" s="34">
        <v>44105</v>
      </c>
      <c r="G464" s="34">
        <v>44110</v>
      </c>
      <c r="H464" s="35">
        <v>3.5000000000000003E-2</v>
      </c>
      <c r="I464" s="67">
        <v>1.47E-2</v>
      </c>
      <c r="J464" s="67">
        <v>0</v>
      </c>
      <c r="K464" s="67">
        <v>1.47E-2</v>
      </c>
      <c r="L464" s="36">
        <f>+K464-((K464*0.7742*0.125)+(K464*(1-0.7742)*0.26))</f>
        <v>1.2414399899999999E-2</v>
      </c>
      <c r="M464" s="64">
        <f t="shared" si="12"/>
        <v>1.2414399899999999E-2</v>
      </c>
      <c r="N464" s="33" t="s">
        <v>251</v>
      </c>
    </row>
    <row r="465" spans="1:14" ht="15">
      <c r="A465" s="12" t="s">
        <v>195</v>
      </c>
      <c r="B465" s="33" t="s">
        <v>306</v>
      </c>
      <c r="C465" s="92" t="s">
        <v>430</v>
      </c>
      <c r="D465" s="33" t="s">
        <v>411</v>
      </c>
      <c r="E465" s="34">
        <v>44104</v>
      </c>
      <c r="F465" s="34">
        <v>44105</v>
      </c>
      <c r="G465" s="34">
        <v>44110</v>
      </c>
      <c r="H465" s="35">
        <v>0.02</v>
      </c>
      <c r="I465" s="67">
        <v>8.3999999999999995E-3</v>
      </c>
      <c r="J465" s="67">
        <v>0</v>
      </c>
      <c r="K465" s="67">
        <v>8.3999999999999995E-3</v>
      </c>
      <c r="L465" s="36">
        <f t="shared" ref="L465:L470" si="13">+K465-((K465*0.0000001*0.125)+(K465*(1-0.0000001)*0.26))</f>
        <v>6.2160001133999996E-3</v>
      </c>
      <c r="M465" s="64">
        <f t="shared" si="12"/>
        <v>6.2160001133999996E-3</v>
      </c>
      <c r="N465" s="33" t="s">
        <v>251</v>
      </c>
    </row>
    <row r="466" spans="1:14" ht="15">
      <c r="A466" s="12"/>
      <c r="B466" s="33" t="s">
        <v>184</v>
      </c>
      <c r="C466" s="92" t="s">
        <v>354</v>
      </c>
      <c r="D466" s="33" t="s">
        <v>411</v>
      </c>
      <c r="E466" s="34">
        <v>44104</v>
      </c>
      <c r="F466" s="34">
        <v>44105</v>
      </c>
      <c r="G466" s="34">
        <v>44110</v>
      </c>
      <c r="H466" s="35">
        <v>0.02</v>
      </c>
      <c r="I466" s="67">
        <v>0.16880000000000001</v>
      </c>
      <c r="J466" s="67">
        <v>0</v>
      </c>
      <c r="K466" s="67">
        <v>0.16880000000000001</v>
      </c>
      <c r="L466" s="36">
        <f t="shared" si="13"/>
        <v>0.12491200227880001</v>
      </c>
      <c r="M466" s="64">
        <f t="shared" si="12"/>
        <v>0.12491200227880001</v>
      </c>
      <c r="N466" s="33" t="s">
        <v>251</v>
      </c>
    </row>
    <row r="467" spans="1:14" ht="15">
      <c r="A467" s="12" t="s">
        <v>187</v>
      </c>
      <c r="B467" s="33" t="s">
        <v>192</v>
      </c>
      <c r="C467" s="92" t="s">
        <v>355</v>
      </c>
      <c r="D467" s="33" t="s">
        <v>411</v>
      </c>
      <c r="E467" s="34">
        <v>44104</v>
      </c>
      <c r="F467" s="34">
        <v>44105</v>
      </c>
      <c r="G467" s="34">
        <v>44110</v>
      </c>
      <c r="H467" s="35">
        <v>0.02</v>
      </c>
      <c r="I467" s="67">
        <v>0.16980000000000001</v>
      </c>
      <c r="J467" s="67">
        <v>0</v>
      </c>
      <c r="K467" s="67">
        <v>0.16980000000000001</v>
      </c>
      <c r="L467" s="36">
        <f t="shared" si="13"/>
        <v>0.1256520022923</v>
      </c>
      <c r="M467" s="64">
        <f t="shared" si="12"/>
        <v>0.1256520022923</v>
      </c>
      <c r="N467" s="33" t="s">
        <v>251</v>
      </c>
    </row>
    <row r="468" spans="1:14" ht="15">
      <c r="A468" s="12" t="s">
        <v>198</v>
      </c>
      <c r="B468" s="33" t="s">
        <v>311</v>
      </c>
      <c r="C468" s="92" t="s">
        <v>425</v>
      </c>
      <c r="D468" s="33" t="s">
        <v>411</v>
      </c>
      <c r="E468" s="34">
        <v>44104</v>
      </c>
      <c r="F468" s="34">
        <v>44105</v>
      </c>
      <c r="G468" s="34">
        <v>44110</v>
      </c>
      <c r="H468" s="35">
        <v>0.01</v>
      </c>
      <c r="I468" s="67">
        <v>4.1999999999999997E-3</v>
      </c>
      <c r="J468" s="67">
        <v>0</v>
      </c>
      <c r="K468" s="67">
        <v>4.1999999999999997E-3</v>
      </c>
      <c r="L468" s="36">
        <f t="shared" si="13"/>
        <v>3.1080000566999998E-3</v>
      </c>
      <c r="M468" s="64">
        <f t="shared" si="12"/>
        <v>3.1080000566999998E-3</v>
      </c>
      <c r="N468" s="33" t="s">
        <v>251</v>
      </c>
    </row>
    <row r="469" spans="1:14" ht="15">
      <c r="A469" s="12"/>
      <c r="B469" s="33" t="s">
        <v>189</v>
      </c>
      <c r="C469" s="92" t="s">
        <v>356</v>
      </c>
      <c r="D469" s="33" t="s">
        <v>411</v>
      </c>
      <c r="E469" s="34">
        <v>44104</v>
      </c>
      <c r="F469" s="34">
        <v>44105</v>
      </c>
      <c r="G469" s="34">
        <v>44110</v>
      </c>
      <c r="H469" s="35">
        <v>0.01</v>
      </c>
      <c r="I469" s="67">
        <v>7.6300000000000007E-2</v>
      </c>
      <c r="J469" s="67">
        <v>0</v>
      </c>
      <c r="K469" s="67">
        <v>7.6300000000000007E-2</v>
      </c>
      <c r="L469" s="36">
        <f t="shared" si="13"/>
        <v>5.6462001030050002E-2</v>
      </c>
      <c r="M469" s="64">
        <f t="shared" si="12"/>
        <v>5.6462001030050002E-2</v>
      </c>
      <c r="N469" s="33" t="s">
        <v>251</v>
      </c>
    </row>
    <row r="470" spans="1:14" ht="15">
      <c r="A470" s="12" t="s">
        <v>190</v>
      </c>
      <c r="B470" s="33" t="s">
        <v>197</v>
      </c>
      <c r="C470" s="92" t="s">
        <v>357</v>
      </c>
      <c r="D470" s="33" t="s">
        <v>411</v>
      </c>
      <c r="E470" s="34">
        <v>44104</v>
      </c>
      <c r="F470" s="34">
        <v>44105</v>
      </c>
      <c r="G470" s="34">
        <v>44110</v>
      </c>
      <c r="H470" s="35">
        <v>0.01</v>
      </c>
      <c r="I470" s="67">
        <v>7.7399999999999997E-2</v>
      </c>
      <c r="J470" s="67">
        <v>0</v>
      </c>
      <c r="K470" s="67">
        <v>7.7399999999999997E-2</v>
      </c>
      <c r="L470" s="36">
        <f t="shared" si="13"/>
        <v>5.7276001044899993E-2</v>
      </c>
      <c r="M470" s="64">
        <f t="shared" si="12"/>
        <v>5.7276001044899993E-2</v>
      </c>
      <c r="N470" s="33" t="s">
        <v>251</v>
      </c>
    </row>
    <row r="471" spans="1:14" ht="15">
      <c r="A471" s="12"/>
      <c r="B471" s="33" t="s">
        <v>308</v>
      </c>
      <c r="C471" s="92" t="s">
        <v>426</v>
      </c>
      <c r="D471" s="33" t="s">
        <v>411</v>
      </c>
      <c r="E471" s="34">
        <v>44104</v>
      </c>
      <c r="F471" s="34">
        <v>44105</v>
      </c>
      <c r="G471" s="34">
        <v>44110</v>
      </c>
      <c r="H471" s="35">
        <v>1.4999999999999999E-2</v>
      </c>
      <c r="I471" s="67">
        <v>6.1999999999999998E-3</v>
      </c>
      <c r="J471" s="67">
        <v>0</v>
      </c>
      <c r="K471" s="67">
        <v>6.1999999999999998E-3</v>
      </c>
      <c r="L471" s="36">
        <f>+K471-((K471*0.4996*0.125)+(K471*(1-0.4996)*0.26))</f>
        <v>5.0061652E-3</v>
      </c>
      <c r="M471" s="64">
        <f t="shared" si="12"/>
        <v>5.0061652E-3</v>
      </c>
      <c r="N471" s="33" t="s">
        <v>251</v>
      </c>
    </row>
    <row r="472" spans="1:14" ht="15">
      <c r="A472" s="12"/>
      <c r="B472" s="33" t="s">
        <v>186</v>
      </c>
      <c r="C472" s="92" t="s">
        <v>363</v>
      </c>
      <c r="D472" s="33" t="s">
        <v>411</v>
      </c>
      <c r="E472" s="34">
        <v>44104</v>
      </c>
      <c r="F472" s="34">
        <v>44105</v>
      </c>
      <c r="G472" s="34">
        <v>44110</v>
      </c>
      <c r="H472" s="35">
        <v>1.4999999999999999E-2</v>
      </c>
      <c r="I472" s="67">
        <v>0.114</v>
      </c>
      <c r="J472" s="67">
        <v>0</v>
      </c>
      <c r="K472" s="67">
        <v>0.114</v>
      </c>
      <c r="L472" s="36">
        <f>+K472-((K472*0.4996*0.125)+(K472*(1-0.4996)*0.26))</f>
        <v>9.2048844000000005E-2</v>
      </c>
      <c r="M472" s="64">
        <f t="shared" si="12"/>
        <v>9.2048844000000005E-2</v>
      </c>
      <c r="N472" s="33" t="s">
        <v>251</v>
      </c>
    </row>
    <row r="473" spans="1:14" ht="15">
      <c r="A473" s="12"/>
      <c r="B473" s="33" t="s">
        <v>194</v>
      </c>
      <c r="C473" s="92" t="s">
        <v>364</v>
      </c>
      <c r="D473" s="33" t="s">
        <v>411</v>
      </c>
      <c r="E473" s="34">
        <v>44104</v>
      </c>
      <c r="F473" s="34">
        <v>44105</v>
      </c>
      <c r="G473" s="34">
        <v>44110</v>
      </c>
      <c r="H473" s="35">
        <v>1.4999999999999999E-2</v>
      </c>
      <c r="I473" s="67">
        <v>0.1168</v>
      </c>
      <c r="J473" s="67">
        <v>0</v>
      </c>
      <c r="K473" s="67">
        <v>0.1168</v>
      </c>
      <c r="L473" s="36">
        <f>+K473-((K473*0.4996*0.125)+(K473*(1-0.4996)*0.26))</f>
        <v>9.4309692799999997E-2</v>
      </c>
      <c r="M473" s="64">
        <f t="shared" ref="M473:M504" si="14">J473+L473</f>
        <v>9.4309692799999997E-2</v>
      </c>
      <c r="N473" s="33" t="s">
        <v>251</v>
      </c>
    </row>
    <row r="474" spans="1:14" ht="15">
      <c r="A474" s="12" t="s">
        <v>95</v>
      </c>
      <c r="B474" s="33" t="s">
        <v>307</v>
      </c>
      <c r="C474" s="92" t="s">
        <v>420</v>
      </c>
      <c r="D474" s="33" t="s">
        <v>411</v>
      </c>
      <c r="E474" s="34">
        <v>44104</v>
      </c>
      <c r="F474" s="34">
        <v>44105</v>
      </c>
      <c r="G474" s="34">
        <v>44110</v>
      </c>
      <c r="H474" s="35">
        <v>1.4999999999999999E-2</v>
      </c>
      <c r="I474" s="67">
        <v>6.1999999999999998E-3</v>
      </c>
      <c r="J474" s="67">
        <v>0</v>
      </c>
      <c r="K474" s="67">
        <v>6.1999999999999998E-3</v>
      </c>
      <c r="L474" s="36">
        <f>+K474-((K474*0.619*0.125)+(K474*(1-0.619)*0.26))</f>
        <v>5.1061029999999999E-3</v>
      </c>
      <c r="M474" s="64">
        <f t="shared" si="14"/>
        <v>5.1061029999999999E-3</v>
      </c>
      <c r="N474" s="33" t="s">
        <v>251</v>
      </c>
    </row>
    <row r="475" spans="1:14" ht="15">
      <c r="A475" s="12" t="s">
        <v>182</v>
      </c>
      <c r="B475" s="33" t="s">
        <v>185</v>
      </c>
      <c r="C475" s="92" t="s">
        <v>366</v>
      </c>
      <c r="D475" s="33" t="s">
        <v>411</v>
      </c>
      <c r="E475" s="34">
        <v>44104</v>
      </c>
      <c r="F475" s="34">
        <v>44105</v>
      </c>
      <c r="G475" s="34">
        <v>44110</v>
      </c>
      <c r="H475" s="35">
        <v>1.4999999999999999E-2</v>
      </c>
      <c r="I475" s="67">
        <v>0.10390000000000001</v>
      </c>
      <c r="J475" s="67">
        <v>0</v>
      </c>
      <c r="K475" s="67">
        <v>0.10390000000000001</v>
      </c>
      <c r="L475" s="36">
        <f>+K475-((K475*0.619*0.125)+(K475*(1-0.619)*0.26))</f>
        <v>8.5568403500000001E-2</v>
      </c>
      <c r="M475" s="64">
        <f t="shared" si="14"/>
        <v>8.5568403500000001E-2</v>
      </c>
      <c r="N475" s="33" t="s">
        <v>251</v>
      </c>
    </row>
    <row r="476" spans="1:14" ht="15">
      <c r="A476" s="12" t="s">
        <v>202</v>
      </c>
      <c r="B476" s="33" t="s">
        <v>193</v>
      </c>
      <c r="C476" s="92" t="s">
        <v>367</v>
      </c>
      <c r="D476" s="33" t="s">
        <v>411</v>
      </c>
      <c r="E476" s="34">
        <v>44104</v>
      </c>
      <c r="F476" s="34">
        <v>44105</v>
      </c>
      <c r="G476" s="34">
        <v>44110</v>
      </c>
      <c r="H476" s="35">
        <v>1.4999999999999999E-2</v>
      </c>
      <c r="I476" s="67">
        <v>0.1009</v>
      </c>
      <c r="J476" s="67">
        <v>0</v>
      </c>
      <c r="K476" s="67">
        <v>0.1009</v>
      </c>
      <c r="L476" s="36">
        <f>+K476-((K476*0.619*0.125)+(K476*(1-0.619)*0.26))</f>
        <v>8.3097708500000006E-2</v>
      </c>
      <c r="M476" s="64">
        <f t="shared" si="14"/>
        <v>8.3097708500000006E-2</v>
      </c>
      <c r="N476" s="33" t="s">
        <v>251</v>
      </c>
    </row>
    <row r="477" spans="1:14" ht="15">
      <c r="A477" s="12" t="s">
        <v>27</v>
      </c>
      <c r="B477" s="33" t="s">
        <v>309</v>
      </c>
      <c r="C477" s="92" t="s">
        <v>427</v>
      </c>
      <c r="D477" s="33" t="s">
        <v>411</v>
      </c>
      <c r="E477" s="34">
        <v>44104</v>
      </c>
      <c r="F477" s="34">
        <v>44105</v>
      </c>
      <c r="G477" s="34">
        <v>44110</v>
      </c>
      <c r="H477" s="35">
        <v>3.5000000000000003E-2</v>
      </c>
      <c r="I477" s="67">
        <v>1.4500000000000001E-2</v>
      </c>
      <c r="J477" s="67">
        <v>0</v>
      </c>
      <c r="K477" s="67">
        <v>1.4500000000000001E-2</v>
      </c>
      <c r="L477" s="36">
        <f>+K477-((K477*0.0000001*0.125)+(K477*(1-0.0000001)*0.26))</f>
        <v>1.0730000195749999E-2</v>
      </c>
      <c r="M477" s="64">
        <f t="shared" si="14"/>
        <v>1.0730000195749999E-2</v>
      </c>
      <c r="N477" s="33" t="s">
        <v>251</v>
      </c>
    </row>
    <row r="478" spans="1:14" ht="15">
      <c r="A478" s="12" t="s">
        <v>10</v>
      </c>
      <c r="B478" s="33" t="s">
        <v>187</v>
      </c>
      <c r="C478" s="92" t="s">
        <v>368</v>
      </c>
      <c r="D478" s="33" t="s">
        <v>411</v>
      </c>
      <c r="E478" s="34">
        <v>44104</v>
      </c>
      <c r="F478" s="34">
        <v>44105</v>
      </c>
      <c r="G478" s="34">
        <v>44110</v>
      </c>
      <c r="H478" s="35">
        <v>3.5000000000000003E-2</v>
      </c>
      <c r="I478" s="67">
        <v>0.25679999999999997</v>
      </c>
      <c r="J478" s="67">
        <v>0</v>
      </c>
      <c r="K478" s="67">
        <v>0.25679999999999997</v>
      </c>
      <c r="L478" s="36">
        <f>+K478-((K478*0.0000001*0.125)+(K478*(1-0.0000001)*0.26))</f>
        <v>0.19003200346679996</v>
      </c>
      <c r="M478" s="64">
        <f t="shared" si="14"/>
        <v>0.19003200346679996</v>
      </c>
      <c r="N478" s="33" t="s">
        <v>251</v>
      </c>
    </row>
    <row r="479" spans="1:14" ht="15">
      <c r="A479" s="12" t="s">
        <v>100</v>
      </c>
      <c r="B479" s="33" t="s">
        <v>195</v>
      </c>
      <c r="C479" s="92" t="s">
        <v>369</v>
      </c>
      <c r="D479" s="33" t="s">
        <v>411</v>
      </c>
      <c r="E479" s="34">
        <v>44104</v>
      </c>
      <c r="F479" s="34">
        <v>44105</v>
      </c>
      <c r="G479" s="34">
        <v>44110</v>
      </c>
      <c r="H479" s="35">
        <v>3.5000000000000003E-2</v>
      </c>
      <c r="I479" s="67">
        <v>0.26400000000000001</v>
      </c>
      <c r="J479" s="67">
        <v>0</v>
      </c>
      <c r="K479" s="67">
        <v>0.26400000000000001</v>
      </c>
      <c r="L479" s="36">
        <f>+K479-((K479*0.0000001*0.125)+(K479*(1-0.0000001)*0.26))</f>
        <v>0.19536000356400002</v>
      </c>
      <c r="M479" s="64">
        <f t="shared" si="14"/>
        <v>0.19536000356400002</v>
      </c>
      <c r="N479" s="33" t="s">
        <v>251</v>
      </c>
    </row>
    <row r="480" spans="1:14" ht="15">
      <c r="A480" s="12" t="s">
        <v>102</v>
      </c>
      <c r="B480" s="33" t="s">
        <v>312</v>
      </c>
      <c r="C480" s="92" t="s">
        <v>428</v>
      </c>
      <c r="D480" s="33" t="s">
        <v>411</v>
      </c>
      <c r="E480" s="34">
        <v>44104</v>
      </c>
      <c r="F480" s="34">
        <v>44105</v>
      </c>
      <c r="G480" s="34">
        <v>44110</v>
      </c>
      <c r="H480" s="35">
        <v>0.05</v>
      </c>
      <c r="I480" s="67">
        <v>2.1100000000000001E-2</v>
      </c>
      <c r="J480" s="67">
        <v>0</v>
      </c>
      <c r="K480" s="67">
        <v>2.1100000000000001E-2</v>
      </c>
      <c r="L480" s="36">
        <f>+K480-((K480*0.028*0.125)+(K480*(1-0.028)*0.26))</f>
        <v>1.5693757999999999E-2</v>
      </c>
      <c r="M480" s="64">
        <f t="shared" si="14"/>
        <v>1.5693757999999999E-2</v>
      </c>
      <c r="N480" s="33" t="s">
        <v>251</v>
      </c>
    </row>
    <row r="481" spans="1:14" ht="15">
      <c r="A481" s="12" t="s">
        <v>98</v>
      </c>
      <c r="B481" s="33" t="s">
        <v>190</v>
      </c>
      <c r="C481" s="92" t="s">
        <v>370</v>
      </c>
      <c r="D481" s="33" t="s">
        <v>411</v>
      </c>
      <c r="E481" s="34">
        <v>44104</v>
      </c>
      <c r="F481" s="34">
        <v>44105</v>
      </c>
      <c r="G481" s="34">
        <v>44110</v>
      </c>
      <c r="H481" s="35">
        <v>0.05</v>
      </c>
      <c r="I481" s="67">
        <v>0.39989999999999998</v>
      </c>
      <c r="J481" s="67">
        <v>0</v>
      </c>
      <c r="K481" s="67">
        <v>0.39989999999999998</v>
      </c>
      <c r="L481" s="36">
        <f>+K481-((K481*0.028*0.125)+(K481*(1-0.028)*0.26))</f>
        <v>0.29743762200000001</v>
      </c>
      <c r="M481" s="64">
        <f t="shared" si="14"/>
        <v>0.29743762200000001</v>
      </c>
      <c r="N481" s="33" t="s">
        <v>251</v>
      </c>
    </row>
    <row r="482" spans="1:14" ht="15">
      <c r="A482" s="12" t="s">
        <v>11</v>
      </c>
      <c r="B482" s="33" t="s">
        <v>198</v>
      </c>
      <c r="C482" s="92" t="s">
        <v>371</v>
      </c>
      <c r="D482" s="33" t="s">
        <v>411</v>
      </c>
      <c r="E482" s="34">
        <v>44104</v>
      </c>
      <c r="F482" s="34">
        <v>44105</v>
      </c>
      <c r="G482" s="34">
        <v>44110</v>
      </c>
      <c r="H482" s="35">
        <v>0.05</v>
      </c>
      <c r="I482" s="67">
        <v>0.39950000000000002</v>
      </c>
      <c r="J482" s="67">
        <v>0</v>
      </c>
      <c r="K482" s="67">
        <v>0.39950000000000002</v>
      </c>
      <c r="L482" s="36">
        <f>+K482-((K482*0.028*0.125)+(K482*(1-0.028)*0.26))</f>
        <v>0.29714011000000001</v>
      </c>
      <c r="M482" s="64">
        <f t="shared" si="14"/>
        <v>0.29714011000000001</v>
      </c>
      <c r="N482" s="33" t="s">
        <v>251</v>
      </c>
    </row>
    <row r="483" spans="1:14" ht="15">
      <c r="A483" s="12" t="s">
        <v>196</v>
      </c>
      <c r="B483" s="33" t="s">
        <v>513</v>
      </c>
      <c r="C483" s="92" t="s">
        <v>515</v>
      </c>
      <c r="D483" s="33" t="s">
        <v>411</v>
      </c>
      <c r="E483" s="34">
        <v>44104</v>
      </c>
      <c r="F483" s="34">
        <v>44105</v>
      </c>
      <c r="G483" s="34">
        <v>44110</v>
      </c>
      <c r="H483" s="35">
        <v>0.02</v>
      </c>
      <c r="I483" s="67">
        <v>0.13569999999999999</v>
      </c>
      <c r="J483" s="67">
        <v>3.117929408948461E-2</v>
      </c>
      <c r="K483" s="67">
        <v>0.10452070591051538</v>
      </c>
      <c r="L483" s="36">
        <f>+K483-((K483*0.4903*0.125)+(K483*(1-0.4903)*0.26))</f>
        <v>8.426360015835134E-2</v>
      </c>
      <c r="M483" s="64">
        <f t="shared" si="14"/>
        <v>0.11544289424783595</v>
      </c>
      <c r="N483" s="33" t="s">
        <v>251</v>
      </c>
    </row>
    <row r="484" spans="1:14" ht="15">
      <c r="A484" s="12"/>
      <c r="B484" s="33" t="s">
        <v>514</v>
      </c>
      <c r="C484" s="92" t="s">
        <v>516</v>
      </c>
      <c r="D484" s="33" t="s">
        <v>411</v>
      </c>
      <c r="E484" s="34">
        <v>44104</v>
      </c>
      <c r="F484" s="34">
        <v>44105</v>
      </c>
      <c r="G484" s="34">
        <v>44110</v>
      </c>
      <c r="H484" s="35">
        <v>0.02</v>
      </c>
      <c r="I484" s="67">
        <v>0.13639999999999999</v>
      </c>
      <c r="J484" s="67">
        <v>6.936719217067959E-2</v>
      </c>
      <c r="K484" s="67">
        <v>6.703280782932039E-2</v>
      </c>
      <c r="L484" s="36">
        <f>+K484-((K484*0.4903*0.125)+(K484*(1-0.4903)*0.26))</f>
        <v>5.404121286032372E-2</v>
      </c>
      <c r="M484" s="64">
        <f t="shared" si="14"/>
        <v>0.12340840503100331</v>
      </c>
      <c r="N484" s="33" t="s">
        <v>251</v>
      </c>
    </row>
    <row r="485" spans="1:14" ht="15">
      <c r="A485" s="12" t="s">
        <v>38</v>
      </c>
      <c r="B485" s="33" t="s">
        <v>313</v>
      </c>
      <c r="C485" s="92" t="s">
        <v>429</v>
      </c>
      <c r="D485" s="33" t="s">
        <v>411</v>
      </c>
      <c r="E485" s="34">
        <v>44104</v>
      </c>
      <c r="F485" s="34">
        <v>44105</v>
      </c>
      <c r="G485" s="34">
        <v>44110</v>
      </c>
      <c r="H485" s="35">
        <v>2.2499999999999999E-2</v>
      </c>
      <c r="I485" s="67">
        <v>9.2999999999999992E-3</v>
      </c>
      <c r="J485" s="67">
        <v>0</v>
      </c>
      <c r="K485" s="67">
        <v>9.2999999999999992E-3</v>
      </c>
      <c r="L485" s="36">
        <f>+K485-((K485*0.1466*0.125)+(K485*(1-0.1466)*0.26))</f>
        <v>7.0660562999999999E-3</v>
      </c>
      <c r="M485" s="64">
        <f t="shared" si="14"/>
        <v>7.0660562999999999E-3</v>
      </c>
      <c r="N485" s="33" t="s">
        <v>251</v>
      </c>
    </row>
    <row r="486" spans="1:14" ht="15">
      <c r="A486" s="12" t="s">
        <v>231</v>
      </c>
      <c r="B486" s="33" t="s">
        <v>298</v>
      </c>
      <c r="C486" s="92" t="s">
        <v>403</v>
      </c>
      <c r="D486" s="33" t="s">
        <v>410</v>
      </c>
      <c r="E486" s="34">
        <v>44104</v>
      </c>
      <c r="F486" s="34">
        <v>44105</v>
      </c>
      <c r="G486" s="34">
        <v>44110</v>
      </c>
      <c r="H486" s="35">
        <v>4.4999999999999998E-2</v>
      </c>
      <c r="I486" s="67">
        <v>5.62E-2</v>
      </c>
      <c r="J486" s="67">
        <v>2.6126146361972597E-2</v>
      </c>
      <c r="K486" s="67">
        <v>3.0073853638027403E-2</v>
      </c>
      <c r="L486" s="36">
        <f>+K486-((K486*0.4755*0.125)+(K486*(1-0.4755)*0.26))</f>
        <v>2.4185167541799352E-2</v>
      </c>
      <c r="M486" s="64">
        <f t="shared" si="14"/>
        <v>5.031131390377195E-2</v>
      </c>
      <c r="N486" s="33" t="s">
        <v>248</v>
      </c>
    </row>
    <row r="487" spans="1:14" ht="15">
      <c r="A487" s="12" t="s">
        <v>91</v>
      </c>
      <c r="B487" s="33" t="s">
        <v>181</v>
      </c>
      <c r="C487" s="92" t="s">
        <v>335</v>
      </c>
      <c r="D487" s="33" t="s">
        <v>410</v>
      </c>
      <c r="E487" s="34">
        <v>44104</v>
      </c>
      <c r="F487" s="34">
        <v>44105</v>
      </c>
      <c r="G487" s="34">
        <v>44110</v>
      </c>
      <c r="H487" s="35">
        <v>4.4999999999999998E-2</v>
      </c>
      <c r="I487" s="67">
        <v>1.0031000000000001</v>
      </c>
      <c r="J487" s="67">
        <v>0.49378040722160604</v>
      </c>
      <c r="K487" s="67">
        <v>0.509319592778394</v>
      </c>
      <c r="L487" s="36">
        <f>+K487-((K487*0.4755*0.125)+(K487*(1-0.4755)*0.26))</f>
        <v>0.40959099661543863</v>
      </c>
      <c r="M487" s="64">
        <f t="shared" si="14"/>
        <v>0.90337140383704462</v>
      </c>
      <c r="N487" s="33" t="s">
        <v>248</v>
      </c>
    </row>
    <row r="488" spans="1:14" ht="15">
      <c r="A488" s="12" t="s">
        <v>90</v>
      </c>
      <c r="B488" s="33" t="s">
        <v>201</v>
      </c>
      <c r="C488" s="92" t="s">
        <v>336</v>
      </c>
      <c r="D488" s="33" t="s">
        <v>410</v>
      </c>
      <c r="E488" s="34">
        <v>44104</v>
      </c>
      <c r="F488" s="34">
        <v>44105</v>
      </c>
      <c r="G488" s="34">
        <v>44110</v>
      </c>
      <c r="H488" s="35">
        <v>4.4999999999999998E-2</v>
      </c>
      <c r="I488" s="67">
        <v>1.014</v>
      </c>
      <c r="J488" s="67">
        <v>0.40527179710124367</v>
      </c>
      <c r="K488" s="67">
        <v>0.6087282028987564</v>
      </c>
      <c r="L488" s="36">
        <f>+K488-((K488*0.4755*0.125)+(K488*(1-0.4755)*0.26))</f>
        <v>0.48953465530965817</v>
      </c>
      <c r="M488" s="64">
        <f t="shared" si="14"/>
        <v>0.89480645241090184</v>
      </c>
      <c r="N488" s="33" t="s">
        <v>248</v>
      </c>
    </row>
    <row r="489" spans="1:14" ht="15">
      <c r="A489" s="12" t="s">
        <v>17</v>
      </c>
      <c r="B489" s="33" t="s">
        <v>138</v>
      </c>
      <c r="C489" s="92" t="s">
        <v>337</v>
      </c>
      <c r="D489" s="33" t="s">
        <v>410</v>
      </c>
      <c r="E489" s="34">
        <v>44104</v>
      </c>
      <c r="F489" s="34">
        <v>44105</v>
      </c>
      <c r="G489" s="34">
        <v>44110</v>
      </c>
      <c r="H489" s="35">
        <v>0.05</v>
      </c>
      <c r="I489" s="67">
        <v>7.8799999999999995E-2</v>
      </c>
      <c r="J489" s="67">
        <v>1.917925061836051E-2</v>
      </c>
      <c r="K489" s="67">
        <v>5.9620749381639485E-2</v>
      </c>
      <c r="L489" s="36">
        <f>+K489-((K489*0.3017*0.125)+(K489*(1-0.089)*0.26))</f>
        <v>4.3250531172049272E-2</v>
      </c>
      <c r="M489" s="64">
        <f t="shared" si="14"/>
        <v>6.2429781790409783E-2</v>
      </c>
      <c r="N489" s="33" t="s">
        <v>248</v>
      </c>
    </row>
    <row r="490" spans="1:14" ht="15">
      <c r="A490" s="12"/>
      <c r="B490" s="33" t="s">
        <v>160</v>
      </c>
      <c r="C490" s="92" t="s">
        <v>338</v>
      </c>
      <c r="D490" s="33" t="s">
        <v>410</v>
      </c>
      <c r="E490" s="34">
        <v>44104</v>
      </c>
      <c r="F490" s="34">
        <v>44105</v>
      </c>
      <c r="G490" s="34">
        <v>44110</v>
      </c>
      <c r="H490" s="35">
        <v>0.05</v>
      </c>
      <c r="I490" s="67">
        <v>7.8399999999999997E-2</v>
      </c>
      <c r="J490" s="67">
        <v>2.61907876634703E-2</v>
      </c>
      <c r="K490" s="67">
        <v>5.2209212336529698E-2</v>
      </c>
      <c r="L490" s="36">
        <f>+K490-((K490*0.3017*0.125)+(K490*(1-0.089)*0.26))</f>
        <v>3.7873998382257898E-2</v>
      </c>
      <c r="M490" s="64">
        <f t="shared" si="14"/>
        <v>6.4064786045728198E-2</v>
      </c>
      <c r="N490" s="33" t="s">
        <v>248</v>
      </c>
    </row>
    <row r="491" spans="1:14" ht="15">
      <c r="A491" s="12"/>
      <c r="B491" s="33" t="s">
        <v>300</v>
      </c>
      <c r="C491" s="92" t="s">
        <v>404</v>
      </c>
      <c r="D491" s="33" t="s">
        <v>410</v>
      </c>
      <c r="E491" s="34">
        <v>44104</v>
      </c>
      <c r="F491" s="34">
        <v>44105</v>
      </c>
      <c r="G491" s="34">
        <v>44110</v>
      </c>
      <c r="H491" s="35">
        <v>0.05</v>
      </c>
      <c r="I491" s="67">
        <v>6.1499999999999999E-2</v>
      </c>
      <c r="J491" s="67">
        <v>1.8116342284949818E-2</v>
      </c>
      <c r="K491" s="67">
        <v>4.3383657715050185E-2</v>
      </c>
      <c r="L491" s="36">
        <f>+K491-((K491*0.3017*0.125)+(K491*(1-0.089)*0.26))</f>
        <v>3.1471698357084563E-2</v>
      </c>
      <c r="M491" s="64">
        <f t="shared" si="14"/>
        <v>4.9588040642034384E-2</v>
      </c>
      <c r="N491" s="33" t="s">
        <v>248</v>
      </c>
    </row>
    <row r="492" spans="1:14" ht="15">
      <c r="A492" s="12" t="s">
        <v>184</v>
      </c>
      <c r="B492" s="33" t="s">
        <v>142</v>
      </c>
      <c r="C492" s="92" t="s">
        <v>341</v>
      </c>
      <c r="D492" s="33" t="s">
        <v>410</v>
      </c>
      <c r="E492" s="34">
        <v>44104</v>
      </c>
      <c r="F492" s="34">
        <v>44105</v>
      </c>
      <c r="G492" s="34">
        <v>44110</v>
      </c>
      <c r="H492" s="35">
        <v>5.2499999999999998E-2</v>
      </c>
      <c r="I492" s="67">
        <v>8.3900000000000002E-2</v>
      </c>
      <c r="J492" s="67">
        <v>0</v>
      </c>
      <c r="K492" s="67">
        <v>8.3900000000000002E-2</v>
      </c>
      <c r="L492" s="36">
        <f>+K492-((K492*0.0016*0.125)+(K492*(1-0.0016)*0.26))</f>
        <v>6.2104122400000003E-2</v>
      </c>
      <c r="M492" s="64">
        <f t="shared" si="14"/>
        <v>6.2104122400000003E-2</v>
      </c>
      <c r="N492" s="33" t="s">
        <v>248</v>
      </c>
    </row>
    <row r="493" spans="1:14" ht="15">
      <c r="A493" s="12" t="s">
        <v>192</v>
      </c>
      <c r="B493" s="33" t="s">
        <v>159</v>
      </c>
      <c r="C493" s="92" t="s">
        <v>342</v>
      </c>
      <c r="D493" s="33" t="s">
        <v>410</v>
      </c>
      <c r="E493" s="34">
        <v>44104</v>
      </c>
      <c r="F493" s="34">
        <v>44105</v>
      </c>
      <c r="G493" s="34">
        <v>44110</v>
      </c>
      <c r="H493" s="35">
        <v>5.2499999999999998E-2</v>
      </c>
      <c r="I493" s="67">
        <v>8.3599999999999994E-2</v>
      </c>
      <c r="J493" s="67">
        <v>0</v>
      </c>
      <c r="K493" s="67">
        <v>8.3599999999999994E-2</v>
      </c>
      <c r="L493" s="36">
        <f>+K493-((K493*0.0016*0.125)+(K493*(1-0.0016)*0.26))</f>
        <v>6.1882057599999998E-2</v>
      </c>
      <c r="M493" s="64">
        <f t="shared" si="14"/>
        <v>6.1882057599999998E-2</v>
      </c>
      <c r="N493" s="33" t="s">
        <v>248</v>
      </c>
    </row>
    <row r="494" spans="1:14" ht="15">
      <c r="A494" s="12"/>
      <c r="B494" s="33" t="s">
        <v>507</v>
      </c>
      <c r="C494" s="92" t="s">
        <v>508</v>
      </c>
      <c r="D494" s="33" t="s">
        <v>410</v>
      </c>
      <c r="E494" s="34">
        <v>44104</v>
      </c>
      <c r="F494" s="34">
        <v>44105</v>
      </c>
      <c r="G494" s="34">
        <v>44110</v>
      </c>
      <c r="H494" s="35">
        <v>5.2499999999999998E-2</v>
      </c>
      <c r="I494" s="67">
        <v>6.5799999999999997E-2</v>
      </c>
      <c r="J494" s="67">
        <v>0</v>
      </c>
      <c r="K494" s="67">
        <v>6.5799999999999997E-2</v>
      </c>
      <c r="L494" s="36">
        <f>+K494-((K494*0.0016*0.125)+(K494*(1-0.0016)*0.26))</f>
        <v>4.8706212799999996E-2</v>
      </c>
      <c r="M494" s="64">
        <f t="shared" si="14"/>
        <v>4.8706212799999996E-2</v>
      </c>
      <c r="N494" s="33" t="s">
        <v>248</v>
      </c>
    </row>
    <row r="495" spans="1:14" ht="15">
      <c r="A495" s="12" t="s">
        <v>189</v>
      </c>
      <c r="B495" s="33" t="s">
        <v>139</v>
      </c>
      <c r="C495" s="92" t="s">
        <v>344</v>
      </c>
      <c r="D495" s="33" t="s">
        <v>410</v>
      </c>
      <c r="E495" s="34">
        <v>44104</v>
      </c>
      <c r="F495" s="34">
        <v>44105</v>
      </c>
      <c r="G495" s="34">
        <v>44110</v>
      </c>
      <c r="H495" s="35">
        <v>3.5000000000000003E-2</v>
      </c>
      <c r="I495" s="67">
        <v>4.1799999999999997E-2</v>
      </c>
      <c r="J495" s="67">
        <v>3.3124978847580409E-3</v>
      </c>
      <c r="K495" s="67">
        <v>3.8487502115241955E-2</v>
      </c>
      <c r="L495" s="36">
        <f>+K495-((K495*0.7742*0.125)+(K495*(1-0.7742)*0.26))</f>
        <v>3.2503349823857788E-2</v>
      </c>
      <c r="M495" s="64">
        <f t="shared" si="14"/>
        <v>3.5815847708615831E-2</v>
      </c>
      <c r="N495" s="33" t="s">
        <v>248</v>
      </c>
    </row>
    <row r="496" spans="1:14" ht="15">
      <c r="A496" s="12" t="s">
        <v>197</v>
      </c>
      <c r="B496" s="33" t="s">
        <v>161</v>
      </c>
      <c r="C496" s="92" t="s">
        <v>345</v>
      </c>
      <c r="D496" s="33" t="s">
        <v>410</v>
      </c>
      <c r="E496" s="34">
        <v>44104</v>
      </c>
      <c r="F496" s="34">
        <v>44105</v>
      </c>
      <c r="G496" s="34">
        <v>44110</v>
      </c>
      <c r="H496" s="35">
        <v>3.5000000000000003E-2</v>
      </c>
      <c r="I496" s="67">
        <v>4.1700000000000001E-2</v>
      </c>
      <c r="J496" s="67">
        <v>8.6887268671961611E-3</v>
      </c>
      <c r="K496" s="67">
        <v>3.3011273132803838E-2</v>
      </c>
      <c r="L496" s="36">
        <f>+K496-((K496*0.7742*0.125)+(K496*(1-0.7742)*0.26))</f>
        <v>2.7878581352296098E-2</v>
      </c>
      <c r="M496" s="64">
        <f t="shared" si="14"/>
        <v>3.6567308219492257E-2</v>
      </c>
      <c r="N496" s="33" t="s">
        <v>248</v>
      </c>
    </row>
    <row r="497" spans="1:14" ht="15">
      <c r="A497" s="12" t="s">
        <v>9</v>
      </c>
      <c r="B497" s="33" t="s">
        <v>141</v>
      </c>
      <c r="C497" s="92" t="s">
        <v>348</v>
      </c>
      <c r="D497" s="33" t="s">
        <v>410</v>
      </c>
      <c r="E497" s="34">
        <v>44104</v>
      </c>
      <c r="F497" s="34">
        <v>44105</v>
      </c>
      <c r="G497" s="34">
        <v>44110</v>
      </c>
      <c r="H497" s="35">
        <v>4.2500000000000003E-2</v>
      </c>
      <c r="I497" s="67">
        <v>5.1700000000000003E-2</v>
      </c>
      <c r="J497" s="67">
        <v>0</v>
      </c>
      <c r="K497" s="67">
        <v>5.1700000000000003E-2</v>
      </c>
      <c r="L497" s="36">
        <f>+K497-((K497*0.082*0.125)+(K497*(1-0.082)*0.26))</f>
        <v>3.8830319000000002E-2</v>
      </c>
      <c r="M497" s="64">
        <f t="shared" si="14"/>
        <v>3.8830319000000002E-2</v>
      </c>
      <c r="N497" s="33" t="s">
        <v>248</v>
      </c>
    </row>
    <row r="498" spans="1:14" ht="15">
      <c r="A498" s="12" t="s">
        <v>97</v>
      </c>
      <c r="B498" s="33" t="s">
        <v>140</v>
      </c>
      <c r="C498" s="92" t="s">
        <v>349</v>
      </c>
      <c r="D498" s="33" t="s">
        <v>410</v>
      </c>
      <c r="E498" s="34">
        <v>44104</v>
      </c>
      <c r="F498" s="34">
        <v>44105</v>
      </c>
      <c r="G498" s="34">
        <v>44110</v>
      </c>
      <c r="H498" s="35">
        <v>4.2500000000000003E-2</v>
      </c>
      <c r="I498" s="67">
        <v>5.67E-2</v>
      </c>
      <c r="J498" s="67">
        <v>1.2084651581931161E-3</v>
      </c>
      <c r="K498" s="67">
        <v>5.5491534841806883E-2</v>
      </c>
      <c r="L498" s="36">
        <f>+K498-((K498*0.082*0.125)+(K498*(1-0.082)*0.26))</f>
        <v>4.1678027073635895E-2</v>
      </c>
      <c r="M498" s="64">
        <f t="shared" si="14"/>
        <v>4.2886492231829013E-2</v>
      </c>
      <c r="N498" s="33" t="s">
        <v>248</v>
      </c>
    </row>
    <row r="499" spans="1:14" ht="15">
      <c r="A499" s="12" t="s">
        <v>186</v>
      </c>
      <c r="B499" s="33" t="s">
        <v>162</v>
      </c>
      <c r="C499" s="92" t="s">
        <v>350</v>
      </c>
      <c r="D499" s="33" t="s">
        <v>410</v>
      </c>
      <c r="E499" s="34">
        <v>44104</v>
      </c>
      <c r="F499" s="34">
        <v>44105</v>
      </c>
      <c r="G499" s="34">
        <v>44110</v>
      </c>
      <c r="H499" s="35">
        <v>4.2500000000000003E-2</v>
      </c>
      <c r="I499" s="67">
        <v>5.6500000000000002E-2</v>
      </c>
      <c r="J499" s="67">
        <v>9.1761721961923382E-3</v>
      </c>
      <c r="K499" s="67">
        <v>4.7323827803807665E-2</v>
      </c>
      <c r="L499" s="36">
        <f>+K499-((K499*0.082*0.125)+(K499*(1-0.082)*0.26))</f>
        <v>3.554350734860582E-2</v>
      </c>
      <c r="M499" s="64">
        <f t="shared" si="14"/>
        <v>4.4719679544798156E-2</v>
      </c>
      <c r="N499" s="33" t="s">
        <v>248</v>
      </c>
    </row>
    <row r="500" spans="1:14" ht="15">
      <c r="A500" s="12" t="s">
        <v>194</v>
      </c>
      <c r="B500" s="33" t="s">
        <v>302</v>
      </c>
      <c r="C500" s="92" t="s">
        <v>405</v>
      </c>
      <c r="D500" s="33" t="s">
        <v>410</v>
      </c>
      <c r="E500" s="34">
        <v>44104</v>
      </c>
      <c r="F500" s="34">
        <v>44105</v>
      </c>
      <c r="G500" s="34">
        <v>44110</v>
      </c>
      <c r="H500" s="35">
        <v>4.2500000000000003E-2</v>
      </c>
      <c r="I500" s="67">
        <v>5.3800000000000001E-2</v>
      </c>
      <c r="J500" s="67">
        <v>2.4455565814699484E-3</v>
      </c>
      <c r="K500" s="67">
        <v>5.1354443418530051E-2</v>
      </c>
      <c r="L500" s="36">
        <f>+K500-((K500*0.082*0.125)+(K500*(1-0.082)*0.26))</f>
        <v>3.8570781818355361E-2</v>
      </c>
      <c r="M500" s="64">
        <f t="shared" si="14"/>
        <v>4.1016338399825311E-2</v>
      </c>
      <c r="N500" s="33" t="s">
        <v>248</v>
      </c>
    </row>
    <row r="501" spans="1:14" ht="15">
      <c r="A501" s="12" t="s">
        <v>200</v>
      </c>
      <c r="B501" s="33" t="s">
        <v>303</v>
      </c>
      <c r="C501" s="92" t="s">
        <v>406</v>
      </c>
      <c r="D501" s="33" t="s">
        <v>410</v>
      </c>
      <c r="E501" s="34">
        <v>44104</v>
      </c>
      <c r="F501" s="34">
        <v>44105</v>
      </c>
      <c r="G501" s="34">
        <v>44110</v>
      </c>
      <c r="H501" s="35">
        <v>4.2500000000000003E-2</v>
      </c>
      <c r="I501" s="67">
        <v>5.3199999999999997E-2</v>
      </c>
      <c r="J501" s="67">
        <v>3.5314130506247958E-3</v>
      </c>
      <c r="K501" s="67">
        <v>4.9668586949375204E-2</v>
      </c>
      <c r="L501" s="36">
        <f>+K501-((K501*0.082*0.125)+(K501*(1-0.082)*0.26))</f>
        <v>3.7304585600067233E-2</v>
      </c>
      <c r="M501" s="64">
        <f t="shared" si="14"/>
        <v>4.0835998650692026E-2</v>
      </c>
      <c r="N501" s="33" t="s">
        <v>248</v>
      </c>
    </row>
    <row r="502" spans="1:14" ht="15">
      <c r="A502" s="12"/>
      <c r="B502" s="33" t="s">
        <v>143</v>
      </c>
      <c r="C502" s="92" t="s">
        <v>351</v>
      </c>
      <c r="D502" s="33" t="s">
        <v>410</v>
      </c>
      <c r="E502" s="34">
        <v>44104</v>
      </c>
      <c r="F502" s="34">
        <v>44105</v>
      </c>
      <c r="G502" s="34">
        <v>44110</v>
      </c>
      <c r="H502" s="35">
        <v>4.0000000000000001E-3</v>
      </c>
      <c r="I502" s="67">
        <v>5.1000000000000004E-3</v>
      </c>
      <c r="J502" s="67">
        <v>0</v>
      </c>
      <c r="K502" s="67">
        <v>5.1000000000000004E-3</v>
      </c>
      <c r="L502" s="36">
        <f>+K502-((K502*0.5914*0.125)+(K502*(1-0.5914)*0.26))</f>
        <v>4.1811789000000005E-3</v>
      </c>
      <c r="M502" s="64">
        <f t="shared" si="14"/>
        <v>4.1811789000000005E-3</v>
      </c>
      <c r="N502" s="33" t="s">
        <v>248</v>
      </c>
    </row>
    <row r="503" spans="1:14" ht="15">
      <c r="A503" s="12" t="s">
        <v>185</v>
      </c>
      <c r="B503" s="33" t="s">
        <v>145</v>
      </c>
      <c r="C503" s="92" t="s">
        <v>352</v>
      </c>
      <c r="D503" s="33" t="s">
        <v>410</v>
      </c>
      <c r="E503" s="34">
        <v>44104</v>
      </c>
      <c r="F503" s="34">
        <v>44105</v>
      </c>
      <c r="G503" s="34">
        <v>44110</v>
      </c>
      <c r="H503" s="35">
        <v>4.4999999999999997E-3</v>
      </c>
      <c r="I503" s="67">
        <v>5.7999999999999996E-3</v>
      </c>
      <c r="J503" s="67">
        <v>0</v>
      </c>
      <c r="K503" s="67">
        <v>5.7999999999999996E-3</v>
      </c>
      <c r="L503" s="36">
        <f>+K503-((K503*0.0006*0.125)+(K503*(1-0.0006)*0.26))</f>
        <v>4.2924697999999996E-3</v>
      </c>
      <c r="M503" s="64">
        <f t="shared" si="14"/>
        <v>4.2924697999999996E-3</v>
      </c>
      <c r="N503" s="33" t="s">
        <v>248</v>
      </c>
    </row>
    <row r="504" spans="1:14" ht="15">
      <c r="A504" s="12" t="s">
        <v>193</v>
      </c>
      <c r="B504" s="33" t="s">
        <v>144</v>
      </c>
      <c r="C504" s="92" t="s">
        <v>353</v>
      </c>
      <c r="D504" s="33" t="s">
        <v>410</v>
      </c>
      <c r="E504" s="34">
        <v>44104</v>
      </c>
      <c r="F504" s="34">
        <v>44105</v>
      </c>
      <c r="G504" s="34">
        <v>44110</v>
      </c>
      <c r="H504" s="35">
        <v>2E-3</v>
      </c>
      <c r="I504" s="67">
        <v>2.5000000000000001E-3</v>
      </c>
      <c r="J504" s="67">
        <v>0</v>
      </c>
      <c r="K504" s="67">
        <v>2.5000000000000001E-3</v>
      </c>
      <c r="L504" s="36">
        <f>+K504-((K504*0.9352*0.125)+(K504*(1-0.9352)*0.26))</f>
        <v>2.16563E-3</v>
      </c>
      <c r="M504" s="64">
        <f t="shared" si="14"/>
        <v>2.16563E-3</v>
      </c>
      <c r="N504" s="33" t="s">
        <v>248</v>
      </c>
    </row>
    <row r="505" spans="1:14" ht="15">
      <c r="A505" s="12" t="s">
        <v>99</v>
      </c>
      <c r="B505" s="33" t="s">
        <v>148</v>
      </c>
      <c r="C505" s="92" t="s">
        <v>362</v>
      </c>
      <c r="D505" s="33" t="s">
        <v>410</v>
      </c>
      <c r="E505" s="34">
        <v>44104</v>
      </c>
      <c r="F505" s="34">
        <v>44105</v>
      </c>
      <c r="G505" s="34">
        <v>44110</v>
      </c>
      <c r="H505" s="35">
        <v>1.4999999999999999E-2</v>
      </c>
      <c r="I505" s="67">
        <v>1.9900000000000001E-2</v>
      </c>
      <c r="J505" s="67">
        <v>0</v>
      </c>
      <c r="K505" s="67">
        <v>1.9900000000000001E-2</v>
      </c>
      <c r="L505" s="36">
        <f>+K505-((K505*0.4996*0.125)+(K505*(1-0.4996)*0.26))</f>
        <v>1.6068175400000002E-2</v>
      </c>
      <c r="M505" s="64">
        <f>J505+L505</f>
        <v>1.6068175400000002E-2</v>
      </c>
      <c r="N505" s="33" t="s">
        <v>248</v>
      </c>
    </row>
    <row r="506" spans="1:14" ht="15">
      <c r="A506" s="12"/>
      <c r="B506" s="33" t="s">
        <v>200</v>
      </c>
      <c r="C506" s="92" t="s">
        <v>365</v>
      </c>
      <c r="D506" s="33" t="s">
        <v>410</v>
      </c>
      <c r="E506" s="34">
        <v>44104</v>
      </c>
      <c r="F506" s="34">
        <v>44105</v>
      </c>
      <c r="G506" s="34">
        <v>44110</v>
      </c>
      <c r="H506" s="35">
        <v>1.4999999999999999E-2</v>
      </c>
      <c r="I506" s="67">
        <v>0.37040000000000001</v>
      </c>
      <c r="J506" s="67">
        <v>3.3038199194603324E-2</v>
      </c>
      <c r="K506" s="67">
        <v>0.33736180080539668</v>
      </c>
      <c r="L506" s="36">
        <f>+K506-((K506*0.4996*0.125)+(K506*(1-0.4996)*0.26))</f>
        <v>0.27240143661311433</v>
      </c>
      <c r="M506" s="64">
        <f>J506+L506</f>
        <v>0.30543963580771766</v>
      </c>
      <c r="N506" s="33" t="s">
        <v>248</v>
      </c>
    </row>
    <row r="507" spans="1:14" ht="15">
      <c r="A507" s="12" t="s">
        <v>101</v>
      </c>
      <c r="B507" s="33" t="s">
        <v>173</v>
      </c>
      <c r="C507" s="92" t="s">
        <v>372</v>
      </c>
      <c r="D507" s="33" t="s">
        <v>410</v>
      </c>
      <c r="E507" s="34">
        <v>44104</v>
      </c>
      <c r="F507" s="34">
        <v>44105</v>
      </c>
      <c r="G507" s="34">
        <v>44110</v>
      </c>
      <c r="H507" s="35">
        <v>0.01</v>
      </c>
      <c r="I507" s="67">
        <v>1.3100000000000001E-2</v>
      </c>
      <c r="J507" s="67">
        <v>9.2097740707505291E-3</v>
      </c>
      <c r="K507" s="67">
        <v>3.8902259292494731E-3</v>
      </c>
      <c r="L507" s="36">
        <f>+K507-((K507*0.355*0.125)+(K507*(1-0.355)*0.26))</f>
        <v>3.0652062653038908E-3</v>
      </c>
      <c r="M507" s="64">
        <f>J507+L507</f>
        <v>1.227498033605442E-2</v>
      </c>
      <c r="N507" s="33" t="s">
        <v>248</v>
      </c>
    </row>
    <row r="508" spans="1:14" ht="15">
      <c r="A508" s="12" t="s">
        <v>12</v>
      </c>
      <c r="B508" s="33" t="s">
        <v>150</v>
      </c>
      <c r="C508" s="92" t="s">
        <v>377</v>
      </c>
      <c r="D508" s="33" t="s">
        <v>410</v>
      </c>
      <c r="E508" s="34">
        <v>44104</v>
      </c>
      <c r="F508" s="34">
        <v>44105</v>
      </c>
      <c r="G508" s="34">
        <v>44110</v>
      </c>
      <c r="H508" s="35">
        <v>2.2499999999999999E-2</v>
      </c>
      <c r="I508" s="67">
        <v>3.1699999999999999E-2</v>
      </c>
      <c r="J508" s="67">
        <v>0</v>
      </c>
      <c r="K508" s="67">
        <v>3.1699999999999999E-2</v>
      </c>
      <c r="L508" s="36">
        <f>+K508-((K508*0.0000001*0.125)+(K508*(1-0.0000001)*0.26))</f>
        <v>2.3458000427949998E-2</v>
      </c>
      <c r="M508" s="64">
        <f>J508+L508</f>
        <v>2.3458000427949998E-2</v>
      </c>
      <c r="N508" s="33" t="s">
        <v>248</v>
      </c>
    </row>
    <row r="509" spans="1:14" ht="15">
      <c r="A509" s="12"/>
      <c r="B509" s="33" t="s">
        <v>510</v>
      </c>
      <c r="C509" s="92" t="s">
        <v>509</v>
      </c>
      <c r="D509" s="33" t="s">
        <v>410</v>
      </c>
      <c r="E509" s="34">
        <v>44104</v>
      </c>
      <c r="F509" s="34">
        <v>44105</v>
      </c>
      <c r="G509" s="34">
        <v>44110</v>
      </c>
      <c r="H509" s="35">
        <v>2.2499999999999999E-2</v>
      </c>
      <c r="I509" s="67">
        <v>2.81E-2</v>
      </c>
      <c r="J509" s="67">
        <v>0</v>
      </c>
      <c r="K509" s="67">
        <v>2.81E-2</v>
      </c>
      <c r="L509" s="36">
        <f>+K509-((K509*0.0000001*0.125)+(K509*(1-0.0000001)*0.26))</f>
        <v>2.0794000379349999E-2</v>
      </c>
      <c r="M509" s="64">
        <v>0</v>
      </c>
      <c r="N509" s="33" t="s">
        <v>248</v>
      </c>
    </row>
    <row r="510" spans="1:14" ht="15">
      <c r="A510" s="12" t="s">
        <v>230</v>
      </c>
      <c r="B510" s="33" t="s">
        <v>441</v>
      </c>
      <c r="C510" s="92" t="s">
        <v>444</v>
      </c>
      <c r="D510" s="33" t="s">
        <v>410</v>
      </c>
      <c r="E510" s="34">
        <v>44104</v>
      </c>
      <c r="F510" s="34">
        <v>44105</v>
      </c>
      <c r="G510" s="34">
        <v>44110</v>
      </c>
      <c r="H510" s="35">
        <v>1.4999999999999999E-2</v>
      </c>
      <c r="I510" s="67">
        <v>1.8700000000000001E-2</v>
      </c>
      <c r="J510" s="67">
        <v>1.8700000000000001E-2</v>
      </c>
      <c r="K510" s="67">
        <v>0</v>
      </c>
      <c r="L510" s="36">
        <f>+K510-((K510*0.2111*0.125)+(K510*(1-0.2111)*0.26))</f>
        <v>0</v>
      </c>
      <c r="M510" s="64">
        <f t="shared" ref="M510:M541" si="15">J510+L510</f>
        <v>1.8700000000000001E-2</v>
      </c>
      <c r="N510" s="33" t="s">
        <v>248</v>
      </c>
    </row>
    <row r="511" spans="1:14" ht="15">
      <c r="A511" s="12"/>
      <c r="B511" s="33" t="s">
        <v>440</v>
      </c>
      <c r="C511" s="92" t="s">
        <v>443</v>
      </c>
      <c r="D511" s="33" t="s">
        <v>410</v>
      </c>
      <c r="E511" s="34">
        <v>44104</v>
      </c>
      <c r="F511" s="34">
        <v>44105</v>
      </c>
      <c r="G511" s="34">
        <v>44110</v>
      </c>
      <c r="H511" s="35">
        <v>1.4999999999999999E-2</v>
      </c>
      <c r="I511" s="67">
        <v>0.37919999999999998</v>
      </c>
      <c r="J511" s="67">
        <v>0.37919999999999998</v>
      </c>
      <c r="K511" s="67">
        <v>0</v>
      </c>
      <c r="L511" s="36">
        <f>+K511-((K511*0.2111*0.125)+(K511*(1-0.2111)*0.26))</f>
        <v>0</v>
      </c>
      <c r="M511" s="64">
        <f t="shared" si="15"/>
        <v>0.37919999999999998</v>
      </c>
      <c r="N511" s="33" t="s">
        <v>248</v>
      </c>
    </row>
    <row r="512" spans="1:14" ht="15">
      <c r="A512" s="12"/>
      <c r="B512" s="33" t="s">
        <v>299</v>
      </c>
      <c r="C512" s="92" t="s">
        <v>517</v>
      </c>
      <c r="D512" s="33" t="s">
        <v>410</v>
      </c>
      <c r="E512" s="34">
        <v>44104</v>
      </c>
      <c r="F512" s="34">
        <v>44105</v>
      </c>
      <c r="G512" s="34">
        <v>44110</v>
      </c>
      <c r="H512" s="35"/>
      <c r="I512" s="67">
        <v>1.8700000000000001E-2</v>
      </c>
      <c r="J512" s="67">
        <v>0</v>
      </c>
      <c r="K512" s="67">
        <v>1.8700000000000001E-2</v>
      </c>
      <c r="L512" s="36">
        <f>+K512-((K512*0.3305*0.125)+(K512*(1-0.3305)*0.26))</f>
        <v>1.4672347250000002E-2</v>
      </c>
      <c r="M512" s="64">
        <f t="shared" si="15"/>
        <v>1.4672347250000002E-2</v>
      </c>
      <c r="N512" s="33" t="s">
        <v>248</v>
      </c>
    </row>
    <row r="513" spans="1:14" ht="15">
      <c r="A513" s="12"/>
      <c r="B513" s="33" t="s">
        <v>182</v>
      </c>
      <c r="C513" s="92" t="s">
        <v>477</v>
      </c>
      <c r="D513" s="33" t="s">
        <v>410</v>
      </c>
      <c r="E513" s="34">
        <v>44104</v>
      </c>
      <c r="F513" s="34">
        <v>44105</v>
      </c>
      <c r="G513" s="34">
        <v>44110</v>
      </c>
      <c r="H513" s="35">
        <v>1.4999999999999999E-2</v>
      </c>
      <c r="I513" s="67">
        <v>0.36559999999999998</v>
      </c>
      <c r="J513" s="67">
        <v>0</v>
      </c>
      <c r="K513" s="67">
        <v>0.36559999999999998</v>
      </c>
      <c r="L513" s="36">
        <f>+K513-((K513*0.3305*0.125)+(K513*(1-0.3305)*0.26))</f>
        <v>0.28685615799999997</v>
      </c>
      <c r="M513" s="64">
        <f t="shared" si="15"/>
        <v>0.28685615799999997</v>
      </c>
      <c r="N513" s="33" t="s">
        <v>248</v>
      </c>
    </row>
    <row r="514" spans="1:14" ht="15">
      <c r="A514" s="12"/>
      <c r="B514" s="33" t="s">
        <v>202</v>
      </c>
      <c r="C514" s="92" t="s">
        <v>478</v>
      </c>
      <c r="D514" s="33" t="s">
        <v>410</v>
      </c>
      <c r="E514" s="34">
        <v>44104</v>
      </c>
      <c r="F514" s="34">
        <v>44105</v>
      </c>
      <c r="G514" s="34">
        <v>44110</v>
      </c>
      <c r="H514" s="35">
        <v>1.4999999999999999E-2</v>
      </c>
      <c r="I514" s="67">
        <v>0.36809999999999998</v>
      </c>
      <c r="J514" s="67">
        <v>0</v>
      </c>
      <c r="K514" s="67">
        <v>0.36809999999999998</v>
      </c>
      <c r="L514" s="36">
        <f>+K514-((K514*0.3305*0.125)+(K514*(1-0.3305)*0.26))</f>
        <v>0.28881770174999999</v>
      </c>
      <c r="M514" s="64">
        <f t="shared" si="15"/>
        <v>0.28881770174999999</v>
      </c>
      <c r="N514" s="33" t="s">
        <v>248</v>
      </c>
    </row>
    <row r="515" spans="1:14" ht="15">
      <c r="A515" s="12"/>
      <c r="B515" s="33" t="s">
        <v>146</v>
      </c>
      <c r="C515" s="92" t="s">
        <v>380</v>
      </c>
      <c r="D515" s="33" t="s">
        <v>410</v>
      </c>
      <c r="E515" s="34">
        <v>44104</v>
      </c>
      <c r="F515" s="34">
        <v>44105</v>
      </c>
      <c r="G515" s="34">
        <v>44110</v>
      </c>
      <c r="H515" s="35">
        <v>2.5000000000000001E-2</v>
      </c>
      <c r="I515" s="67">
        <v>3.95E-2</v>
      </c>
      <c r="J515" s="67">
        <v>1.0428270745289259E-2</v>
      </c>
      <c r="K515" s="67">
        <v>2.9071729254710743E-2</v>
      </c>
      <c r="L515" s="36">
        <f>+K515-((K515*0.0094*0.125)+(K515*(1-0.0094)*0.26))</f>
        <v>2.1549971672910177E-2</v>
      </c>
      <c r="M515" s="64">
        <f t="shared" si="15"/>
        <v>3.1978242418199437E-2</v>
      </c>
      <c r="N515" s="33" t="s">
        <v>248</v>
      </c>
    </row>
    <row r="516" spans="1:14" ht="15">
      <c r="A516" s="12"/>
      <c r="B516" s="33" t="s">
        <v>163</v>
      </c>
      <c r="C516" s="92" t="s">
        <v>381</v>
      </c>
      <c r="D516" s="33" t="s">
        <v>410</v>
      </c>
      <c r="E516" s="34">
        <v>44104</v>
      </c>
      <c r="F516" s="34">
        <v>44105</v>
      </c>
      <c r="G516" s="34">
        <v>44110</v>
      </c>
      <c r="H516" s="35">
        <v>2.5000000000000001E-2</v>
      </c>
      <c r="I516" s="67">
        <v>3.5700000000000003E-2</v>
      </c>
      <c r="J516" s="67">
        <v>1.6318250231140634E-2</v>
      </c>
      <c r="K516" s="67">
        <v>1.9381749768859369E-2</v>
      </c>
      <c r="L516" s="36">
        <f>+K516-((K516*0.0094*0.125)+(K516*(1-0.0094)*0.26))</f>
        <v>1.4367090269412616E-2</v>
      </c>
      <c r="M516" s="64">
        <f t="shared" si="15"/>
        <v>3.068534050055325E-2</v>
      </c>
      <c r="N516" s="33" t="s">
        <v>248</v>
      </c>
    </row>
    <row r="517" spans="1:14" ht="15">
      <c r="A517" s="12" t="s">
        <v>107</v>
      </c>
      <c r="B517" s="33" t="s">
        <v>151</v>
      </c>
      <c r="C517" s="92" t="s">
        <v>383</v>
      </c>
      <c r="D517" s="33" t="s">
        <v>410</v>
      </c>
      <c r="E517" s="34">
        <v>44104</v>
      </c>
      <c r="F517" s="34">
        <v>44105</v>
      </c>
      <c r="G517" s="34">
        <v>44110</v>
      </c>
      <c r="H517" s="35">
        <v>2.3E-2</v>
      </c>
      <c r="I517" s="67">
        <v>2.8799999999999999E-2</v>
      </c>
      <c r="J517" s="67">
        <v>0</v>
      </c>
      <c r="K517" s="67">
        <v>2.8799999999999999E-2</v>
      </c>
      <c r="L517" s="36">
        <f>+K517-((K517*0.0509*0.125)+(K517*(1-0.0509)*0.26))</f>
        <v>2.1509899199999998E-2</v>
      </c>
      <c r="M517" s="64">
        <f t="shared" si="15"/>
        <v>2.1509899199999998E-2</v>
      </c>
      <c r="N517" s="33" t="s">
        <v>248</v>
      </c>
    </row>
    <row r="518" spans="1:14" ht="15">
      <c r="A518" s="12" t="s">
        <v>121</v>
      </c>
      <c r="B518" s="33" t="s">
        <v>166</v>
      </c>
      <c r="C518" s="92" t="s">
        <v>384</v>
      </c>
      <c r="D518" s="33" t="s">
        <v>410</v>
      </c>
      <c r="E518" s="34">
        <v>44104</v>
      </c>
      <c r="F518" s="34">
        <v>44105</v>
      </c>
      <c r="G518" s="34">
        <v>44110</v>
      </c>
      <c r="H518" s="35">
        <v>2.3E-2</v>
      </c>
      <c r="I518" s="67">
        <v>2.8799999999999999E-2</v>
      </c>
      <c r="J518" s="67">
        <v>4.2008338896173556E-3</v>
      </c>
      <c r="K518" s="67">
        <v>2.4599166110382643E-2</v>
      </c>
      <c r="L518" s="36">
        <f>+K518-((K518*0.0509*0.125)+(K518*(1-0.0509)*0.26))</f>
        <v>1.8372416091610649E-2</v>
      </c>
      <c r="M518" s="64">
        <f t="shared" si="15"/>
        <v>2.2573249981228005E-2</v>
      </c>
      <c r="N518" s="33" t="s">
        <v>248</v>
      </c>
    </row>
    <row r="519" spans="1:14" ht="15">
      <c r="A519" s="12" t="s">
        <v>108</v>
      </c>
      <c r="B519" s="33" t="s">
        <v>149</v>
      </c>
      <c r="C519" s="92" t="s">
        <v>386</v>
      </c>
      <c r="D519" s="33" t="s">
        <v>410</v>
      </c>
      <c r="E519" s="34">
        <v>44104</v>
      </c>
      <c r="F519" s="34">
        <v>44105</v>
      </c>
      <c r="G519" s="34">
        <v>44110</v>
      </c>
      <c r="H519" s="35">
        <v>0.05</v>
      </c>
      <c r="I519" s="67">
        <v>7.6399999999999996E-2</v>
      </c>
      <c r="J519" s="67">
        <v>1.8270401889031812E-2</v>
      </c>
      <c r="K519" s="67">
        <v>5.8129598110968184E-2</v>
      </c>
      <c r="L519" s="36">
        <f>+K519-((K519*0.0921*0.125)+(K519*(1-0.921)*0.26))</f>
        <v>5.6266399167516377E-2</v>
      </c>
      <c r="M519" s="64">
        <f t="shared" si="15"/>
        <v>7.4536801056548196E-2</v>
      </c>
      <c r="N519" s="33" t="s">
        <v>248</v>
      </c>
    </row>
    <row r="520" spans="1:14" ht="15">
      <c r="A520" s="12" t="s">
        <v>109</v>
      </c>
      <c r="B520" s="33" t="s">
        <v>165</v>
      </c>
      <c r="C520" s="92" t="s">
        <v>387</v>
      </c>
      <c r="D520" s="33" t="s">
        <v>410</v>
      </c>
      <c r="E520" s="34">
        <v>44104</v>
      </c>
      <c r="F520" s="34">
        <v>44105</v>
      </c>
      <c r="G520" s="34">
        <v>44110</v>
      </c>
      <c r="H520" s="35">
        <v>0.05</v>
      </c>
      <c r="I520" s="67">
        <v>7.22E-2</v>
      </c>
      <c r="J520" s="67">
        <v>2.3457889885228161E-2</v>
      </c>
      <c r="K520" s="67">
        <v>4.8742110114771843E-2</v>
      </c>
      <c r="L520" s="36">
        <f>+K520-((K520*0.0921*0.125)+(K520*(1-0.921)*0.26))</f>
        <v>4.7179803630318116E-2</v>
      </c>
      <c r="M520" s="64">
        <f t="shared" si="15"/>
        <v>7.0637693515546274E-2</v>
      </c>
      <c r="N520" s="33" t="s">
        <v>248</v>
      </c>
    </row>
    <row r="521" spans="1:14" ht="15">
      <c r="A521" s="12" t="s">
        <v>37</v>
      </c>
      <c r="B521" s="33" t="s">
        <v>153</v>
      </c>
      <c r="C521" s="92" t="s">
        <v>394</v>
      </c>
      <c r="D521" s="33" t="s">
        <v>410</v>
      </c>
      <c r="E521" s="34">
        <v>44104</v>
      </c>
      <c r="F521" s="34">
        <v>44105</v>
      </c>
      <c r="G521" s="34">
        <v>44110</v>
      </c>
      <c r="H521" s="35">
        <v>2.5000000000000001E-2</v>
      </c>
      <c r="I521" s="67">
        <v>3.0099999999999998E-2</v>
      </c>
      <c r="J521" s="67">
        <v>0</v>
      </c>
      <c r="K521" s="67">
        <v>3.0099999999999998E-2</v>
      </c>
      <c r="L521" s="36">
        <f>+K521-((K521*0.1243*0.125)+(K521*(1-0.1243)*0.26))</f>
        <v>2.2779093049999997E-2</v>
      </c>
      <c r="M521" s="64">
        <f t="shared" si="15"/>
        <v>2.2779093049999997E-2</v>
      </c>
      <c r="N521" s="33" t="s">
        <v>248</v>
      </c>
    </row>
    <row r="522" spans="1:14" ht="15">
      <c r="A522" s="12" t="s">
        <v>111</v>
      </c>
      <c r="B522" s="33" t="s">
        <v>152</v>
      </c>
      <c r="C522" s="92" t="s">
        <v>395</v>
      </c>
      <c r="D522" s="33" t="s">
        <v>410</v>
      </c>
      <c r="E522" s="34">
        <v>44104</v>
      </c>
      <c r="F522" s="34">
        <v>44105</v>
      </c>
      <c r="G522" s="34">
        <v>44110</v>
      </c>
      <c r="H522" s="35">
        <v>2.5000000000000001E-2</v>
      </c>
      <c r="I522" s="67">
        <v>4.0599999999999997E-2</v>
      </c>
      <c r="J522" s="67">
        <v>0</v>
      </c>
      <c r="K522" s="67">
        <v>4.0599999999999997E-2</v>
      </c>
      <c r="L522" s="36">
        <f>+K522-((K522*0.1243*0.125)+(K522*(1-0.1243)*0.26))</f>
        <v>3.0725288299999997E-2</v>
      </c>
      <c r="M522" s="64">
        <f t="shared" si="15"/>
        <v>3.0725288299999997E-2</v>
      </c>
      <c r="N522" s="33" t="s">
        <v>248</v>
      </c>
    </row>
    <row r="523" spans="1:14" ht="15">
      <c r="A523" s="12" t="s">
        <v>112</v>
      </c>
      <c r="B523" s="33" t="s">
        <v>167</v>
      </c>
      <c r="C523" s="92" t="s">
        <v>396</v>
      </c>
      <c r="D523" s="33" t="s">
        <v>410</v>
      </c>
      <c r="E523" s="34">
        <v>44104</v>
      </c>
      <c r="F523" s="34">
        <v>44105</v>
      </c>
      <c r="G523" s="34">
        <v>44110</v>
      </c>
      <c r="H523" s="35">
        <v>2.5000000000000001E-2</v>
      </c>
      <c r="I523" s="67">
        <v>3.9199999999999999E-2</v>
      </c>
      <c r="J523" s="67">
        <v>0</v>
      </c>
      <c r="K523" s="67">
        <v>3.9199999999999999E-2</v>
      </c>
      <c r="L523" s="36">
        <f>+K523-((K523*0.1243*0.125)+(K523*(1-0.1243)*0.26))</f>
        <v>2.9665795599999999E-2</v>
      </c>
      <c r="M523" s="64">
        <f t="shared" si="15"/>
        <v>2.9665795599999999E-2</v>
      </c>
      <c r="N523" s="33" t="s">
        <v>248</v>
      </c>
    </row>
    <row r="524" spans="1:14" ht="15">
      <c r="A524" s="12" t="s">
        <v>110</v>
      </c>
      <c r="B524" s="33" t="s">
        <v>301</v>
      </c>
      <c r="C524" s="92" t="s">
        <v>407</v>
      </c>
      <c r="D524" s="33" t="s">
        <v>410</v>
      </c>
      <c r="E524" s="34">
        <v>44104</v>
      </c>
      <c r="F524" s="34">
        <v>44105</v>
      </c>
      <c r="G524" s="34">
        <v>44110</v>
      </c>
      <c r="H524" s="35">
        <v>2.5000000000000001E-2</v>
      </c>
      <c r="I524" s="67">
        <v>3.09E-2</v>
      </c>
      <c r="J524" s="67">
        <v>0</v>
      </c>
      <c r="K524" s="67">
        <v>3.09E-2</v>
      </c>
      <c r="L524" s="36">
        <f>+K524-((K524*0.1243*0.125)+(K524*(1-0.1243)*0.26))</f>
        <v>2.338451745E-2</v>
      </c>
      <c r="M524" s="64">
        <f t="shared" si="15"/>
        <v>2.338451745E-2</v>
      </c>
      <c r="N524" s="33" t="s">
        <v>248</v>
      </c>
    </row>
    <row r="525" spans="1:14" ht="15">
      <c r="A525" s="12" t="s">
        <v>113</v>
      </c>
      <c r="B525" s="33" t="s">
        <v>304</v>
      </c>
      <c r="C525" s="92" t="s">
        <v>408</v>
      </c>
      <c r="D525" s="33" t="s">
        <v>410</v>
      </c>
      <c r="E525" s="34">
        <v>44104</v>
      </c>
      <c r="F525" s="34">
        <v>44105</v>
      </c>
      <c r="G525" s="34">
        <v>44110</v>
      </c>
      <c r="H525" s="35">
        <v>2.2499999999999999E-2</v>
      </c>
      <c r="I525" s="67">
        <v>2.7799999999999998E-2</v>
      </c>
      <c r="J525" s="67">
        <v>5.1535452960490471E-3</v>
      </c>
      <c r="K525" s="67">
        <v>2.264645470395095E-2</v>
      </c>
      <c r="L525" s="36">
        <f>+K525-((K525*0.1466*0.125)+(K525*(1-0.1466)*0.26))</f>
        <v>1.7206572465969596E-2</v>
      </c>
      <c r="M525" s="64">
        <f t="shared" si="15"/>
        <v>2.2360117762018641E-2</v>
      </c>
      <c r="N525" s="33" t="s">
        <v>248</v>
      </c>
    </row>
    <row r="526" spans="1:14" ht="15">
      <c r="A526" s="12" t="s">
        <v>114</v>
      </c>
      <c r="B526" s="33" t="s">
        <v>183</v>
      </c>
      <c r="C526" s="92" t="s">
        <v>398</v>
      </c>
      <c r="D526" s="33" t="s">
        <v>410</v>
      </c>
      <c r="E526" s="34">
        <v>44104</v>
      </c>
      <c r="F526" s="34">
        <v>44105</v>
      </c>
      <c r="G526" s="34">
        <v>44110</v>
      </c>
      <c r="H526" s="35">
        <v>2.2499999999999999E-2</v>
      </c>
      <c r="I526" s="67">
        <v>2.7900000000000001E-2</v>
      </c>
      <c r="J526" s="67">
        <v>7.0692651452866923E-3</v>
      </c>
      <c r="K526" s="67">
        <v>2.0830734854713311E-2</v>
      </c>
      <c r="L526" s="36">
        <f>+K526-((K526*0.1466*0.125)+(K526*(1-0.1466)*0.26))</f>
        <v>1.5827004865997481E-2</v>
      </c>
      <c r="M526" s="64">
        <f t="shared" si="15"/>
        <v>2.2896270011284171E-2</v>
      </c>
      <c r="N526" s="33" t="s">
        <v>248</v>
      </c>
    </row>
    <row r="527" spans="1:14" ht="15">
      <c r="A527" s="12" t="s">
        <v>120</v>
      </c>
      <c r="B527" s="33" t="s">
        <v>305</v>
      </c>
      <c r="C527" s="92" t="s">
        <v>409</v>
      </c>
      <c r="D527" s="33" t="s">
        <v>410</v>
      </c>
      <c r="E527" s="34">
        <v>44104</v>
      </c>
      <c r="F527" s="34">
        <v>44105</v>
      </c>
      <c r="G527" s="34">
        <v>44110</v>
      </c>
      <c r="H527" s="35">
        <v>2.2499999999999999E-2</v>
      </c>
      <c r="I527" s="67">
        <v>2.8000000000000001E-2</v>
      </c>
      <c r="J527" s="67">
        <v>1.4135818691125347E-3</v>
      </c>
      <c r="K527" s="67">
        <v>2.6586418130887465E-2</v>
      </c>
      <c r="L527" s="36">
        <f>+K527-((K527*0.1466*0.125)+(K527*(1-0.1466)*0.26))</f>
        <v>2.0200121218085117E-2</v>
      </c>
      <c r="M527" s="64">
        <f t="shared" si="15"/>
        <v>2.1613703087197653E-2</v>
      </c>
      <c r="N527" s="33" t="s">
        <v>248</v>
      </c>
    </row>
    <row r="528" spans="1:14" ht="15">
      <c r="A528" s="12"/>
      <c r="B528" s="33" t="s">
        <v>147</v>
      </c>
      <c r="C528" s="92" t="s">
        <v>466</v>
      </c>
      <c r="D528" s="33" t="s">
        <v>410</v>
      </c>
      <c r="E528" s="34">
        <v>44104</v>
      </c>
      <c r="F528" s="34">
        <v>44105</v>
      </c>
      <c r="G528" s="34">
        <v>44110</v>
      </c>
      <c r="H528" s="35">
        <v>2.3E-2</v>
      </c>
      <c r="I528" s="67">
        <v>3.1300000000000001E-2</v>
      </c>
      <c r="J528" s="67">
        <v>0</v>
      </c>
      <c r="K528" s="67">
        <v>3.1300000000000001E-2</v>
      </c>
      <c r="L528" s="36">
        <f>+K528-((K528*0.127*0.125)+(K528*(1-0.127)*0.26))</f>
        <v>2.3698638500000001E-2</v>
      </c>
      <c r="M528" s="64">
        <f t="shared" si="15"/>
        <v>2.3698638500000001E-2</v>
      </c>
      <c r="N528" s="33" t="s">
        <v>248</v>
      </c>
    </row>
    <row r="529" spans="1:14" ht="15">
      <c r="A529" s="12" t="s">
        <v>58</v>
      </c>
      <c r="B529" s="33" t="s">
        <v>164</v>
      </c>
      <c r="C529" s="92" t="s">
        <v>467</v>
      </c>
      <c r="D529" s="33" t="s">
        <v>410</v>
      </c>
      <c r="E529" s="34">
        <v>44104</v>
      </c>
      <c r="F529" s="34">
        <v>44105</v>
      </c>
      <c r="G529" s="34">
        <v>44110</v>
      </c>
      <c r="H529" s="35">
        <v>2.3E-2</v>
      </c>
      <c r="I529" s="67">
        <v>2.9499999999999998E-2</v>
      </c>
      <c r="J529" s="67">
        <v>0</v>
      </c>
      <c r="K529" s="67">
        <v>2.9499999999999998E-2</v>
      </c>
      <c r="L529" s="36">
        <f>+K529-((K529*0.127*0.125)+(K529*(1-0.127)*0.26))</f>
        <v>2.2335777499999997E-2</v>
      </c>
      <c r="M529" s="64">
        <f t="shared" si="15"/>
        <v>2.2335777499999997E-2</v>
      </c>
      <c r="N529" s="33" t="s">
        <v>248</v>
      </c>
    </row>
    <row r="530" spans="1:14" ht="15">
      <c r="A530" s="12" t="s">
        <v>229</v>
      </c>
      <c r="B530" s="33" t="s">
        <v>132</v>
      </c>
      <c r="C530" s="92" t="s">
        <v>358</v>
      </c>
      <c r="D530" s="33" t="s">
        <v>410</v>
      </c>
      <c r="E530" s="34">
        <v>44130</v>
      </c>
      <c r="F530" s="34">
        <v>44131</v>
      </c>
      <c r="G530" s="34">
        <v>44134</v>
      </c>
      <c r="H530" s="35">
        <v>0.03</v>
      </c>
      <c r="I530" s="67">
        <v>3.5400000000000001E-2</v>
      </c>
      <c r="J530" s="67">
        <v>0</v>
      </c>
      <c r="K530" s="67">
        <v>3.5400000000000001E-2</v>
      </c>
      <c r="L530" s="36">
        <f>+K530-((K530*0.2612*0.125)+(K530*(1-0.2612)*0.26))</f>
        <v>2.7444274800000001E-2</v>
      </c>
      <c r="M530" s="64">
        <f t="shared" si="15"/>
        <v>2.7444274800000001E-2</v>
      </c>
      <c r="N530" s="33" t="s">
        <v>249</v>
      </c>
    </row>
    <row r="531" spans="1:14" ht="15">
      <c r="A531" s="12" t="s">
        <v>231</v>
      </c>
      <c r="B531" s="33" t="s">
        <v>227</v>
      </c>
      <c r="C531" s="92" t="s">
        <v>359</v>
      </c>
      <c r="D531" s="33" t="s">
        <v>410</v>
      </c>
      <c r="E531" s="34">
        <v>44130</v>
      </c>
      <c r="F531" s="34">
        <v>44131</v>
      </c>
      <c r="G531" s="34">
        <v>44134</v>
      </c>
      <c r="H531" s="35">
        <v>0.03</v>
      </c>
      <c r="I531" s="67">
        <v>3.5200000000000002E-2</v>
      </c>
      <c r="J531" s="67">
        <v>0</v>
      </c>
      <c r="K531" s="67">
        <v>3.5200000000000002E-2</v>
      </c>
      <c r="L531" s="36">
        <f>+K531-((K531*0.2612*0.125)+(K531*(1-0.2612)*0.26))</f>
        <v>2.72892224E-2</v>
      </c>
      <c r="M531" s="64">
        <f t="shared" si="15"/>
        <v>2.72892224E-2</v>
      </c>
      <c r="N531" s="33" t="s">
        <v>249</v>
      </c>
    </row>
    <row r="532" spans="1:14" ht="15">
      <c r="A532" s="12" t="s">
        <v>184</v>
      </c>
      <c r="B532" s="33" t="s">
        <v>133</v>
      </c>
      <c r="C532" s="92" t="s">
        <v>474</v>
      </c>
      <c r="D532" s="33" t="s">
        <v>410</v>
      </c>
      <c r="E532" s="34">
        <v>44130</v>
      </c>
      <c r="F532" s="34">
        <v>44131</v>
      </c>
      <c r="G532" s="34">
        <v>44134</v>
      </c>
      <c r="H532" s="35">
        <v>0.04</v>
      </c>
      <c r="I532" s="67">
        <v>4.3099999999999999E-2</v>
      </c>
      <c r="J532" s="67">
        <v>0</v>
      </c>
      <c r="K532" s="67">
        <v>4.3099999999999999E-2</v>
      </c>
      <c r="L532" s="36">
        <f>+K532-((K532*0.0000001*0.125)+(K532*(1-0.0000001)*0.26))</f>
        <v>3.1894000581849997E-2</v>
      </c>
      <c r="M532" s="64">
        <f t="shared" si="15"/>
        <v>3.1894000581849997E-2</v>
      </c>
      <c r="N532" s="33" t="s">
        <v>249</v>
      </c>
    </row>
    <row r="533" spans="1:14" ht="15">
      <c r="A533" s="12" t="s">
        <v>192</v>
      </c>
      <c r="B533" s="33" t="s">
        <v>134</v>
      </c>
      <c r="C533" s="92" t="s">
        <v>374</v>
      </c>
      <c r="D533" s="33" t="s">
        <v>410</v>
      </c>
      <c r="E533" s="34">
        <v>44130</v>
      </c>
      <c r="F533" s="34">
        <v>44131</v>
      </c>
      <c r="G533" s="34">
        <v>44134</v>
      </c>
      <c r="H533" s="35">
        <v>4.2500000000000003E-2</v>
      </c>
      <c r="I533" s="67">
        <v>5.4600000000000003E-2</v>
      </c>
      <c r="J533" s="67">
        <v>0</v>
      </c>
      <c r="K533" s="67">
        <v>5.4600000000000003E-2</v>
      </c>
      <c r="L533" s="36">
        <f>+K533-((K533*0.2536*0.125)+(K533*(1-0.2536)*0.26))</f>
        <v>4.2273285600000002E-2</v>
      </c>
      <c r="M533" s="64">
        <f t="shared" si="15"/>
        <v>4.2273285600000002E-2</v>
      </c>
      <c r="N533" s="33" t="s">
        <v>249</v>
      </c>
    </row>
    <row r="534" spans="1:14" ht="15">
      <c r="A534" s="12"/>
      <c r="B534" s="33" t="s">
        <v>168</v>
      </c>
      <c r="C534" s="92" t="s">
        <v>376</v>
      </c>
      <c r="D534" s="33" t="s">
        <v>410</v>
      </c>
      <c r="E534" s="34">
        <v>44130</v>
      </c>
      <c r="F534" s="34">
        <v>44131</v>
      </c>
      <c r="G534" s="34">
        <v>44134</v>
      </c>
      <c r="H534" s="35">
        <v>4.2500000000000003E-2</v>
      </c>
      <c r="I534" s="67">
        <v>4.7300000000000002E-2</v>
      </c>
      <c r="J534" s="67">
        <v>0</v>
      </c>
      <c r="K534" s="67">
        <v>4.7300000000000002E-2</v>
      </c>
      <c r="L534" s="36">
        <f>+K534-((K534*0.2536*0.125)+(K534*(1-0.2536)*0.26))</f>
        <v>3.6621362800000001E-2</v>
      </c>
      <c r="M534" s="64">
        <f t="shared" si="15"/>
        <v>3.6621362800000001E-2</v>
      </c>
      <c r="N534" s="33" t="s">
        <v>249</v>
      </c>
    </row>
    <row r="535" spans="1:14" ht="15">
      <c r="A535" s="12" t="s">
        <v>189</v>
      </c>
      <c r="B535" s="33" t="s">
        <v>136</v>
      </c>
      <c r="C535" s="92" t="s">
        <v>388</v>
      </c>
      <c r="D535" s="33" t="s">
        <v>410</v>
      </c>
      <c r="E535" s="34">
        <v>44130</v>
      </c>
      <c r="F535" s="34">
        <v>44131</v>
      </c>
      <c r="G535" s="34">
        <v>44134</v>
      </c>
      <c r="H535" s="35">
        <v>0.02</v>
      </c>
      <c r="I535" s="67">
        <v>2.3900000000000001E-2</v>
      </c>
      <c r="J535" s="67">
        <v>0</v>
      </c>
      <c r="K535" s="67">
        <v>2.3900000000000001E-2</v>
      </c>
      <c r="L535" s="36">
        <f t="shared" ref="L535:L540" si="16">+K535-((K535*0.078*0.125)+(K535*(1-0.078)*0.26))</f>
        <v>1.7937667000000001E-2</v>
      </c>
      <c r="M535" s="64">
        <f t="shared" si="15"/>
        <v>1.7937667000000001E-2</v>
      </c>
      <c r="N535" s="33" t="s">
        <v>249</v>
      </c>
    </row>
    <row r="536" spans="1:14" ht="15">
      <c r="A536" s="12" t="s">
        <v>197</v>
      </c>
      <c r="B536" s="33" t="s">
        <v>137</v>
      </c>
      <c r="C536" s="92" t="s">
        <v>389</v>
      </c>
      <c r="D536" s="33" t="s">
        <v>410</v>
      </c>
      <c r="E536" s="34">
        <v>44130</v>
      </c>
      <c r="F536" s="34">
        <v>44131</v>
      </c>
      <c r="G536" s="34">
        <v>44134</v>
      </c>
      <c r="H536" s="35">
        <v>3.5000000000000003E-2</v>
      </c>
      <c r="I536" s="67">
        <v>4.41E-2</v>
      </c>
      <c r="J536" s="67">
        <v>0</v>
      </c>
      <c r="K536" s="67">
        <v>4.41E-2</v>
      </c>
      <c r="L536" s="36">
        <f t="shared" si="16"/>
        <v>3.3098373E-2</v>
      </c>
      <c r="M536" s="64">
        <f t="shared" si="15"/>
        <v>3.3098373E-2</v>
      </c>
      <c r="N536" s="33" t="s">
        <v>249</v>
      </c>
    </row>
    <row r="537" spans="1:14" ht="15">
      <c r="A537" s="12"/>
      <c r="B537" s="33" t="s">
        <v>135</v>
      </c>
      <c r="C537" s="92" t="s">
        <v>390</v>
      </c>
      <c r="D537" s="33" t="s">
        <v>410</v>
      </c>
      <c r="E537" s="34">
        <v>44130</v>
      </c>
      <c r="F537" s="34">
        <v>44131</v>
      </c>
      <c r="G537" s="34">
        <v>44134</v>
      </c>
      <c r="H537" s="35">
        <v>4.4999999999999998E-2</v>
      </c>
      <c r="I537" s="67">
        <v>5.7000000000000002E-2</v>
      </c>
      <c r="J537" s="67">
        <v>0</v>
      </c>
      <c r="K537" s="67">
        <v>5.7000000000000002E-2</v>
      </c>
      <c r="L537" s="36">
        <f t="shared" si="16"/>
        <v>4.2780209999999999E-2</v>
      </c>
      <c r="M537" s="64">
        <f t="shared" si="15"/>
        <v>4.2780209999999999E-2</v>
      </c>
      <c r="N537" s="33" t="s">
        <v>249</v>
      </c>
    </row>
    <row r="538" spans="1:14" ht="15">
      <c r="A538" s="12" t="s">
        <v>186</v>
      </c>
      <c r="B538" s="33" t="s">
        <v>170</v>
      </c>
      <c r="C538" s="92" t="s">
        <v>391</v>
      </c>
      <c r="D538" s="33" t="s">
        <v>410</v>
      </c>
      <c r="E538" s="34">
        <v>44130</v>
      </c>
      <c r="F538" s="34">
        <v>44131</v>
      </c>
      <c r="G538" s="34">
        <v>44134</v>
      </c>
      <c r="H538" s="35">
        <v>0.02</v>
      </c>
      <c r="I538" s="67">
        <v>2.3800000000000002E-2</v>
      </c>
      <c r="J538" s="67">
        <v>0</v>
      </c>
      <c r="K538" s="67">
        <v>2.3800000000000002E-2</v>
      </c>
      <c r="L538" s="36">
        <f t="shared" si="16"/>
        <v>1.7862613999999999E-2</v>
      </c>
      <c r="M538" s="64">
        <f t="shared" si="15"/>
        <v>1.7862613999999999E-2</v>
      </c>
      <c r="N538" s="33" t="s">
        <v>249</v>
      </c>
    </row>
    <row r="539" spans="1:14" ht="15">
      <c r="A539" s="12" t="s">
        <v>194</v>
      </c>
      <c r="B539" s="33" t="s">
        <v>171</v>
      </c>
      <c r="C539" s="92" t="s">
        <v>392</v>
      </c>
      <c r="D539" s="33" t="s">
        <v>410</v>
      </c>
      <c r="E539" s="34">
        <v>44130</v>
      </c>
      <c r="F539" s="34">
        <v>44131</v>
      </c>
      <c r="G539" s="34">
        <v>44134</v>
      </c>
      <c r="H539" s="35">
        <v>3.5000000000000003E-2</v>
      </c>
      <c r="I539" s="67">
        <v>4.3700000000000003E-2</v>
      </c>
      <c r="J539" s="67">
        <v>0</v>
      </c>
      <c r="K539" s="67">
        <v>4.3700000000000003E-2</v>
      </c>
      <c r="L539" s="36">
        <f t="shared" si="16"/>
        <v>3.2798160999999999E-2</v>
      </c>
      <c r="M539" s="64">
        <f t="shared" si="15"/>
        <v>3.2798160999999999E-2</v>
      </c>
      <c r="N539" s="33" t="s">
        <v>249</v>
      </c>
    </row>
    <row r="540" spans="1:14" ht="15">
      <c r="A540" s="12"/>
      <c r="B540" s="33" t="s">
        <v>172</v>
      </c>
      <c r="C540" s="92" t="s">
        <v>393</v>
      </c>
      <c r="D540" s="33" t="s">
        <v>410</v>
      </c>
      <c r="E540" s="34">
        <v>44130</v>
      </c>
      <c r="F540" s="34">
        <v>44131</v>
      </c>
      <c r="G540" s="34">
        <v>44134</v>
      </c>
      <c r="H540" s="35">
        <v>4.4999999999999998E-2</v>
      </c>
      <c r="I540" s="67">
        <v>5.6599999999999998E-2</v>
      </c>
      <c r="J540" s="67">
        <v>0</v>
      </c>
      <c r="K540" s="67">
        <v>5.6599999999999998E-2</v>
      </c>
      <c r="L540" s="36">
        <f t="shared" si="16"/>
        <v>4.2479997999999998E-2</v>
      </c>
      <c r="M540" s="64">
        <f t="shared" si="15"/>
        <v>4.2479997999999998E-2</v>
      </c>
      <c r="N540" s="33" t="s">
        <v>249</v>
      </c>
    </row>
    <row r="541" spans="1:14" ht="15">
      <c r="A541" s="12" t="s">
        <v>185</v>
      </c>
      <c r="B541" s="33" t="s">
        <v>169</v>
      </c>
      <c r="C541" s="92" t="s">
        <v>400</v>
      </c>
      <c r="D541" s="33" t="s">
        <v>410</v>
      </c>
      <c r="E541" s="34">
        <v>44130</v>
      </c>
      <c r="F541" s="34">
        <v>44131</v>
      </c>
      <c r="G541" s="34">
        <v>44134</v>
      </c>
      <c r="H541" s="35">
        <v>5.5E-2</v>
      </c>
      <c r="I541" s="67">
        <v>6.1699999999999998E-2</v>
      </c>
      <c r="J541" s="67">
        <v>0</v>
      </c>
      <c r="K541" s="67">
        <v>6.1699999999999998E-2</v>
      </c>
      <c r="L541" s="36">
        <f>+K541-((K541*0.1813*0.125)+(K541*(1-0.1813)*0.26))</f>
        <v>4.716813835E-2</v>
      </c>
      <c r="M541" s="64">
        <f t="shared" si="15"/>
        <v>4.716813835E-2</v>
      </c>
      <c r="N541" s="33" t="s">
        <v>249</v>
      </c>
    </row>
    <row r="542" spans="1:14" ht="15">
      <c r="A542" s="12" t="s">
        <v>194</v>
      </c>
      <c r="B542" s="33" t="s">
        <v>511</v>
      </c>
      <c r="C542" s="92" t="s">
        <v>512</v>
      </c>
      <c r="D542" s="33" t="s">
        <v>411</v>
      </c>
      <c r="E542" s="34">
        <v>44134</v>
      </c>
      <c r="F542" s="34">
        <v>44137</v>
      </c>
      <c r="G542" s="34">
        <v>44140</v>
      </c>
      <c r="H542" s="35">
        <v>0.03</v>
      </c>
      <c r="I542" s="67">
        <v>0.19159999999999999</v>
      </c>
      <c r="J542" s="67">
        <v>0</v>
      </c>
      <c r="K542" s="67">
        <v>0.19159999999999999</v>
      </c>
      <c r="L542" s="36">
        <f>+K542-((K542*0.9057*0.125)+(K542*(1-0.9057)*0.26))</f>
        <v>0.16521083619999999</v>
      </c>
      <c r="M542" s="64">
        <f t="shared" ref="M542:M573" si="17">J542+L542</f>
        <v>0.16521083619999999</v>
      </c>
      <c r="N542" s="33" t="s">
        <v>251</v>
      </c>
    </row>
    <row r="543" spans="1:14" ht="15">
      <c r="A543" s="12" t="s">
        <v>187</v>
      </c>
      <c r="B543" s="33" t="s">
        <v>310</v>
      </c>
      <c r="C543" s="92" t="s">
        <v>424</v>
      </c>
      <c r="D543" s="33" t="s">
        <v>411</v>
      </c>
      <c r="E543" s="34">
        <v>44134</v>
      </c>
      <c r="F543" s="34">
        <v>44137</v>
      </c>
      <c r="G543" s="34">
        <v>44140</v>
      </c>
      <c r="H543" s="35">
        <v>0.05</v>
      </c>
      <c r="I543" s="67">
        <v>2.0899999999999998E-2</v>
      </c>
      <c r="J543" s="67">
        <v>0</v>
      </c>
      <c r="K543" s="67">
        <v>2.0899999999999998E-2</v>
      </c>
      <c r="L543" s="36">
        <f>+K543-((K543*0.03783*0.125)+(K543*(1-0.089)*0.26))</f>
        <v>1.5850795124999997E-2</v>
      </c>
      <c r="M543" s="64">
        <f t="shared" si="17"/>
        <v>1.5850795124999997E-2</v>
      </c>
      <c r="N543" s="33" t="s">
        <v>251</v>
      </c>
    </row>
    <row r="544" spans="1:14" ht="15">
      <c r="A544" s="12" t="s">
        <v>193</v>
      </c>
      <c r="B544" s="33" t="s">
        <v>188</v>
      </c>
      <c r="C544" s="92" t="s">
        <v>339</v>
      </c>
      <c r="D544" s="33" t="s">
        <v>411</v>
      </c>
      <c r="E544" s="34">
        <v>44134</v>
      </c>
      <c r="F544" s="34">
        <v>44137</v>
      </c>
      <c r="G544" s="34">
        <v>44140</v>
      </c>
      <c r="H544" s="35">
        <v>0.05</v>
      </c>
      <c r="I544" s="67">
        <v>0.36549999999999999</v>
      </c>
      <c r="J544" s="67">
        <v>0</v>
      </c>
      <c r="K544" s="67">
        <v>0.36549999999999999</v>
      </c>
      <c r="L544" s="36">
        <f>+K544-((K544*0.03783*0.125)+(K544*(1-0.089)*0.26))</f>
        <v>0.27719931187500002</v>
      </c>
      <c r="M544" s="64">
        <f t="shared" si="17"/>
        <v>0.27719931187500002</v>
      </c>
      <c r="N544" s="33" t="s">
        <v>251</v>
      </c>
    </row>
    <row r="545" spans="1:14" ht="15">
      <c r="A545" s="12"/>
      <c r="B545" s="33" t="s">
        <v>196</v>
      </c>
      <c r="C545" s="92" t="s">
        <v>340</v>
      </c>
      <c r="D545" s="33" t="s">
        <v>411</v>
      </c>
      <c r="E545" s="34">
        <v>44134</v>
      </c>
      <c r="F545" s="34">
        <v>44137</v>
      </c>
      <c r="G545" s="34">
        <v>44140</v>
      </c>
      <c r="H545" s="35">
        <v>0.05</v>
      </c>
      <c r="I545" s="67">
        <v>0.37780000000000002</v>
      </c>
      <c r="J545" s="67">
        <v>0</v>
      </c>
      <c r="K545" s="67">
        <v>0.37780000000000002</v>
      </c>
      <c r="L545" s="36">
        <f>+K545-((K545*0.03783*0.125)+(K545*(1-0.089)*0.26))</f>
        <v>0.28652777024999998</v>
      </c>
      <c r="M545" s="64">
        <f t="shared" si="17"/>
        <v>0.28652777024999998</v>
      </c>
      <c r="N545" s="33" t="s">
        <v>251</v>
      </c>
    </row>
    <row r="546" spans="1:14" ht="15">
      <c r="A546" s="12" t="s">
        <v>195</v>
      </c>
      <c r="B546" s="33" t="s">
        <v>191</v>
      </c>
      <c r="C546" s="92" t="s">
        <v>346</v>
      </c>
      <c r="D546" s="33" t="s">
        <v>411</v>
      </c>
      <c r="E546" s="34">
        <v>44134</v>
      </c>
      <c r="F546" s="34">
        <v>44137</v>
      </c>
      <c r="G546" s="34">
        <v>44140</v>
      </c>
      <c r="H546" s="35">
        <v>3.5000000000000003E-2</v>
      </c>
      <c r="I546" s="67">
        <v>1.47E-2</v>
      </c>
      <c r="J546" s="67">
        <v>0</v>
      </c>
      <c r="K546" s="67">
        <v>1.47E-2</v>
      </c>
      <c r="L546" s="36">
        <f>+K546-((K546*0.7742*0.125)+(K546*(1-0.7742)*0.26))</f>
        <v>1.2414399899999999E-2</v>
      </c>
      <c r="M546" s="64">
        <f t="shared" si="17"/>
        <v>1.2414399899999999E-2</v>
      </c>
      <c r="N546" s="33" t="s">
        <v>251</v>
      </c>
    </row>
    <row r="547" spans="1:14" ht="15">
      <c r="A547" s="12"/>
      <c r="B547" s="33" t="s">
        <v>199</v>
      </c>
      <c r="C547" s="92" t="s">
        <v>347</v>
      </c>
      <c r="D547" s="33" t="s">
        <v>411</v>
      </c>
      <c r="E547" s="34">
        <v>44134</v>
      </c>
      <c r="F547" s="34">
        <v>44137</v>
      </c>
      <c r="G547" s="34">
        <v>44140</v>
      </c>
      <c r="H547" s="35">
        <v>3.5000000000000003E-2</v>
      </c>
      <c r="I547" s="67">
        <v>1.47E-2</v>
      </c>
      <c r="J547" s="67">
        <v>0</v>
      </c>
      <c r="K547" s="67">
        <v>1.47E-2</v>
      </c>
      <c r="L547" s="36">
        <f>+K547-((K547*0.7742*0.125)+(K547*(1-0.7742)*0.26))</f>
        <v>1.2414399899999999E-2</v>
      </c>
      <c r="M547" s="64">
        <f t="shared" si="17"/>
        <v>1.2414399899999999E-2</v>
      </c>
      <c r="N547" s="33" t="s">
        <v>251</v>
      </c>
    </row>
    <row r="548" spans="1:14" ht="15">
      <c r="A548" s="12"/>
      <c r="B548" s="33" t="s">
        <v>306</v>
      </c>
      <c r="C548" s="92" t="s">
        <v>430</v>
      </c>
      <c r="D548" s="33" t="s">
        <v>411</v>
      </c>
      <c r="E548" s="34">
        <v>44134</v>
      </c>
      <c r="F548" s="34">
        <v>44137</v>
      </c>
      <c r="G548" s="34">
        <v>44140</v>
      </c>
      <c r="H548" s="35">
        <v>0.02</v>
      </c>
      <c r="I548" s="67">
        <v>8.3999999999999995E-3</v>
      </c>
      <c r="J548" s="67">
        <v>0</v>
      </c>
      <c r="K548" s="67">
        <v>8.3999999999999995E-3</v>
      </c>
      <c r="L548" s="36">
        <f t="shared" ref="L548:L553" si="18">+K548-((K548*0.0000001*0.125)+(K548*(1-0.0000001)*0.26))</f>
        <v>6.2160001133999996E-3</v>
      </c>
      <c r="M548" s="64">
        <f t="shared" si="17"/>
        <v>6.2160001133999996E-3</v>
      </c>
      <c r="N548" s="33" t="s">
        <v>251</v>
      </c>
    </row>
    <row r="549" spans="1:14" ht="15">
      <c r="A549" s="12" t="s">
        <v>190</v>
      </c>
      <c r="B549" s="33" t="s">
        <v>184</v>
      </c>
      <c r="C549" s="92" t="s">
        <v>354</v>
      </c>
      <c r="D549" s="33" t="s">
        <v>411</v>
      </c>
      <c r="E549" s="34">
        <v>44134</v>
      </c>
      <c r="F549" s="34">
        <v>44137</v>
      </c>
      <c r="G549" s="34">
        <v>44140</v>
      </c>
      <c r="H549" s="35">
        <v>0.02</v>
      </c>
      <c r="I549" s="67">
        <v>0.16880000000000001</v>
      </c>
      <c r="J549" s="67">
        <v>0</v>
      </c>
      <c r="K549" s="67">
        <v>0.16880000000000001</v>
      </c>
      <c r="L549" s="36">
        <f t="shared" si="18"/>
        <v>0.12491200227880001</v>
      </c>
      <c r="M549" s="64">
        <f t="shared" si="17"/>
        <v>0.12491200227880001</v>
      </c>
      <c r="N549" s="33" t="s">
        <v>251</v>
      </c>
    </row>
    <row r="550" spans="1:14" ht="15">
      <c r="A550" s="12" t="s">
        <v>198</v>
      </c>
      <c r="B550" s="33" t="s">
        <v>192</v>
      </c>
      <c r="C550" s="92" t="s">
        <v>355</v>
      </c>
      <c r="D550" s="33" t="s">
        <v>411</v>
      </c>
      <c r="E550" s="34">
        <v>44134</v>
      </c>
      <c r="F550" s="34">
        <v>44137</v>
      </c>
      <c r="G550" s="34">
        <v>44140</v>
      </c>
      <c r="H550" s="35">
        <v>0.02</v>
      </c>
      <c r="I550" s="67">
        <v>0.16980000000000001</v>
      </c>
      <c r="J550" s="67">
        <v>0</v>
      </c>
      <c r="K550" s="67">
        <v>0.16980000000000001</v>
      </c>
      <c r="L550" s="36">
        <f t="shared" si="18"/>
        <v>0.1256520022923</v>
      </c>
      <c r="M550" s="64">
        <f t="shared" si="17"/>
        <v>0.1256520022923</v>
      </c>
      <c r="N550" s="33" t="s">
        <v>251</v>
      </c>
    </row>
    <row r="551" spans="1:14" ht="15">
      <c r="A551" s="12"/>
      <c r="B551" s="33" t="s">
        <v>311</v>
      </c>
      <c r="C551" s="92" t="s">
        <v>425</v>
      </c>
      <c r="D551" s="33" t="s">
        <v>411</v>
      </c>
      <c r="E551" s="34">
        <v>44134</v>
      </c>
      <c r="F551" s="34">
        <v>44137</v>
      </c>
      <c r="G551" s="34">
        <v>44140</v>
      </c>
      <c r="H551" s="35">
        <v>0.01</v>
      </c>
      <c r="I551" s="67">
        <v>4.1999999999999997E-3</v>
      </c>
      <c r="J551" s="67">
        <v>0</v>
      </c>
      <c r="K551" s="67">
        <v>4.1999999999999997E-3</v>
      </c>
      <c r="L551" s="36">
        <f t="shared" si="18"/>
        <v>3.1080000566999998E-3</v>
      </c>
      <c r="M551" s="64">
        <f t="shared" si="17"/>
        <v>3.1080000566999998E-3</v>
      </c>
      <c r="N551" s="33" t="s">
        <v>251</v>
      </c>
    </row>
    <row r="552" spans="1:14" ht="15">
      <c r="A552" s="12"/>
      <c r="B552" s="33" t="s">
        <v>189</v>
      </c>
      <c r="C552" s="92" t="s">
        <v>356</v>
      </c>
      <c r="D552" s="33" t="s">
        <v>411</v>
      </c>
      <c r="E552" s="34">
        <v>44134</v>
      </c>
      <c r="F552" s="34">
        <v>44137</v>
      </c>
      <c r="G552" s="34">
        <v>44140</v>
      </c>
      <c r="H552" s="35">
        <v>0.01</v>
      </c>
      <c r="I552" s="67">
        <v>7.6300000000000007E-2</v>
      </c>
      <c r="J552" s="67">
        <v>0</v>
      </c>
      <c r="K552" s="67">
        <v>7.6300000000000007E-2</v>
      </c>
      <c r="L552" s="36">
        <f t="shared" si="18"/>
        <v>5.6462001030050002E-2</v>
      </c>
      <c r="M552" s="64">
        <f t="shared" si="17"/>
        <v>5.6462001030050002E-2</v>
      </c>
      <c r="N552" s="33" t="s">
        <v>251</v>
      </c>
    </row>
    <row r="553" spans="1:14" ht="15">
      <c r="A553" s="12"/>
      <c r="B553" s="33" t="s">
        <v>197</v>
      </c>
      <c r="C553" s="92" t="s">
        <v>357</v>
      </c>
      <c r="D553" s="33" t="s">
        <v>411</v>
      </c>
      <c r="E553" s="34">
        <v>44134</v>
      </c>
      <c r="F553" s="34">
        <v>44137</v>
      </c>
      <c r="G553" s="34">
        <v>44140</v>
      </c>
      <c r="H553" s="35">
        <v>0.01</v>
      </c>
      <c r="I553" s="67">
        <v>7.7399999999999997E-2</v>
      </c>
      <c r="J553" s="67">
        <v>0</v>
      </c>
      <c r="K553" s="67">
        <v>7.7399999999999997E-2</v>
      </c>
      <c r="L553" s="36">
        <f t="shared" si="18"/>
        <v>5.7276001044899993E-2</v>
      </c>
      <c r="M553" s="64">
        <f t="shared" si="17"/>
        <v>5.7276001044899993E-2</v>
      </c>
      <c r="N553" s="33" t="s">
        <v>251</v>
      </c>
    </row>
    <row r="554" spans="1:14" ht="15">
      <c r="A554" s="12" t="s">
        <v>196</v>
      </c>
      <c r="B554" s="33" t="s">
        <v>308</v>
      </c>
      <c r="C554" s="92" t="s">
        <v>426</v>
      </c>
      <c r="D554" s="33" t="s">
        <v>411</v>
      </c>
      <c r="E554" s="34">
        <v>44134</v>
      </c>
      <c r="F554" s="34">
        <v>44137</v>
      </c>
      <c r="G554" s="34">
        <v>44140</v>
      </c>
      <c r="H554" s="35">
        <v>1.4999999999999999E-2</v>
      </c>
      <c r="I554" s="67">
        <v>6.1999999999999998E-3</v>
      </c>
      <c r="J554" s="67">
        <v>0</v>
      </c>
      <c r="K554" s="67">
        <v>6.1999999999999998E-3</v>
      </c>
      <c r="L554" s="36">
        <f>+K554-((K554*0.4996*0.125)+(K554*(1-0.4996)*0.26))</f>
        <v>5.0061652E-3</v>
      </c>
      <c r="M554" s="64">
        <f t="shared" si="17"/>
        <v>5.0061652E-3</v>
      </c>
      <c r="N554" s="33" t="s">
        <v>251</v>
      </c>
    </row>
    <row r="555" spans="1:14" ht="15">
      <c r="A555" s="12"/>
      <c r="B555" s="33" t="s">
        <v>186</v>
      </c>
      <c r="C555" s="92" t="s">
        <v>363</v>
      </c>
      <c r="D555" s="33" t="s">
        <v>411</v>
      </c>
      <c r="E555" s="34">
        <v>44134</v>
      </c>
      <c r="F555" s="34">
        <v>44137</v>
      </c>
      <c r="G555" s="34">
        <v>44140</v>
      </c>
      <c r="H555" s="35">
        <v>1.4999999999999999E-2</v>
      </c>
      <c r="I555" s="67">
        <v>0.114</v>
      </c>
      <c r="J555" s="67">
        <v>0</v>
      </c>
      <c r="K555" s="67">
        <v>0.114</v>
      </c>
      <c r="L555" s="36">
        <f>+K555-((K555*0.4996*0.125)+(K555*(1-0.4996)*0.26))</f>
        <v>9.2048844000000005E-2</v>
      </c>
      <c r="M555" s="64">
        <f t="shared" si="17"/>
        <v>9.2048844000000005E-2</v>
      </c>
      <c r="N555" s="33" t="s">
        <v>251</v>
      </c>
    </row>
    <row r="556" spans="1:14" ht="15">
      <c r="A556" s="12" t="s">
        <v>188</v>
      </c>
      <c r="B556" s="33" t="s">
        <v>194</v>
      </c>
      <c r="C556" s="92" t="s">
        <v>364</v>
      </c>
      <c r="D556" s="33" t="s">
        <v>411</v>
      </c>
      <c r="E556" s="34">
        <v>44134</v>
      </c>
      <c r="F556" s="34">
        <v>44137</v>
      </c>
      <c r="G556" s="34">
        <v>44140</v>
      </c>
      <c r="H556" s="35">
        <v>1.4999999999999999E-2</v>
      </c>
      <c r="I556" s="67">
        <v>0.1168</v>
      </c>
      <c r="J556" s="67">
        <v>0</v>
      </c>
      <c r="K556" s="67">
        <v>0.1168</v>
      </c>
      <c r="L556" s="36">
        <f>+K556-((K556*0.4996*0.125)+(K556*(1-0.4996)*0.26))</f>
        <v>9.4309692799999997E-2</v>
      </c>
      <c r="M556" s="64">
        <f t="shared" si="17"/>
        <v>9.4309692799999997E-2</v>
      </c>
      <c r="N556" s="33" t="s">
        <v>251</v>
      </c>
    </row>
    <row r="557" spans="1:14" ht="15">
      <c r="A557" s="12" t="s">
        <v>231</v>
      </c>
      <c r="B557" s="33" t="s">
        <v>307</v>
      </c>
      <c r="C557" s="92" t="s">
        <v>420</v>
      </c>
      <c r="D557" s="33" t="s">
        <v>411</v>
      </c>
      <c r="E557" s="34">
        <v>44134</v>
      </c>
      <c r="F557" s="34">
        <v>44137</v>
      </c>
      <c r="G557" s="34">
        <v>44140</v>
      </c>
      <c r="H557" s="35">
        <v>1.4999999999999999E-2</v>
      </c>
      <c r="I557" s="67">
        <v>6.1999999999999998E-3</v>
      </c>
      <c r="J557" s="67">
        <v>0</v>
      </c>
      <c r="K557" s="67">
        <v>6.1999999999999998E-3</v>
      </c>
      <c r="L557" s="36">
        <f>+K557-((K557*0.619*0.125)+(K557*(1-0.619)*0.26))</f>
        <v>5.1061029999999999E-3</v>
      </c>
      <c r="M557" s="64">
        <f t="shared" si="17"/>
        <v>5.1061029999999999E-3</v>
      </c>
      <c r="N557" s="33" t="s">
        <v>251</v>
      </c>
    </row>
    <row r="558" spans="1:14" ht="15">
      <c r="A558" s="12"/>
      <c r="B558" s="33" t="s">
        <v>185</v>
      </c>
      <c r="C558" s="92" t="s">
        <v>366</v>
      </c>
      <c r="D558" s="33" t="s">
        <v>411</v>
      </c>
      <c r="E558" s="34">
        <v>44134</v>
      </c>
      <c r="F558" s="34">
        <v>44137</v>
      </c>
      <c r="G558" s="34">
        <v>44140</v>
      </c>
      <c r="H558" s="35">
        <v>1.4999999999999999E-2</v>
      </c>
      <c r="I558" s="67">
        <v>0.10390000000000001</v>
      </c>
      <c r="J558" s="67">
        <v>0</v>
      </c>
      <c r="K558" s="67">
        <v>0.10390000000000001</v>
      </c>
      <c r="L558" s="36">
        <f>+K558-((K558*0.619*0.125)+(K558*(1-0.619)*0.26))</f>
        <v>8.5568403500000001E-2</v>
      </c>
      <c r="M558" s="64">
        <f t="shared" si="17"/>
        <v>8.5568403500000001E-2</v>
      </c>
      <c r="N558" s="33" t="s">
        <v>251</v>
      </c>
    </row>
    <row r="559" spans="1:14" ht="15">
      <c r="A559" s="12" t="s">
        <v>229</v>
      </c>
      <c r="B559" s="33" t="s">
        <v>193</v>
      </c>
      <c r="C559" s="92" t="s">
        <v>367</v>
      </c>
      <c r="D559" s="33" t="s">
        <v>411</v>
      </c>
      <c r="E559" s="34">
        <v>44134</v>
      </c>
      <c r="F559" s="34">
        <v>44137</v>
      </c>
      <c r="G559" s="34">
        <v>44140</v>
      </c>
      <c r="H559" s="35">
        <v>1.4999999999999999E-2</v>
      </c>
      <c r="I559" s="67">
        <v>0.1009</v>
      </c>
      <c r="J559" s="67">
        <v>0</v>
      </c>
      <c r="K559" s="67">
        <v>0.1009</v>
      </c>
      <c r="L559" s="36">
        <f>+K559-((K559*0.619*0.125)+(K559*(1-0.619)*0.26))</f>
        <v>8.3097708500000006E-2</v>
      </c>
      <c r="M559" s="64">
        <f t="shared" si="17"/>
        <v>8.3097708500000006E-2</v>
      </c>
      <c r="N559" s="33" t="s">
        <v>251</v>
      </c>
    </row>
    <row r="560" spans="1:14" ht="15">
      <c r="A560" s="12"/>
      <c r="B560" s="33" t="s">
        <v>309</v>
      </c>
      <c r="C560" s="92" t="s">
        <v>427</v>
      </c>
      <c r="D560" s="33" t="s">
        <v>411</v>
      </c>
      <c r="E560" s="34">
        <v>44134</v>
      </c>
      <c r="F560" s="34">
        <v>44137</v>
      </c>
      <c r="G560" s="34">
        <v>44140</v>
      </c>
      <c r="H560" s="35">
        <v>3.5000000000000003E-2</v>
      </c>
      <c r="I560" s="67">
        <v>1.4500000000000001E-2</v>
      </c>
      <c r="J560" s="67">
        <v>0</v>
      </c>
      <c r="K560" s="67">
        <v>1.4500000000000001E-2</v>
      </c>
      <c r="L560" s="36">
        <f>+K560-((K560*0.0000001*0.125)+(K560*(1-0.0000001)*0.26))</f>
        <v>1.0730000195749999E-2</v>
      </c>
      <c r="M560" s="64">
        <f t="shared" si="17"/>
        <v>1.0730000195749999E-2</v>
      </c>
      <c r="N560" s="33" t="s">
        <v>251</v>
      </c>
    </row>
    <row r="561" spans="1:14" ht="15">
      <c r="A561" s="12" t="s">
        <v>184</v>
      </c>
      <c r="B561" s="33" t="s">
        <v>187</v>
      </c>
      <c r="C561" s="92" t="s">
        <v>368</v>
      </c>
      <c r="D561" s="33" t="s">
        <v>411</v>
      </c>
      <c r="E561" s="34">
        <v>44134</v>
      </c>
      <c r="F561" s="34">
        <v>44137</v>
      </c>
      <c r="G561" s="34">
        <v>44140</v>
      </c>
      <c r="H561" s="35">
        <v>3.5000000000000003E-2</v>
      </c>
      <c r="I561" s="67">
        <v>0.25679999999999997</v>
      </c>
      <c r="J561" s="67">
        <v>0</v>
      </c>
      <c r="K561" s="67">
        <v>0.25679999999999997</v>
      </c>
      <c r="L561" s="36">
        <f>+K561-((K561*0.0000001*0.125)+(K561*(1-0.0000001)*0.26))</f>
        <v>0.19003200346679996</v>
      </c>
      <c r="M561" s="64">
        <f t="shared" si="17"/>
        <v>0.19003200346679996</v>
      </c>
      <c r="N561" s="33" t="s">
        <v>251</v>
      </c>
    </row>
    <row r="562" spans="1:14" ht="15">
      <c r="A562" s="12" t="s">
        <v>192</v>
      </c>
      <c r="B562" s="33" t="s">
        <v>195</v>
      </c>
      <c r="C562" s="92" t="s">
        <v>369</v>
      </c>
      <c r="D562" s="33" t="s">
        <v>411</v>
      </c>
      <c r="E562" s="34">
        <v>44134</v>
      </c>
      <c r="F562" s="34">
        <v>44137</v>
      </c>
      <c r="G562" s="34">
        <v>44140</v>
      </c>
      <c r="H562" s="35">
        <v>3.5000000000000003E-2</v>
      </c>
      <c r="I562" s="67">
        <v>0.26400000000000001</v>
      </c>
      <c r="J562" s="67">
        <v>0</v>
      </c>
      <c r="K562" s="67">
        <v>0.26400000000000001</v>
      </c>
      <c r="L562" s="36">
        <f>+K562-((K562*0.0000001*0.125)+(K562*(1-0.0000001)*0.26))</f>
        <v>0.19536000356400002</v>
      </c>
      <c r="M562" s="64">
        <f t="shared" si="17"/>
        <v>0.19536000356400002</v>
      </c>
      <c r="N562" s="33" t="s">
        <v>251</v>
      </c>
    </row>
    <row r="563" spans="1:14" ht="15">
      <c r="A563" s="12"/>
      <c r="B563" s="33" t="s">
        <v>312</v>
      </c>
      <c r="C563" s="92" t="s">
        <v>428</v>
      </c>
      <c r="D563" s="33" t="s">
        <v>411</v>
      </c>
      <c r="E563" s="34">
        <v>44134</v>
      </c>
      <c r="F563" s="34">
        <v>44137</v>
      </c>
      <c r="G563" s="34">
        <v>44140</v>
      </c>
      <c r="H563" s="35">
        <v>0.05</v>
      </c>
      <c r="I563" s="67">
        <v>2.1100000000000001E-2</v>
      </c>
      <c r="J563" s="67">
        <v>0</v>
      </c>
      <c r="K563" s="67">
        <v>2.1100000000000001E-2</v>
      </c>
      <c r="L563" s="36">
        <f>+K563-((K563*0.028*0.125)+(K563*(1-0.028)*0.26))</f>
        <v>1.5693757999999999E-2</v>
      </c>
      <c r="M563" s="64">
        <f t="shared" si="17"/>
        <v>1.5693757999999999E-2</v>
      </c>
      <c r="N563" s="33" t="s">
        <v>251</v>
      </c>
    </row>
    <row r="564" spans="1:14" ht="15">
      <c r="A564" s="12" t="s">
        <v>189</v>
      </c>
      <c r="B564" s="33" t="s">
        <v>190</v>
      </c>
      <c r="C564" s="92" t="s">
        <v>370</v>
      </c>
      <c r="D564" s="33" t="s">
        <v>411</v>
      </c>
      <c r="E564" s="34">
        <v>44134</v>
      </c>
      <c r="F564" s="34">
        <v>44137</v>
      </c>
      <c r="G564" s="34">
        <v>44140</v>
      </c>
      <c r="H564" s="35">
        <v>0.05</v>
      </c>
      <c r="I564" s="67">
        <v>0.39989999999999998</v>
      </c>
      <c r="J564" s="67">
        <v>0</v>
      </c>
      <c r="K564" s="67">
        <v>0.39989999999999998</v>
      </c>
      <c r="L564" s="36">
        <f>+K564-((K564*0.028*0.125)+(K564*(1-0.028)*0.26))</f>
        <v>0.29743762200000001</v>
      </c>
      <c r="M564" s="64">
        <f t="shared" si="17"/>
        <v>0.29743762200000001</v>
      </c>
      <c r="N564" s="33" t="s">
        <v>251</v>
      </c>
    </row>
    <row r="565" spans="1:14" ht="15">
      <c r="A565" s="12" t="s">
        <v>197</v>
      </c>
      <c r="B565" s="33" t="s">
        <v>198</v>
      </c>
      <c r="C565" s="92" t="s">
        <v>371</v>
      </c>
      <c r="D565" s="33" t="s">
        <v>411</v>
      </c>
      <c r="E565" s="34">
        <v>44134</v>
      </c>
      <c r="F565" s="34">
        <v>44137</v>
      </c>
      <c r="G565" s="34">
        <v>44140</v>
      </c>
      <c r="H565" s="35">
        <v>0.05</v>
      </c>
      <c r="I565" s="67">
        <v>0.39950000000000002</v>
      </c>
      <c r="J565" s="67">
        <v>0</v>
      </c>
      <c r="K565" s="67">
        <v>0.39950000000000002</v>
      </c>
      <c r="L565" s="36">
        <f>+K565-((K565*0.028*0.125)+(K565*(1-0.028)*0.26))</f>
        <v>0.29714011000000001</v>
      </c>
      <c r="M565" s="64">
        <f t="shared" si="17"/>
        <v>0.29714011000000001</v>
      </c>
      <c r="N565" s="33" t="s">
        <v>251</v>
      </c>
    </row>
    <row r="566" spans="1:14" ht="15">
      <c r="A566" s="12"/>
      <c r="B566" s="33" t="s">
        <v>513</v>
      </c>
      <c r="C566" s="92" t="s">
        <v>515</v>
      </c>
      <c r="D566" s="33" t="s">
        <v>411</v>
      </c>
      <c r="E566" s="34">
        <v>44134</v>
      </c>
      <c r="F566" s="34">
        <v>44137</v>
      </c>
      <c r="G566" s="34">
        <v>44140</v>
      </c>
      <c r="H566" s="35">
        <v>0.02</v>
      </c>
      <c r="I566" s="67">
        <v>0.13569999999999999</v>
      </c>
      <c r="J566" s="67">
        <v>0</v>
      </c>
      <c r="K566" s="67">
        <v>0.13569999999999999</v>
      </c>
      <c r="L566" s="36">
        <f>+K566-((K566*0.4903*0.125)+(K566*(1-0.4903)*0.26))</f>
        <v>0.10940005084999999</v>
      </c>
      <c r="M566" s="64">
        <f t="shared" si="17"/>
        <v>0.10940005084999999</v>
      </c>
      <c r="N566" s="33" t="s">
        <v>251</v>
      </c>
    </row>
    <row r="567" spans="1:14" ht="15">
      <c r="A567" s="12" t="s">
        <v>185</v>
      </c>
      <c r="B567" s="33" t="s">
        <v>514</v>
      </c>
      <c r="C567" s="92" t="s">
        <v>516</v>
      </c>
      <c r="D567" s="33" t="s">
        <v>411</v>
      </c>
      <c r="E567" s="34">
        <v>44134</v>
      </c>
      <c r="F567" s="34">
        <v>44137</v>
      </c>
      <c r="G567" s="34">
        <v>44140</v>
      </c>
      <c r="H567" s="35">
        <v>0.02</v>
      </c>
      <c r="I567" s="67">
        <v>0.13639999999999999</v>
      </c>
      <c r="J567" s="67">
        <v>0</v>
      </c>
      <c r="K567" s="67">
        <v>0.13639999999999999</v>
      </c>
      <c r="L567" s="36">
        <f>+K567-((K567*0.4903*0.125)+(K567*(1-0.4903)*0.26))</f>
        <v>0.10996438419999999</v>
      </c>
      <c r="M567" s="64">
        <f t="shared" si="17"/>
        <v>0.10996438419999999</v>
      </c>
      <c r="N567" s="33" t="s">
        <v>251</v>
      </c>
    </row>
    <row r="568" spans="1:14" ht="15">
      <c r="A568" s="12" t="s">
        <v>186</v>
      </c>
      <c r="B568" s="33" t="s">
        <v>313</v>
      </c>
      <c r="C568" s="92" t="s">
        <v>429</v>
      </c>
      <c r="D568" s="33" t="s">
        <v>411</v>
      </c>
      <c r="E568" s="34">
        <v>44134</v>
      </c>
      <c r="F568" s="34">
        <v>44137</v>
      </c>
      <c r="G568" s="34">
        <v>44140</v>
      </c>
      <c r="H568" s="35">
        <v>2.2499999999999999E-2</v>
      </c>
      <c r="I568" s="67">
        <v>9.2999999999999992E-3</v>
      </c>
      <c r="J568" s="67">
        <v>0</v>
      </c>
      <c r="K568" s="67">
        <v>9.2999999999999992E-3</v>
      </c>
      <c r="L568" s="36">
        <f>+K568-((K568*0.1466*0.125)+(K568*(1-0.1466)*0.26))</f>
        <v>7.0660562999999999E-3</v>
      </c>
      <c r="M568" s="64">
        <f t="shared" si="17"/>
        <v>7.0660562999999999E-3</v>
      </c>
      <c r="N568" s="33" t="s">
        <v>251</v>
      </c>
    </row>
    <row r="569" spans="1:14" ht="15">
      <c r="A569" s="12" t="s">
        <v>193</v>
      </c>
      <c r="B569" s="33" t="s">
        <v>334</v>
      </c>
      <c r="C569" s="92" t="s">
        <v>401</v>
      </c>
      <c r="D569" s="33" t="s">
        <v>412</v>
      </c>
      <c r="E569" s="34">
        <v>44137</v>
      </c>
      <c r="F569" s="34">
        <v>44138</v>
      </c>
      <c r="G569" s="34">
        <v>44141</v>
      </c>
      <c r="H569" s="35"/>
      <c r="I569" s="67">
        <v>2</v>
      </c>
      <c r="J569" s="67">
        <v>0</v>
      </c>
      <c r="K569" s="67">
        <v>2</v>
      </c>
      <c r="L569" s="36">
        <f>+K569-((K569*0.0195*0.125)+(K569*(1-0.0195)*0.26))</f>
        <v>1.4852650000000001</v>
      </c>
      <c r="M569" s="64">
        <f t="shared" si="17"/>
        <v>1.4852650000000001</v>
      </c>
      <c r="N569" s="33" t="s">
        <v>288</v>
      </c>
    </row>
    <row r="570" spans="1:14" ht="15">
      <c r="A570" s="12"/>
      <c r="B570" s="33" t="s">
        <v>333</v>
      </c>
      <c r="C570" s="92" t="s">
        <v>402</v>
      </c>
      <c r="D570" s="33" t="s">
        <v>412</v>
      </c>
      <c r="E570" s="34">
        <v>44137</v>
      </c>
      <c r="F570" s="34">
        <v>44138</v>
      </c>
      <c r="G570" s="34">
        <v>44141</v>
      </c>
      <c r="H570" s="35"/>
      <c r="I570" s="67">
        <v>2</v>
      </c>
      <c r="J570" s="67">
        <v>0</v>
      </c>
      <c r="K570" s="67">
        <v>2</v>
      </c>
      <c r="L570" s="36">
        <f>+K570-((K570*0.0195*0.125)+(K570*(1-0.0195)*0.26))</f>
        <v>1.4852650000000001</v>
      </c>
      <c r="M570" s="64">
        <f t="shared" si="17"/>
        <v>1.4852650000000001</v>
      </c>
      <c r="N570" s="33" t="s">
        <v>288</v>
      </c>
    </row>
    <row r="571" spans="1:14" ht="15">
      <c r="A571" s="12"/>
      <c r="B571" s="33" t="s">
        <v>310</v>
      </c>
      <c r="C571" s="92" t="s">
        <v>424</v>
      </c>
      <c r="D571" s="33" t="s">
        <v>411</v>
      </c>
      <c r="E571" s="34">
        <v>44165</v>
      </c>
      <c r="F571" s="34">
        <v>44166</v>
      </c>
      <c r="G571" s="34">
        <v>44169</v>
      </c>
      <c r="H571" s="35">
        <v>0.05</v>
      </c>
      <c r="I571" s="67">
        <v>2.0899999999999998E-2</v>
      </c>
      <c r="J571" s="67">
        <v>0</v>
      </c>
      <c r="K571" s="67">
        <v>2.0899999999999998E-2</v>
      </c>
      <c r="L571" s="36">
        <f>+K571-((K571*0.03783*0.125)+(K571*(1-0.089)*0.26))</f>
        <v>1.5850795124999997E-2</v>
      </c>
      <c r="M571" s="64">
        <f t="shared" si="17"/>
        <v>1.5850795124999997E-2</v>
      </c>
      <c r="N571" s="33" t="s">
        <v>251</v>
      </c>
    </row>
    <row r="572" spans="1:14" ht="15">
      <c r="A572" s="12" t="s">
        <v>187</v>
      </c>
      <c r="B572" s="33" t="s">
        <v>188</v>
      </c>
      <c r="C572" s="92" t="s">
        <v>339</v>
      </c>
      <c r="D572" s="33" t="s">
        <v>411</v>
      </c>
      <c r="E572" s="34">
        <v>44165</v>
      </c>
      <c r="F572" s="34">
        <v>44166</v>
      </c>
      <c r="G572" s="34">
        <v>44169</v>
      </c>
      <c r="H572" s="35">
        <v>0.05</v>
      </c>
      <c r="I572" s="67">
        <v>0.36549999999999999</v>
      </c>
      <c r="J572" s="67">
        <v>0</v>
      </c>
      <c r="K572" s="67">
        <v>0.36549999999999999</v>
      </c>
      <c r="L572" s="36">
        <f>+K572-((K572*0.03783*0.125)+(K572*(1-0.089)*0.26))</f>
        <v>0.27719931187500002</v>
      </c>
      <c r="M572" s="64">
        <f t="shared" si="17"/>
        <v>0.27719931187500002</v>
      </c>
      <c r="N572" s="33" t="s">
        <v>251</v>
      </c>
    </row>
    <row r="573" spans="1:14" ht="15">
      <c r="A573" s="12" t="s">
        <v>195</v>
      </c>
      <c r="B573" s="33" t="s">
        <v>196</v>
      </c>
      <c r="C573" s="92" t="s">
        <v>340</v>
      </c>
      <c r="D573" s="33" t="s">
        <v>411</v>
      </c>
      <c r="E573" s="34">
        <v>44165</v>
      </c>
      <c r="F573" s="34">
        <v>44166</v>
      </c>
      <c r="G573" s="34">
        <v>44169</v>
      </c>
      <c r="H573" s="35">
        <v>0.05</v>
      </c>
      <c r="I573" s="67">
        <v>0.37780000000000002</v>
      </c>
      <c r="J573" s="67">
        <v>0</v>
      </c>
      <c r="K573" s="67">
        <v>0.37780000000000002</v>
      </c>
      <c r="L573" s="36">
        <f>+K573-((K573*0.03783*0.125)+(K573*(1-0.089)*0.26))</f>
        <v>0.28652777024999998</v>
      </c>
      <c r="M573" s="64">
        <f t="shared" si="17"/>
        <v>0.28652777024999998</v>
      </c>
      <c r="N573" s="33" t="s">
        <v>251</v>
      </c>
    </row>
    <row r="574" spans="1:14" ht="15">
      <c r="A574" s="12" t="s">
        <v>190</v>
      </c>
      <c r="B574" s="33" t="s">
        <v>191</v>
      </c>
      <c r="C574" s="92" t="s">
        <v>346</v>
      </c>
      <c r="D574" s="33" t="s">
        <v>411</v>
      </c>
      <c r="E574" s="34">
        <v>44165</v>
      </c>
      <c r="F574" s="34">
        <v>44166</v>
      </c>
      <c r="G574" s="34">
        <v>44169</v>
      </c>
      <c r="H574" s="35">
        <v>3.5000000000000003E-2</v>
      </c>
      <c r="I574" s="67">
        <v>1.47E-2</v>
      </c>
      <c r="J574" s="67">
        <v>0</v>
      </c>
      <c r="K574" s="67">
        <v>1.47E-2</v>
      </c>
      <c r="L574" s="36">
        <f>+K574-((K574*0.7742*0.125)+(K574*(1-0.7742)*0.26))</f>
        <v>1.2414399899999999E-2</v>
      </c>
      <c r="M574" s="64">
        <f t="shared" ref="M574:M605" si="19">J574+L574</f>
        <v>1.2414399899999999E-2</v>
      </c>
      <c r="N574" s="33" t="s">
        <v>251</v>
      </c>
    </row>
    <row r="575" spans="1:14" ht="15">
      <c r="A575" s="12" t="s">
        <v>198</v>
      </c>
      <c r="B575" s="33" t="s">
        <v>199</v>
      </c>
      <c r="C575" s="92" t="s">
        <v>347</v>
      </c>
      <c r="D575" s="33" t="s">
        <v>411</v>
      </c>
      <c r="E575" s="34">
        <v>44165</v>
      </c>
      <c r="F575" s="34">
        <v>44166</v>
      </c>
      <c r="G575" s="34">
        <v>44169</v>
      </c>
      <c r="H575" s="35">
        <v>3.5000000000000003E-2</v>
      </c>
      <c r="I575" s="67">
        <v>1.47E-2</v>
      </c>
      <c r="J575" s="67">
        <v>0</v>
      </c>
      <c r="K575" s="67">
        <v>1.47E-2</v>
      </c>
      <c r="L575" s="36">
        <f>+K575-((K575*0.7742*0.125)+(K575*(1-0.7742)*0.26))</f>
        <v>1.2414399899999999E-2</v>
      </c>
      <c r="M575" s="64">
        <f t="shared" si="19"/>
        <v>1.2414399899999999E-2</v>
      </c>
      <c r="N575" s="33" t="s">
        <v>251</v>
      </c>
    </row>
    <row r="576" spans="1:14" ht="15">
      <c r="A576" s="12"/>
      <c r="B576" s="33" t="s">
        <v>306</v>
      </c>
      <c r="C576" s="92" t="s">
        <v>430</v>
      </c>
      <c r="D576" s="33" t="s">
        <v>411</v>
      </c>
      <c r="E576" s="34">
        <v>44165</v>
      </c>
      <c r="F576" s="34">
        <v>44166</v>
      </c>
      <c r="G576" s="34">
        <v>44169</v>
      </c>
      <c r="H576" s="35">
        <v>0.02</v>
      </c>
      <c r="I576" s="67">
        <v>8.3999999999999995E-3</v>
      </c>
      <c r="J576" s="67">
        <v>0</v>
      </c>
      <c r="K576" s="67">
        <v>8.3999999999999995E-3</v>
      </c>
      <c r="L576" s="36">
        <f t="shared" ref="L576:L581" si="20">+K576-((K576*0.0000001*0.125)+(K576*(1-0.0000001)*0.26))</f>
        <v>6.2160001133999996E-3</v>
      </c>
      <c r="M576" s="64">
        <f t="shared" si="19"/>
        <v>6.2160001133999996E-3</v>
      </c>
      <c r="N576" s="33" t="s">
        <v>251</v>
      </c>
    </row>
    <row r="577" spans="1:14" ht="15">
      <c r="A577" s="12"/>
      <c r="B577" s="33" t="s">
        <v>184</v>
      </c>
      <c r="C577" s="92" t="s">
        <v>354</v>
      </c>
      <c r="D577" s="33" t="s">
        <v>411</v>
      </c>
      <c r="E577" s="34">
        <v>44165</v>
      </c>
      <c r="F577" s="34">
        <v>44166</v>
      </c>
      <c r="G577" s="34">
        <v>44169</v>
      </c>
      <c r="H577" s="35">
        <v>0.02</v>
      </c>
      <c r="I577" s="67">
        <v>0.16880000000000001</v>
      </c>
      <c r="J577" s="67">
        <v>0</v>
      </c>
      <c r="K577" s="67">
        <v>0.16880000000000001</v>
      </c>
      <c r="L577" s="36">
        <f t="shared" si="20"/>
        <v>0.12491200227880001</v>
      </c>
      <c r="M577" s="64">
        <f t="shared" si="19"/>
        <v>0.12491200227880001</v>
      </c>
      <c r="N577" s="33" t="s">
        <v>251</v>
      </c>
    </row>
    <row r="578" spans="1:14" ht="15">
      <c r="A578" s="12"/>
      <c r="B578" s="33" t="s">
        <v>192</v>
      </c>
      <c r="C578" s="92" t="s">
        <v>355</v>
      </c>
      <c r="D578" s="33" t="s">
        <v>411</v>
      </c>
      <c r="E578" s="34">
        <v>44165</v>
      </c>
      <c r="F578" s="34">
        <v>44166</v>
      </c>
      <c r="G578" s="34">
        <v>44169</v>
      </c>
      <c r="H578" s="35">
        <v>0.02</v>
      </c>
      <c r="I578" s="67">
        <v>0.16980000000000001</v>
      </c>
      <c r="J578" s="67">
        <v>0</v>
      </c>
      <c r="K578" s="67">
        <v>0.16980000000000001</v>
      </c>
      <c r="L578" s="36">
        <f t="shared" si="20"/>
        <v>0.1256520022923</v>
      </c>
      <c r="M578" s="64">
        <f t="shared" si="19"/>
        <v>0.1256520022923</v>
      </c>
      <c r="N578" s="33" t="s">
        <v>251</v>
      </c>
    </row>
    <row r="579" spans="1:14" ht="15">
      <c r="A579" s="12" t="s">
        <v>124</v>
      </c>
      <c r="B579" s="33" t="s">
        <v>311</v>
      </c>
      <c r="C579" s="92" t="s">
        <v>425</v>
      </c>
      <c r="D579" s="33" t="s">
        <v>411</v>
      </c>
      <c r="E579" s="34">
        <v>44165</v>
      </c>
      <c r="F579" s="34">
        <v>44166</v>
      </c>
      <c r="G579" s="34">
        <v>44169</v>
      </c>
      <c r="H579" s="35">
        <v>0.01</v>
      </c>
      <c r="I579" s="67">
        <v>4.1999999999999997E-3</v>
      </c>
      <c r="J579" s="67">
        <v>0</v>
      </c>
      <c r="K579" s="67">
        <v>4.1999999999999997E-3</v>
      </c>
      <c r="L579" s="36">
        <f t="shared" si="20"/>
        <v>3.1080000566999998E-3</v>
      </c>
      <c r="M579" s="64">
        <f t="shared" si="19"/>
        <v>3.1080000566999998E-3</v>
      </c>
      <c r="N579" s="33" t="s">
        <v>251</v>
      </c>
    </row>
    <row r="580" spans="1:14" ht="15">
      <c r="A580" s="12"/>
      <c r="B580" s="33" t="s">
        <v>189</v>
      </c>
      <c r="C580" s="92" t="s">
        <v>356</v>
      </c>
      <c r="D580" s="33" t="s">
        <v>411</v>
      </c>
      <c r="E580" s="34">
        <v>44165</v>
      </c>
      <c r="F580" s="34">
        <v>44166</v>
      </c>
      <c r="G580" s="34">
        <v>44169</v>
      </c>
      <c r="H580" s="35">
        <v>0.01</v>
      </c>
      <c r="I580" s="67">
        <v>7.6300000000000007E-2</v>
      </c>
      <c r="J580" s="67">
        <v>0</v>
      </c>
      <c r="K580" s="67">
        <v>7.6300000000000007E-2</v>
      </c>
      <c r="L580" s="36">
        <f t="shared" si="20"/>
        <v>5.6462001030050002E-2</v>
      </c>
      <c r="M580" s="64">
        <f t="shared" si="19"/>
        <v>5.6462001030050002E-2</v>
      </c>
      <c r="N580" s="33" t="s">
        <v>251</v>
      </c>
    </row>
    <row r="581" spans="1:14" ht="15">
      <c r="A581" s="12"/>
      <c r="B581" s="33" t="s">
        <v>197</v>
      </c>
      <c r="C581" s="92" t="s">
        <v>357</v>
      </c>
      <c r="D581" s="33" t="s">
        <v>411</v>
      </c>
      <c r="E581" s="34">
        <v>44165</v>
      </c>
      <c r="F581" s="34">
        <v>44166</v>
      </c>
      <c r="G581" s="34">
        <v>44169</v>
      </c>
      <c r="H581" s="35">
        <v>0.01</v>
      </c>
      <c r="I581" s="67">
        <v>7.7399999999999997E-2</v>
      </c>
      <c r="J581" s="67">
        <v>0</v>
      </c>
      <c r="K581" s="67">
        <v>7.7399999999999997E-2</v>
      </c>
      <c r="L581" s="36">
        <f t="shared" si="20"/>
        <v>5.7276001044899993E-2</v>
      </c>
      <c r="M581" s="64">
        <f t="shared" si="19"/>
        <v>5.7276001044899993E-2</v>
      </c>
      <c r="N581" s="33" t="s">
        <v>251</v>
      </c>
    </row>
    <row r="582" spans="1:14" ht="15">
      <c r="A582" s="12"/>
      <c r="B582" s="33" t="s">
        <v>308</v>
      </c>
      <c r="C582" s="92" t="s">
        <v>426</v>
      </c>
      <c r="D582" s="33" t="s">
        <v>411</v>
      </c>
      <c r="E582" s="34">
        <v>44165</v>
      </c>
      <c r="F582" s="34">
        <v>44166</v>
      </c>
      <c r="G582" s="34">
        <v>44169</v>
      </c>
      <c r="H582" s="35">
        <v>1.4999999999999999E-2</v>
      </c>
      <c r="I582" s="67">
        <v>6.1999999999999998E-3</v>
      </c>
      <c r="J582" s="67">
        <v>0</v>
      </c>
      <c r="K582" s="67">
        <v>6.1999999999999998E-3</v>
      </c>
      <c r="L582" s="36">
        <f>+K582-((K582*0.4996*0.125)+(K582*(1-0.4996)*0.26))</f>
        <v>5.0061652E-3</v>
      </c>
      <c r="M582" s="64">
        <f t="shared" si="19"/>
        <v>5.0061652E-3</v>
      </c>
      <c r="N582" s="33" t="s">
        <v>251</v>
      </c>
    </row>
    <row r="583" spans="1:14" ht="15">
      <c r="A583" s="12" t="s">
        <v>122</v>
      </c>
      <c r="B583" s="33" t="s">
        <v>186</v>
      </c>
      <c r="C583" s="92" t="s">
        <v>363</v>
      </c>
      <c r="D583" s="33" t="s">
        <v>411</v>
      </c>
      <c r="E583" s="34">
        <v>44165</v>
      </c>
      <c r="F583" s="34">
        <v>44166</v>
      </c>
      <c r="G583" s="34">
        <v>44169</v>
      </c>
      <c r="H583" s="35">
        <v>1.4999999999999999E-2</v>
      </c>
      <c r="I583" s="67">
        <v>0.114</v>
      </c>
      <c r="J583" s="67">
        <v>0</v>
      </c>
      <c r="K583" s="67">
        <v>0.114</v>
      </c>
      <c r="L583" s="36">
        <f>+K583-((K583*0.4996*0.125)+(K583*(1-0.4996)*0.26))</f>
        <v>9.2048844000000005E-2</v>
      </c>
      <c r="M583" s="64">
        <f t="shared" si="19"/>
        <v>9.2048844000000005E-2</v>
      </c>
      <c r="N583" s="33" t="s">
        <v>251</v>
      </c>
    </row>
    <row r="584" spans="1:14" ht="15">
      <c r="A584" s="12" t="s">
        <v>123</v>
      </c>
      <c r="B584" s="33" t="s">
        <v>194</v>
      </c>
      <c r="C584" s="92" t="s">
        <v>364</v>
      </c>
      <c r="D584" s="33" t="s">
        <v>411</v>
      </c>
      <c r="E584" s="34">
        <v>44165</v>
      </c>
      <c r="F584" s="34">
        <v>44166</v>
      </c>
      <c r="G584" s="34">
        <v>44169</v>
      </c>
      <c r="H584" s="35">
        <v>1.4999999999999999E-2</v>
      </c>
      <c r="I584" s="67">
        <v>0.1168</v>
      </c>
      <c r="J584" s="67">
        <v>0</v>
      </c>
      <c r="K584" s="67">
        <v>0.1168</v>
      </c>
      <c r="L584" s="36">
        <f>+K584-((K584*0.4996*0.125)+(K584*(1-0.4996)*0.26))</f>
        <v>9.4309692799999997E-2</v>
      </c>
      <c r="M584" s="64">
        <f t="shared" si="19"/>
        <v>9.4309692799999997E-2</v>
      </c>
      <c r="N584" s="33" t="s">
        <v>251</v>
      </c>
    </row>
    <row r="585" spans="1:14" ht="15">
      <c r="A585" s="12" t="s">
        <v>88</v>
      </c>
      <c r="B585" s="33" t="s">
        <v>307</v>
      </c>
      <c r="C585" s="92" t="s">
        <v>420</v>
      </c>
      <c r="D585" s="33" t="s">
        <v>411</v>
      </c>
      <c r="E585" s="34">
        <v>44165</v>
      </c>
      <c r="F585" s="34">
        <v>44166</v>
      </c>
      <c r="G585" s="34">
        <v>44169</v>
      </c>
      <c r="H585" s="35">
        <v>1.4999999999999999E-2</v>
      </c>
      <c r="I585" s="67">
        <v>6.1999999999999998E-3</v>
      </c>
      <c r="J585" s="67">
        <v>0</v>
      </c>
      <c r="K585" s="67">
        <v>6.1999999999999998E-3</v>
      </c>
      <c r="L585" s="36">
        <f>+K585-((K585*0.619*0.125)+(K585*(1-0.619)*0.26))</f>
        <v>5.1061029999999999E-3</v>
      </c>
      <c r="M585" s="64">
        <f t="shared" si="19"/>
        <v>5.1061029999999999E-3</v>
      </c>
      <c r="N585" s="33" t="s">
        <v>251</v>
      </c>
    </row>
    <row r="586" spans="1:14" ht="15">
      <c r="A586" s="12" t="s">
        <v>181</v>
      </c>
      <c r="B586" s="33" t="s">
        <v>185</v>
      </c>
      <c r="C586" s="92" t="s">
        <v>366</v>
      </c>
      <c r="D586" s="33" t="s">
        <v>411</v>
      </c>
      <c r="E586" s="34">
        <v>44165</v>
      </c>
      <c r="F586" s="34">
        <v>44166</v>
      </c>
      <c r="G586" s="34">
        <v>44169</v>
      </c>
      <c r="H586" s="35">
        <v>1.4999999999999999E-2</v>
      </c>
      <c r="I586" s="67">
        <v>0.10390000000000001</v>
      </c>
      <c r="J586" s="67">
        <v>0</v>
      </c>
      <c r="K586" s="67">
        <v>0.10390000000000001</v>
      </c>
      <c r="L586" s="36">
        <f>+K586-((K586*0.619*0.125)+(K586*(1-0.619)*0.26))</f>
        <v>8.5568403500000001E-2</v>
      </c>
      <c r="M586" s="64">
        <f t="shared" si="19"/>
        <v>8.5568403500000001E-2</v>
      </c>
      <c r="N586" s="33" t="s">
        <v>251</v>
      </c>
    </row>
    <row r="587" spans="1:14" ht="15">
      <c r="A587" s="12" t="s">
        <v>201</v>
      </c>
      <c r="B587" s="33" t="s">
        <v>193</v>
      </c>
      <c r="C587" s="92" t="s">
        <v>367</v>
      </c>
      <c r="D587" s="33" t="s">
        <v>411</v>
      </c>
      <c r="E587" s="34">
        <v>44165</v>
      </c>
      <c r="F587" s="34">
        <v>44166</v>
      </c>
      <c r="G587" s="34">
        <v>44169</v>
      </c>
      <c r="H587" s="35">
        <v>1.4999999999999999E-2</v>
      </c>
      <c r="I587" s="67">
        <v>0.1009</v>
      </c>
      <c r="J587" s="67">
        <v>0</v>
      </c>
      <c r="K587" s="67">
        <v>0.1009</v>
      </c>
      <c r="L587" s="36">
        <f>+K587-((K587*0.619*0.125)+(K587*(1-0.619)*0.26))</f>
        <v>8.3097708500000006E-2</v>
      </c>
      <c r="M587" s="64">
        <f t="shared" si="19"/>
        <v>8.3097708500000006E-2</v>
      </c>
      <c r="N587" s="33" t="s">
        <v>251</v>
      </c>
    </row>
    <row r="588" spans="1:14" ht="15">
      <c r="A588" s="12" t="s">
        <v>188</v>
      </c>
      <c r="B588" s="33" t="s">
        <v>309</v>
      </c>
      <c r="C588" s="92" t="s">
        <v>427</v>
      </c>
      <c r="D588" s="33" t="s">
        <v>411</v>
      </c>
      <c r="E588" s="34">
        <v>44165</v>
      </c>
      <c r="F588" s="34">
        <v>44166</v>
      </c>
      <c r="G588" s="34">
        <v>44169</v>
      </c>
      <c r="H588" s="35">
        <v>3.5000000000000003E-2</v>
      </c>
      <c r="I588" s="67">
        <v>1.4500000000000001E-2</v>
      </c>
      <c r="J588" s="67">
        <v>0</v>
      </c>
      <c r="K588" s="67">
        <v>1.4500000000000001E-2</v>
      </c>
      <c r="L588" s="36">
        <f>+K588-((K588*0.0000001*0.125)+(K588*(1-0.0000001)*0.26))</f>
        <v>1.0730000195749999E-2</v>
      </c>
      <c r="M588" s="64">
        <f t="shared" si="19"/>
        <v>1.0730000195749999E-2</v>
      </c>
      <c r="N588" s="33" t="s">
        <v>251</v>
      </c>
    </row>
    <row r="589" spans="1:14" ht="15">
      <c r="A589" s="12" t="s">
        <v>13</v>
      </c>
      <c r="B589" s="33" t="s">
        <v>187</v>
      </c>
      <c r="C589" s="92" t="s">
        <v>368</v>
      </c>
      <c r="D589" s="33" t="s">
        <v>411</v>
      </c>
      <c r="E589" s="34">
        <v>44165</v>
      </c>
      <c r="F589" s="34">
        <v>44166</v>
      </c>
      <c r="G589" s="34">
        <v>44169</v>
      </c>
      <c r="H589" s="35">
        <v>3.5000000000000003E-2</v>
      </c>
      <c r="I589" s="67">
        <v>0.25679999999999997</v>
      </c>
      <c r="J589" s="67">
        <v>0</v>
      </c>
      <c r="K589" s="67">
        <v>0.25679999999999997</v>
      </c>
      <c r="L589" s="36">
        <f>+K589-((K589*0.0000001*0.125)+(K589*(1-0.0000001)*0.26))</f>
        <v>0.19003200346679996</v>
      </c>
      <c r="M589" s="64">
        <f t="shared" si="19"/>
        <v>0.19003200346679996</v>
      </c>
      <c r="N589" s="33" t="s">
        <v>251</v>
      </c>
    </row>
    <row r="590" spans="1:14" ht="15">
      <c r="A590" s="12"/>
      <c r="B590" s="33" t="s">
        <v>195</v>
      </c>
      <c r="C590" s="92" t="s">
        <v>369</v>
      </c>
      <c r="D590" s="33" t="s">
        <v>411</v>
      </c>
      <c r="E590" s="34">
        <v>44165</v>
      </c>
      <c r="F590" s="34">
        <v>44166</v>
      </c>
      <c r="G590" s="34">
        <v>44169</v>
      </c>
      <c r="H590" s="35">
        <v>3.5000000000000003E-2</v>
      </c>
      <c r="I590" s="67">
        <v>0.26400000000000001</v>
      </c>
      <c r="J590" s="67">
        <v>0</v>
      </c>
      <c r="K590" s="67">
        <v>0.26400000000000001</v>
      </c>
      <c r="L590" s="36">
        <f>+K590-((K590*0.0000001*0.125)+(K590*(1-0.0000001)*0.26))</f>
        <v>0.19536000356400002</v>
      </c>
      <c r="M590" s="64">
        <f t="shared" si="19"/>
        <v>0.19536000356400002</v>
      </c>
      <c r="N590" s="33" t="s">
        <v>251</v>
      </c>
    </row>
    <row r="591" spans="1:14" ht="15">
      <c r="A591" s="12" t="s">
        <v>87</v>
      </c>
      <c r="B591" s="33" t="s">
        <v>312</v>
      </c>
      <c r="C591" s="92" t="s">
        <v>428</v>
      </c>
      <c r="D591" s="33" t="s">
        <v>411</v>
      </c>
      <c r="E591" s="34">
        <v>44165</v>
      </c>
      <c r="F591" s="34">
        <v>44166</v>
      </c>
      <c r="G591" s="34">
        <v>44169</v>
      </c>
      <c r="H591" s="35">
        <v>0.05</v>
      </c>
      <c r="I591" s="67">
        <v>2.1100000000000001E-2</v>
      </c>
      <c r="J591" s="67">
        <v>0</v>
      </c>
      <c r="K591" s="67">
        <v>2.1100000000000001E-2</v>
      </c>
      <c r="L591" s="36">
        <f>+K591-((K591*0.028*0.125)+(K591*(1-0.028)*0.26))</f>
        <v>1.5693757999999999E-2</v>
      </c>
      <c r="M591" s="64">
        <f t="shared" si="19"/>
        <v>1.5693757999999999E-2</v>
      </c>
      <c r="N591" s="33" t="s">
        <v>251</v>
      </c>
    </row>
    <row r="592" spans="1:14" ht="15">
      <c r="A592" s="12" t="s">
        <v>196</v>
      </c>
      <c r="B592" s="33" t="s">
        <v>190</v>
      </c>
      <c r="C592" s="92" t="s">
        <v>370</v>
      </c>
      <c r="D592" s="33" t="s">
        <v>411</v>
      </c>
      <c r="E592" s="34">
        <v>44165</v>
      </c>
      <c r="F592" s="34">
        <v>44166</v>
      </c>
      <c r="G592" s="34">
        <v>44169</v>
      </c>
      <c r="H592" s="35">
        <v>0.05</v>
      </c>
      <c r="I592" s="67">
        <v>0.39989999999999998</v>
      </c>
      <c r="J592" s="67">
        <v>0</v>
      </c>
      <c r="K592" s="67">
        <v>0.39989999999999998</v>
      </c>
      <c r="L592" s="36">
        <f>+K592-((K592*0.028*0.125)+(K592*(1-0.028)*0.26))</f>
        <v>0.29743762200000001</v>
      </c>
      <c r="M592" s="64">
        <f t="shared" si="19"/>
        <v>0.29743762200000001</v>
      </c>
      <c r="N592" s="33" t="s">
        <v>251</v>
      </c>
    </row>
    <row r="593" spans="1:14" ht="15">
      <c r="A593" s="12"/>
      <c r="B593" s="33" t="s">
        <v>198</v>
      </c>
      <c r="C593" s="92" t="s">
        <v>371</v>
      </c>
      <c r="D593" s="33" t="s">
        <v>411</v>
      </c>
      <c r="E593" s="34">
        <v>44165</v>
      </c>
      <c r="F593" s="34">
        <v>44166</v>
      </c>
      <c r="G593" s="34">
        <v>44169</v>
      </c>
      <c r="H593" s="35">
        <v>0.05</v>
      </c>
      <c r="I593" s="67">
        <v>0.39950000000000002</v>
      </c>
      <c r="J593" s="67">
        <v>0</v>
      </c>
      <c r="K593" s="67">
        <v>0.39950000000000002</v>
      </c>
      <c r="L593" s="36">
        <f>+K593-((K593*0.028*0.125)+(K593*(1-0.028)*0.26))</f>
        <v>0.29714011000000001</v>
      </c>
      <c r="M593" s="64">
        <f t="shared" si="19"/>
        <v>0.29714011000000001</v>
      </c>
      <c r="N593" s="33" t="s">
        <v>251</v>
      </c>
    </row>
    <row r="594" spans="1:14" ht="15">
      <c r="A594" s="12" t="s">
        <v>89</v>
      </c>
      <c r="B594" s="33" t="s">
        <v>513</v>
      </c>
      <c r="C594" s="92" t="s">
        <v>515</v>
      </c>
      <c r="D594" s="33" t="s">
        <v>411</v>
      </c>
      <c r="E594" s="34">
        <v>44165</v>
      </c>
      <c r="F594" s="34">
        <v>44166</v>
      </c>
      <c r="G594" s="34">
        <v>44169</v>
      </c>
      <c r="H594" s="35">
        <v>0.02</v>
      </c>
      <c r="I594" s="67">
        <v>0.13569999999999999</v>
      </c>
      <c r="J594" s="67">
        <v>0</v>
      </c>
      <c r="K594" s="67">
        <v>0.13569999999999999</v>
      </c>
      <c r="L594" s="36">
        <f>+K594-((K594*0.4903*0.125)+(K594*(1-0.4903)*0.26))</f>
        <v>0.10940005084999999</v>
      </c>
      <c r="M594" s="64">
        <f t="shared" si="19"/>
        <v>0.10940005084999999</v>
      </c>
      <c r="N594" s="33" t="s">
        <v>251</v>
      </c>
    </row>
    <row r="595" spans="1:14" ht="15">
      <c r="A595" s="12" t="s">
        <v>15</v>
      </c>
      <c r="B595" s="33" t="s">
        <v>514</v>
      </c>
      <c r="C595" s="92" t="s">
        <v>516</v>
      </c>
      <c r="D595" s="33" t="s">
        <v>411</v>
      </c>
      <c r="E595" s="34">
        <v>44165</v>
      </c>
      <c r="F595" s="34">
        <v>44166</v>
      </c>
      <c r="G595" s="34">
        <v>44169</v>
      </c>
      <c r="H595" s="35">
        <v>0.02</v>
      </c>
      <c r="I595" s="67">
        <v>0.13639999999999999</v>
      </c>
      <c r="J595" s="67">
        <v>0</v>
      </c>
      <c r="K595" s="67">
        <v>0.13639999999999999</v>
      </c>
      <c r="L595" s="36">
        <f>+K595-((K595*0.4903*0.125)+(K595*(1-0.4903)*0.26))</f>
        <v>0.10996438419999999</v>
      </c>
      <c r="M595" s="64">
        <f t="shared" si="19"/>
        <v>0.10996438419999999</v>
      </c>
      <c r="N595" s="33" t="s">
        <v>251</v>
      </c>
    </row>
    <row r="596" spans="1:14" ht="15">
      <c r="A596" s="12" t="s">
        <v>14</v>
      </c>
      <c r="B596" s="33" t="s">
        <v>313</v>
      </c>
      <c r="C596" s="92" t="s">
        <v>429</v>
      </c>
      <c r="D596" s="33" t="s">
        <v>411</v>
      </c>
      <c r="E596" s="34">
        <v>44165</v>
      </c>
      <c r="F596" s="34">
        <v>44166</v>
      </c>
      <c r="G596" s="34">
        <v>44169</v>
      </c>
      <c r="H596" s="35">
        <v>2.2499999999999999E-2</v>
      </c>
      <c r="I596" s="67">
        <v>9.2999999999999992E-3</v>
      </c>
      <c r="J596" s="67">
        <v>0</v>
      </c>
      <c r="K596" s="67">
        <v>9.2999999999999992E-3</v>
      </c>
      <c r="L596" s="36">
        <f>+K596-((K596*0.1466*0.125)+(K596*(1-0.1466)*0.26))</f>
        <v>7.0660562999999999E-3</v>
      </c>
      <c r="M596" s="64">
        <f t="shared" si="19"/>
        <v>7.0660562999999999E-3</v>
      </c>
      <c r="N596" s="33" t="s">
        <v>251</v>
      </c>
    </row>
    <row r="597" spans="1:14" ht="15">
      <c r="A597" s="12" t="s">
        <v>231</v>
      </c>
      <c r="B597" s="33" t="s">
        <v>174</v>
      </c>
      <c r="C597" s="92" t="s">
        <v>382</v>
      </c>
      <c r="D597" s="33" t="s">
        <v>410</v>
      </c>
      <c r="E597" s="34">
        <v>44195</v>
      </c>
      <c r="F597" s="34">
        <v>44196</v>
      </c>
      <c r="G597" s="34">
        <v>44202</v>
      </c>
      <c r="H597" s="35"/>
      <c r="I597" s="67">
        <v>2.1656999999999999E-2</v>
      </c>
      <c r="J597" s="67">
        <v>0</v>
      </c>
      <c r="K597" s="67">
        <v>2.1657349999999999E-2</v>
      </c>
      <c r="L597" s="36">
        <f>+K597-((K597*0.0094*0.125)+(K597*(1-0.0094)*0.26))</f>
        <v>1.6053922177149998E-2</v>
      </c>
      <c r="M597" s="64">
        <f t="shared" si="19"/>
        <v>1.6053922177149998E-2</v>
      </c>
      <c r="N597" s="33" t="s">
        <v>247</v>
      </c>
    </row>
    <row r="598" spans="1:14" ht="15">
      <c r="A598" s="12" t="s">
        <v>91</v>
      </c>
      <c r="B598" s="33" t="s">
        <v>176</v>
      </c>
      <c r="C598" s="92" t="s">
        <v>397</v>
      </c>
      <c r="D598" s="33" t="s">
        <v>410</v>
      </c>
      <c r="E598" s="34">
        <v>44195</v>
      </c>
      <c r="F598" s="34">
        <v>44196</v>
      </c>
      <c r="G598" s="34">
        <v>44202</v>
      </c>
      <c r="H598" s="35"/>
      <c r="I598" s="67">
        <v>3.5163E-2</v>
      </c>
      <c r="J598" s="67">
        <v>0</v>
      </c>
      <c r="K598" s="67">
        <v>3.5163279999999998E-2</v>
      </c>
      <c r="L598" s="36">
        <f>+K598-((K598*0.1243*0.125)+(K598*(1-0.1243)*0.26))</f>
        <v>2.661088462004E-2</v>
      </c>
      <c r="M598" s="64">
        <f t="shared" si="19"/>
        <v>2.661088462004E-2</v>
      </c>
      <c r="N598" s="33" t="s">
        <v>247</v>
      </c>
    </row>
    <row r="599" spans="1:14" ht="15">
      <c r="A599" s="12" t="s">
        <v>229</v>
      </c>
      <c r="B599" s="33" t="s">
        <v>175</v>
      </c>
      <c r="C599" s="92" t="s">
        <v>465</v>
      </c>
      <c r="D599" s="33" t="s">
        <v>410</v>
      </c>
      <c r="E599" s="34">
        <v>44195</v>
      </c>
      <c r="F599" s="34">
        <v>44196</v>
      </c>
      <c r="G599" s="34">
        <v>44202</v>
      </c>
      <c r="H599" s="35"/>
      <c r="I599" s="67">
        <v>4.4358000000000002E-2</v>
      </c>
      <c r="J599" s="67">
        <v>0</v>
      </c>
      <c r="K599" s="67">
        <v>4.4358109999999999E-2</v>
      </c>
      <c r="L599" s="36">
        <f>+K599-((K599*0.127*0.125)+(K599*(1-0.127)*0.26))</f>
        <v>3.3585521195949999E-2</v>
      </c>
      <c r="M599" s="64">
        <f t="shared" si="19"/>
        <v>3.3585521195949999E-2</v>
      </c>
      <c r="N599" s="33" t="s">
        <v>247</v>
      </c>
    </row>
    <row r="600" spans="1:14" ht="15">
      <c r="A600" s="12" t="s">
        <v>192</v>
      </c>
      <c r="B600" s="33" t="s">
        <v>310</v>
      </c>
      <c r="C600" s="92" t="s">
        <v>424</v>
      </c>
      <c r="D600" s="33" t="s">
        <v>411</v>
      </c>
      <c r="E600" s="34">
        <v>44196</v>
      </c>
      <c r="F600" s="34">
        <v>44200</v>
      </c>
      <c r="G600" s="34">
        <v>44203</v>
      </c>
      <c r="H600" s="35">
        <v>0.05</v>
      </c>
      <c r="I600" s="67">
        <v>2.0899999999999998E-2</v>
      </c>
      <c r="J600" s="67">
        <v>0</v>
      </c>
      <c r="K600" s="67">
        <v>2.0899999999999998E-2</v>
      </c>
      <c r="L600" s="36">
        <f>+K600-((K600*0.03783*0.125)+(K600*(1-0.089)*0.26))</f>
        <v>1.5850795124999997E-2</v>
      </c>
      <c r="M600" s="64">
        <f t="shared" si="19"/>
        <v>1.5850795124999997E-2</v>
      </c>
      <c r="N600" s="33" t="s">
        <v>251</v>
      </c>
    </row>
    <row r="601" spans="1:14" ht="15">
      <c r="A601" s="12" t="s">
        <v>93</v>
      </c>
      <c r="B601" s="33" t="s">
        <v>188</v>
      </c>
      <c r="C601" s="92" t="s">
        <v>339</v>
      </c>
      <c r="D601" s="33" t="s">
        <v>411</v>
      </c>
      <c r="E601" s="34">
        <v>44196</v>
      </c>
      <c r="F601" s="34">
        <v>44200</v>
      </c>
      <c r="G601" s="34">
        <v>44203</v>
      </c>
      <c r="H601" s="35">
        <v>0.05</v>
      </c>
      <c r="I601" s="67">
        <v>0.36549999999999999</v>
      </c>
      <c r="J601" s="67">
        <v>0</v>
      </c>
      <c r="K601" s="67">
        <v>0.36549999999999999</v>
      </c>
      <c r="L601" s="36">
        <f>+K601-((K601*0.03783*0.125)+(K601*(1-0.089)*0.26))</f>
        <v>0.27719931187500002</v>
      </c>
      <c r="M601" s="64">
        <f t="shared" si="19"/>
        <v>0.27719931187500002</v>
      </c>
      <c r="N601" s="33" t="s">
        <v>251</v>
      </c>
    </row>
    <row r="602" spans="1:14" ht="15">
      <c r="A602" s="12" t="s">
        <v>184</v>
      </c>
      <c r="B602" s="33" t="s">
        <v>196</v>
      </c>
      <c r="C602" s="92" t="s">
        <v>340</v>
      </c>
      <c r="D602" s="33" t="s">
        <v>411</v>
      </c>
      <c r="E602" s="34">
        <v>44196</v>
      </c>
      <c r="F602" s="34">
        <v>44200</v>
      </c>
      <c r="G602" s="34">
        <v>44203</v>
      </c>
      <c r="H602" s="35">
        <v>0.05</v>
      </c>
      <c r="I602" s="67">
        <v>0.37780000000000002</v>
      </c>
      <c r="J602" s="67">
        <v>0</v>
      </c>
      <c r="K602" s="67">
        <v>0.37780000000000002</v>
      </c>
      <c r="L602" s="36">
        <f>+K602-((K602*0.03783*0.125)+(K602*(1-0.089)*0.26))</f>
        <v>0.28652777024999998</v>
      </c>
      <c r="M602" s="64">
        <f t="shared" si="19"/>
        <v>0.28652777024999998</v>
      </c>
      <c r="N602" s="33" t="s">
        <v>251</v>
      </c>
    </row>
    <row r="603" spans="1:14" ht="15">
      <c r="A603" s="12" t="s">
        <v>9</v>
      </c>
      <c r="B603" s="33" t="s">
        <v>191</v>
      </c>
      <c r="C603" s="92" t="s">
        <v>346</v>
      </c>
      <c r="D603" s="33" t="s">
        <v>411</v>
      </c>
      <c r="E603" s="34">
        <v>44196</v>
      </c>
      <c r="F603" s="34">
        <v>44200</v>
      </c>
      <c r="G603" s="34">
        <v>44203</v>
      </c>
      <c r="H603" s="35">
        <v>3.5000000000000003E-2</v>
      </c>
      <c r="I603" s="67">
        <v>1.47E-2</v>
      </c>
      <c r="J603" s="67">
        <v>0</v>
      </c>
      <c r="K603" s="67">
        <v>1.47E-2</v>
      </c>
      <c r="L603" s="36">
        <f>+K603-((K603*0.7742*0.125)+(K603*(1-0.7742)*0.26))</f>
        <v>1.2414399899999999E-2</v>
      </c>
      <c r="M603" s="64">
        <f t="shared" si="19"/>
        <v>1.2414399899999999E-2</v>
      </c>
      <c r="N603" s="33" t="s">
        <v>251</v>
      </c>
    </row>
    <row r="604" spans="1:14" ht="15">
      <c r="A604" s="12" t="s">
        <v>97</v>
      </c>
      <c r="B604" s="33" t="s">
        <v>199</v>
      </c>
      <c r="C604" s="92" t="s">
        <v>347</v>
      </c>
      <c r="D604" s="33" t="s">
        <v>411</v>
      </c>
      <c r="E604" s="34">
        <v>44196</v>
      </c>
      <c r="F604" s="34">
        <v>44200</v>
      </c>
      <c r="G604" s="34">
        <v>44203</v>
      </c>
      <c r="H604" s="35">
        <v>3.5000000000000003E-2</v>
      </c>
      <c r="I604" s="67">
        <v>1.47E-2</v>
      </c>
      <c r="J604" s="67">
        <v>0</v>
      </c>
      <c r="K604" s="67">
        <v>1.47E-2</v>
      </c>
      <c r="L604" s="36">
        <f>+K604-((K604*0.7742*0.125)+(K604*(1-0.7742)*0.26))</f>
        <v>1.2414399899999999E-2</v>
      </c>
      <c r="M604" s="64">
        <f t="shared" si="19"/>
        <v>1.2414399899999999E-2</v>
      </c>
      <c r="N604" s="33" t="s">
        <v>251</v>
      </c>
    </row>
    <row r="605" spans="1:14" ht="15">
      <c r="A605" s="12" t="s">
        <v>190</v>
      </c>
      <c r="B605" s="33" t="s">
        <v>306</v>
      </c>
      <c r="C605" s="92" t="s">
        <v>430</v>
      </c>
      <c r="D605" s="33" t="s">
        <v>411</v>
      </c>
      <c r="E605" s="34">
        <v>44196</v>
      </c>
      <c r="F605" s="34">
        <v>44200</v>
      </c>
      <c r="G605" s="34">
        <v>44203</v>
      </c>
      <c r="H605" s="35">
        <v>0.02</v>
      </c>
      <c r="I605" s="67">
        <v>8.3999999999999995E-3</v>
      </c>
      <c r="J605" s="67">
        <v>0</v>
      </c>
      <c r="K605" s="67">
        <v>8.3999999999999995E-3</v>
      </c>
      <c r="L605" s="36">
        <f t="shared" ref="L605:L610" si="21">+K605-((K605*0.0000001*0.125)+(K605*(1-0.0000001)*0.26))</f>
        <v>6.2160001133999996E-3</v>
      </c>
      <c r="M605" s="64">
        <f t="shared" si="19"/>
        <v>6.2160001133999996E-3</v>
      </c>
      <c r="N605" s="33" t="s">
        <v>251</v>
      </c>
    </row>
    <row r="606" spans="1:14" ht="15">
      <c r="A606" s="12" t="s">
        <v>195</v>
      </c>
      <c r="B606" s="33" t="s">
        <v>184</v>
      </c>
      <c r="C606" s="92" t="s">
        <v>354</v>
      </c>
      <c r="D606" s="33" t="s">
        <v>411</v>
      </c>
      <c r="E606" s="34">
        <v>44196</v>
      </c>
      <c r="F606" s="34">
        <v>44200</v>
      </c>
      <c r="G606" s="34">
        <v>44203</v>
      </c>
      <c r="H606" s="35">
        <v>0.02</v>
      </c>
      <c r="I606" s="67">
        <v>0.16880000000000001</v>
      </c>
      <c r="J606" s="67">
        <v>0</v>
      </c>
      <c r="K606" s="67">
        <v>0.16880000000000001</v>
      </c>
      <c r="L606" s="36">
        <f t="shared" si="21"/>
        <v>0.12491200227880001</v>
      </c>
      <c r="M606" s="64">
        <f t="shared" ref="M606:M637" si="22">J606+L606</f>
        <v>0.12491200227880001</v>
      </c>
      <c r="N606" s="33" t="s">
        <v>251</v>
      </c>
    </row>
    <row r="607" spans="1:14" ht="15">
      <c r="A607" s="12"/>
      <c r="B607" s="33" t="s">
        <v>192</v>
      </c>
      <c r="C607" s="92" t="s">
        <v>355</v>
      </c>
      <c r="D607" s="33" t="s">
        <v>411</v>
      </c>
      <c r="E607" s="34">
        <v>44196</v>
      </c>
      <c r="F607" s="34">
        <v>44200</v>
      </c>
      <c r="G607" s="34">
        <v>44203</v>
      </c>
      <c r="H607" s="35">
        <v>0.02</v>
      </c>
      <c r="I607" s="67">
        <v>0.16980000000000001</v>
      </c>
      <c r="J607" s="67">
        <v>0</v>
      </c>
      <c r="K607" s="67">
        <v>0.16980000000000001</v>
      </c>
      <c r="L607" s="36">
        <f t="shared" si="21"/>
        <v>0.1256520022923</v>
      </c>
      <c r="M607" s="64">
        <f t="shared" si="22"/>
        <v>0.1256520022923</v>
      </c>
      <c r="N607" s="33" t="s">
        <v>251</v>
      </c>
    </row>
    <row r="608" spans="1:14" ht="15">
      <c r="A608" s="12" t="s">
        <v>58</v>
      </c>
      <c r="B608" s="33" t="s">
        <v>311</v>
      </c>
      <c r="C608" s="92" t="s">
        <v>425</v>
      </c>
      <c r="D608" s="33" t="s">
        <v>411</v>
      </c>
      <c r="E608" s="34">
        <v>44196</v>
      </c>
      <c r="F608" s="34">
        <v>44200</v>
      </c>
      <c r="G608" s="34">
        <v>44203</v>
      </c>
      <c r="H608" s="35">
        <v>0.01</v>
      </c>
      <c r="I608" s="67">
        <v>4.1999999999999997E-3</v>
      </c>
      <c r="J608" s="67">
        <v>0</v>
      </c>
      <c r="K608" s="67">
        <v>4.1999999999999997E-3</v>
      </c>
      <c r="L608" s="36">
        <f t="shared" si="21"/>
        <v>3.1080000566999998E-3</v>
      </c>
      <c r="M608" s="64">
        <f t="shared" si="22"/>
        <v>3.1080000566999998E-3</v>
      </c>
      <c r="N608" s="33" t="s">
        <v>251</v>
      </c>
    </row>
    <row r="609" spans="1:14" ht="15">
      <c r="A609" s="12" t="s">
        <v>198</v>
      </c>
      <c r="B609" s="33" t="s">
        <v>189</v>
      </c>
      <c r="C609" s="92" t="s">
        <v>356</v>
      </c>
      <c r="D609" s="33" t="s">
        <v>411</v>
      </c>
      <c r="E609" s="34">
        <v>44196</v>
      </c>
      <c r="F609" s="34">
        <v>44200</v>
      </c>
      <c r="G609" s="34">
        <v>44203</v>
      </c>
      <c r="H609" s="35">
        <v>0.01</v>
      </c>
      <c r="I609" s="67">
        <v>7.6300000000000007E-2</v>
      </c>
      <c r="J609" s="67">
        <v>0</v>
      </c>
      <c r="K609" s="67">
        <v>7.6300000000000007E-2</v>
      </c>
      <c r="L609" s="36">
        <f t="shared" si="21"/>
        <v>5.6462001030050002E-2</v>
      </c>
      <c r="M609" s="64">
        <f t="shared" si="22"/>
        <v>5.6462001030050002E-2</v>
      </c>
      <c r="N609" s="33" t="s">
        <v>251</v>
      </c>
    </row>
    <row r="610" spans="1:14" ht="15">
      <c r="A610" s="12"/>
      <c r="B610" s="33" t="s">
        <v>197</v>
      </c>
      <c r="C610" s="92" t="s">
        <v>357</v>
      </c>
      <c r="D610" s="33" t="s">
        <v>411</v>
      </c>
      <c r="E610" s="34">
        <v>44196</v>
      </c>
      <c r="F610" s="34">
        <v>44200</v>
      </c>
      <c r="G610" s="34">
        <v>44203</v>
      </c>
      <c r="H610" s="35">
        <v>0.01</v>
      </c>
      <c r="I610" s="67">
        <v>7.7399999999999997E-2</v>
      </c>
      <c r="J610" s="67">
        <v>0</v>
      </c>
      <c r="K610" s="67">
        <v>7.7399999999999997E-2</v>
      </c>
      <c r="L610" s="36">
        <f t="shared" si="21"/>
        <v>5.7276001044899993E-2</v>
      </c>
      <c r="M610" s="64">
        <f t="shared" si="22"/>
        <v>5.7276001044899993E-2</v>
      </c>
      <c r="N610" s="33" t="s">
        <v>251</v>
      </c>
    </row>
    <row r="611" spans="1:14" ht="15">
      <c r="A611" s="12" t="s">
        <v>202</v>
      </c>
      <c r="B611" s="33" t="s">
        <v>308</v>
      </c>
      <c r="C611" s="92" t="s">
        <v>426</v>
      </c>
      <c r="D611" s="33" t="s">
        <v>411</v>
      </c>
      <c r="E611" s="34">
        <v>44196</v>
      </c>
      <c r="F611" s="34">
        <v>44200</v>
      </c>
      <c r="G611" s="34">
        <v>44203</v>
      </c>
      <c r="H611" s="35">
        <v>1.4999999999999999E-2</v>
      </c>
      <c r="I611" s="67">
        <v>6.1999999999999998E-3</v>
      </c>
      <c r="J611" s="67">
        <v>0</v>
      </c>
      <c r="K611" s="67">
        <v>6.1999999999999998E-3</v>
      </c>
      <c r="L611" s="36">
        <f>+K611-((K611*0.4996*0.125)+(K611*(1-0.4996)*0.26))</f>
        <v>5.0061652E-3</v>
      </c>
      <c r="M611" s="64">
        <f t="shared" si="22"/>
        <v>5.0061652E-3</v>
      </c>
      <c r="N611" s="33" t="s">
        <v>251</v>
      </c>
    </row>
    <row r="612" spans="1:14" ht="15">
      <c r="A612" s="12"/>
      <c r="B612" s="33" t="s">
        <v>186</v>
      </c>
      <c r="C612" s="92" t="s">
        <v>363</v>
      </c>
      <c r="D612" s="33" t="s">
        <v>411</v>
      </c>
      <c r="E612" s="34">
        <v>44196</v>
      </c>
      <c r="F612" s="34">
        <v>44200</v>
      </c>
      <c r="G612" s="34">
        <v>44203</v>
      </c>
      <c r="H612" s="35">
        <v>1.4999999999999999E-2</v>
      </c>
      <c r="I612" s="67">
        <v>0.114</v>
      </c>
      <c r="J612" s="67">
        <v>0</v>
      </c>
      <c r="K612" s="67">
        <v>0.114</v>
      </c>
      <c r="L612" s="36">
        <f>+K612-((K612*0.4996*0.125)+(K612*(1-0.4996)*0.26))</f>
        <v>9.2048844000000005E-2</v>
      </c>
      <c r="M612" s="64">
        <f t="shared" si="22"/>
        <v>9.2048844000000005E-2</v>
      </c>
      <c r="N612" s="33" t="s">
        <v>251</v>
      </c>
    </row>
    <row r="613" spans="1:14" ht="15">
      <c r="A613" s="12"/>
      <c r="B613" s="33" t="s">
        <v>194</v>
      </c>
      <c r="C613" s="92" t="s">
        <v>364</v>
      </c>
      <c r="D613" s="33" t="s">
        <v>411</v>
      </c>
      <c r="E613" s="34">
        <v>44196</v>
      </c>
      <c r="F613" s="34">
        <v>44200</v>
      </c>
      <c r="G613" s="34">
        <v>44203</v>
      </c>
      <c r="H613" s="35">
        <v>1.4999999999999999E-2</v>
      </c>
      <c r="I613" s="67">
        <v>0.1168</v>
      </c>
      <c r="J613" s="67">
        <v>0</v>
      </c>
      <c r="K613" s="67">
        <v>0.1168</v>
      </c>
      <c r="L613" s="36">
        <f>+K613-((K613*0.4996*0.125)+(K613*(1-0.4996)*0.26))</f>
        <v>9.4309692799999997E-2</v>
      </c>
      <c r="M613" s="64">
        <f t="shared" si="22"/>
        <v>9.4309692799999997E-2</v>
      </c>
      <c r="N613" s="33" t="s">
        <v>251</v>
      </c>
    </row>
    <row r="614" spans="1:14" ht="15">
      <c r="A614" s="12" t="s">
        <v>100</v>
      </c>
      <c r="B614" s="33" t="s">
        <v>307</v>
      </c>
      <c r="C614" s="92" t="s">
        <v>420</v>
      </c>
      <c r="D614" s="33" t="s">
        <v>411</v>
      </c>
      <c r="E614" s="34">
        <v>44196</v>
      </c>
      <c r="F614" s="34">
        <v>44200</v>
      </c>
      <c r="G614" s="34">
        <v>44203</v>
      </c>
      <c r="H614" s="35">
        <v>1.4999999999999999E-2</v>
      </c>
      <c r="I614" s="67">
        <v>6.1999999999999998E-3</v>
      </c>
      <c r="J614" s="67">
        <v>0</v>
      </c>
      <c r="K614" s="67">
        <v>6.1999999999999998E-3</v>
      </c>
      <c r="L614" s="36">
        <f>+K614-((K614*0.619*0.125)+(K614*(1-0.619)*0.26))</f>
        <v>5.1061029999999999E-3</v>
      </c>
      <c r="M614" s="64">
        <f t="shared" si="22"/>
        <v>5.1061029999999999E-3</v>
      </c>
      <c r="N614" s="33" t="s">
        <v>251</v>
      </c>
    </row>
    <row r="615" spans="1:14" ht="15">
      <c r="A615" s="12" t="s">
        <v>95</v>
      </c>
      <c r="B615" s="33" t="s">
        <v>185</v>
      </c>
      <c r="C615" s="92" t="s">
        <v>366</v>
      </c>
      <c r="D615" s="33" t="s">
        <v>411</v>
      </c>
      <c r="E615" s="34">
        <v>44196</v>
      </c>
      <c r="F615" s="34">
        <v>44200</v>
      </c>
      <c r="G615" s="34">
        <v>44203</v>
      </c>
      <c r="H615" s="35">
        <v>1.4999999999999999E-2</v>
      </c>
      <c r="I615" s="67">
        <v>0.10390000000000001</v>
      </c>
      <c r="J615" s="67">
        <v>0</v>
      </c>
      <c r="K615" s="67">
        <v>0.10390000000000001</v>
      </c>
      <c r="L615" s="36">
        <f>+K615-((K615*0.619*0.125)+(K615*(1-0.619)*0.26))</f>
        <v>8.5568403500000001E-2</v>
      </c>
      <c r="M615" s="64">
        <f t="shared" si="22"/>
        <v>8.5568403500000001E-2</v>
      </c>
      <c r="N615" s="33" t="s">
        <v>251</v>
      </c>
    </row>
    <row r="616" spans="1:14" ht="15">
      <c r="A616" s="12" t="s">
        <v>10</v>
      </c>
      <c r="B616" s="33" t="s">
        <v>193</v>
      </c>
      <c r="C616" s="92" t="s">
        <v>367</v>
      </c>
      <c r="D616" s="33" t="s">
        <v>411</v>
      </c>
      <c r="E616" s="34">
        <v>44196</v>
      </c>
      <c r="F616" s="34">
        <v>44200</v>
      </c>
      <c r="G616" s="34">
        <v>44203</v>
      </c>
      <c r="H616" s="35">
        <v>1.4999999999999999E-2</v>
      </c>
      <c r="I616" s="67">
        <v>0.1009</v>
      </c>
      <c r="J616" s="67">
        <v>0</v>
      </c>
      <c r="K616" s="67">
        <v>0.1009</v>
      </c>
      <c r="L616" s="36">
        <f>+K616-((K616*0.619*0.125)+(K616*(1-0.619)*0.26))</f>
        <v>8.3097708500000006E-2</v>
      </c>
      <c r="M616" s="64">
        <f t="shared" si="22"/>
        <v>8.3097708500000006E-2</v>
      </c>
      <c r="N616" s="33" t="s">
        <v>251</v>
      </c>
    </row>
    <row r="617" spans="1:14" ht="15">
      <c r="A617" s="12" t="s">
        <v>11</v>
      </c>
      <c r="B617" s="33" t="s">
        <v>309</v>
      </c>
      <c r="C617" s="92" t="s">
        <v>427</v>
      </c>
      <c r="D617" s="33" t="s">
        <v>411</v>
      </c>
      <c r="E617" s="34">
        <v>44196</v>
      </c>
      <c r="F617" s="34">
        <v>44200</v>
      </c>
      <c r="G617" s="34">
        <v>44203</v>
      </c>
      <c r="H617" s="35">
        <v>3.5000000000000003E-2</v>
      </c>
      <c r="I617" s="67">
        <v>1.4500000000000001E-2</v>
      </c>
      <c r="J617" s="67">
        <v>0</v>
      </c>
      <c r="K617" s="67">
        <v>1.4500000000000001E-2</v>
      </c>
      <c r="L617" s="36">
        <f>+K617-((K617*0.0000001*0.125)+(K617*(1-0.0000001)*0.26))</f>
        <v>1.0730000195749999E-2</v>
      </c>
      <c r="M617" s="64">
        <f t="shared" si="22"/>
        <v>1.0730000195749999E-2</v>
      </c>
      <c r="N617" s="33" t="s">
        <v>251</v>
      </c>
    </row>
    <row r="618" spans="1:14" ht="15">
      <c r="A618" s="12" t="s">
        <v>27</v>
      </c>
      <c r="B618" s="33" t="s">
        <v>187</v>
      </c>
      <c r="C618" s="92" t="s">
        <v>368</v>
      </c>
      <c r="D618" s="33" t="s">
        <v>411</v>
      </c>
      <c r="E618" s="34">
        <v>44196</v>
      </c>
      <c r="F618" s="34">
        <v>44200</v>
      </c>
      <c r="G618" s="34">
        <v>44203</v>
      </c>
      <c r="H618" s="35">
        <v>3.5000000000000003E-2</v>
      </c>
      <c r="I618" s="67">
        <v>0.25679999999999997</v>
      </c>
      <c r="J618" s="67">
        <v>0</v>
      </c>
      <c r="K618" s="67">
        <v>0.25679999999999997</v>
      </c>
      <c r="L618" s="36">
        <f>+K618-((K618*0.0000001*0.125)+(K618*(1-0.0000001)*0.26))</f>
        <v>0.19003200346679996</v>
      </c>
      <c r="M618" s="64">
        <f t="shared" si="22"/>
        <v>0.19003200346679996</v>
      </c>
      <c r="N618" s="33" t="s">
        <v>251</v>
      </c>
    </row>
    <row r="619" spans="1:14" ht="15">
      <c r="A619" s="12" t="s">
        <v>98</v>
      </c>
      <c r="B619" s="33" t="s">
        <v>195</v>
      </c>
      <c r="C619" s="92" t="s">
        <v>369</v>
      </c>
      <c r="D619" s="33" t="s">
        <v>411</v>
      </c>
      <c r="E619" s="34">
        <v>44196</v>
      </c>
      <c r="F619" s="34">
        <v>44200</v>
      </c>
      <c r="G619" s="34">
        <v>44203</v>
      </c>
      <c r="H619" s="35">
        <v>3.5000000000000003E-2</v>
      </c>
      <c r="I619" s="67">
        <v>0.26400000000000001</v>
      </c>
      <c r="J619" s="67">
        <v>0</v>
      </c>
      <c r="K619" s="67">
        <v>0.26400000000000001</v>
      </c>
      <c r="L619" s="36">
        <f>+K619-((K619*0.0000001*0.125)+(K619*(1-0.0000001)*0.26))</f>
        <v>0.19536000356400002</v>
      </c>
      <c r="M619" s="64">
        <f t="shared" si="22"/>
        <v>0.19536000356400002</v>
      </c>
      <c r="N619" s="33" t="s">
        <v>251</v>
      </c>
    </row>
    <row r="620" spans="1:14" ht="15">
      <c r="A620" s="12" t="s">
        <v>12</v>
      </c>
      <c r="B620" s="33" t="s">
        <v>312</v>
      </c>
      <c r="C620" s="92" t="s">
        <v>428</v>
      </c>
      <c r="D620" s="33" t="s">
        <v>411</v>
      </c>
      <c r="E620" s="34">
        <v>44196</v>
      </c>
      <c r="F620" s="34">
        <v>44200</v>
      </c>
      <c r="G620" s="34">
        <v>44203</v>
      </c>
      <c r="H620" s="35">
        <v>0.05</v>
      </c>
      <c r="I620" s="67">
        <v>2.1100000000000001E-2</v>
      </c>
      <c r="J620" s="67">
        <v>0</v>
      </c>
      <c r="K620" s="67">
        <v>2.1100000000000001E-2</v>
      </c>
      <c r="L620" s="36">
        <f>+K620-((K620*0.028*0.125)+(K620*(1-0.028)*0.26))</f>
        <v>1.5693757999999999E-2</v>
      </c>
      <c r="M620" s="64">
        <f t="shared" si="22"/>
        <v>1.5693757999999999E-2</v>
      </c>
      <c r="N620" s="33" t="s">
        <v>251</v>
      </c>
    </row>
    <row r="621" spans="1:14" ht="15">
      <c r="A621" s="12" t="s">
        <v>102</v>
      </c>
      <c r="B621" s="33" t="s">
        <v>190</v>
      </c>
      <c r="C621" s="92" t="s">
        <v>370</v>
      </c>
      <c r="D621" s="33" t="s">
        <v>411</v>
      </c>
      <c r="E621" s="34">
        <v>44196</v>
      </c>
      <c r="F621" s="34">
        <v>44200</v>
      </c>
      <c r="G621" s="34">
        <v>44203</v>
      </c>
      <c r="H621" s="35">
        <v>0.05</v>
      </c>
      <c r="I621" s="67">
        <v>0.39989999999999998</v>
      </c>
      <c r="J621" s="67">
        <v>0</v>
      </c>
      <c r="K621" s="67">
        <v>0.39989999999999998</v>
      </c>
      <c r="L621" s="36">
        <f>+K621-((K621*0.028*0.125)+(K621*(1-0.028)*0.26))</f>
        <v>0.29743762200000001</v>
      </c>
      <c r="M621" s="64">
        <f t="shared" si="22"/>
        <v>0.29743762200000001</v>
      </c>
      <c r="N621" s="33" t="s">
        <v>251</v>
      </c>
    </row>
    <row r="622" spans="1:14" ht="15">
      <c r="A622" s="12" t="s">
        <v>101</v>
      </c>
      <c r="B622" s="33" t="s">
        <v>198</v>
      </c>
      <c r="C622" s="92" t="s">
        <v>371</v>
      </c>
      <c r="D622" s="33" t="s">
        <v>411</v>
      </c>
      <c r="E622" s="34">
        <v>44196</v>
      </c>
      <c r="F622" s="34">
        <v>44200</v>
      </c>
      <c r="G622" s="34">
        <v>44203</v>
      </c>
      <c r="H622" s="35">
        <v>0.05</v>
      </c>
      <c r="I622" s="67">
        <v>0.39950000000000002</v>
      </c>
      <c r="J622" s="67">
        <v>0</v>
      </c>
      <c r="K622" s="67">
        <v>0.39950000000000002</v>
      </c>
      <c r="L622" s="36">
        <f>+K622-((K622*0.028*0.125)+(K622*(1-0.028)*0.26))</f>
        <v>0.29714011000000001</v>
      </c>
      <c r="M622" s="64">
        <f t="shared" si="22"/>
        <v>0.29714011000000001</v>
      </c>
      <c r="N622" s="33" t="s">
        <v>251</v>
      </c>
    </row>
    <row r="623" spans="1:14" ht="15">
      <c r="A623" s="12" t="s">
        <v>114</v>
      </c>
      <c r="B623" s="33" t="s">
        <v>513</v>
      </c>
      <c r="C623" s="92" t="s">
        <v>515</v>
      </c>
      <c r="D623" s="33" t="s">
        <v>411</v>
      </c>
      <c r="E623" s="34">
        <v>44196</v>
      </c>
      <c r="F623" s="34">
        <v>44200</v>
      </c>
      <c r="G623" s="34">
        <v>44203</v>
      </c>
      <c r="H623" s="35">
        <v>0.02</v>
      </c>
      <c r="I623" s="67">
        <v>0.13569999999999999</v>
      </c>
      <c r="J623" s="67">
        <v>0</v>
      </c>
      <c r="K623" s="67">
        <v>0.13569999999999999</v>
      </c>
      <c r="L623" s="36">
        <f>+K623-((K623*0.4903*0.125)+(K623*(1-0.4903)*0.26))</f>
        <v>0.10940005084999999</v>
      </c>
      <c r="M623" s="64">
        <f t="shared" si="22"/>
        <v>0.10940005084999999</v>
      </c>
      <c r="N623" s="33" t="s">
        <v>251</v>
      </c>
    </row>
    <row r="624" spans="1:14" ht="15">
      <c r="A624" s="12" t="s">
        <v>120</v>
      </c>
      <c r="B624" s="33" t="s">
        <v>514</v>
      </c>
      <c r="C624" s="92" t="s">
        <v>516</v>
      </c>
      <c r="D624" s="33" t="s">
        <v>411</v>
      </c>
      <c r="E624" s="34">
        <v>44196</v>
      </c>
      <c r="F624" s="34">
        <v>44200</v>
      </c>
      <c r="G624" s="34">
        <v>44203</v>
      </c>
      <c r="H624" s="35">
        <v>0.02</v>
      </c>
      <c r="I624" s="67">
        <v>0.13639999999999999</v>
      </c>
      <c r="J624" s="67">
        <v>0</v>
      </c>
      <c r="K624" s="67">
        <v>0.13639999999999999</v>
      </c>
      <c r="L624" s="36">
        <f>+K624-((K624*0.4903*0.125)+(K624*(1-0.4903)*0.26))</f>
        <v>0.10996438419999999</v>
      </c>
      <c r="M624" s="64">
        <f t="shared" si="22"/>
        <v>0.10996438419999999</v>
      </c>
      <c r="N624" s="33" t="s">
        <v>251</v>
      </c>
    </row>
    <row r="625" spans="1:14" ht="15">
      <c r="A625" s="12" t="s">
        <v>110</v>
      </c>
      <c r="B625" s="33" t="s">
        <v>313</v>
      </c>
      <c r="C625" s="92" t="s">
        <v>429</v>
      </c>
      <c r="D625" s="33" t="s">
        <v>411</v>
      </c>
      <c r="E625" s="34">
        <v>44196</v>
      </c>
      <c r="F625" s="34">
        <v>44200</v>
      </c>
      <c r="G625" s="34">
        <v>44203</v>
      </c>
      <c r="H625" s="35">
        <v>2.2499999999999999E-2</v>
      </c>
      <c r="I625" s="67">
        <v>9.2999999999999992E-3</v>
      </c>
      <c r="J625" s="67">
        <v>0</v>
      </c>
      <c r="K625" s="67">
        <v>9.2999999999999992E-3</v>
      </c>
      <c r="L625" s="36">
        <f>+K625-((K625*0.1466*0.125)+(K625*(1-0.1466)*0.26))</f>
        <v>7.0660562999999999E-3</v>
      </c>
      <c r="M625" s="64">
        <f t="shared" si="22"/>
        <v>7.0660562999999999E-3</v>
      </c>
      <c r="N625" s="33" t="s">
        <v>251</v>
      </c>
    </row>
    <row r="626" spans="1:14" ht="15">
      <c r="A626" s="12" t="s">
        <v>90</v>
      </c>
      <c r="B626" s="33" t="s">
        <v>298</v>
      </c>
      <c r="C626" s="92" t="s">
        <v>403</v>
      </c>
      <c r="D626" s="33" t="s">
        <v>410</v>
      </c>
      <c r="E626" s="34">
        <v>44196</v>
      </c>
      <c r="F626" s="34">
        <v>44200</v>
      </c>
      <c r="G626" s="34">
        <v>44203</v>
      </c>
      <c r="H626" s="35">
        <v>4.4999999999999998E-2</v>
      </c>
      <c r="I626" s="67">
        <v>5.62E-2</v>
      </c>
      <c r="J626" s="67">
        <v>3.4844559731587363E-3</v>
      </c>
      <c r="K626" s="67">
        <v>5.2715544026841261E-2</v>
      </c>
      <c r="L626" s="36">
        <f>+K626-((K626*0.4755*0.125)+(K626*(1-0.4755)*0.26))</f>
        <v>4.2393445139805544E-2</v>
      </c>
      <c r="M626" s="64">
        <f t="shared" si="22"/>
        <v>4.5877901112964282E-2</v>
      </c>
      <c r="N626" s="33" t="s">
        <v>248</v>
      </c>
    </row>
    <row r="627" spans="1:14" ht="15">
      <c r="A627" s="12" t="s">
        <v>17</v>
      </c>
      <c r="B627" s="33" t="s">
        <v>181</v>
      </c>
      <c r="C627" s="92" t="s">
        <v>335</v>
      </c>
      <c r="D627" s="33" t="s">
        <v>410</v>
      </c>
      <c r="E627" s="34">
        <v>44196</v>
      </c>
      <c r="F627" s="34">
        <v>44200</v>
      </c>
      <c r="G627" s="34">
        <v>44203</v>
      </c>
      <c r="H627" s="35">
        <v>4.4999999999999998E-2</v>
      </c>
      <c r="I627" s="67">
        <v>1.0031000000000001</v>
      </c>
      <c r="J627" s="67">
        <v>5.3913017531340458E-2</v>
      </c>
      <c r="K627" s="67">
        <v>0.94918698246865962</v>
      </c>
      <c r="L627" s="36">
        <f>+K627-((K627*0.4755*0.125)+(K627*(1-0.4755)*0.26))</f>
        <v>0.76332905239892757</v>
      </c>
      <c r="M627" s="64">
        <f t="shared" si="22"/>
        <v>0.81724206993026804</v>
      </c>
      <c r="N627" s="33" t="s">
        <v>248</v>
      </c>
    </row>
    <row r="628" spans="1:14" ht="15">
      <c r="A628" s="12"/>
      <c r="B628" s="33" t="s">
        <v>201</v>
      </c>
      <c r="C628" s="92" t="s">
        <v>336</v>
      </c>
      <c r="D628" s="33" t="s">
        <v>410</v>
      </c>
      <c r="E628" s="34">
        <v>44196</v>
      </c>
      <c r="F628" s="34">
        <v>44200</v>
      </c>
      <c r="G628" s="34">
        <v>44203</v>
      </c>
      <c r="H628" s="35">
        <v>4.4999999999999998E-2</v>
      </c>
      <c r="I628" s="67">
        <v>1.014</v>
      </c>
      <c r="J628" s="67">
        <v>5.4605566635260686E-2</v>
      </c>
      <c r="K628" s="67">
        <v>0.95939443336473929</v>
      </c>
      <c r="L628" s="36">
        <f>+K628-((K628*0.4755*0.125)+(K628*(1-0.4755)*0.26))</f>
        <v>0.7715378078536731</v>
      </c>
      <c r="M628" s="64">
        <f t="shared" si="22"/>
        <v>0.82614337448893382</v>
      </c>
      <c r="N628" s="33" t="s">
        <v>248</v>
      </c>
    </row>
    <row r="629" spans="1:14" ht="15">
      <c r="A629" s="12"/>
      <c r="B629" s="33" t="s">
        <v>138</v>
      </c>
      <c r="C629" s="92" t="s">
        <v>337</v>
      </c>
      <c r="D629" s="33" t="s">
        <v>410</v>
      </c>
      <c r="E629" s="34">
        <v>44196</v>
      </c>
      <c r="F629" s="34">
        <v>44200</v>
      </c>
      <c r="G629" s="34">
        <v>44203</v>
      </c>
      <c r="H629" s="35">
        <v>0.05</v>
      </c>
      <c r="I629" s="67">
        <v>7.8799999999999995E-2</v>
      </c>
      <c r="J629" s="67">
        <v>0</v>
      </c>
      <c r="K629" s="67">
        <v>7.8799999999999995E-2</v>
      </c>
      <c r="L629" s="36">
        <f>+K629-((K629*0.3017*0.125)+(K629*(1-0.089)*0.26))</f>
        <v>5.7163686999999991E-2</v>
      </c>
      <c r="M629" s="64">
        <f t="shared" si="22"/>
        <v>5.7163686999999991E-2</v>
      </c>
      <c r="N629" s="33" t="s">
        <v>248</v>
      </c>
    </row>
    <row r="630" spans="1:14" ht="15">
      <c r="A630" s="12" t="s">
        <v>92</v>
      </c>
      <c r="B630" s="33" t="s">
        <v>160</v>
      </c>
      <c r="C630" s="92" t="s">
        <v>338</v>
      </c>
      <c r="D630" s="33" t="s">
        <v>410</v>
      </c>
      <c r="E630" s="34">
        <v>44196</v>
      </c>
      <c r="F630" s="34">
        <v>44200</v>
      </c>
      <c r="G630" s="34">
        <v>44203</v>
      </c>
      <c r="H630" s="35">
        <v>0.05</v>
      </c>
      <c r="I630" s="67">
        <v>7.8399999999999997E-2</v>
      </c>
      <c r="J630" s="67">
        <v>0</v>
      </c>
      <c r="K630" s="67">
        <v>7.8399999999999997E-2</v>
      </c>
      <c r="L630" s="36">
        <f>+K630-((K630*0.3017*0.125)+(K630*(1-0.089)*0.26))</f>
        <v>5.6873515999999999E-2</v>
      </c>
      <c r="M630" s="64">
        <f t="shared" si="22"/>
        <v>5.6873515999999999E-2</v>
      </c>
      <c r="N630" s="33" t="s">
        <v>248</v>
      </c>
    </row>
    <row r="631" spans="1:14" ht="15">
      <c r="A631" s="12" t="s">
        <v>94</v>
      </c>
      <c r="B631" s="33" t="s">
        <v>300</v>
      </c>
      <c r="C631" s="92" t="s">
        <v>404</v>
      </c>
      <c r="D631" s="33" t="s">
        <v>410</v>
      </c>
      <c r="E631" s="34">
        <v>44196</v>
      </c>
      <c r="F631" s="34">
        <v>44200</v>
      </c>
      <c r="G631" s="34">
        <v>44203</v>
      </c>
      <c r="H631" s="35">
        <v>0.05</v>
      </c>
      <c r="I631" s="67">
        <v>6.1499999999999999E-2</v>
      </c>
      <c r="J631" s="67">
        <v>0</v>
      </c>
      <c r="K631" s="67">
        <v>6.1499999999999999E-2</v>
      </c>
      <c r="L631" s="36">
        <f>+K631-((K631*0.3017*0.125)+(K631*(1-0.089)*0.26))</f>
        <v>4.461379125E-2</v>
      </c>
      <c r="M631" s="64">
        <f t="shared" si="22"/>
        <v>4.461379125E-2</v>
      </c>
      <c r="N631" s="33" t="s">
        <v>248</v>
      </c>
    </row>
    <row r="632" spans="1:14" ht="15">
      <c r="A632" s="12"/>
      <c r="B632" s="33" t="s">
        <v>142</v>
      </c>
      <c r="C632" s="92" t="s">
        <v>341</v>
      </c>
      <c r="D632" s="33" t="s">
        <v>410</v>
      </c>
      <c r="E632" s="34">
        <v>44196</v>
      </c>
      <c r="F632" s="34">
        <v>44200</v>
      </c>
      <c r="G632" s="34">
        <v>44203</v>
      </c>
      <c r="H632" s="35">
        <v>5.2499999999999998E-2</v>
      </c>
      <c r="I632" s="67">
        <v>4.1799999999999997E-2</v>
      </c>
      <c r="J632" s="67">
        <v>0</v>
      </c>
      <c r="K632" s="67">
        <v>8.3900000000000002E-2</v>
      </c>
      <c r="L632" s="36">
        <f>+K632-((K632*0.0016*0.125)+(K632*(1-0.0016)*0.26))</f>
        <v>6.2104122400000003E-2</v>
      </c>
      <c r="M632" s="64">
        <f t="shared" si="22"/>
        <v>6.2104122400000003E-2</v>
      </c>
      <c r="N632" s="33" t="s">
        <v>248</v>
      </c>
    </row>
    <row r="633" spans="1:14" ht="15">
      <c r="A633" s="12" t="s">
        <v>189</v>
      </c>
      <c r="B633" s="33" t="s">
        <v>159</v>
      </c>
      <c r="C633" s="92" t="s">
        <v>342</v>
      </c>
      <c r="D633" s="33" t="s">
        <v>410</v>
      </c>
      <c r="E633" s="34">
        <v>44196</v>
      </c>
      <c r="F633" s="34">
        <v>44200</v>
      </c>
      <c r="G633" s="34">
        <v>44203</v>
      </c>
      <c r="H633" s="35">
        <v>5.2499999999999998E-2</v>
      </c>
      <c r="I633" s="67">
        <v>4.1700000000000001E-2</v>
      </c>
      <c r="J633" s="67">
        <v>0</v>
      </c>
      <c r="K633" s="67">
        <v>8.3599999999999994E-2</v>
      </c>
      <c r="L633" s="36">
        <f>+K633-((K633*0.0016*0.125)+(K633*(1-0.0016)*0.26))</f>
        <v>6.1882057599999998E-2</v>
      </c>
      <c r="M633" s="64">
        <f t="shared" si="22"/>
        <v>6.1882057599999998E-2</v>
      </c>
      <c r="N633" s="33" t="s">
        <v>248</v>
      </c>
    </row>
    <row r="634" spans="1:14" ht="15">
      <c r="A634" s="12" t="s">
        <v>197</v>
      </c>
      <c r="B634" s="33" t="s">
        <v>507</v>
      </c>
      <c r="C634" s="92" t="s">
        <v>508</v>
      </c>
      <c r="D634" s="33" t="s">
        <v>410</v>
      </c>
      <c r="E634" s="34">
        <v>44196</v>
      </c>
      <c r="F634" s="34">
        <v>44200</v>
      </c>
      <c r="G634" s="34">
        <v>44203</v>
      </c>
      <c r="H634" s="35">
        <v>5.2499999999999998E-2</v>
      </c>
      <c r="I634" s="67">
        <v>5.1700000000000003E-2</v>
      </c>
      <c r="J634" s="67">
        <v>0</v>
      </c>
      <c r="K634" s="67">
        <v>6.5799999999999997E-2</v>
      </c>
      <c r="L634" s="36">
        <f>+K634-((K634*0.0016*0.125)+(K634*(1-0.0016)*0.26))</f>
        <v>4.8706212799999996E-2</v>
      </c>
      <c r="M634" s="64">
        <f t="shared" si="22"/>
        <v>4.8706212799999996E-2</v>
      </c>
      <c r="N634" s="33" t="s">
        <v>248</v>
      </c>
    </row>
    <row r="635" spans="1:14" ht="15">
      <c r="A635" s="12"/>
      <c r="B635" s="33" t="s">
        <v>139</v>
      </c>
      <c r="C635" s="92" t="s">
        <v>344</v>
      </c>
      <c r="D635" s="33" t="s">
        <v>410</v>
      </c>
      <c r="E635" s="34">
        <v>44196</v>
      </c>
      <c r="F635" s="34">
        <v>44200</v>
      </c>
      <c r="G635" s="34">
        <v>44203</v>
      </c>
      <c r="H635" s="35">
        <v>3.5000000000000003E-2</v>
      </c>
      <c r="I635" s="67">
        <v>5.67E-2</v>
      </c>
      <c r="J635" s="67">
        <v>0</v>
      </c>
      <c r="K635" s="67">
        <v>4.1799999999999997E-2</v>
      </c>
      <c r="L635" s="36">
        <f>+K635-((K635*0.7742*0.125)+(K635*(1-0.7742)*0.26))</f>
        <v>3.5300810599999996E-2</v>
      </c>
      <c r="M635" s="64">
        <f t="shared" si="22"/>
        <v>3.5300810599999996E-2</v>
      </c>
      <c r="N635" s="33" t="s">
        <v>248</v>
      </c>
    </row>
    <row r="636" spans="1:14" ht="15">
      <c r="A636" s="12" t="s">
        <v>96</v>
      </c>
      <c r="B636" s="33" t="s">
        <v>161</v>
      </c>
      <c r="C636" s="92" t="s">
        <v>345</v>
      </c>
      <c r="D636" s="33" t="s">
        <v>410</v>
      </c>
      <c r="E636" s="34">
        <v>44196</v>
      </c>
      <c r="F636" s="34">
        <v>44200</v>
      </c>
      <c r="G636" s="34">
        <v>44203</v>
      </c>
      <c r="H636" s="35">
        <v>3.5000000000000003E-2</v>
      </c>
      <c r="I636" s="67">
        <v>5.6500000000000002E-2</v>
      </c>
      <c r="J636" s="67">
        <v>0</v>
      </c>
      <c r="K636" s="67">
        <v>4.1700000000000001E-2</v>
      </c>
      <c r="L636" s="36">
        <f>+K636-((K636*0.7742*0.125)+(K636*(1-0.7742)*0.26))</f>
        <v>3.5216358900000001E-2</v>
      </c>
      <c r="M636" s="64">
        <f t="shared" si="22"/>
        <v>3.5216358900000001E-2</v>
      </c>
      <c r="N636" s="33" t="s">
        <v>248</v>
      </c>
    </row>
    <row r="637" spans="1:14" ht="15">
      <c r="A637" s="12" t="s">
        <v>186</v>
      </c>
      <c r="B637" s="33" t="s">
        <v>141</v>
      </c>
      <c r="C637" s="92" t="s">
        <v>348</v>
      </c>
      <c r="D637" s="33" t="s">
        <v>410</v>
      </c>
      <c r="E637" s="34">
        <v>44196</v>
      </c>
      <c r="F637" s="34">
        <v>44200</v>
      </c>
      <c r="G637" s="34">
        <v>44203</v>
      </c>
      <c r="H637" s="35">
        <v>4.2500000000000003E-2</v>
      </c>
      <c r="I637" s="67">
        <v>5.1000000000000004E-3</v>
      </c>
      <c r="J637" s="67">
        <v>0</v>
      </c>
      <c r="K637" s="67">
        <v>5.1700000000000003E-2</v>
      </c>
      <c r="L637" s="36">
        <f>+K637-((K637*0.082*0.125)+(K637*(1-0.082)*0.26))</f>
        <v>3.8830319000000002E-2</v>
      </c>
      <c r="M637" s="64">
        <f t="shared" si="22"/>
        <v>3.8830319000000002E-2</v>
      </c>
      <c r="N637" s="33" t="s">
        <v>248</v>
      </c>
    </row>
    <row r="638" spans="1:14" ht="15">
      <c r="A638" s="12" t="s">
        <v>194</v>
      </c>
      <c r="B638" s="33" t="s">
        <v>140</v>
      </c>
      <c r="C638" s="92" t="s">
        <v>349</v>
      </c>
      <c r="D638" s="33" t="s">
        <v>410</v>
      </c>
      <c r="E638" s="34">
        <v>44196</v>
      </c>
      <c r="F638" s="34">
        <v>44200</v>
      </c>
      <c r="G638" s="34">
        <v>44203</v>
      </c>
      <c r="H638" s="35">
        <v>4.2500000000000003E-2</v>
      </c>
      <c r="I638" s="67">
        <v>5.7999999999999996E-3</v>
      </c>
      <c r="J638" s="67">
        <v>0</v>
      </c>
      <c r="K638" s="67">
        <v>5.67E-2</v>
      </c>
      <c r="L638" s="36">
        <f>+K638-((K638*0.082*0.125)+(K638*(1-0.082)*0.26))</f>
        <v>4.2585669E-2</v>
      </c>
      <c r="M638" s="64">
        <f t="shared" ref="M638:M648" si="23">J638+L638</f>
        <v>4.2585669E-2</v>
      </c>
      <c r="N638" s="33" t="s">
        <v>248</v>
      </c>
    </row>
    <row r="639" spans="1:14" ht="15">
      <c r="A639" s="12" t="s">
        <v>200</v>
      </c>
      <c r="B639" s="33" t="s">
        <v>162</v>
      </c>
      <c r="C639" s="92" t="s">
        <v>350</v>
      </c>
      <c r="D639" s="33" t="s">
        <v>410</v>
      </c>
      <c r="E639" s="34">
        <v>44196</v>
      </c>
      <c r="F639" s="34">
        <v>44200</v>
      </c>
      <c r="G639" s="34">
        <v>44203</v>
      </c>
      <c r="H639" s="35">
        <v>4.2500000000000003E-2</v>
      </c>
      <c r="I639" s="67">
        <v>2.5000000000000001E-3</v>
      </c>
      <c r="J639" s="67">
        <v>0</v>
      </c>
      <c r="K639" s="67">
        <v>5.6500000000000002E-2</v>
      </c>
      <c r="L639" s="36">
        <f>+K639-((K639*0.082*0.125)+(K639*(1-0.082)*0.26))</f>
        <v>4.2435454999999997E-2</v>
      </c>
      <c r="M639" s="64">
        <f t="shared" si="23"/>
        <v>4.2435454999999997E-2</v>
      </c>
      <c r="N639" s="33" t="s">
        <v>248</v>
      </c>
    </row>
    <row r="640" spans="1:14" ht="15">
      <c r="A640" s="12"/>
      <c r="B640" s="33" t="s">
        <v>302</v>
      </c>
      <c r="C640" s="92" t="s">
        <v>405</v>
      </c>
      <c r="D640" s="33" t="s">
        <v>410</v>
      </c>
      <c r="E640" s="34">
        <v>44196</v>
      </c>
      <c r="F640" s="34">
        <v>44200</v>
      </c>
      <c r="G640" s="34">
        <v>44203</v>
      </c>
      <c r="H640" s="35">
        <v>4.2500000000000003E-2</v>
      </c>
      <c r="I640" s="67">
        <v>3.1300000000000001E-2</v>
      </c>
      <c r="J640" s="67">
        <v>0</v>
      </c>
      <c r="K640" s="67">
        <v>5.3800000000000001E-2</v>
      </c>
      <c r="L640" s="36">
        <f>+K640-((K640*0.082*0.125)+(K640*(1-0.082)*0.26))</f>
        <v>4.0407565999999999E-2</v>
      </c>
      <c r="M640" s="64">
        <f t="shared" si="23"/>
        <v>4.0407565999999999E-2</v>
      </c>
      <c r="N640" s="33" t="s">
        <v>248</v>
      </c>
    </row>
    <row r="641" spans="1:14" ht="15">
      <c r="A641" s="12" t="s">
        <v>185</v>
      </c>
      <c r="B641" s="33" t="s">
        <v>303</v>
      </c>
      <c r="C641" s="92" t="s">
        <v>406</v>
      </c>
      <c r="D641" s="33" t="s">
        <v>410</v>
      </c>
      <c r="E641" s="34">
        <v>44196</v>
      </c>
      <c r="F641" s="34">
        <v>44200</v>
      </c>
      <c r="G641" s="34">
        <v>44203</v>
      </c>
      <c r="H641" s="35">
        <v>4.2500000000000003E-2</v>
      </c>
      <c r="I641" s="67">
        <v>2.9499999999999998E-2</v>
      </c>
      <c r="J641" s="67">
        <v>0</v>
      </c>
      <c r="K641" s="67">
        <v>5.3199999999999997E-2</v>
      </c>
      <c r="L641" s="36">
        <f>+K641-((K641*0.082*0.125)+(K641*(1-0.082)*0.26))</f>
        <v>3.9956923999999998E-2</v>
      </c>
      <c r="M641" s="64">
        <f t="shared" si="23"/>
        <v>3.9956923999999998E-2</v>
      </c>
      <c r="N641" s="33" t="s">
        <v>248</v>
      </c>
    </row>
    <row r="642" spans="1:14" ht="15">
      <c r="A642" s="12" t="s">
        <v>193</v>
      </c>
      <c r="B642" s="33" t="s">
        <v>143</v>
      </c>
      <c r="C642" s="92" t="s">
        <v>351</v>
      </c>
      <c r="D642" s="33" t="s">
        <v>410</v>
      </c>
      <c r="E642" s="34">
        <v>44196</v>
      </c>
      <c r="F642" s="34">
        <v>44200</v>
      </c>
      <c r="G642" s="34">
        <v>44203</v>
      </c>
      <c r="H642" s="35">
        <v>4.0000000000000001E-3</v>
      </c>
      <c r="I642" s="67">
        <v>1.9900000000000001E-2</v>
      </c>
      <c r="J642" s="67">
        <v>0</v>
      </c>
      <c r="K642" s="67">
        <v>5.1000000000000004E-3</v>
      </c>
      <c r="L642" s="36">
        <f>+K642-((K642*0.5914*0.125)+(K642*(1-0.5914)*0.26))</f>
        <v>4.1811789000000005E-3</v>
      </c>
      <c r="M642" s="64">
        <f t="shared" si="23"/>
        <v>4.1811789000000005E-3</v>
      </c>
      <c r="N642" s="33" t="s">
        <v>248</v>
      </c>
    </row>
    <row r="643" spans="1:14" ht="15">
      <c r="A643" s="12"/>
      <c r="B643" s="33" t="s">
        <v>145</v>
      </c>
      <c r="C643" s="92" t="s">
        <v>352</v>
      </c>
      <c r="D643" s="33" t="s">
        <v>410</v>
      </c>
      <c r="E643" s="34">
        <v>44196</v>
      </c>
      <c r="F643" s="34">
        <v>44200</v>
      </c>
      <c r="G643" s="34">
        <v>44203</v>
      </c>
      <c r="H643" s="35">
        <v>4.4999999999999997E-3</v>
      </c>
      <c r="I643" s="67">
        <v>0.37040000000000001</v>
      </c>
      <c r="J643" s="67">
        <v>0</v>
      </c>
      <c r="K643" s="67">
        <v>5.7999999999999996E-3</v>
      </c>
      <c r="L643" s="36">
        <f>+K643-((K643*0.0006*0.125)+(K643*(1-0.0006)*0.26))</f>
        <v>4.2924697999999996E-3</v>
      </c>
      <c r="M643" s="64">
        <f t="shared" si="23"/>
        <v>4.2924697999999996E-3</v>
      </c>
      <c r="N643" s="33" t="s">
        <v>248</v>
      </c>
    </row>
    <row r="644" spans="1:14" ht="15">
      <c r="A644" s="12" t="s">
        <v>187</v>
      </c>
      <c r="B644" s="33" t="s">
        <v>144</v>
      </c>
      <c r="C644" s="92" t="s">
        <v>353</v>
      </c>
      <c r="D644" s="33" t="s">
        <v>410</v>
      </c>
      <c r="E644" s="34">
        <v>44196</v>
      </c>
      <c r="F644" s="34">
        <v>44200</v>
      </c>
      <c r="G644" s="34">
        <v>44203</v>
      </c>
      <c r="H644" s="35">
        <v>2E-3</v>
      </c>
      <c r="I644" s="67">
        <v>1.3100000000000001E-2</v>
      </c>
      <c r="J644" s="67">
        <v>0</v>
      </c>
      <c r="K644" s="67">
        <v>2.5000000000000001E-3</v>
      </c>
      <c r="L644" s="36">
        <f>+K644-((K644*0.9352*0.125)+(K644*(1-0.9352)*0.26))</f>
        <v>2.16563E-3</v>
      </c>
      <c r="M644" s="64">
        <f t="shared" si="23"/>
        <v>2.16563E-3</v>
      </c>
      <c r="N644" s="33" t="s">
        <v>248</v>
      </c>
    </row>
    <row r="645" spans="1:14" ht="15">
      <c r="A645" s="12"/>
      <c r="B645" s="33" t="s">
        <v>148</v>
      </c>
      <c r="C645" s="92" t="s">
        <v>362</v>
      </c>
      <c r="D645" s="33" t="s">
        <v>410</v>
      </c>
      <c r="E645" s="34">
        <v>44196</v>
      </c>
      <c r="F645" s="34">
        <v>44200</v>
      </c>
      <c r="G645" s="34">
        <v>44203</v>
      </c>
      <c r="H645" s="35">
        <v>1.4999999999999999E-2</v>
      </c>
      <c r="I645" s="67">
        <v>3.5700000000000003E-2</v>
      </c>
      <c r="J645" s="67">
        <v>0</v>
      </c>
      <c r="K645" s="67">
        <v>1.9900000000000001E-2</v>
      </c>
      <c r="L645" s="36">
        <f>+K645-((K645*0.4996*0.125)+(K645*(1-0.4996)*0.26))</f>
        <v>1.6068175400000002E-2</v>
      </c>
      <c r="M645" s="64">
        <f t="shared" si="23"/>
        <v>1.6068175400000002E-2</v>
      </c>
      <c r="N645" s="33" t="s">
        <v>248</v>
      </c>
    </row>
    <row r="646" spans="1:14" ht="15">
      <c r="A646" s="12" t="s">
        <v>182</v>
      </c>
      <c r="B646" s="33" t="s">
        <v>200</v>
      </c>
      <c r="C646" s="92" t="s">
        <v>365</v>
      </c>
      <c r="D646" s="33" t="s">
        <v>410</v>
      </c>
      <c r="E646" s="34">
        <v>44196</v>
      </c>
      <c r="F646" s="34">
        <v>44200</v>
      </c>
      <c r="G646" s="34">
        <v>44203</v>
      </c>
      <c r="H646" s="35">
        <v>1.4999999999999999E-2</v>
      </c>
      <c r="I646" s="67">
        <v>7.6399999999999996E-2</v>
      </c>
      <c r="J646" s="67">
        <v>0</v>
      </c>
      <c r="K646" s="67">
        <v>0.37040000000000001</v>
      </c>
      <c r="L646" s="36">
        <f>+K646-((K646*0.4996*0.125)+(K646*(1-0.4996)*0.26))</f>
        <v>0.29907799840000004</v>
      </c>
      <c r="M646" s="64">
        <f t="shared" si="23"/>
        <v>0.29907799840000004</v>
      </c>
      <c r="N646" s="33" t="s">
        <v>248</v>
      </c>
    </row>
    <row r="647" spans="1:14" ht="15">
      <c r="A647" s="12"/>
      <c r="B647" s="33" t="s">
        <v>173</v>
      </c>
      <c r="C647" s="92" t="s">
        <v>372</v>
      </c>
      <c r="D647" s="33" t="s">
        <v>410</v>
      </c>
      <c r="E647" s="34">
        <v>44196</v>
      </c>
      <c r="F647" s="34">
        <v>44200</v>
      </c>
      <c r="G647" s="34">
        <v>44203</v>
      </c>
      <c r="H647" s="35">
        <v>0.01</v>
      </c>
      <c r="I647" s="67">
        <v>1.3100000000000001E-2</v>
      </c>
      <c r="J647" s="67">
        <v>0</v>
      </c>
      <c r="K647" s="67">
        <v>1.3100000000000001E-2</v>
      </c>
      <c r="L647" s="36">
        <f>+K647-((K647*0.355*0.125)+(K647*(1-0.355)*0.26))</f>
        <v>1.03218175E-2</v>
      </c>
      <c r="M647" s="64">
        <f t="shared" si="23"/>
        <v>1.03218175E-2</v>
      </c>
      <c r="N647" s="33" t="s">
        <v>248</v>
      </c>
    </row>
    <row r="648" spans="1:14" ht="15">
      <c r="A648" s="12"/>
      <c r="B648" s="33" t="s">
        <v>150</v>
      </c>
      <c r="C648" s="92" t="s">
        <v>377</v>
      </c>
      <c r="D648" s="33" t="s">
        <v>410</v>
      </c>
      <c r="E648" s="34">
        <v>44196</v>
      </c>
      <c r="F648" s="34">
        <v>44200</v>
      </c>
      <c r="G648" s="34">
        <v>44203</v>
      </c>
      <c r="H648" s="35">
        <v>2.2499999999999999E-2</v>
      </c>
      <c r="I648" s="67">
        <v>3.1699999999999999E-2</v>
      </c>
      <c r="J648" s="67">
        <v>0</v>
      </c>
      <c r="K648" s="67">
        <v>3.1699999999999999E-2</v>
      </c>
      <c r="L648" s="36">
        <f>+K648-((K648*0.0000001*0.125)+(K648*(1-0.0000001)*0.26))</f>
        <v>2.3458000427949998E-2</v>
      </c>
      <c r="M648" s="64">
        <f t="shared" si="23"/>
        <v>2.3458000427949998E-2</v>
      </c>
      <c r="N648" s="33" t="s">
        <v>248</v>
      </c>
    </row>
    <row r="649" spans="1:14" ht="15">
      <c r="A649" s="12" t="s">
        <v>230</v>
      </c>
      <c r="B649" s="33" t="s">
        <v>510</v>
      </c>
      <c r="C649" s="92" t="s">
        <v>509</v>
      </c>
      <c r="D649" s="33" t="s">
        <v>410</v>
      </c>
      <c r="E649" s="34">
        <v>44196</v>
      </c>
      <c r="F649" s="34">
        <v>44200</v>
      </c>
      <c r="G649" s="34">
        <v>44203</v>
      </c>
      <c r="H649" s="35">
        <v>2.2499999999999999E-2</v>
      </c>
      <c r="I649" s="67">
        <v>2.81E-2</v>
      </c>
      <c r="J649" s="67">
        <v>0</v>
      </c>
      <c r="K649" s="67">
        <v>2.81E-2</v>
      </c>
      <c r="L649" s="36">
        <f>+K649-((K649*0.0000001*0.125)+(K649*(1-0.0000001)*0.26))</f>
        <v>2.0794000379349999E-2</v>
      </c>
      <c r="M649" s="64">
        <v>0</v>
      </c>
      <c r="N649" s="33" t="s">
        <v>248</v>
      </c>
    </row>
    <row r="650" spans="1:14" ht="15">
      <c r="A650" s="12"/>
      <c r="B650" s="33" t="s">
        <v>441</v>
      </c>
      <c r="C650" s="92" t="s">
        <v>444</v>
      </c>
      <c r="D650" s="33" t="s">
        <v>410</v>
      </c>
      <c r="E650" s="34">
        <v>44196</v>
      </c>
      <c r="F650" s="34">
        <v>44200</v>
      </c>
      <c r="G650" s="34">
        <v>44203</v>
      </c>
      <c r="H650" s="35">
        <v>1.4999999999999999E-2</v>
      </c>
      <c r="I650" s="67">
        <v>1.8700000000000001E-2</v>
      </c>
      <c r="J650" s="67">
        <v>0</v>
      </c>
      <c r="K650" s="67">
        <v>1.8700000000000001E-2</v>
      </c>
      <c r="L650" s="36">
        <f>+K650-((K650*0.2111*0.125)+(K650*(1-0.2111)*0.26))</f>
        <v>1.4370921950000001E-2</v>
      </c>
      <c r="M650" s="64">
        <f t="shared" ref="M650:M681" si="24">J650+L650</f>
        <v>1.4370921950000001E-2</v>
      </c>
      <c r="N650" s="33" t="s">
        <v>248</v>
      </c>
    </row>
    <row r="651" spans="1:14" ht="15">
      <c r="A651" s="12"/>
      <c r="B651" s="33" t="s">
        <v>440</v>
      </c>
      <c r="C651" s="92" t="s">
        <v>443</v>
      </c>
      <c r="D651" s="33" t="s">
        <v>410</v>
      </c>
      <c r="E651" s="34">
        <v>44196</v>
      </c>
      <c r="F651" s="34">
        <v>44200</v>
      </c>
      <c r="G651" s="34">
        <v>44203</v>
      </c>
      <c r="H651" s="35">
        <v>1.4999999999999999E-2</v>
      </c>
      <c r="I651" s="67">
        <v>0.37919999999999998</v>
      </c>
      <c r="J651" s="67">
        <v>0</v>
      </c>
      <c r="K651" s="67">
        <v>0.37919999999999998</v>
      </c>
      <c r="L651" s="36">
        <f>+K651-((K651*0.2111*0.125)+(K651*(1-0.2111)*0.26))</f>
        <v>0.2914146312</v>
      </c>
      <c r="M651" s="64">
        <f t="shared" si="24"/>
        <v>0.2914146312</v>
      </c>
      <c r="N651" s="33" t="s">
        <v>248</v>
      </c>
    </row>
    <row r="652" spans="1:14" ht="15">
      <c r="A652" s="12"/>
      <c r="B652" s="33" t="s">
        <v>299</v>
      </c>
      <c r="C652" s="92" t="s">
        <v>517</v>
      </c>
      <c r="D652" s="33" t="s">
        <v>410</v>
      </c>
      <c r="E652" s="34">
        <v>44196</v>
      </c>
      <c r="F652" s="34">
        <v>44200</v>
      </c>
      <c r="G652" s="34">
        <v>44203</v>
      </c>
      <c r="H652" s="35"/>
      <c r="I652" s="67">
        <v>1.8700000000000001E-2</v>
      </c>
      <c r="J652" s="67">
        <v>1.6971954072386958E-2</v>
      </c>
      <c r="K652" s="67">
        <v>1.7280459276130429E-3</v>
      </c>
      <c r="L652" s="36">
        <f>+K652-((K652*0.3305*0.125)+(K652*(1-0.3305)*0.26))</f>
        <v>1.3558550756089267E-3</v>
      </c>
      <c r="M652" s="64">
        <f t="shared" si="24"/>
        <v>1.8327809147995887E-2</v>
      </c>
      <c r="N652" s="33" t="s">
        <v>248</v>
      </c>
    </row>
    <row r="653" spans="1:14" ht="15">
      <c r="A653" s="12"/>
      <c r="B653" s="33" t="s">
        <v>182</v>
      </c>
      <c r="C653" s="92" t="s">
        <v>477</v>
      </c>
      <c r="D653" s="33" t="s">
        <v>410</v>
      </c>
      <c r="E653" s="34">
        <v>44196</v>
      </c>
      <c r="F653" s="34">
        <v>44200</v>
      </c>
      <c r="G653" s="34">
        <v>44203</v>
      </c>
      <c r="H653" s="35">
        <v>1.4999999999999999E-2</v>
      </c>
      <c r="I653" s="67">
        <v>0.36559999999999998</v>
      </c>
      <c r="J653" s="67">
        <v>0.36559999999999998</v>
      </c>
      <c r="K653" s="67">
        <v>0</v>
      </c>
      <c r="L653" s="36">
        <f>+K653-((K653*0.3305*0.125)+(K653*(1-0.3305)*0.26))</f>
        <v>0</v>
      </c>
      <c r="M653" s="64">
        <f t="shared" si="24"/>
        <v>0.36559999999999998</v>
      </c>
      <c r="N653" s="33" t="s">
        <v>248</v>
      </c>
    </row>
    <row r="654" spans="1:14" ht="15">
      <c r="A654" s="12"/>
      <c r="B654" s="33" t="s">
        <v>202</v>
      </c>
      <c r="C654" s="92" t="s">
        <v>478</v>
      </c>
      <c r="D654" s="33" t="s">
        <v>410</v>
      </c>
      <c r="E654" s="34">
        <v>44196</v>
      </c>
      <c r="F654" s="34">
        <v>44200</v>
      </c>
      <c r="G654" s="34">
        <v>44203</v>
      </c>
      <c r="H654" s="35">
        <v>1.4999999999999999E-2</v>
      </c>
      <c r="I654" s="67">
        <v>0.36809999999999998</v>
      </c>
      <c r="J654" s="67">
        <v>0.24886773021606887</v>
      </c>
      <c r="K654" s="67">
        <v>0.11923226978393114</v>
      </c>
      <c r="L654" s="36">
        <f>+K654-((K654*0.3305*0.125)+(K654*(1-0.3305)*0.26))</f>
        <v>9.3551725437193589E-2</v>
      </c>
      <c r="M654" s="64">
        <f t="shared" si="24"/>
        <v>0.34241945565326248</v>
      </c>
      <c r="N654" s="33" t="s">
        <v>248</v>
      </c>
    </row>
    <row r="655" spans="1:14" ht="15">
      <c r="A655" s="12" t="s">
        <v>107</v>
      </c>
      <c r="B655" s="33" t="s">
        <v>146</v>
      </c>
      <c r="C655" s="92" t="s">
        <v>380</v>
      </c>
      <c r="D655" s="33" t="s">
        <v>410</v>
      </c>
      <c r="E655" s="34">
        <v>44196</v>
      </c>
      <c r="F655" s="34">
        <v>44200</v>
      </c>
      <c r="G655" s="34">
        <v>44203</v>
      </c>
      <c r="H655" s="35">
        <v>2.5000000000000001E-2</v>
      </c>
      <c r="I655" s="67">
        <v>3.95E-2</v>
      </c>
      <c r="J655" s="67">
        <v>0</v>
      </c>
      <c r="K655" s="67">
        <v>3.95E-2</v>
      </c>
      <c r="L655" s="36">
        <f>+K655-((K655*0.0094*0.125)+(K655*(1-0.0094)*0.26))</f>
        <v>2.9280125499999997E-2</v>
      </c>
      <c r="M655" s="64">
        <f t="shared" si="24"/>
        <v>2.9280125499999997E-2</v>
      </c>
      <c r="N655" s="33" t="s">
        <v>248</v>
      </c>
    </row>
    <row r="656" spans="1:14" ht="15">
      <c r="A656" s="12" t="s">
        <v>121</v>
      </c>
      <c r="B656" s="33" t="s">
        <v>163</v>
      </c>
      <c r="C656" s="92" t="s">
        <v>381</v>
      </c>
      <c r="D656" s="33" t="s">
        <v>410</v>
      </c>
      <c r="E656" s="34">
        <v>44196</v>
      </c>
      <c r="F656" s="34">
        <v>44200</v>
      </c>
      <c r="G656" s="34">
        <v>44203</v>
      </c>
      <c r="H656" s="35">
        <v>2.5000000000000001E-2</v>
      </c>
      <c r="I656" s="67">
        <v>3.5700000000000003E-2</v>
      </c>
      <c r="J656" s="67">
        <v>0</v>
      </c>
      <c r="K656" s="67">
        <v>3.5700000000000003E-2</v>
      </c>
      <c r="L656" s="36">
        <f>+K656-((K656*0.0094*0.125)+(K656*(1-0.0094)*0.26))</f>
        <v>2.6463303300000001E-2</v>
      </c>
      <c r="M656" s="64">
        <f t="shared" si="24"/>
        <v>2.6463303300000001E-2</v>
      </c>
      <c r="N656" s="33" t="s">
        <v>248</v>
      </c>
    </row>
    <row r="657" spans="1:14" ht="15">
      <c r="A657" s="12" t="s">
        <v>73</v>
      </c>
      <c r="B657" s="33" t="s">
        <v>151</v>
      </c>
      <c r="C657" s="92" t="s">
        <v>383</v>
      </c>
      <c r="D657" s="33" t="s">
        <v>410</v>
      </c>
      <c r="E657" s="34">
        <v>44196</v>
      </c>
      <c r="F657" s="34">
        <v>44200</v>
      </c>
      <c r="G657" s="34">
        <v>44203</v>
      </c>
      <c r="H657" s="35">
        <v>2.3E-2</v>
      </c>
      <c r="I657" s="67">
        <v>2.8799999999999999E-2</v>
      </c>
      <c r="J657" s="67">
        <v>0</v>
      </c>
      <c r="K657" s="67">
        <v>2.8799999999999999E-2</v>
      </c>
      <c r="L657" s="36">
        <f>+K657-((K657*0.0509*0.125)+(K657*(1-0.0509)*0.26))</f>
        <v>2.1509899199999998E-2</v>
      </c>
      <c r="M657" s="64">
        <f t="shared" si="24"/>
        <v>2.1509899199999998E-2</v>
      </c>
      <c r="N657" s="33" t="s">
        <v>248</v>
      </c>
    </row>
    <row r="658" spans="1:14" ht="15">
      <c r="A658" s="12" t="s">
        <v>40</v>
      </c>
      <c r="B658" s="33" t="s">
        <v>166</v>
      </c>
      <c r="C658" s="92" t="s">
        <v>384</v>
      </c>
      <c r="D658" s="33" t="s">
        <v>410</v>
      </c>
      <c r="E658" s="34">
        <v>44196</v>
      </c>
      <c r="F658" s="34">
        <v>44200</v>
      </c>
      <c r="G658" s="34">
        <v>44203</v>
      </c>
      <c r="H658" s="35">
        <v>2.3E-2</v>
      </c>
      <c r="I658" s="67">
        <v>2.8799999999999999E-2</v>
      </c>
      <c r="J658" s="67">
        <v>0</v>
      </c>
      <c r="K658" s="67">
        <v>2.8799999999999999E-2</v>
      </c>
      <c r="L658" s="36">
        <f>+K658-((K658*0.0509*0.125)+(K658*(1-0.0509)*0.26))</f>
        <v>2.1509899199999998E-2</v>
      </c>
      <c r="M658" s="64">
        <f t="shared" si="24"/>
        <v>2.1509899199999998E-2</v>
      </c>
      <c r="N658" s="33" t="s">
        <v>248</v>
      </c>
    </row>
    <row r="659" spans="1:14" ht="15">
      <c r="A659" s="12" t="s">
        <v>108</v>
      </c>
      <c r="B659" s="33" t="s">
        <v>149</v>
      </c>
      <c r="C659" s="92" t="s">
        <v>386</v>
      </c>
      <c r="D659" s="33" t="s">
        <v>410</v>
      </c>
      <c r="E659" s="34">
        <v>44196</v>
      </c>
      <c r="F659" s="34">
        <v>44200</v>
      </c>
      <c r="G659" s="34">
        <v>44203</v>
      </c>
      <c r="H659" s="35">
        <v>0.05</v>
      </c>
      <c r="I659" s="67">
        <v>7.6399999999999996E-2</v>
      </c>
      <c r="J659" s="67">
        <v>0</v>
      </c>
      <c r="K659" s="67">
        <v>7.6399999999999996E-2</v>
      </c>
      <c r="L659" s="36">
        <f>+K659-((K659*0.0921*0.125)+(K659*(1-0.921)*0.26))</f>
        <v>7.3951189000000001E-2</v>
      </c>
      <c r="M659" s="64">
        <f t="shared" si="24"/>
        <v>7.3951189000000001E-2</v>
      </c>
      <c r="N659" s="33" t="s">
        <v>248</v>
      </c>
    </row>
    <row r="660" spans="1:14" ht="15">
      <c r="A660" s="12" t="s">
        <v>72</v>
      </c>
      <c r="B660" s="33" t="s">
        <v>165</v>
      </c>
      <c r="C660" s="92" t="s">
        <v>387</v>
      </c>
      <c r="D660" s="33" t="s">
        <v>410</v>
      </c>
      <c r="E660" s="34">
        <v>44196</v>
      </c>
      <c r="F660" s="34">
        <v>44200</v>
      </c>
      <c r="G660" s="34">
        <v>44203</v>
      </c>
      <c r="H660" s="35">
        <v>0.05</v>
      </c>
      <c r="I660" s="67">
        <v>7.22E-2</v>
      </c>
      <c r="J660" s="67">
        <v>0</v>
      </c>
      <c r="K660" s="67">
        <v>7.22E-2</v>
      </c>
      <c r="L660" s="36">
        <f>+K660-((K660*0.0921*0.125)+(K660*(1-0.921)*0.26))</f>
        <v>6.9885809500000007E-2</v>
      </c>
      <c r="M660" s="64">
        <f t="shared" si="24"/>
        <v>6.9885809500000007E-2</v>
      </c>
      <c r="N660" s="33" t="s">
        <v>248</v>
      </c>
    </row>
    <row r="661" spans="1:14" ht="15">
      <c r="A661" s="12" t="s">
        <v>39</v>
      </c>
      <c r="B661" s="33" t="s">
        <v>153</v>
      </c>
      <c r="C661" s="92" t="s">
        <v>394</v>
      </c>
      <c r="D661" s="33" t="s">
        <v>410</v>
      </c>
      <c r="E661" s="34">
        <v>44196</v>
      </c>
      <c r="F661" s="34">
        <v>44200</v>
      </c>
      <c r="G661" s="34">
        <v>44203</v>
      </c>
      <c r="H661" s="35">
        <v>2.5000000000000001E-2</v>
      </c>
      <c r="I661" s="67">
        <v>3.0099999999999998E-2</v>
      </c>
      <c r="J661" s="67">
        <v>0</v>
      </c>
      <c r="K661" s="67">
        <v>3.0099999999999998E-2</v>
      </c>
      <c r="L661" s="36">
        <f>+K661-((K661*0.1243*0.125)+(K661*(1-0.1243)*0.26))</f>
        <v>2.2779093049999997E-2</v>
      </c>
      <c r="M661" s="64">
        <f t="shared" si="24"/>
        <v>2.2779093049999997E-2</v>
      </c>
      <c r="N661" s="33" t="s">
        <v>248</v>
      </c>
    </row>
    <row r="662" spans="1:14" ht="15">
      <c r="A662" s="12" t="s">
        <v>76</v>
      </c>
      <c r="B662" s="33" t="s">
        <v>152</v>
      </c>
      <c r="C662" s="92" t="s">
        <v>395</v>
      </c>
      <c r="D662" s="33" t="s">
        <v>410</v>
      </c>
      <c r="E662" s="34">
        <v>44196</v>
      </c>
      <c r="F662" s="34">
        <v>44200</v>
      </c>
      <c r="G662" s="34">
        <v>44203</v>
      </c>
      <c r="H662" s="35">
        <v>2.5000000000000001E-2</v>
      </c>
      <c r="I662" s="67">
        <v>4.0599999999999997E-2</v>
      </c>
      <c r="J662" s="67">
        <v>0</v>
      </c>
      <c r="K662" s="67">
        <v>4.0599999999999997E-2</v>
      </c>
      <c r="L662" s="36">
        <f>+K662-((K662*0.1243*0.125)+(K662*(1-0.1243)*0.26))</f>
        <v>3.0725288299999997E-2</v>
      </c>
      <c r="M662" s="64">
        <f t="shared" si="24"/>
        <v>3.0725288299999997E-2</v>
      </c>
      <c r="N662" s="33" t="s">
        <v>248</v>
      </c>
    </row>
    <row r="663" spans="1:14" ht="15">
      <c r="A663" s="12" t="s">
        <v>109</v>
      </c>
      <c r="B663" s="33" t="s">
        <v>167</v>
      </c>
      <c r="C663" s="92" t="s">
        <v>396</v>
      </c>
      <c r="D663" s="33" t="s">
        <v>410</v>
      </c>
      <c r="E663" s="34">
        <v>44196</v>
      </c>
      <c r="F663" s="34">
        <v>44200</v>
      </c>
      <c r="G663" s="34">
        <v>44203</v>
      </c>
      <c r="H663" s="35">
        <v>2.5000000000000001E-2</v>
      </c>
      <c r="I663" s="67">
        <v>3.9199999999999999E-2</v>
      </c>
      <c r="J663" s="67">
        <v>0</v>
      </c>
      <c r="K663" s="67">
        <v>3.9199999999999999E-2</v>
      </c>
      <c r="L663" s="36">
        <f>+K663-((K663*0.1243*0.125)+(K663*(1-0.1243)*0.26))</f>
        <v>2.9665795599999999E-2</v>
      </c>
      <c r="M663" s="64">
        <f t="shared" si="24"/>
        <v>2.9665795599999999E-2</v>
      </c>
      <c r="N663" s="33" t="s">
        <v>248</v>
      </c>
    </row>
    <row r="664" spans="1:14" ht="15">
      <c r="A664" s="12" t="s">
        <v>75</v>
      </c>
      <c r="B664" s="33" t="s">
        <v>301</v>
      </c>
      <c r="C664" s="92" t="s">
        <v>407</v>
      </c>
      <c r="D664" s="33" t="s">
        <v>410</v>
      </c>
      <c r="E664" s="34">
        <v>44196</v>
      </c>
      <c r="F664" s="34">
        <v>44200</v>
      </c>
      <c r="G664" s="34">
        <v>44203</v>
      </c>
      <c r="H664" s="35">
        <v>2.5000000000000001E-2</v>
      </c>
      <c r="I664" s="67">
        <v>3.09E-2</v>
      </c>
      <c r="J664" s="67">
        <v>0</v>
      </c>
      <c r="K664" s="67">
        <v>3.09E-2</v>
      </c>
      <c r="L664" s="36">
        <f>+K664-((K664*0.1243*0.125)+(K664*(1-0.1243)*0.26))</f>
        <v>2.338451745E-2</v>
      </c>
      <c r="M664" s="64">
        <f t="shared" si="24"/>
        <v>2.338451745E-2</v>
      </c>
      <c r="N664" s="33" t="s">
        <v>248</v>
      </c>
    </row>
    <row r="665" spans="1:14" ht="15">
      <c r="A665" s="12" t="s">
        <v>37</v>
      </c>
      <c r="B665" s="33" t="s">
        <v>304</v>
      </c>
      <c r="C665" s="92" t="s">
        <v>408</v>
      </c>
      <c r="D665" s="33" t="s">
        <v>410</v>
      </c>
      <c r="E665" s="34">
        <v>44196</v>
      </c>
      <c r="F665" s="34">
        <v>44200</v>
      </c>
      <c r="G665" s="34">
        <v>44203</v>
      </c>
      <c r="H665" s="35">
        <v>2.2499999999999999E-2</v>
      </c>
      <c r="I665" s="67">
        <v>2.7799999999999998E-2</v>
      </c>
      <c r="J665" s="67">
        <v>0</v>
      </c>
      <c r="K665" s="67">
        <v>2.7799999999999998E-2</v>
      </c>
      <c r="L665" s="36">
        <f>+K665-((K665*0.1466*0.125)+(K665*(1-0.1466)*0.26))</f>
        <v>2.11221898E-2</v>
      </c>
      <c r="M665" s="64">
        <f t="shared" si="24"/>
        <v>2.11221898E-2</v>
      </c>
      <c r="N665" s="33" t="s">
        <v>248</v>
      </c>
    </row>
    <row r="666" spans="1:14" ht="15">
      <c r="A666" s="12" t="s">
        <v>111</v>
      </c>
      <c r="B666" s="33" t="s">
        <v>183</v>
      </c>
      <c r="C666" s="92" t="s">
        <v>398</v>
      </c>
      <c r="D666" s="33" t="s">
        <v>410</v>
      </c>
      <c r="E666" s="34">
        <v>44196</v>
      </c>
      <c r="F666" s="34">
        <v>44200</v>
      </c>
      <c r="G666" s="34">
        <v>44203</v>
      </c>
      <c r="H666" s="35">
        <v>2.2499999999999999E-2</v>
      </c>
      <c r="I666" s="67">
        <v>2.7900000000000001E-2</v>
      </c>
      <c r="J666" s="67">
        <v>0</v>
      </c>
      <c r="K666" s="67">
        <v>2.7900000000000001E-2</v>
      </c>
      <c r="L666" s="36">
        <f>+K666-((K666*0.1466*0.125)+(K666*(1-0.1466)*0.26))</f>
        <v>2.1198168900000001E-2</v>
      </c>
      <c r="M666" s="64">
        <f t="shared" si="24"/>
        <v>2.1198168900000001E-2</v>
      </c>
      <c r="N666" s="33" t="s">
        <v>248</v>
      </c>
    </row>
    <row r="667" spans="1:14" ht="15">
      <c r="A667" s="12" t="s">
        <v>112</v>
      </c>
      <c r="B667" s="33" t="s">
        <v>305</v>
      </c>
      <c r="C667" s="92" t="s">
        <v>409</v>
      </c>
      <c r="D667" s="33" t="s">
        <v>410</v>
      </c>
      <c r="E667" s="34">
        <v>44196</v>
      </c>
      <c r="F667" s="34">
        <v>44200</v>
      </c>
      <c r="G667" s="34">
        <v>44203</v>
      </c>
      <c r="H667" s="35">
        <v>2.2499999999999999E-2</v>
      </c>
      <c r="I667" s="67">
        <v>2.8000000000000001E-2</v>
      </c>
      <c r="J667" s="67">
        <v>0</v>
      </c>
      <c r="K667" s="67">
        <v>2.8000000000000001E-2</v>
      </c>
      <c r="L667" s="36">
        <f>+K667-((K667*0.1466*0.125)+(K667*(1-0.1466)*0.26))</f>
        <v>2.1274148E-2</v>
      </c>
      <c r="M667" s="64">
        <f t="shared" si="24"/>
        <v>2.1274148E-2</v>
      </c>
      <c r="N667" s="33" t="s">
        <v>248</v>
      </c>
    </row>
    <row r="668" spans="1:14" ht="15">
      <c r="A668" s="12" t="s">
        <v>99</v>
      </c>
      <c r="B668" s="33" t="s">
        <v>147</v>
      </c>
      <c r="C668" s="92" t="s">
        <v>466</v>
      </c>
      <c r="D668" s="33" t="s">
        <v>410</v>
      </c>
      <c r="E668" s="34">
        <v>44196</v>
      </c>
      <c r="F668" s="34">
        <v>44200</v>
      </c>
      <c r="G668" s="34">
        <v>44203</v>
      </c>
      <c r="H668" s="35">
        <v>2.3E-2</v>
      </c>
      <c r="I668" s="67">
        <v>0.36809999999999998</v>
      </c>
      <c r="J668" s="67">
        <v>0</v>
      </c>
      <c r="K668" s="67">
        <v>3.1300000000000001E-2</v>
      </c>
      <c r="L668" s="36">
        <f>+K668-((K668*0.127*0.125)+(K668*(1-0.127)*0.26))</f>
        <v>2.3698638500000001E-2</v>
      </c>
      <c r="M668" s="64">
        <f t="shared" si="24"/>
        <v>2.3698638500000001E-2</v>
      </c>
      <c r="N668" s="33" t="s">
        <v>248</v>
      </c>
    </row>
    <row r="669" spans="1:14" ht="15">
      <c r="A669" s="12"/>
      <c r="B669" s="33" t="s">
        <v>164</v>
      </c>
      <c r="C669" s="92" t="s">
        <v>467</v>
      </c>
      <c r="D669" s="33" t="s">
        <v>410</v>
      </c>
      <c r="E669" s="34">
        <v>44196</v>
      </c>
      <c r="F669" s="34">
        <v>44200</v>
      </c>
      <c r="G669" s="34">
        <v>44203</v>
      </c>
      <c r="H669" s="35">
        <v>2.3E-2</v>
      </c>
      <c r="I669" s="67">
        <v>3.95E-2</v>
      </c>
      <c r="J669" s="67">
        <v>0</v>
      </c>
      <c r="K669" s="67">
        <v>2.9499999999999998E-2</v>
      </c>
      <c r="L669" s="36">
        <f>+K669-((K669*0.127*0.125)+(K669*(1-0.127)*0.26))</f>
        <v>2.2335777499999997E-2</v>
      </c>
      <c r="M669" s="64">
        <f t="shared" si="24"/>
        <v>2.2335777499999997E-2</v>
      </c>
      <c r="N669" s="33" t="s">
        <v>248</v>
      </c>
    </row>
    <row r="670" spans="1:14" ht="15">
      <c r="A670" s="12"/>
      <c r="B670" s="33" t="s">
        <v>479</v>
      </c>
      <c r="C670" s="92" t="s">
        <v>481</v>
      </c>
      <c r="D670" s="33" t="s">
        <v>412</v>
      </c>
      <c r="E670" s="34">
        <v>44221</v>
      </c>
      <c r="F670" s="34">
        <v>44222</v>
      </c>
      <c r="G670" s="34">
        <v>44225</v>
      </c>
      <c r="H670" s="35">
        <v>5.5E-2</v>
      </c>
      <c r="I670" s="67">
        <v>0.21110000000000001</v>
      </c>
      <c r="J670" s="67">
        <v>0</v>
      </c>
      <c r="K670" s="67">
        <v>0.21110000000000001</v>
      </c>
      <c r="L670" s="36">
        <f>+K670-((K670*0.167*0.125)+(K670*(1-0.167)*0.26))</f>
        <v>0.1609732495</v>
      </c>
      <c r="M670" s="64">
        <f t="shared" si="24"/>
        <v>0.1609732495</v>
      </c>
      <c r="N670" s="33" t="s">
        <v>495</v>
      </c>
    </row>
    <row r="671" spans="1:14" ht="15">
      <c r="A671" s="12"/>
      <c r="B671" s="33" t="s">
        <v>480</v>
      </c>
      <c r="C671" s="92" t="s">
        <v>482</v>
      </c>
      <c r="D671" s="33" t="s">
        <v>412</v>
      </c>
      <c r="E671" s="34">
        <v>44221</v>
      </c>
      <c r="F671" s="34">
        <v>44222</v>
      </c>
      <c r="G671" s="34">
        <v>44225</v>
      </c>
      <c r="H671" s="35">
        <v>5.5E-2</v>
      </c>
      <c r="I671" s="67">
        <v>0.20150000000000001</v>
      </c>
      <c r="J671" s="67">
        <v>0</v>
      </c>
      <c r="K671" s="67">
        <v>0.20150000000000001</v>
      </c>
      <c r="L671" s="36">
        <f>+K671-((K671*0.167*0.125)+(K671*(1-0.167)*0.26))</f>
        <v>0.15365281750000001</v>
      </c>
      <c r="M671" s="64">
        <f t="shared" si="24"/>
        <v>0.15365281750000001</v>
      </c>
      <c r="N671" s="33" t="s">
        <v>495</v>
      </c>
    </row>
    <row r="672" spans="1:14" ht="15">
      <c r="A672" s="12" t="s">
        <v>74</v>
      </c>
      <c r="B672" s="33" t="s">
        <v>132</v>
      </c>
      <c r="C672" s="92" t="s">
        <v>358</v>
      </c>
      <c r="D672" s="33" t="s">
        <v>410</v>
      </c>
      <c r="E672" s="34">
        <v>44221</v>
      </c>
      <c r="F672" s="34">
        <v>44222</v>
      </c>
      <c r="G672" s="34">
        <v>44225</v>
      </c>
      <c r="H672" s="35">
        <v>0.03</v>
      </c>
      <c r="I672" s="67">
        <v>3.5400000000000001E-2</v>
      </c>
      <c r="J672" s="67">
        <v>0</v>
      </c>
      <c r="K672" s="67">
        <v>3.5400000000000001E-2</v>
      </c>
      <c r="L672" s="36">
        <f>+K672-((K672*0.282*0.125)+(K672*(1-0.282)*0.26))</f>
        <v>2.7543678000000002E-2</v>
      </c>
      <c r="M672" s="64">
        <f t="shared" si="24"/>
        <v>2.7543678000000002E-2</v>
      </c>
      <c r="N672" s="33" t="s">
        <v>249</v>
      </c>
    </row>
    <row r="673" spans="1:14" ht="15">
      <c r="A673" s="12" t="s">
        <v>38</v>
      </c>
      <c r="B673" s="33" t="s">
        <v>227</v>
      </c>
      <c r="C673" s="92" t="s">
        <v>359</v>
      </c>
      <c r="D673" s="33" t="s">
        <v>410</v>
      </c>
      <c r="E673" s="34">
        <v>44221</v>
      </c>
      <c r="F673" s="34">
        <v>44222</v>
      </c>
      <c r="G673" s="34">
        <v>44225</v>
      </c>
      <c r="H673" s="35">
        <v>0.03</v>
      </c>
      <c r="I673" s="67">
        <v>3.5200000000000002E-2</v>
      </c>
      <c r="J673" s="67">
        <v>0</v>
      </c>
      <c r="K673" s="67">
        <v>3.5200000000000002E-2</v>
      </c>
      <c r="L673" s="36">
        <f>+K673-((K673*0.282*0.125)+(K673*(1-0.282)*0.26))</f>
        <v>2.7388064000000004E-2</v>
      </c>
      <c r="M673" s="64">
        <f t="shared" si="24"/>
        <v>2.7388064000000004E-2</v>
      </c>
      <c r="N673" s="33" t="s">
        <v>249</v>
      </c>
    </row>
    <row r="674" spans="1:14" ht="15">
      <c r="A674" s="12"/>
      <c r="B674" s="33" t="s">
        <v>133</v>
      </c>
      <c r="C674" s="92" t="s">
        <v>474</v>
      </c>
      <c r="D674" s="33" t="s">
        <v>410</v>
      </c>
      <c r="E674" s="34">
        <v>44221</v>
      </c>
      <c r="F674" s="34">
        <v>44222</v>
      </c>
      <c r="G674" s="34">
        <v>44225</v>
      </c>
      <c r="H674" s="35">
        <v>0.04</v>
      </c>
      <c r="I674" s="67">
        <v>4.3099999999999999E-2</v>
      </c>
      <c r="J674" s="67">
        <v>0</v>
      </c>
      <c r="K674" s="67">
        <v>4.3099999999999999E-2</v>
      </c>
      <c r="L674" s="36">
        <f>+K674-((K674*0.003*0.125)+(K674*(1-0.003)*0.26))</f>
        <v>3.1911455499999998E-2</v>
      </c>
      <c r="M674" s="64">
        <f t="shared" si="24"/>
        <v>3.1911455499999998E-2</v>
      </c>
      <c r="N674" s="33" t="s">
        <v>249</v>
      </c>
    </row>
    <row r="675" spans="1:14" ht="15">
      <c r="A675" s="12"/>
      <c r="B675" s="33" t="s">
        <v>134</v>
      </c>
      <c r="C675" s="92" t="s">
        <v>374</v>
      </c>
      <c r="D675" s="33" t="s">
        <v>410</v>
      </c>
      <c r="E675" s="34">
        <v>44221</v>
      </c>
      <c r="F675" s="34">
        <v>44222</v>
      </c>
      <c r="G675" s="34">
        <v>44225</v>
      </c>
      <c r="H675" s="35">
        <v>4.2500000000000003E-2</v>
      </c>
      <c r="I675" s="67">
        <v>5.4600000000000003E-2</v>
      </c>
      <c r="J675" s="67">
        <v>0</v>
      </c>
      <c r="K675" s="67">
        <v>5.4600000000000003E-2</v>
      </c>
      <c r="L675" s="36">
        <f>+K675-((K675*0.248*0.125)+(K675*(1-0.248)*0.26))</f>
        <v>4.2232008000000001E-2</v>
      </c>
      <c r="M675" s="64">
        <f t="shared" si="24"/>
        <v>4.2232008000000001E-2</v>
      </c>
      <c r="N675" s="33" t="s">
        <v>249</v>
      </c>
    </row>
    <row r="676" spans="1:14" ht="15">
      <c r="A676" s="12"/>
      <c r="B676" s="33" t="s">
        <v>168</v>
      </c>
      <c r="C676" s="92" t="s">
        <v>376</v>
      </c>
      <c r="D676" s="33" t="s">
        <v>410</v>
      </c>
      <c r="E676" s="34">
        <v>44221</v>
      </c>
      <c r="F676" s="34">
        <v>44222</v>
      </c>
      <c r="G676" s="34">
        <v>44225</v>
      </c>
      <c r="H676" s="35">
        <v>4.2500000000000003E-2</v>
      </c>
      <c r="I676" s="67">
        <v>4.7300000000000002E-2</v>
      </c>
      <c r="J676" s="67">
        <v>0</v>
      </c>
      <c r="K676" s="67">
        <v>4.7300000000000002E-2</v>
      </c>
      <c r="L676" s="36">
        <f>+K676-((K676*0.248*0.125)+(K676*(1-0.248)*0.26))</f>
        <v>3.6585604000000001E-2</v>
      </c>
      <c r="M676" s="64">
        <f t="shared" si="24"/>
        <v>3.6585604000000001E-2</v>
      </c>
      <c r="N676" s="33" t="s">
        <v>249</v>
      </c>
    </row>
    <row r="677" spans="1:14" ht="15">
      <c r="A677" s="12"/>
      <c r="B677" s="33" t="s">
        <v>136</v>
      </c>
      <c r="C677" s="92" t="s">
        <v>388</v>
      </c>
      <c r="D677" s="33" t="s">
        <v>410</v>
      </c>
      <c r="E677" s="34">
        <v>44221</v>
      </c>
      <c r="F677" s="34">
        <v>44222</v>
      </c>
      <c r="G677" s="34">
        <v>44225</v>
      </c>
      <c r="H677" s="35">
        <v>0.02</v>
      </c>
      <c r="I677" s="67">
        <v>2.3900000000000001E-2</v>
      </c>
      <c r="J677" s="67">
        <v>0</v>
      </c>
      <c r="K677" s="67">
        <v>2.3900000000000001E-2</v>
      </c>
      <c r="L677" s="36">
        <f t="shared" ref="L677:L682" si="25">+K677-((K677*0.078*0.125)+(K677*(1-0.078)*0.26))</f>
        <v>1.7937667000000001E-2</v>
      </c>
      <c r="M677" s="64">
        <f t="shared" si="24"/>
        <v>1.7937667000000001E-2</v>
      </c>
      <c r="N677" s="33" t="s">
        <v>249</v>
      </c>
    </row>
    <row r="678" spans="1:14" ht="15">
      <c r="A678" s="12"/>
      <c r="B678" s="33" t="s">
        <v>137</v>
      </c>
      <c r="C678" s="92" t="s">
        <v>389</v>
      </c>
      <c r="D678" s="33" t="s">
        <v>410</v>
      </c>
      <c r="E678" s="34">
        <v>44221</v>
      </c>
      <c r="F678" s="34">
        <v>44222</v>
      </c>
      <c r="G678" s="34">
        <v>44225</v>
      </c>
      <c r="H678" s="35">
        <v>3.5000000000000003E-2</v>
      </c>
      <c r="I678" s="67">
        <v>4.41E-2</v>
      </c>
      <c r="J678" s="67">
        <v>0</v>
      </c>
      <c r="K678" s="67">
        <v>4.41E-2</v>
      </c>
      <c r="L678" s="36">
        <f t="shared" si="25"/>
        <v>3.3098373E-2</v>
      </c>
      <c r="M678" s="64">
        <f t="shared" si="24"/>
        <v>3.3098373E-2</v>
      </c>
      <c r="N678" s="33" t="s">
        <v>249</v>
      </c>
    </row>
    <row r="679" spans="1:14" ht="15">
      <c r="A679" s="12"/>
      <c r="B679" s="33" t="s">
        <v>135</v>
      </c>
      <c r="C679" s="92" t="s">
        <v>390</v>
      </c>
      <c r="D679" s="33" t="s">
        <v>410</v>
      </c>
      <c r="E679" s="34">
        <v>44221</v>
      </c>
      <c r="F679" s="34">
        <v>44222</v>
      </c>
      <c r="G679" s="34">
        <v>44225</v>
      </c>
      <c r="H679" s="35">
        <v>4.4999999999999998E-2</v>
      </c>
      <c r="I679" s="67">
        <v>5.7000000000000002E-2</v>
      </c>
      <c r="J679" s="67">
        <v>0</v>
      </c>
      <c r="K679" s="67">
        <v>5.7000000000000002E-2</v>
      </c>
      <c r="L679" s="36">
        <f t="shared" si="25"/>
        <v>4.2780209999999999E-2</v>
      </c>
      <c r="M679" s="64">
        <f t="shared" si="24"/>
        <v>4.2780209999999999E-2</v>
      </c>
      <c r="N679" s="33" t="s">
        <v>249</v>
      </c>
    </row>
    <row r="680" spans="1:14" ht="15">
      <c r="A680" s="12"/>
      <c r="B680" s="33" t="s">
        <v>170</v>
      </c>
      <c r="C680" s="92" t="s">
        <v>391</v>
      </c>
      <c r="D680" s="33" t="s">
        <v>410</v>
      </c>
      <c r="E680" s="34">
        <v>44221</v>
      </c>
      <c r="F680" s="34">
        <v>44222</v>
      </c>
      <c r="G680" s="34">
        <v>44225</v>
      </c>
      <c r="H680" s="35">
        <v>0.02</v>
      </c>
      <c r="I680" s="67">
        <v>2.3800000000000002E-2</v>
      </c>
      <c r="J680" s="67">
        <v>0</v>
      </c>
      <c r="K680" s="67">
        <v>2.3800000000000002E-2</v>
      </c>
      <c r="L680" s="36">
        <f t="shared" si="25"/>
        <v>1.7862613999999999E-2</v>
      </c>
      <c r="M680" s="64">
        <f t="shared" si="24"/>
        <v>1.7862613999999999E-2</v>
      </c>
      <c r="N680" s="33" t="s">
        <v>249</v>
      </c>
    </row>
    <row r="681" spans="1:14" ht="15">
      <c r="A681" s="12"/>
      <c r="B681" s="33" t="s">
        <v>171</v>
      </c>
      <c r="C681" s="92" t="s">
        <v>392</v>
      </c>
      <c r="D681" s="33" t="s">
        <v>410</v>
      </c>
      <c r="E681" s="34">
        <v>44221</v>
      </c>
      <c r="F681" s="34">
        <v>44222</v>
      </c>
      <c r="G681" s="34">
        <v>44225</v>
      </c>
      <c r="H681" s="35">
        <v>3.5000000000000003E-2</v>
      </c>
      <c r="I681" s="67">
        <v>4.3700000000000003E-2</v>
      </c>
      <c r="J681" s="67">
        <v>0</v>
      </c>
      <c r="K681" s="67">
        <v>4.3700000000000003E-2</v>
      </c>
      <c r="L681" s="36">
        <f t="shared" si="25"/>
        <v>3.2798160999999999E-2</v>
      </c>
      <c r="M681" s="64">
        <f t="shared" si="24"/>
        <v>3.2798160999999999E-2</v>
      </c>
      <c r="N681" s="33" t="s">
        <v>249</v>
      </c>
    </row>
    <row r="682" spans="1:14" ht="15">
      <c r="A682" s="12"/>
      <c r="B682" s="33" t="s">
        <v>172</v>
      </c>
      <c r="C682" s="92" t="s">
        <v>393</v>
      </c>
      <c r="D682" s="33" t="s">
        <v>410</v>
      </c>
      <c r="E682" s="34">
        <v>44221</v>
      </c>
      <c r="F682" s="34">
        <v>44222</v>
      </c>
      <c r="G682" s="34">
        <v>44225</v>
      </c>
      <c r="H682" s="35">
        <v>4.4999999999999998E-2</v>
      </c>
      <c r="I682" s="67">
        <v>5.6599999999999998E-2</v>
      </c>
      <c r="J682" s="67">
        <v>0</v>
      </c>
      <c r="K682" s="67">
        <v>5.6599999999999998E-2</v>
      </c>
      <c r="L682" s="36">
        <f t="shared" si="25"/>
        <v>4.2479997999999998E-2</v>
      </c>
      <c r="M682" s="64">
        <f t="shared" ref="M682:M713" si="26">J682+L682</f>
        <v>4.2479997999999998E-2</v>
      </c>
      <c r="N682" s="33" t="s">
        <v>249</v>
      </c>
    </row>
    <row r="683" spans="1:14" ht="15">
      <c r="A683" s="12"/>
      <c r="B683" s="33" t="s">
        <v>169</v>
      </c>
      <c r="C683" s="92" t="s">
        <v>400</v>
      </c>
      <c r="D683" s="33" t="s">
        <v>410</v>
      </c>
      <c r="E683" s="34">
        <v>44221</v>
      </c>
      <c r="F683" s="34">
        <v>44222</v>
      </c>
      <c r="G683" s="34">
        <v>44225</v>
      </c>
      <c r="H683" s="35">
        <v>5.5E-2</v>
      </c>
      <c r="I683" s="67">
        <v>6.1699999999999998E-2</v>
      </c>
      <c r="J683" s="67">
        <v>0</v>
      </c>
      <c r="K683" s="67">
        <v>6.1699999999999998E-2</v>
      </c>
      <c r="L683" s="36">
        <f>+K683-((K683*0.167*0.125)+(K683*(1-0.167)*0.26))</f>
        <v>4.70490265E-2</v>
      </c>
      <c r="M683" s="64">
        <f t="shared" si="26"/>
        <v>4.70490265E-2</v>
      </c>
      <c r="N683" s="33" t="s">
        <v>249</v>
      </c>
    </row>
    <row r="684" spans="1:14" ht="15">
      <c r="A684" s="12"/>
      <c r="B684" s="33" t="s">
        <v>156</v>
      </c>
      <c r="C684" s="92" t="s">
        <v>473</v>
      </c>
      <c r="D684" s="33" t="s">
        <v>496</v>
      </c>
      <c r="E684" s="34">
        <v>44221</v>
      </c>
      <c r="F684" s="34">
        <v>44222</v>
      </c>
      <c r="G684" s="34">
        <v>44225</v>
      </c>
      <c r="H684" s="35">
        <v>0.04</v>
      </c>
      <c r="I684" s="67">
        <v>0.1026</v>
      </c>
      <c r="J684" s="67">
        <v>0</v>
      </c>
      <c r="K684" s="67">
        <v>0.1026</v>
      </c>
      <c r="L684" s="36">
        <f>+K684-((K684*0.0000001*0.125)+(K684*(1-0.0000001)*0.26))</f>
        <v>7.5924001385099998E-2</v>
      </c>
      <c r="M684" s="64">
        <f t="shared" si="26"/>
        <v>7.5924001385099998E-2</v>
      </c>
      <c r="N684" s="33" t="s">
        <v>250</v>
      </c>
    </row>
    <row r="685" spans="1:14" ht="15">
      <c r="A685" s="12"/>
      <c r="B685" s="33" t="s">
        <v>178</v>
      </c>
      <c r="C685" s="92" t="s">
        <v>472</v>
      </c>
      <c r="D685" s="33" t="s">
        <v>496</v>
      </c>
      <c r="E685" s="34">
        <v>44221</v>
      </c>
      <c r="F685" s="34">
        <v>44222</v>
      </c>
      <c r="G685" s="34">
        <v>44225</v>
      </c>
      <c r="H685" s="35">
        <v>0.04</v>
      </c>
      <c r="I685" s="67">
        <v>8.9399999999999993E-2</v>
      </c>
      <c r="J685" s="67">
        <v>4.8804870000000007E-2</v>
      </c>
      <c r="K685" s="67">
        <v>4.0595129999999986E-2</v>
      </c>
      <c r="L685" s="36">
        <f>+K685-((K685*0.0000001*0.125)+(K685*(1-0.0000001)*0.26))</f>
        <v>3.0040396748034243E-2</v>
      </c>
      <c r="M685" s="64">
        <f t="shared" si="26"/>
        <v>7.8845266748034243E-2</v>
      </c>
      <c r="N685" s="33" t="s">
        <v>250</v>
      </c>
    </row>
    <row r="686" spans="1:14" ht="15">
      <c r="A686" s="12"/>
      <c r="B686" s="33" t="s">
        <v>155</v>
      </c>
      <c r="C686" s="92" t="s">
        <v>475</v>
      </c>
      <c r="D686" s="33" t="s">
        <v>496</v>
      </c>
      <c r="E686" s="34">
        <v>44221</v>
      </c>
      <c r="F686" s="34">
        <v>44222</v>
      </c>
      <c r="G686" s="34">
        <v>44225</v>
      </c>
      <c r="H686" s="35">
        <v>0.04</v>
      </c>
      <c r="I686" s="67">
        <v>9.8000000000000004E-2</v>
      </c>
      <c r="J686" s="67">
        <v>5.9144660000000022E-2</v>
      </c>
      <c r="K686" s="67">
        <v>3.8855339999999981E-2</v>
      </c>
      <c r="L686" s="36">
        <f>+K686-((K686*0.003*0.125)+(K686*(1-0.003)*0.26))</f>
        <v>2.8768688012699987E-2</v>
      </c>
      <c r="M686" s="64">
        <f t="shared" si="26"/>
        <v>8.791334801270001E-2</v>
      </c>
      <c r="N686" s="33" t="s">
        <v>250</v>
      </c>
    </row>
    <row r="687" spans="1:14" ht="15">
      <c r="A687" s="12"/>
      <c r="B687" s="33" t="s">
        <v>177</v>
      </c>
      <c r="C687" s="92" t="s">
        <v>476</v>
      </c>
      <c r="D687" s="33" t="s">
        <v>496</v>
      </c>
      <c r="E687" s="34">
        <v>44221</v>
      </c>
      <c r="F687" s="34">
        <v>44222</v>
      </c>
      <c r="G687" s="34">
        <v>44225</v>
      </c>
      <c r="H687" s="35">
        <v>0.04</v>
      </c>
      <c r="I687" s="67">
        <v>9.9900000000000003E-2</v>
      </c>
      <c r="J687" s="67">
        <v>7.3841099999999949E-3</v>
      </c>
      <c r="K687" s="67">
        <v>9.2515890000000003E-2</v>
      </c>
      <c r="L687" s="36">
        <f>+K687-((K687*0.003*0.125)+(K687*(1-0.003)*0.26))</f>
        <v>6.849922753545E-2</v>
      </c>
      <c r="M687" s="64">
        <f t="shared" si="26"/>
        <v>7.5883337535449999E-2</v>
      </c>
      <c r="N687" s="33" t="s">
        <v>250</v>
      </c>
    </row>
    <row r="688" spans="1:14" ht="15">
      <c r="A688" s="12"/>
      <c r="B688" s="33" t="s">
        <v>158</v>
      </c>
      <c r="C688" s="92" t="s">
        <v>373</v>
      </c>
      <c r="D688" s="33" t="s">
        <v>496</v>
      </c>
      <c r="E688" s="34">
        <v>44221</v>
      </c>
      <c r="F688" s="34">
        <v>44222</v>
      </c>
      <c r="G688" s="34">
        <v>44225</v>
      </c>
      <c r="H688" s="35">
        <v>4.2500000000000003E-2</v>
      </c>
      <c r="I688" s="67">
        <v>8.6400000000000005E-2</v>
      </c>
      <c r="J688" s="67">
        <v>1.4884000000000052E-3</v>
      </c>
      <c r="K688" s="67">
        <v>8.4911600000000004E-2</v>
      </c>
      <c r="L688" s="36">
        <f>+K688-((K688*0.248*0.125)+(K688*(1-0.248)*0.26))</f>
        <v>6.5677424368000004E-2</v>
      </c>
      <c r="M688" s="64">
        <f t="shared" si="26"/>
        <v>6.7165824368000004E-2</v>
      </c>
      <c r="N688" s="33" t="s">
        <v>250</v>
      </c>
    </row>
    <row r="689" spans="1:14" ht="15">
      <c r="A689" s="12"/>
      <c r="B689" s="33" t="s">
        <v>157</v>
      </c>
      <c r="C689" s="92" t="s">
        <v>375</v>
      </c>
      <c r="D689" s="33" t="s">
        <v>496</v>
      </c>
      <c r="E689" s="34">
        <v>44221</v>
      </c>
      <c r="F689" s="34">
        <v>44222</v>
      </c>
      <c r="G689" s="34">
        <v>44225</v>
      </c>
      <c r="H689" s="35">
        <v>4.2500000000000003E-2</v>
      </c>
      <c r="I689" s="67">
        <v>8.2799999999999999E-2</v>
      </c>
      <c r="J689" s="67">
        <v>5.2081200000000149E-3</v>
      </c>
      <c r="K689" s="67">
        <v>7.7591879999999988E-2</v>
      </c>
      <c r="L689" s="36">
        <f>+K689-((K689*0.248*0.125)+(K689*(1-0.248)*0.26))</f>
        <v>6.0015767342399995E-2</v>
      </c>
      <c r="M689" s="64">
        <f t="shared" si="26"/>
        <v>6.5223887342400005E-2</v>
      </c>
      <c r="N689" s="33" t="s">
        <v>250</v>
      </c>
    </row>
    <row r="690" spans="1:14" ht="15">
      <c r="A690" s="12"/>
      <c r="B690" s="33" t="s">
        <v>154</v>
      </c>
      <c r="C690" s="92" t="s">
        <v>399</v>
      </c>
      <c r="D690" s="33" t="s">
        <v>496</v>
      </c>
      <c r="E690" s="34">
        <v>44221</v>
      </c>
      <c r="F690" s="34">
        <v>44222</v>
      </c>
      <c r="G690" s="34">
        <v>44225</v>
      </c>
      <c r="H690" s="35">
        <v>5.5E-2</v>
      </c>
      <c r="I690" s="67">
        <v>0.10970000000000001</v>
      </c>
      <c r="J690" s="67">
        <v>0</v>
      </c>
      <c r="K690" s="67">
        <v>0.10970000000000001</v>
      </c>
      <c r="L690" s="36">
        <f>+K690-((K690*0.167*0.125)+(K690*(1-0.167)*0.26))</f>
        <v>8.3651186500000002E-2</v>
      </c>
      <c r="M690" s="64">
        <f t="shared" si="26"/>
        <v>8.3651186500000002E-2</v>
      </c>
      <c r="N690" s="33" t="s">
        <v>250</v>
      </c>
    </row>
    <row r="691" spans="1:14" ht="15">
      <c r="A691" s="12"/>
      <c r="B691" s="33" t="s">
        <v>310</v>
      </c>
      <c r="C691" s="92" t="s">
        <v>424</v>
      </c>
      <c r="D691" s="33" t="s">
        <v>411</v>
      </c>
      <c r="E691" s="34">
        <v>44225</v>
      </c>
      <c r="F691" s="34">
        <v>44228</v>
      </c>
      <c r="G691" s="34">
        <v>44231</v>
      </c>
      <c r="H691" s="35">
        <v>0.05</v>
      </c>
      <c r="I691" s="67">
        <v>2.0500000000000001E-2</v>
      </c>
      <c r="J691" s="67">
        <v>0</v>
      </c>
      <c r="K691" s="67">
        <v>2.0500000000000001E-2</v>
      </c>
      <c r="L691" s="36">
        <f>+K691-((K691*0.036*0.125)+(K691*(1-0.036)*0.26))</f>
        <v>1.5269629999999999E-2</v>
      </c>
      <c r="M691" s="64">
        <f t="shared" si="26"/>
        <v>1.5269629999999999E-2</v>
      </c>
      <c r="N691" s="33" t="s">
        <v>251</v>
      </c>
    </row>
    <row r="692" spans="1:14" ht="15">
      <c r="A692" s="12"/>
      <c r="B692" s="33" t="s">
        <v>188</v>
      </c>
      <c r="C692" s="92" t="s">
        <v>339</v>
      </c>
      <c r="D692" s="33" t="s">
        <v>411</v>
      </c>
      <c r="E692" s="34">
        <v>44225</v>
      </c>
      <c r="F692" s="34">
        <v>44228</v>
      </c>
      <c r="G692" s="34">
        <v>44231</v>
      </c>
      <c r="H692" s="35">
        <v>0.05</v>
      </c>
      <c r="I692" s="67">
        <v>0.35880000000000001</v>
      </c>
      <c r="J692" s="67">
        <v>0</v>
      </c>
      <c r="K692" s="67">
        <v>0.35880000000000001</v>
      </c>
      <c r="L692" s="36">
        <f>+K692-((K692*0.036*0.125)+(K692*(1-0.036)*0.26))</f>
        <v>0.267255768</v>
      </c>
      <c r="M692" s="64">
        <f t="shared" si="26"/>
        <v>0.267255768</v>
      </c>
      <c r="N692" s="33" t="s">
        <v>251</v>
      </c>
    </row>
    <row r="693" spans="1:14" ht="15">
      <c r="A693" s="12"/>
      <c r="B693" s="33" t="s">
        <v>196</v>
      </c>
      <c r="C693" s="92" t="s">
        <v>340</v>
      </c>
      <c r="D693" s="33" t="s">
        <v>411</v>
      </c>
      <c r="E693" s="34">
        <v>44225</v>
      </c>
      <c r="F693" s="34">
        <v>44228</v>
      </c>
      <c r="G693" s="34">
        <v>44231</v>
      </c>
      <c r="H693" s="35">
        <v>0.05</v>
      </c>
      <c r="I693" s="67">
        <v>0.37259999999999999</v>
      </c>
      <c r="J693" s="67">
        <v>0</v>
      </c>
      <c r="K693" s="67">
        <v>0.37259999999999999</v>
      </c>
      <c r="L693" s="36">
        <f>+K693-((K693*0.036*0.125)+(K693*(1-0.036)*0.26))</f>
        <v>0.27753483600000001</v>
      </c>
      <c r="M693" s="64">
        <f t="shared" si="26"/>
        <v>0.27753483600000001</v>
      </c>
      <c r="N693" s="33" t="s">
        <v>251</v>
      </c>
    </row>
    <row r="694" spans="1:14" ht="15">
      <c r="A694" s="12"/>
      <c r="B694" s="33" t="s">
        <v>191</v>
      </c>
      <c r="C694" s="92" t="s">
        <v>346</v>
      </c>
      <c r="D694" s="33" t="s">
        <v>411</v>
      </c>
      <c r="E694" s="34">
        <v>44225</v>
      </c>
      <c r="F694" s="34">
        <v>44228</v>
      </c>
      <c r="G694" s="34">
        <v>44231</v>
      </c>
      <c r="H694" s="35">
        <v>3.5000000000000003E-2</v>
      </c>
      <c r="I694" s="67">
        <v>1.41E-2</v>
      </c>
      <c r="J694" s="67">
        <v>0</v>
      </c>
      <c r="K694" s="67">
        <v>1.41E-2</v>
      </c>
      <c r="L694" s="36">
        <f>+K694-((K694*0.713*0.125)+(K694*(1-0.713)*0.26))</f>
        <v>1.1791195500000001E-2</v>
      </c>
      <c r="M694" s="64">
        <f t="shared" si="26"/>
        <v>1.1791195500000001E-2</v>
      </c>
      <c r="N694" s="33" t="s">
        <v>251</v>
      </c>
    </row>
    <row r="695" spans="1:14" ht="15">
      <c r="A695" s="12"/>
      <c r="B695" s="33" t="s">
        <v>199</v>
      </c>
      <c r="C695" s="92" t="s">
        <v>347</v>
      </c>
      <c r="D695" s="33" t="s">
        <v>411</v>
      </c>
      <c r="E695" s="34">
        <v>44225</v>
      </c>
      <c r="F695" s="34">
        <v>44228</v>
      </c>
      <c r="G695" s="34">
        <v>44231</v>
      </c>
      <c r="H695" s="35">
        <v>3.5000000000000003E-2</v>
      </c>
      <c r="I695" s="67">
        <v>1.4E-2</v>
      </c>
      <c r="J695" s="67">
        <v>0</v>
      </c>
      <c r="K695" s="67">
        <v>1.4E-2</v>
      </c>
      <c r="L695" s="36">
        <f>+K695-((K695*0.713*0.125)+(K695*(1-0.713)*0.26))</f>
        <v>1.170757E-2</v>
      </c>
      <c r="M695" s="64">
        <f t="shared" si="26"/>
        <v>1.170757E-2</v>
      </c>
      <c r="N695" s="33" t="s">
        <v>251</v>
      </c>
    </row>
    <row r="696" spans="1:14" ht="15">
      <c r="A696" s="12"/>
      <c r="B696" s="33" t="s">
        <v>306</v>
      </c>
      <c r="C696" s="92" t="s">
        <v>430</v>
      </c>
      <c r="D696" s="33" t="s">
        <v>411</v>
      </c>
      <c r="E696" s="34">
        <v>44225</v>
      </c>
      <c r="F696" s="34">
        <v>44228</v>
      </c>
      <c r="G696" s="34">
        <v>44231</v>
      </c>
      <c r="H696" s="35">
        <v>2.5000000000000001E-2</v>
      </c>
      <c r="I696" s="67">
        <v>1.03E-2</v>
      </c>
      <c r="J696" s="67">
        <v>0</v>
      </c>
      <c r="K696" s="67">
        <v>1.03E-2</v>
      </c>
      <c r="L696" s="36">
        <f>+K696-((K696*0.0002*0.125)+(K696*(1-0.0002)*0.26))</f>
        <v>7.6222780999999993E-3</v>
      </c>
      <c r="M696" s="64">
        <f t="shared" si="26"/>
        <v>7.6222780999999993E-3</v>
      </c>
      <c r="N696" s="33" t="s">
        <v>251</v>
      </c>
    </row>
    <row r="697" spans="1:14" ht="15">
      <c r="A697" s="12"/>
      <c r="B697" s="33" t="s">
        <v>184</v>
      </c>
      <c r="C697" s="92" t="s">
        <v>354</v>
      </c>
      <c r="D697" s="33" t="s">
        <v>411</v>
      </c>
      <c r="E697" s="34">
        <v>44225</v>
      </c>
      <c r="F697" s="34">
        <v>44228</v>
      </c>
      <c r="G697" s="34">
        <v>44231</v>
      </c>
      <c r="H697" s="35">
        <v>2.5000000000000001E-2</v>
      </c>
      <c r="I697" s="67">
        <v>0.20749999999999999</v>
      </c>
      <c r="J697" s="67">
        <v>0</v>
      </c>
      <c r="K697" s="67">
        <v>0.20749999999999999</v>
      </c>
      <c r="L697" s="36">
        <f>+K697-((K697*0.0002*0.125)+(K697*(1-0.0002)*0.26))</f>
        <v>0.1535556025</v>
      </c>
      <c r="M697" s="64">
        <f t="shared" si="26"/>
        <v>0.1535556025</v>
      </c>
      <c r="N697" s="33" t="s">
        <v>251</v>
      </c>
    </row>
    <row r="698" spans="1:14" ht="15">
      <c r="A698" s="12"/>
      <c r="B698" s="33" t="s">
        <v>192</v>
      </c>
      <c r="C698" s="92" t="s">
        <v>355</v>
      </c>
      <c r="D698" s="33" t="s">
        <v>411</v>
      </c>
      <c r="E698" s="34">
        <v>44225</v>
      </c>
      <c r="F698" s="34">
        <v>44228</v>
      </c>
      <c r="G698" s="34">
        <v>44231</v>
      </c>
      <c r="H698" s="35">
        <v>2.5000000000000001E-2</v>
      </c>
      <c r="I698" s="67">
        <v>0.20960000000000001</v>
      </c>
      <c r="J698" s="67">
        <v>0</v>
      </c>
      <c r="K698" s="67">
        <v>0.20960000000000001</v>
      </c>
      <c r="L698" s="36">
        <f>+K698-((K698*0.0002*0.125)+(K698*(1-0.0002)*0.26))</f>
        <v>0.1551096592</v>
      </c>
      <c r="M698" s="64">
        <f t="shared" si="26"/>
        <v>0.1551096592</v>
      </c>
      <c r="N698" s="33" t="s">
        <v>251</v>
      </c>
    </row>
    <row r="699" spans="1:14" ht="15">
      <c r="A699" s="12"/>
      <c r="B699" s="33" t="s">
        <v>311</v>
      </c>
      <c r="C699" s="92" t="s">
        <v>425</v>
      </c>
      <c r="D699" s="33" t="s">
        <v>411</v>
      </c>
      <c r="E699" s="34">
        <v>44225</v>
      </c>
      <c r="F699" s="34">
        <v>44228</v>
      </c>
      <c r="G699" s="34">
        <v>44231</v>
      </c>
      <c r="H699" s="35">
        <v>1.4999999999999999E-2</v>
      </c>
      <c r="I699" s="67">
        <v>6.1000000000000004E-3</v>
      </c>
      <c r="J699" s="67">
        <v>0</v>
      </c>
      <c r="K699" s="67">
        <v>6.1000000000000004E-3</v>
      </c>
      <c r="L699" s="36">
        <f>+K699-((K699*0.0000001*0.125)+(K699*(1-0.0000001)*0.26))</f>
        <v>4.5140000823499999E-3</v>
      </c>
      <c r="M699" s="64">
        <f t="shared" si="26"/>
        <v>4.5140000823499999E-3</v>
      </c>
      <c r="N699" s="33" t="s">
        <v>251</v>
      </c>
    </row>
    <row r="700" spans="1:14" ht="15">
      <c r="A700" s="12"/>
      <c r="B700" s="33" t="s">
        <v>189</v>
      </c>
      <c r="C700" s="92" t="s">
        <v>356</v>
      </c>
      <c r="D700" s="33" t="s">
        <v>411</v>
      </c>
      <c r="E700" s="34">
        <v>44225</v>
      </c>
      <c r="F700" s="34">
        <v>44228</v>
      </c>
      <c r="G700" s="34">
        <v>44231</v>
      </c>
      <c r="H700" s="35">
        <v>1.4999999999999999E-2</v>
      </c>
      <c r="I700" s="67">
        <v>0.1124</v>
      </c>
      <c r="J700" s="67">
        <v>0</v>
      </c>
      <c r="K700" s="67">
        <v>0.1124</v>
      </c>
      <c r="L700" s="36">
        <f>+K700-((K700*0.0000001*0.125)+(K700*(1-0.0000001)*0.26))</f>
        <v>8.3176001517399997E-2</v>
      </c>
      <c r="M700" s="64">
        <f t="shared" si="26"/>
        <v>8.3176001517399997E-2</v>
      </c>
      <c r="N700" s="33" t="s">
        <v>251</v>
      </c>
    </row>
    <row r="701" spans="1:14" ht="15">
      <c r="A701" s="12"/>
      <c r="B701" s="33" t="s">
        <v>197</v>
      </c>
      <c r="C701" s="92" t="s">
        <v>357</v>
      </c>
      <c r="D701" s="33" t="s">
        <v>411</v>
      </c>
      <c r="E701" s="34">
        <v>44225</v>
      </c>
      <c r="F701" s="34">
        <v>44228</v>
      </c>
      <c r="G701" s="34">
        <v>44231</v>
      </c>
      <c r="H701" s="35">
        <v>1.4999999999999999E-2</v>
      </c>
      <c r="I701" s="67">
        <v>0.1145</v>
      </c>
      <c r="J701" s="67">
        <v>0</v>
      </c>
      <c r="K701" s="67">
        <v>0.1145</v>
      </c>
      <c r="L701" s="36">
        <f>+K701-((K701*0.0000001*0.125)+(K701*(1-0.0000001)*0.26))</f>
        <v>8.473000154575E-2</v>
      </c>
      <c r="M701" s="64">
        <f t="shared" si="26"/>
        <v>8.473000154575E-2</v>
      </c>
      <c r="N701" s="33" t="s">
        <v>251</v>
      </c>
    </row>
    <row r="702" spans="1:14" ht="15">
      <c r="A702" s="12"/>
      <c r="B702" s="33" t="s">
        <v>308</v>
      </c>
      <c r="C702" s="92" t="s">
        <v>426</v>
      </c>
      <c r="D702" s="33" t="s">
        <v>411</v>
      </c>
      <c r="E702" s="34">
        <v>44225</v>
      </c>
      <c r="F702" s="34">
        <v>44228</v>
      </c>
      <c r="G702" s="34">
        <v>44231</v>
      </c>
      <c r="H702" s="35">
        <v>1.4999999999999999E-2</v>
      </c>
      <c r="I702" s="67">
        <v>6.1999999999999998E-3</v>
      </c>
      <c r="J702" s="67">
        <v>0</v>
      </c>
      <c r="K702" s="67">
        <v>6.1999999999999998E-3</v>
      </c>
      <c r="L702" s="36">
        <f>+K702-((K702*0.458*0.125)+(K702*(1-0.458)*0.26))</f>
        <v>4.9713459999999998E-3</v>
      </c>
      <c r="M702" s="64">
        <f t="shared" si="26"/>
        <v>4.9713459999999998E-3</v>
      </c>
      <c r="N702" s="33" t="s">
        <v>251</v>
      </c>
    </row>
    <row r="703" spans="1:14" ht="15">
      <c r="A703" s="12"/>
      <c r="B703" s="33" t="s">
        <v>186</v>
      </c>
      <c r="C703" s="92" t="s">
        <v>363</v>
      </c>
      <c r="D703" s="33" t="s">
        <v>411</v>
      </c>
      <c r="E703" s="34">
        <v>44225</v>
      </c>
      <c r="F703" s="34">
        <v>44228</v>
      </c>
      <c r="G703" s="34">
        <v>44231</v>
      </c>
      <c r="H703" s="35">
        <v>1.4999999999999999E-2</v>
      </c>
      <c r="I703" s="67">
        <v>0.1137</v>
      </c>
      <c r="J703" s="67">
        <v>0</v>
      </c>
      <c r="K703" s="67">
        <v>0.1137</v>
      </c>
      <c r="L703" s="36">
        <f>+K703-((K703*0.458*0.125)+(K703*(1-0.458)*0.26))</f>
        <v>9.1168070999999989E-2</v>
      </c>
      <c r="M703" s="64">
        <f t="shared" si="26"/>
        <v>9.1168070999999989E-2</v>
      </c>
      <c r="N703" s="33" t="s">
        <v>251</v>
      </c>
    </row>
    <row r="704" spans="1:14" ht="15">
      <c r="A704" s="12"/>
      <c r="B704" s="33" t="s">
        <v>194</v>
      </c>
      <c r="C704" s="92" t="s">
        <v>364</v>
      </c>
      <c r="D704" s="33" t="s">
        <v>411</v>
      </c>
      <c r="E704" s="34">
        <v>44225</v>
      </c>
      <c r="F704" s="34">
        <v>44228</v>
      </c>
      <c r="G704" s="34">
        <v>44231</v>
      </c>
      <c r="H704" s="35">
        <v>1.4999999999999999E-2</v>
      </c>
      <c r="I704" s="67">
        <v>0.1172</v>
      </c>
      <c r="J704" s="67">
        <v>0</v>
      </c>
      <c r="K704" s="67">
        <v>0.1172</v>
      </c>
      <c r="L704" s="36">
        <f>+K704-((K704*0.458*0.125)+(K704*(1-0.458)*0.26))</f>
        <v>9.3974476000000001E-2</v>
      </c>
      <c r="M704" s="64">
        <f t="shared" si="26"/>
        <v>9.3974476000000001E-2</v>
      </c>
      <c r="N704" s="33" t="s">
        <v>251</v>
      </c>
    </row>
    <row r="705" spans="1:14" ht="15">
      <c r="A705" s="12"/>
      <c r="B705" s="33" t="s">
        <v>307</v>
      </c>
      <c r="C705" s="92" t="s">
        <v>420</v>
      </c>
      <c r="D705" s="33" t="s">
        <v>411</v>
      </c>
      <c r="E705" s="34">
        <v>44225</v>
      </c>
      <c r="F705" s="34">
        <v>44228</v>
      </c>
      <c r="G705" s="34">
        <v>44231</v>
      </c>
      <c r="H705" s="35">
        <v>1.4999999999999999E-2</v>
      </c>
      <c r="I705" s="67">
        <v>6.4000000000000003E-3</v>
      </c>
      <c r="J705" s="67">
        <v>0</v>
      </c>
      <c r="K705" s="67">
        <v>6.4000000000000003E-3</v>
      </c>
      <c r="L705" s="36">
        <f>+K705-((K705*0.603*0.125)+(K705*(1-0.603)*0.26))</f>
        <v>5.2569920000000003E-3</v>
      </c>
      <c r="M705" s="64">
        <f t="shared" si="26"/>
        <v>5.2569920000000003E-3</v>
      </c>
      <c r="N705" s="33" t="s">
        <v>251</v>
      </c>
    </row>
    <row r="706" spans="1:14" ht="15">
      <c r="A706" s="12"/>
      <c r="B706" s="33" t="s">
        <v>185</v>
      </c>
      <c r="C706" s="92" t="s">
        <v>366</v>
      </c>
      <c r="D706" s="33" t="s">
        <v>411</v>
      </c>
      <c r="E706" s="34">
        <v>44225</v>
      </c>
      <c r="F706" s="34">
        <v>44228</v>
      </c>
      <c r="G706" s="34">
        <v>44231</v>
      </c>
      <c r="H706" s="35">
        <v>1.4999999999999999E-2</v>
      </c>
      <c r="I706" s="67">
        <v>0.1067</v>
      </c>
      <c r="J706" s="67">
        <v>0</v>
      </c>
      <c r="K706" s="67">
        <v>0.1067</v>
      </c>
      <c r="L706" s="36">
        <f>+K706-((K706*0.603*0.125)+(K706*(1-0.603)*0.26))</f>
        <v>8.7643913500000004E-2</v>
      </c>
      <c r="M706" s="64">
        <f t="shared" si="26"/>
        <v>8.7643913500000004E-2</v>
      </c>
      <c r="N706" s="33" t="s">
        <v>251</v>
      </c>
    </row>
    <row r="707" spans="1:14" ht="15">
      <c r="A707" s="12"/>
      <c r="B707" s="33" t="s">
        <v>193</v>
      </c>
      <c r="C707" s="92" t="s">
        <v>367</v>
      </c>
      <c r="D707" s="33" t="s">
        <v>411</v>
      </c>
      <c r="E707" s="34">
        <v>44225</v>
      </c>
      <c r="F707" s="34">
        <v>44228</v>
      </c>
      <c r="G707" s="34">
        <v>44231</v>
      </c>
      <c r="H707" s="35">
        <v>1.4999999999999999E-2</v>
      </c>
      <c r="I707" s="67">
        <v>0.1042</v>
      </c>
      <c r="J707" s="67">
        <v>0</v>
      </c>
      <c r="K707" s="67">
        <v>0.1042</v>
      </c>
      <c r="L707" s="36">
        <f>+K707-((K707*0.603*0.125)+(K707*(1-0.603)*0.26))</f>
        <v>8.5590400999999997E-2</v>
      </c>
      <c r="M707" s="64">
        <f t="shared" si="26"/>
        <v>8.5590400999999997E-2</v>
      </c>
      <c r="N707" s="33" t="s">
        <v>251</v>
      </c>
    </row>
    <row r="708" spans="1:14" ht="15">
      <c r="A708" s="12"/>
      <c r="B708" s="33" t="s">
        <v>309</v>
      </c>
      <c r="C708" s="92" t="s">
        <v>427</v>
      </c>
      <c r="D708" s="33" t="s">
        <v>411</v>
      </c>
      <c r="E708" s="34">
        <v>44225</v>
      </c>
      <c r="F708" s="34">
        <v>44228</v>
      </c>
      <c r="G708" s="34">
        <v>44231</v>
      </c>
      <c r="H708" s="35">
        <v>1.4999999999999999E-2</v>
      </c>
      <c r="I708" s="67">
        <v>6.4000000000000003E-3</v>
      </c>
      <c r="J708" s="67">
        <v>0</v>
      </c>
      <c r="K708" s="67">
        <v>6.4000000000000003E-3</v>
      </c>
      <c r="L708" s="36">
        <f>+K708-((K708*0.001*0.125)+(K708*(1-0.001)*0.26))</f>
        <v>4.7368640000000004E-3</v>
      </c>
      <c r="M708" s="64">
        <f t="shared" si="26"/>
        <v>4.7368640000000004E-3</v>
      </c>
      <c r="N708" s="33" t="s">
        <v>251</v>
      </c>
    </row>
    <row r="709" spans="1:14" ht="15">
      <c r="A709" s="12"/>
      <c r="B709" s="33" t="s">
        <v>187</v>
      </c>
      <c r="C709" s="92" t="s">
        <v>368</v>
      </c>
      <c r="D709" s="33" t="s">
        <v>411</v>
      </c>
      <c r="E709" s="34">
        <v>44225</v>
      </c>
      <c r="F709" s="34">
        <v>44228</v>
      </c>
      <c r="G709" s="34">
        <v>44231</v>
      </c>
      <c r="H709" s="35">
        <v>1.4999999999999999E-2</v>
      </c>
      <c r="I709" s="67">
        <v>0.1123</v>
      </c>
      <c r="J709" s="67">
        <v>0</v>
      </c>
      <c r="K709" s="67">
        <v>0.1123</v>
      </c>
      <c r="L709" s="36">
        <f>+K709-((K709*0.001*0.125)+(K709*(1-0.001)*0.26))</f>
        <v>8.3117160499999995E-2</v>
      </c>
      <c r="M709" s="64">
        <f t="shared" si="26"/>
        <v>8.3117160499999995E-2</v>
      </c>
      <c r="N709" s="33" t="s">
        <v>251</v>
      </c>
    </row>
    <row r="710" spans="1:14" ht="15">
      <c r="A710" s="12"/>
      <c r="B710" s="33" t="s">
        <v>195</v>
      </c>
      <c r="C710" s="92" t="s">
        <v>369</v>
      </c>
      <c r="D710" s="33" t="s">
        <v>411</v>
      </c>
      <c r="E710" s="34">
        <v>44225</v>
      </c>
      <c r="F710" s="34">
        <v>44228</v>
      </c>
      <c r="G710" s="34">
        <v>44231</v>
      </c>
      <c r="H710" s="35">
        <v>1.4999999999999999E-2</v>
      </c>
      <c r="I710" s="67">
        <v>0.11609999999999999</v>
      </c>
      <c r="J710" s="67">
        <v>0</v>
      </c>
      <c r="K710" s="67">
        <v>0.11609999999999999</v>
      </c>
      <c r="L710" s="36">
        <f>+K710-((K710*0.001*0.125)+(K710*(1-0.001)*0.26))</f>
        <v>8.5929673499999998E-2</v>
      </c>
      <c r="M710" s="64">
        <f t="shared" si="26"/>
        <v>8.5929673499999998E-2</v>
      </c>
      <c r="N710" s="33" t="s">
        <v>251</v>
      </c>
    </row>
    <row r="711" spans="1:14" ht="15">
      <c r="A711" s="12"/>
      <c r="B711" s="33" t="s">
        <v>312</v>
      </c>
      <c r="C711" s="92" t="s">
        <v>428</v>
      </c>
      <c r="D711" s="33" t="s">
        <v>411</v>
      </c>
      <c r="E711" s="34">
        <v>44225</v>
      </c>
      <c r="F711" s="34">
        <v>44228</v>
      </c>
      <c r="G711" s="34">
        <v>44231</v>
      </c>
      <c r="H711" s="35">
        <v>3.5000000000000003E-2</v>
      </c>
      <c r="I711" s="67">
        <v>1.35E-2</v>
      </c>
      <c r="J711" s="67">
        <v>0</v>
      </c>
      <c r="K711" s="67">
        <v>1.35E-2</v>
      </c>
      <c r="L711" s="36">
        <f>+K711-((K711*0.0075*0.125)+(K711*(1-0.0075)*0.26))</f>
        <v>1.000366875E-2</v>
      </c>
      <c r="M711" s="64">
        <f t="shared" si="26"/>
        <v>1.000366875E-2</v>
      </c>
      <c r="N711" s="33" t="s">
        <v>251</v>
      </c>
    </row>
    <row r="712" spans="1:14" ht="15">
      <c r="A712" s="12"/>
      <c r="B712" s="33" t="s">
        <v>190</v>
      </c>
      <c r="C712" s="92" t="s">
        <v>370</v>
      </c>
      <c r="D712" s="33" t="s">
        <v>411</v>
      </c>
      <c r="E712" s="34">
        <v>44225</v>
      </c>
      <c r="F712" s="34">
        <v>44228</v>
      </c>
      <c r="G712" s="34">
        <v>44231</v>
      </c>
      <c r="H712" s="35">
        <v>3.5000000000000003E-2</v>
      </c>
      <c r="I712" s="67">
        <v>0.2555</v>
      </c>
      <c r="J712" s="67">
        <v>0</v>
      </c>
      <c r="K712" s="67">
        <v>0.2555</v>
      </c>
      <c r="L712" s="36">
        <f>+K712-((K712*0.0075*0.125)+(K712*(1-0.0075)*0.26))</f>
        <v>0.18932869375</v>
      </c>
      <c r="M712" s="64">
        <f t="shared" si="26"/>
        <v>0.18932869375</v>
      </c>
      <c r="N712" s="33" t="s">
        <v>251</v>
      </c>
    </row>
    <row r="713" spans="1:14" ht="15">
      <c r="A713" s="12"/>
      <c r="B713" s="33" t="s">
        <v>198</v>
      </c>
      <c r="C713" s="92" t="s">
        <v>371</v>
      </c>
      <c r="D713" s="33" t="s">
        <v>411</v>
      </c>
      <c r="E713" s="34">
        <v>44225</v>
      </c>
      <c r="F713" s="34">
        <v>44228</v>
      </c>
      <c r="G713" s="34">
        <v>44231</v>
      </c>
      <c r="H713" s="35">
        <v>3.5000000000000003E-2</v>
      </c>
      <c r="I713" s="67">
        <v>0.25640000000000002</v>
      </c>
      <c r="J713" s="67">
        <v>0</v>
      </c>
      <c r="K713" s="67">
        <v>0.25640000000000002</v>
      </c>
      <c r="L713" s="36">
        <f>+K713-((K713*0.0075*0.125)+(K713*(1-0.0075)*0.26))</f>
        <v>0.18999560500000001</v>
      </c>
      <c r="M713" s="64">
        <f t="shared" si="26"/>
        <v>0.18999560500000001</v>
      </c>
      <c r="N713" s="33" t="s">
        <v>251</v>
      </c>
    </row>
    <row r="714" spans="1:14" ht="15">
      <c r="A714" s="12"/>
      <c r="B714" s="33" t="s">
        <v>513</v>
      </c>
      <c r="C714" s="92" t="s">
        <v>515</v>
      </c>
      <c r="D714" s="33" t="s">
        <v>411</v>
      </c>
      <c r="E714" s="34">
        <v>44225</v>
      </c>
      <c r="F714" s="34">
        <v>44228</v>
      </c>
      <c r="G714" s="34">
        <v>44231</v>
      </c>
      <c r="H714" s="35">
        <v>0.02</v>
      </c>
      <c r="I714" s="67">
        <v>0.13469999999999999</v>
      </c>
      <c r="J714" s="67">
        <v>0</v>
      </c>
      <c r="K714" s="67">
        <v>0.13469999999999999</v>
      </c>
      <c r="L714" s="36">
        <f>+K714-((K714*0.505*0.125)+(K714*(1-0.505)*0.26))</f>
        <v>0.10886117249999999</v>
      </c>
      <c r="M714" s="64">
        <f t="shared" ref="M714:M745" si="27">J714+L714</f>
        <v>0.10886117249999999</v>
      </c>
      <c r="N714" s="33" t="s">
        <v>251</v>
      </c>
    </row>
    <row r="715" spans="1:14" ht="15">
      <c r="A715" s="12"/>
      <c r="B715" s="33" t="s">
        <v>514</v>
      </c>
      <c r="C715" s="92" t="s">
        <v>516</v>
      </c>
      <c r="D715" s="33" t="s">
        <v>411</v>
      </c>
      <c r="E715" s="34">
        <v>44225</v>
      </c>
      <c r="F715" s="34">
        <v>44228</v>
      </c>
      <c r="G715" s="34">
        <v>44231</v>
      </c>
      <c r="H715" s="35">
        <v>0.02</v>
      </c>
      <c r="I715" s="67">
        <v>0.1356</v>
      </c>
      <c r="J715" s="67">
        <v>0</v>
      </c>
      <c r="K715" s="67">
        <v>0.1356</v>
      </c>
      <c r="L715" s="36">
        <f>+K715-((K715*0.505*0.125)+(K715*(1-0.505)*0.26))</f>
        <v>0.10958852999999999</v>
      </c>
      <c r="M715" s="64">
        <f t="shared" si="27"/>
        <v>0.10958852999999999</v>
      </c>
      <c r="N715" s="33" t="s">
        <v>251</v>
      </c>
    </row>
    <row r="716" spans="1:14" ht="15">
      <c r="A716" s="12"/>
      <c r="B716" s="33" t="s">
        <v>313</v>
      </c>
      <c r="C716" s="92" t="s">
        <v>429</v>
      </c>
      <c r="D716" s="33" t="s">
        <v>411</v>
      </c>
      <c r="E716" s="34">
        <v>44225</v>
      </c>
      <c r="F716" s="34">
        <v>44228</v>
      </c>
      <c r="G716" s="34">
        <v>44231</v>
      </c>
      <c r="H716" s="35">
        <v>0.01</v>
      </c>
      <c r="I716" s="67">
        <v>4.3E-3</v>
      </c>
      <c r="J716" s="67">
        <v>0</v>
      </c>
      <c r="K716" s="67">
        <v>4.3E-3</v>
      </c>
      <c r="L716" s="36">
        <f>+K716-((K716*0.135*0.125)+(K716*(1-0.135)*0.26))</f>
        <v>3.2603674999999999E-3</v>
      </c>
      <c r="M716" s="64">
        <f t="shared" si="27"/>
        <v>3.2603674999999999E-3</v>
      </c>
      <c r="N716" s="33" t="s">
        <v>251</v>
      </c>
    </row>
    <row r="717" spans="1:14" ht="15">
      <c r="A717" s="12"/>
      <c r="B717" s="33" t="s">
        <v>310</v>
      </c>
      <c r="C717" s="92" t="s">
        <v>424</v>
      </c>
      <c r="D717" s="33" t="s">
        <v>411</v>
      </c>
      <c r="E717" s="34">
        <v>44253</v>
      </c>
      <c r="F717" s="34">
        <v>44256</v>
      </c>
      <c r="G717" s="34">
        <v>44259</v>
      </c>
      <c r="H717" s="35">
        <v>0.05</v>
      </c>
      <c r="I717" s="67">
        <v>2.0500000000000001E-2</v>
      </c>
      <c r="J717" s="67">
        <v>0</v>
      </c>
      <c r="K717" s="67">
        <v>2.0500000000000001E-2</v>
      </c>
      <c r="L717" s="36">
        <f>+K717-((K717*0.036*0.125)+(K717*(1-0.036)*0.26))</f>
        <v>1.5269629999999999E-2</v>
      </c>
      <c r="M717" s="64">
        <f t="shared" si="27"/>
        <v>1.5269629999999999E-2</v>
      </c>
      <c r="N717" s="33" t="s">
        <v>251</v>
      </c>
    </row>
    <row r="718" spans="1:14" ht="15">
      <c r="A718" s="12"/>
      <c r="B718" s="33" t="s">
        <v>188</v>
      </c>
      <c r="C718" s="92" t="s">
        <v>339</v>
      </c>
      <c r="D718" s="33" t="s">
        <v>411</v>
      </c>
      <c r="E718" s="34">
        <v>44253</v>
      </c>
      <c r="F718" s="34">
        <v>44256</v>
      </c>
      <c r="G718" s="34">
        <v>44259</v>
      </c>
      <c r="H718" s="35">
        <v>0.05</v>
      </c>
      <c r="I718" s="67">
        <v>0.35880000000000001</v>
      </c>
      <c r="J718" s="67">
        <v>0</v>
      </c>
      <c r="K718" s="67">
        <v>0.35880000000000001</v>
      </c>
      <c r="L718" s="36">
        <f>+K718-((K718*0.036*0.125)+(K718*(1-0.036)*0.26))</f>
        <v>0.267255768</v>
      </c>
      <c r="M718" s="64">
        <f t="shared" si="27"/>
        <v>0.267255768</v>
      </c>
      <c r="N718" s="33" t="s">
        <v>251</v>
      </c>
    </row>
    <row r="719" spans="1:14" ht="15">
      <c r="A719" s="12"/>
      <c r="B719" s="33" t="s">
        <v>196</v>
      </c>
      <c r="C719" s="92" t="s">
        <v>340</v>
      </c>
      <c r="D719" s="33" t="s">
        <v>411</v>
      </c>
      <c r="E719" s="34">
        <v>44253</v>
      </c>
      <c r="F719" s="34">
        <v>44256</v>
      </c>
      <c r="G719" s="34">
        <v>44259</v>
      </c>
      <c r="H719" s="35">
        <v>0.05</v>
      </c>
      <c r="I719" s="67">
        <v>0.37259999999999999</v>
      </c>
      <c r="J719" s="67">
        <v>0</v>
      </c>
      <c r="K719" s="67">
        <v>0.37259999999999999</v>
      </c>
      <c r="L719" s="36">
        <f>+K719-((K719*0.036*0.125)+(K719*(1-0.036)*0.26))</f>
        <v>0.27753483600000001</v>
      </c>
      <c r="M719" s="64">
        <f t="shared" si="27"/>
        <v>0.27753483600000001</v>
      </c>
      <c r="N719" s="33" t="s">
        <v>251</v>
      </c>
    </row>
    <row r="720" spans="1:14" ht="15">
      <c r="A720" s="12"/>
      <c r="B720" s="33" t="s">
        <v>191</v>
      </c>
      <c r="C720" s="92" t="s">
        <v>346</v>
      </c>
      <c r="D720" s="33" t="s">
        <v>411</v>
      </c>
      <c r="E720" s="34">
        <v>44253</v>
      </c>
      <c r="F720" s="34">
        <v>44256</v>
      </c>
      <c r="G720" s="34">
        <v>44259</v>
      </c>
      <c r="H720" s="35">
        <v>3.5000000000000003E-2</v>
      </c>
      <c r="I720" s="67">
        <v>1.41E-2</v>
      </c>
      <c r="J720" s="67">
        <v>0</v>
      </c>
      <c r="K720" s="67">
        <v>1.41E-2</v>
      </c>
      <c r="L720" s="36">
        <f>+K720-((K720*0.713*0.125)+(K720*(1-0.713)*0.26))</f>
        <v>1.1791195500000001E-2</v>
      </c>
      <c r="M720" s="64">
        <f t="shared" si="27"/>
        <v>1.1791195500000001E-2</v>
      </c>
      <c r="N720" s="33" t="s">
        <v>251</v>
      </c>
    </row>
    <row r="721" spans="1:14" ht="15">
      <c r="A721" s="12"/>
      <c r="B721" s="33" t="s">
        <v>199</v>
      </c>
      <c r="C721" s="92" t="s">
        <v>347</v>
      </c>
      <c r="D721" s="33" t="s">
        <v>411</v>
      </c>
      <c r="E721" s="34">
        <v>44253</v>
      </c>
      <c r="F721" s="34">
        <v>44256</v>
      </c>
      <c r="G721" s="34">
        <v>44259</v>
      </c>
      <c r="H721" s="35">
        <v>3.5000000000000003E-2</v>
      </c>
      <c r="I721" s="67">
        <v>1.4E-2</v>
      </c>
      <c r="J721" s="67">
        <v>0</v>
      </c>
      <c r="K721" s="67">
        <v>1.4E-2</v>
      </c>
      <c r="L721" s="36">
        <f>+K721-((K721*0.713*0.125)+(K721*(1-0.713)*0.26))</f>
        <v>1.170757E-2</v>
      </c>
      <c r="M721" s="64">
        <f t="shared" si="27"/>
        <v>1.170757E-2</v>
      </c>
      <c r="N721" s="33" t="s">
        <v>251</v>
      </c>
    </row>
    <row r="722" spans="1:14" ht="15">
      <c r="A722" s="12"/>
      <c r="B722" s="33" t="s">
        <v>306</v>
      </c>
      <c r="C722" s="92" t="s">
        <v>430</v>
      </c>
      <c r="D722" s="33" t="s">
        <v>411</v>
      </c>
      <c r="E722" s="34">
        <v>44253</v>
      </c>
      <c r="F722" s="34">
        <v>44256</v>
      </c>
      <c r="G722" s="34">
        <v>44259</v>
      </c>
      <c r="H722" s="35">
        <v>2.5000000000000001E-2</v>
      </c>
      <c r="I722" s="67">
        <v>1.03E-2</v>
      </c>
      <c r="J722" s="67">
        <v>0</v>
      </c>
      <c r="K722" s="67">
        <v>1.03E-2</v>
      </c>
      <c r="L722" s="36">
        <f>+K722-((K722*0.0002*0.125)+(K722*(1-0.0002)*0.26))</f>
        <v>7.6222780999999993E-3</v>
      </c>
      <c r="M722" s="64">
        <f t="shared" si="27"/>
        <v>7.6222780999999993E-3</v>
      </c>
      <c r="N722" s="33" t="s">
        <v>251</v>
      </c>
    </row>
    <row r="723" spans="1:14" ht="15">
      <c r="A723" s="12"/>
      <c r="B723" s="33" t="s">
        <v>184</v>
      </c>
      <c r="C723" s="92" t="s">
        <v>354</v>
      </c>
      <c r="D723" s="33" t="s">
        <v>411</v>
      </c>
      <c r="E723" s="34">
        <v>44253</v>
      </c>
      <c r="F723" s="34">
        <v>44256</v>
      </c>
      <c r="G723" s="34">
        <v>44259</v>
      </c>
      <c r="H723" s="35">
        <v>2.5000000000000001E-2</v>
      </c>
      <c r="I723" s="67">
        <v>0.20749999999999999</v>
      </c>
      <c r="J723" s="67">
        <v>0</v>
      </c>
      <c r="K723" s="67">
        <v>0.20749999999999999</v>
      </c>
      <c r="L723" s="36">
        <f>+K723-((K723*0.0002*0.125)+(K723*(1-0.0002)*0.26))</f>
        <v>0.1535556025</v>
      </c>
      <c r="M723" s="64">
        <f t="shared" si="27"/>
        <v>0.1535556025</v>
      </c>
      <c r="N723" s="33" t="s">
        <v>251</v>
      </c>
    </row>
    <row r="724" spans="1:14" ht="15">
      <c r="A724" s="12"/>
      <c r="B724" s="33" t="s">
        <v>192</v>
      </c>
      <c r="C724" s="92" t="s">
        <v>355</v>
      </c>
      <c r="D724" s="33" t="s">
        <v>411</v>
      </c>
      <c r="E724" s="34">
        <v>44253</v>
      </c>
      <c r="F724" s="34">
        <v>44256</v>
      </c>
      <c r="G724" s="34">
        <v>44259</v>
      </c>
      <c r="H724" s="35">
        <v>2.5000000000000001E-2</v>
      </c>
      <c r="I724" s="67">
        <v>0.20960000000000001</v>
      </c>
      <c r="J724" s="67">
        <v>0</v>
      </c>
      <c r="K724" s="67">
        <v>0.20960000000000001</v>
      </c>
      <c r="L724" s="36">
        <f>+K724-((K724*0.0002*0.125)+(K724*(1-0.0002)*0.26))</f>
        <v>0.1551096592</v>
      </c>
      <c r="M724" s="64">
        <f t="shared" si="27"/>
        <v>0.1551096592</v>
      </c>
      <c r="N724" s="33" t="s">
        <v>251</v>
      </c>
    </row>
    <row r="725" spans="1:14" ht="15">
      <c r="A725" s="12"/>
      <c r="B725" s="33" t="s">
        <v>311</v>
      </c>
      <c r="C725" s="92" t="s">
        <v>425</v>
      </c>
      <c r="D725" s="33" t="s">
        <v>411</v>
      </c>
      <c r="E725" s="34">
        <v>44253</v>
      </c>
      <c r="F725" s="34">
        <v>44256</v>
      </c>
      <c r="G725" s="34">
        <v>44259</v>
      </c>
      <c r="H725" s="35">
        <v>1.4999999999999999E-2</v>
      </c>
      <c r="I725" s="67">
        <v>6.1000000000000004E-3</v>
      </c>
      <c r="J725" s="67">
        <v>0</v>
      </c>
      <c r="K725" s="67">
        <v>6.1000000000000004E-3</v>
      </c>
      <c r="L725" s="36">
        <f>+K725-((K725*0.0000001*0.125)+(K725*(1-0.0000001)*0.26))</f>
        <v>4.5140000823499999E-3</v>
      </c>
      <c r="M725" s="64">
        <f t="shared" si="27"/>
        <v>4.5140000823499999E-3</v>
      </c>
      <c r="N725" s="33" t="s">
        <v>251</v>
      </c>
    </row>
    <row r="726" spans="1:14" ht="15">
      <c r="A726" s="12"/>
      <c r="B726" s="33" t="s">
        <v>189</v>
      </c>
      <c r="C726" s="92" t="s">
        <v>356</v>
      </c>
      <c r="D726" s="33" t="s">
        <v>411</v>
      </c>
      <c r="E726" s="34">
        <v>44253</v>
      </c>
      <c r="F726" s="34">
        <v>44256</v>
      </c>
      <c r="G726" s="34">
        <v>44259</v>
      </c>
      <c r="H726" s="35">
        <v>1.4999999999999999E-2</v>
      </c>
      <c r="I726" s="67">
        <v>0.1124</v>
      </c>
      <c r="J726" s="67">
        <v>0</v>
      </c>
      <c r="K726" s="67">
        <v>0.1124</v>
      </c>
      <c r="L726" s="36">
        <f>+K726-((K726*0.0000001*0.125)+(K726*(1-0.0000001)*0.26))</f>
        <v>8.3176001517399997E-2</v>
      </c>
      <c r="M726" s="64">
        <f t="shared" si="27"/>
        <v>8.3176001517399997E-2</v>
      </c>
      <c r="N726" s="33" t="s">
        <v>251</v>
      </c>
    </row>
    <row r="727" spans="1:14" ht="15">
      <c r="A727" s="12"/>
      <c r="B727" s="33" t="s">
        <v>197</v>
      </c>
      <c r="C727" s="92" t="s">
        <v>357</v>
      </c>
      <c r="D727" s="33" t="s">
        <v>411</v>
      </c>
      <c r="E727" s="34">
        <v>44253</v>
      </c>
      <c r="F727" s="34">
        <v>44256</v>
      </c>
      <c r="G727" s="34">
        <v>44259</v>
      </c>
      <c r="H727" s="35">
        <v>1.4999999999999999E-2</v>
      </c>
      <c r="I727" s="67">
        <v>0.1145</v>
      </c>
      <c r="J727" s="67">
        <v>0</v>
      </c>
      <c r="K727" s="67">
        <v>0.1145</v>
      </c>
      <c r="L727" s="36">
        <f>+K727-((K727*0.0000001*0.125)+(K727*(1-0.0000001)*0.26))</f>
        <v>8.473000154575E-2</v>
      </c>
      <c r="M727" s="64">
        <f t="shared" si="27"/>
        <v>8.473000154575E-2</v>
      </c>
      <c r="N727" s="33" t="s">
        <v>251</v>
      </c>
    </row>
    <row r="728" spans="1:14" ht="15">
      <c r="A728" s="12"/>
      <c r="B728" s="33" t="s">
        <v>308</v>
      </c>
      <c r="C728" s="92" t="s">
        <v>426</v>
      </c>
      <c r="D728" s="33" t="s">
        <v>411</v>
      </c>
      <c r="E728" s="34">
        <v>44253</v>
      </c>
      <c r="F728" s="34">
        <v>44256</v>
      </c>
      <c r="G728" s="34">
        <v>44259</v>
      </c>
      <c r="H728" s="35">
        <v>1.4999999999999999E-2</v>
      </c>
      <c r="I728" s="67">
        <v>6.1999999999999998E-3</v>
      </c>
      <c r="J728" s="67">
        <v>0</v>
      </c>
      <c r="K728" s="67">
        <v>6.1999999999999998E-3</v>
      </c>
      <c r="L728" s="36">
        <f>+K728-((K728*0.458*0.125)+(K728*(1-0.458)*0.26))</f>
        <v>4.9713459999999998E-3</v>
      </c>
      <c r="M728" s="64">
        <f t="shared" si="27"/>
        <v>4.9713459999999998E-3</v>
      </c>
      <c r="N728" s="33" t="s">
        <v>251</v>
      </c>
    </row>
    <row r="729" spans="1:14" ht="15">
      <c r="A729" s="12"/>
      <c r="B729" s="33" t="s">
        <v>186</v>
      </c>
      <c r="C729" s="92" t="s">
        <v>363</v>
      </c>
      <c r="D729" s="33" t="s">
        <v>411</v>
      </c>
      <c r="E729" s="34">
        <v>44253</v>
      </c>
      <c r="F729" s="34">
        <v>44256</v>
      </c>
      <c r="G729" s="34">
        <v>44259</v>
      </c>
      <c r="H729" s="35">
        <v>1.4999999999999999E-2</v>
      </c>
      <c r="I729" s="67">
        <v>0.1137</v>
      </c>
      <c r="J729" s="67">
        <v>0</v>
      </c>
      <c r="K729" s="67">
        <v>0.1137</v>
      </c>
      <c r="L729" s="36">
        <f>+K729-((K729*0.458*0.125)+(K729*(1-0.458)*0.26))</f>
        <v>9.1168070999999989E-2</v>
      </c>
      <c r="M729" s="64">
        <f t="shared" si="27"/>
        <v>9.1168070999999989E-2</v>
      </c>
      <c r="N729" s="33" t="s">
        <v>251</v>
      </c>
    </row>
    <row r="730" spans="1:14" ht="15">
      <c r="A730" s="12"/>
      <c r="B730" s="33" t="s">
        <v>194</v>
      </c>
      <c r="C730" s="92" t="s">
        <v>364</v>
      </c>
      <c r="D730" s="33" t="s">
        <v>411</v>
      </c>
      <c r="E730" s="34">
        <v>44253</v>
      </c>
      <c r="F730" s="34">
        <v>44256</v>
      </c>
      <c r="G730" s="34">
        <v>44259</v>
      </c>
      <c r="H730" s="35">
        <v>1.4999999999999999E-2</v>
      </c>
      <c r="I730" s="67">
        <v>0.1172</v>
      </c>
      <c r="J730" s="67">
        <v>0</v>
      </c>
      <c r="K730" s="67">
        <v>0.1172</v>
      </c>
      <c r="L730" s="36">
        <f>+K730-((K730*0.458*0.125)+(K730*(1-0.458)*0.26))</f>
        <v>9.3974476000000001E-2</v>
      </c>
      <c r="M730" s="64">
        <f t="shared" si="27"/>
        <v>9.3974476000000001E-2</v>
      </c>
      <c r="N730" s="33" t="s">
        <v>251</v>
      </c>
    </row>
    <row r="731" spans="1:14" ht="15">
      <c r="A731" s="12"/>
      <c r="B731" s="33" t="s">
        <v>307</v>
      </c>
      <c r="C731" s="92" t="s">
        <v>420</v>
      </c>
      <c r="D731" s="33" t="s">
        <v>411</v>
      </c>
      <c r="E731" s="34">
        <v>44253</v>
      </c>
      <c r="F731" s="34">
        <v>44256</v>
      </c>
      <c r="G731" s="34">
        <v>44259</v>
      </c>
      <c r="H731" s="35">
        <v>1.4999999999999999E-2</v>
      </c>
      <c r="I731" s="67">
        <v>6.4000000000000003E-3</v>
      </c>
      <c r="J731" s="67">
        <v>0</v>
      </c>
      <c r="K731" s="67">
        <v>6.4000000000000003E-3</v>
      </c>
      <c r="L731" s="36">
        <f>+K731-((K731*0.603*0.125)+(K731*(1-0.603)*0.26))</f>
        <v>5.2569920000000003E-3</v>
      </c>
      <c r="M731" s="64">
        <f t="shared" si="27"/>
        <v>5.2569920000000003E-3</v>
      </c>
      <c r="N731" s="33" t="s">
        <v>251</v>
      </c>
    </row>
    <row r="732" spans="1:14" ht="15">
      <c r="A732" s="12"/>
      <c r="B732" s="33" t="s">
        <v>185</v>
      </c>
      <c r="C732" s="92" t="s">
        <v>366</v>
      </c>
      <c r="D732" s="33" t="s">
        <v>411</v>
      </c>
      <c r="E732" s="34">
        <v>44253</v>
      </c>
      <c r="F732" s="34">
        <v>44256</v>
      </c>
      <c r="G732" s="34">
        <v>44259</v>
      </c>
      <c r="H732" s="35">
        <v>1.4999999999999999E-2</v>
      </c>
      <c r="I732" s="67">
        <v>0.1067</v>
      </c>
      <c r="J732" s="67">
        <v>0</v>
      </c>
      <c r="K732" s="67">
        <v>0.1067</v>
      </c>
      <c r="L732" s="36">
        <f>+K732-((K732*0.603*0.125)+(K732*(1-0.603)*0.26))</f>
        <v>8.7643913500000004E-2</v>
      </c>
      <c r="M732" s="64">
        <f t="shared" si="27"/>
        <v>8.7643913500000004E-2</v>
      </c>
      <c r="N732" s="33" t="s">
        <v>251</v>
      </c>
    </row>
    <row r="733" spans="1:14" ht="15">
      <c r="A733" s="12"/>
      <c r="B733" s="33" t="s">
        <v>193</v>
      </c>
      <c r="C733" s="92" t="s">
        <v>367</v>
      </c>
      <c r="D733" s="33" t="s">
        <v>411</v>
      </c>
      <c r="E733" s="34">
        <v>44253</v>
      </c>
      <c r="F733" s="34">
        <v>44256</v>
      </c>
      <c r="G733" s="34">
        <v>44259</v>
      </c>
      <c r="H733" s="35">
        <v>1.4999999999999999E-2</v>
      </c>
      <c r="I733" s="67">
        <v>0.1042</v>
      </c>
      <c r="J733" s="67">
        <v>0</v>
      </c>
      <c r="K733" s="67">
        <v>0.1042</v>
      </c>
      <c r="L733" s="36">
        <f>+K733-((K733*0.603*0.125)+(K733*(1-0.603)*0.26))</f>
        <v>8.5590400999999997E-2</v>
      </c>
      <c r="M733" s="64">
        <f t="shared" si="27"/>
        <v>8.5590400999999997E-2</v>
      </c>
      <c r="N733" s="33" t="s">
        <v>251</v>
      </c>
    </row>
    <row r="734" spans="1:14" ht="15">
      <c r="A734" s="12"/>
      <c r="B734" s="33" t="s">
        <v>309</v>
      </c>
      <c r="C734" s="92" t="s">
        <v>427</v>
      </c>
      <c r="D734" s="33" t="s">
        <v>411</v>
      </c>
      <c r="E734" s="34">
        <v>44253</v>
      </c>
      <c r="F734" s="34">
        <v>44256</v>
      </c>
      <c r="G734" s="34">
        <v>44259</v>
      </c>
      <c r="H734" s="35">
        <v>1.4999999999999999E-2</v>
      </c>
      <c r="I734" s="67">
        <v>6.4000000000000003E-3</v>
      </c>
      <c r="J734" s="67">
        <v>0</v>
      </c>
      <c r="K734" s="67">
        <v>6.4000000000000003E-3</v>
      </c>
      <c r="L734" s="36">
        <f>+K734-((K734*0.001*0.125)+(K734*(1-0.001)*0.26))</f>
        <v>4.7368640000000004E-3</v>
      </c>
      <c r="M734" s="64">
        <f t="shared" si="27"/>
        <v>4.7368640000000004E-3</v>
      </c>
      <c r="N734" s="33" t="s">
        <v>251</v>
      </c>
    </row>
    <row r="735" spans="1:14" ht="15">
      <c r="A735" s="12"/>
      <c r="B735" s="33" t="s">
        <v>187</v>
      </c>
      <c r="C735" s="92" t="s">
        <v>368</v>
      </c>
      <c r="D735" s="33" t="s">
        <v>411</v>
      </c>
      <c r="E735" s="34">
        <v>44253</v>
      </c>
      <c r="F735" s="34">
        <v>44256</v>
      </c>
      <c r="G735" s="34">
        <v>44259</v>
      </c>
      <c r="H735" s="35">
        <v>1.4999999999999999E-2</v>
      </c>
      <c r="I735" s="67">
        <v>0.1123</v>
      </c>
      <c r="J735" s="67">
        <v>0</v>
      </c>
      <c r="K735" s="67">
        <v>0.1123</v>
      </c>
      <c r="L735" s="36">
        <f>+K735-((K735*0.001*0.125)+(K735*(1-0.001)*0.26))</f>
        <v>8.3117160499999995E-2</v>
      </c>
      <c r="M735" s="64">
        <f t="shared" si="27"/>
        <v>8.3117160499999995E-2</v>
      </c>
      <c r="N735" s="33" t="s">
        <v>251</v>
      </c>
    </row>
    <row r="736" spans="1:14" ht="15">
      <c r="A736" s="12"/>
      <c r="B736" s="33" t="s">
        <v>195</v>
      </c>
      <c r="C736" s="92" t="s">
        <v>369</v>
      </c>
      <c r="D736" s="33" t="s">
        <v>411</v>
      </c>
      <c r="E736" s="34">
        <v>44253</v>
      </c>
      <c r="F736" s="34">
        <v>44256</v>
      </c>
      <c r="G736" s="34">
        <v>44259</v>
      </c>
      <c r="H736" s="35">
        <v>1.4999999999999999E-2</v>
      </c>
      <c r="I736" s="67">
        <v>0.11609999999999999</v>
      </c>
      <c r="J736" s="67">
        <v>0</v>
      </c>
      <c r="K736" s="67">
        <v>0.11609999999999999</v>
      </c>
      <c r="L736" s="36">
        <f>+K736-((K736*0.001*0.125)+(K736*(1-0.001)*0.26))</f>
        <v>8.5929673499999998E-2</v>
      </c>
      <c r="M736" s="64">
        <f t="shared" si="27"/>
        <v>8.5929673499999998E-2</v>
      </c>
      <c r="N736" s="33" t="s">
        <v>251</v>
      </c>
    </row>
    <row r="737" spans="1:14" ht="15">
      <c r="A737" s="12"/>
      <c r="B737" s="33" t="s">
        <v>312</v>
      </c>
      <c r="C737" s="92" t="s">
        <v>428</v>
      </c>
      <c r="D737" s="33" t="s">
        <v>411</v>
      </c>
      <c r="E737" s="34">
        <v>44253</v>
      </c>
      <c r="F737" s="34">
        <v>44256</v>
      </c>
      <c r="G737" s="34">
        <v>44259</v>
      </c>
      <c r="H737" s="35">
        <v>3.5000000000000003E-2</v>
      </c>
      <c r="I737" s="67">
        <v>1.35E-2</v>
      </c>
      <c r="J737" s="67">
        <v>0</v>
      </c>
      <c r="K737" s="67">
        <v>1.35E-2</v>
      </c>
      <c r="L737" s="36">
        <f>+K737-((K737*0.0075*0.125)+(K737*(1-0.0075)*0.26))</f>
        <v>1.000366875E-2</v>
      </c>
      <c r="M737" s="64">
        <f t="shared" si="27"/>
        <v>1.000366875E-2</v>
      </c>
      <c r="N737" s="33" t="s">
        <v>251</v>
      </c>
    </row>
    <row r="738" spans="1:14" ht="15">
      <c r="A738" s="12"/>
      <c r="B738" s="33" t="s">
        <v>190</v>
      </c>
      <c r="C738" s="92" t="s">
        <v>370</v>
      </c>
      <c r="D738" s="33" t="s">
        <v>411</v>
      </c>
      <c r="E738" s="34">
        <v>44253</v>
      </c>
      <c r="F738" s="34">
        <v>44256</v>
      </c>
      <c r="G738" s="34">
        <v>44259</v>
      </c>
      <c r="H738" s="35">
        <v>3.5000000000000003E-2</v>
      </c>
      <c r="I738" s="67">
        <v>0.2555</v>
      </c>
      <c r="J738" s="67">
        <v>0</v>
      </c>
      <c r="K738" s="67">
        <v>0.2555</v>
      </c>
      <c r="L738" s="36">
        <f>+K738-((K738*0.0075*0.125)+(K738*(1-0.0075)*0.26))</f>
        <v>0.18932869375</v>
      </c>
      <c r="M738" s="64">
        <f t="shared" si="27"/>
        <v>0.18932869375</v>
      </c>
      <c r="N738" s="33" t="s">
        <v>251</v>
      </c>
    </row>
    <row r="739" spans="1:14" ht="15">
      <c r="A739" s="12"/>
      <c r="B739" s="33" t="s">
        <v>198</v>
      </c>
      <c r="C739" s="92" t="s">
        <v>371</v>
      </c>
      <c r="D739" s="33" t="s">
        <v>411</v>
      </c>
      <c r="E739" s="34">
        <v>44253</v>
      </c>
      <c r="F739" s="34">
        <v>44256</v>
      </c>
      <c r="G739" s="34">
        <v>44259</v>
      </c>
      <c r="H739" s="35">
        <v>3.5000000000000003E-2</v>
      </c>
      <c r="I739" s="67">
        <v>0.25640000000000002</v>
      </c>
      <c r="J739" s="67">
        <v>0</v>
      </c>
      <c r="K739" s="67">
        <v>0.25640000000000002</v>
      </c>
      <c r="L739" s="36">
        <f>+K739-((K739*0.0075*0.125)+(K739*(1-0.0075)*0.26))</f>
        <v>0.18999560500000001</v>
      </c>
      <c r="M739" s="64">
        <f t="shared" si="27"/>
        <v>0.18999560500000001</v>
      </c>
      <c r="N739" s="33" t="s">
        <v>251</v>
      </c>
    </row>
    <row r="740" spans="1:14" ht="15">
      <c r="A740" s="12"/>
      <c r="B740" s="33" t="s">
        <v>513</v>
      </c>
      <c r="C740" s="92" t="s">
        <v>515</v>
      </c>
      <c r="D740" s="33" t="s">
        <v>411</v>
      </c>
      <c r="E740" s="34">
        <v>44253</v>
      </c>
      <c r="F740" s="34">
        <v>44256</v>
      </c>
      <c r="G740" s="34">
        <v>44259</v>
      </c>
      <c r="H740" s="35">
        <v>0.02</v>
      </c>
      <c r="I740" s="67">
        <v>0.13469999999999999</v>
      </c>
      <c r="J740" s="67">
        <v>0</v>
      </c>
      <c r="K740" s="67">
        <v>0.13469999999999999</v>
      </c>
      <c r="L740" s="36">
        <f>+K740-((K740*0.505*0.125)+(K740*(1-0.505)*0.26))</f>
        <v>0.10886117249999999</v>
      </c>
      <c r="M740" s="64">
        <f t="shared" si="27"/>
        <v>0.10886117249999999</v>
      </c>
      <c r="N740" s="33" t="s">
        <v>251</v>
      </c>
    </row>
    <row r="741" spans="1:14" ht="15">
      <c r="A741" s="12"/>
      <c r="B741" s="33" t="s">
        <v>514</v>
      </c>
      <c r="C741" s="92" t="s">
        <v>516</v>
      </c>
      <c r="D741" s="33" t="s">
        <v>411</v>
      </c>
      <c r="E741" s="34">
        <v>44253</v>
      </c>
      <c r="F741" s="34">
        <v>44256</v>
      </c>
      <c r="G741" s="34">
        <v>44259</v>
      </c>
      <c r="H741" s="35">
        <v>0.02</v>
      </c>
      <c r="I741" s="67">
        <v>0.1356</v>
      </c>
      <c r="J741" s="67">
        <v>0</v>
      </c>
      <c r="K741" s="67">
        <v>0.1356</v>
      </c>
      <c r="L741" s="36">
        <f>+K741-((K741*0.505*0.125)+(K741*(1-0.505)*0.26))</f>
        <v>0.10958852999999999</v>
      </c>
      <c r="M741" s="64">
        <f t="shared" si="27"/>
        <v>0.10958852999999999</v>
      </c>
      <c r="N741" s="33" t="s">
        <v>251</v>
      </c>
    </row>
    <row r="742" spans="1:14" ht="15">
      <c r="A742" s="12"/>
      <c r="B742" s="33" t="s">
        <v>313</v>
      </c>
      <c r="C742" s="92" t="s">
        <v>429</v>
      </c>
      <c r="D742" s="33" t="s">
        <v>411</v>
      </c>
      <c r="E742" s="34">
        <v>44253</v>
      </c>
      <c r="F742" s="34">
        <v>44256</v>
      </c>
      <c r="G742" s="34">
        <v>44259</v>
      </c>
      <c r="H742" s="35">
        <v>0.01</v>
      </c>
      <c r="I742" s="67">
        <v>4.3E-3</v>
      </c>
      <c r="J742" s="67">
        <v>0</v>
      </c>
      <c r="K742" s="67">
        <v>4.3E-3</v>
      </c>
      <c r="L742" s="36">
        <f>+K742-((K742*0.135*0.125)+(K742*(1-0.135)*0.26))</f>
        <v>3.2603674999999999E-3</v>
      </c>
      <c r="M742" s="64">
        <f t="shared" si="27"/>
        <v>3.2603674999999999E-3</v>
      </c>
      <c r="N742" s="33" t="s">
        <v>251</v>
      </c>
    </row>
    <row r="743" spans="1:14" ht="15">
      <c r="A743" s="12"/>
      <c r="B743" s="33" t="s">
        <v>174</v>
      </c>
      <c r="C743" s="92" t="s">
        <v>382</v>
      </c>
      <c r="D743" s="33" t="s">
        <v>410</v>
      </c>
      <c r="E743" s="34">
        <v>44285</v>
      </c>
      <c r="F743" s="34">
        <v>44286</v>
      </c>
      <c r="G743" s="34">
        <v>44292</v>
      </c>
      <c r="H743" s="35"/>
      <c r="I743" s="67">
        <v>2.8205999999999998E-2</v>
      </c>
      <c r="J743" s="67">
        <v>0</v>
      </c>
      <c r="K743" s="67">
        <v>2.820609E-2</v>
      </c>
      <c r="L743" s="36">
        <f>+K743-((K743*0.009*0.125)+(K743*(1-0.009)*0.26))</f>
        <v>2.0906776999350001E-2</v>
      </c>
      <c r="M743" s="64">
        <f t="shared" si="27"/>
        <v>2.0906776999350001E-2</v>
      </c>
      <c r="N743" s="33" t="s">
        <v>247</v>
      </c>
    </row>
    <row r="744" spans="1:14" ht="15">
      <c r="A744" s="12"/>
      <c r="B744" s="33" t="s">
        <v>176</v>
      </c>
      <c r="C744" s="92" t="s">
        <v>397</v>
      </c>
      <c r="D744" s="33" t="s">
        <v>410</v>
      </c>
      <c r="E744" s="34">
        <v>44285</v>
      </c>
      <c r="F744" s="34">
        <v>44286</v>
      </c>
      <c r="G744" s="34">
        <v>44292</v>
      </c>
      <c r="H744" s="35"/>
      <c r="I744" s="67">
        <v>3.5415000000000002E-2</v>
      </c>
      <c r="J744" s="67">
        <v>0</v>
      </c>
      <c r="K744" s="67">
        <v>3.5415160000000001E-2</v>
      </c>
      <c r="L744" s="36">
        <f>+K744-((K744*0.118*0.125)+(K744*(1-0.118)*0.26))</f>
        <v>2.6771381898800004E-2</v>
      </c>
      <c r="M744" s="64">
        <f t="shared" si="27"/>
        <v>2.6771381898800004E-2</v>
      </c>
      <c r="N744" s="33" t="s">
        <v>247</v>
      </c>
    </row>
    <row r="745" spans="1:14" ht="15">
      <c r="A745" s="12"/>
      <c r="B745" s="33" t="s">
        <v>175</v>
      </c>
      <c r="C745" s="92" t="s">
        <v>465</v>
      </c>
      <c r="D745" s="33" t="s">
        <v>410</v>
      </c>
      <c r="E745" s="34">
        <v>44285</v>
      </c>
      <c r="F745" s="34">
        <v>44286</v>
      </c>
      <c r="G745" s="34">
        <v>44292</v>
      </c>
      <c r="H745" s="35"/>
      <c r="I745" s="67">
        <v>3.7454000000000001E-2</v>
      </c>
      <c r="J745" s="67">
        <v>0</v>
      </c>
      <c r="K745" s="67">
        <v>3.745399E-2</v>
      </c>
      <c r="L745" s="36">
        <f>+K745-((K745*0.16*0.125)+(K745*(1-0.16)*0.26))</f>
        <v>2.8524958784E-2</v>
      </c>
      <c r="M745" s="64">
        <f t="shared" si="27"/>
        <v>2.8524958784E-2</v>
      </c>
      <c r="N745" s="33" t="s">
        <v>247</v>
      </c>
    </row>
    <row r="746" spans="1:14" ht="15">
      <c r="A746" s="12"/>
      <c r="B746" s="33" t="s">
        <v>310</v>
      </c>
      <c r="C746" s="92" t="s">
        <v>424</v>
      </c>
      <c r="D746" s="33" t="s">
        <v>411</v>
      </c>
      <c r="E746" s="34">
        <v>44286</v>
      </c>
      <c r="F746" s="34">
        <v>44287</v>
      </c>
      <c r="G746" s="34">
        <v>44294</v>
      </c>
      <c r="H746" s="35">
        <v>0.05</v>
      </c>
      <c r="I746" s="67">
        <v>2.0500000000000001E-2</v>
      </c>
      <c r="J746" s="67">
        <v>0</v>
      </c>
      <c r="K746" s="67">
        <v>2.0500000000000001E-2</v>
      </c>
      <c r="L746" s="36">
        <f>+K746-((K746*0.036*0.125)+(K746*(1-0.036)*0.26))</f>
        <v>1.5269629999999999E-2</v>
      </c>
      <c r="M746" s="64">
        <f t="shared" ref="M746:M771" si="28">J746+L746</f>
        <v>1.5269629999999999E-2</v>
      </c>
      <c r="N746" s="33" t="s">
        <v>251</v>
      </c>
    </row>
    <row r="747" spans="1:14" ht="15">
      <c r="A747" s="12"/>
      <c r="B747" s="33" t="s">
        <v>188</v>
      </c>
      <c r="C747" s="92" t="s">
        <v>339</v>
      </c>
      <c r="D747" s="33" t="s">
        <v>411</v>
      </c>
      <c r="E747" s="34">
        <v>44286</v>
      </c>
      <c r="F747" s="34">
        <v>44287</v>
      </c>
      <c r="G747" s="34">
        <v>44294</v>
      </c>
      <c r="H747" s="35">
        <v>0.05</v>
      </c>
      <c r="I747" s="67">
        <v>0.35880000000000001</v>
      </c>
      <c r="J747" s="67">
        <v>0</v>
      </c>
      <c r="K747" s="67">
        <v>0.35880000000000001</v>
      </c>
      <c r="L747" s="36">
        <f>+K747-((K747*0.036*0.125)+(K747*(1-0.036)*0.26))</f>
        <v>0.267255768</v>
      </c>
      <c r="M747" s="64">
        <f t="shared" si="28"/>
        <v>0.267255768</v>
      </c>
      <c r="N747" s="33" t="s">
        <v>251</v>
      </c>
    </row>
    <row r="748" spans="1:14" ht="15">
      <c r="A748" s="12"/>
      <c r="B748" s="33" t="s">
        <v>196</v>
      </c>
      <c r="C748" s="92" t="s">
        <v>340</v>
      </c>
      <c r="D748" s="33" t="s">
        <v>411</v>
      </c>
      <c r="E748" s="34">
        <v>44286</v>
      </c>
      <c r="F748" s="34">
        <v>44287</v>
      </c>
      <c r="G748" s="34">
        <v>44294</v>
      </c>
      <c r="H748" s="35">
        <v>0.05</v>
      </c>
      <c r="I748" s="67">
        <v>0.37259999999999999</v>
      </c>
      <c r="J748" s="67">
        <v>0</v>
      </c>
      <c r="K748" s="67">
        <v>0.37259999999999999</v>
      </c>
      <c r="L748" s="36">
        <f>+K748-((K748*0.036*0.125)+(K748*(1-0.036)*0.26))</f>
        <v>0.27753483600000001</v>
      </c>
      <c r="M748" s="64">
        <f t="shared" si="28"/>
        <v>0.27753483600000001</v>
      </c>
      <c r="N748" s="33" t="s">
        <v>251</v>
      </c>
    </row>
    <row r="749" spans="1:14" ht="15">
      <c r="A749" s="12"/>
      <c r="B749" s="33" t="s">
        <v>191</v>
      </c>
      <c r="C749" s="92" t="s">
        <v>346</v>
      </c>
      <c r="D749" s="33" t="s">
        <v>411</v>
      </c>
      <c r="E749" s="34">
        <v>44286</v>
      </c>
      <c r="F749" s="34">
        <v>44287</v>
      </c>
      <c r="G749" s="34">
        <v>44294</v>
      </c>
      <c r="H749" s="35">
        <v>3.5000000000000003E-2</v>
      </c>
      <c r="I749" s="67">
        <v>1.41E-2</v>
      </c>
      <c r="J749" s="67">
        <v>0</v>
      </c>
      <c r="K749" s="67">
        <v>1.41E-2</v>
      </c>
      <c r="L749" s="36">
        <f>+K749-((K749*0.713*0.125)+(K749*(1-0.713)*0.26))</f>
        <v>1.1791195500000001E-2</v>
      </c>
      <c r="M749" s="64">
        <f t="shared" si="28"/>
        <v>1.1791195500000001E-2</v>
      </c>
      <c r="N749" s="33" t="s">
        <v>251</v>
      </c>
    </row>
    <row r="750" spans="1:14" ht="15">
      <c r="A750" s="12"/>
      <c r="B750" s="33" t="s">
        <v>199</v>
      </c>
      <c r="C750" s="92" t="s">
        <v>347</v>
      </c>
      <c r="D750" s="33" t="s">
        <v>411</v>
      </c>
      <c r="E750" s="34">
        <v>44286</v>
      </c>
      <c r="F750" s="34">
        <v>44287</v>
      </c>
      <c r="G750" s="34">
        <v>44294</v>
      </c>
      <c r="H750" s="35">
        <v>3.5000000000000003E-2</v>
      </c>
      <c r="I750" s="67">
        <v>1.4E-2</v>
      </c>
      <c r="J750" s="67">
        <v>0</v>
      </c>
      <c r="K750" s="67">
        <v>1.4E-2</v>
      </c>
      <c r="L750" s="36">
        <f>+K750-((K750*0.713*0.125)+(K750*(1-0.713)*0.26))</f>
        <v>1.170757E-2</v>
      </c>
      <c r="M750" s="64">
        <f t="shared" si="28"/>
        <v>1.170757E-2</v>
      </c>
      <c r="N750" s="33" t="s">
        <v>251</v>
      </c>
    </row>
    <row r="751" spans="1:14" ht="15">
      <c r="A751" s="12"/>
      <c r="B751" s="33" t="s">
        <v>306</v>
      </c>
      <c r="C751" s="92" t="s">
        <v>430</v>
      </c>
      <c r="D751" s="33" t="s">
        <v>411</v>
      </c>
      <c r="E751" s="34">
        <v>44286</v>
      </c>
      <c r="F751" s="34">
        <v>44287</v>
      </c>
      <c r="G751" s="34">
        <v>44294</v>
      </c>
      <c r="H751" s="35">
        <v>2.5000000000000001E-2</v>
      </c>
      <c r="I751" s="67">
        <v>1.03E-2</v>
      </c>
      <c r="J751" s="67">
        <v>0</v>
      </c>
      <c r="K751" s="67">
        <v>1.03E-2</v>
      </c>
      <c r="L751" s="36">
        <f>+K751-((K751*0.0002*0.125)+(K751*(1-0.0002)*0.26))</f>
        <v>7.6222780999999993E-3</v>
      </c>
      <c r="M751" s="64">
        <f t="shared" si="28"/>
        <v>7.6222780999999993E-3</v>
      </c>
      <c r="N751" s="33" t="s">
        <v>251</v>
      </c>
    </row>
    <row r="752" spans="1:14" ht="15">
      <c r="A752" s="12"/>
      <c r="B752" s="33" t="s">
        <v>184</v>
      </c>
      <c r="C752" s="92" t="s">
        <v>354</v>
      </c>
      <c r="D752" s="33" t="s">
        <v>411</v>
      </c>
      <c r="E752" s="34">
        <v>44286</v>
      </c>
      <c r="F752" s="34">
        <v>44287</v>
      </c>
      <c r="G752" s="34">
        <v>44294</v>
      </c>
      <c r="H752" s="35">
        <v>2.5000000000000001E-2</v>
      </c>
      <c r="I752" s="67">
        <v>0.20749999999999999</v>
      </c>
      <c r="J752" s="67">
        <v>0</v>
      </c>
      <c r="K752" s="67">
        <v>0.20749999999999999</v>
      </c>
      <c r="L752" s="36">
        <f>+K752-((K752*0.0002*0.125)+(K752*(1-0.0002)*0.26))</f>
        <v>0.1535556025</v>
      </c>
      <c r="M752" s="64">
        <f t="shared" si="28"/>
        <v>0.1535556025</v>
      </c>
      <c r="N752" s="33" t="s">
        <v>251</v>
      </c>
    </row>
    <row r="753" spans="1:14" ht="15">
      <c r="A753" s="12"/>
      <c r="B753" s="33" t="s">
        <v>192</v>
      </c>
      <c r="C753" s="92" t="s">
        <v>355</v>
      </c>
      <c r="D753" s="33" t="s">
        <v>411</v>
      </c>
      <c r="E753" s="34">
        <v>44286</v>
      </c>
      <c r="F753" s="34">
        <v>44287</v>
      </c>
      <c r="G753" s="34">
        <v>44294</v>
      </c>
      <c r="H753" s="35">
        <v>2.5000000000000001E-2</v>
      </c>
      <c r="I753" s="67">
        <v>0.20960000000000001</v>
      </c>
      <c r="J753" s="67">
        <v>0</v>
      </c>
      <c r="K753" s="67">
        <v>0.20960000000000001</v>
      </c>
      <c r="L753" s="36">
        <f>+K753-((K753*0.0002*0.125)+(K753*(1-0.0002)*0.26))</f>
        <v>0.1551096592</v>
      </c>
      <c r="M753" s="64">
        <f t="shared" si="28"/>
        <v>0.1551096592</v>
      </c>
      <c r="N753" s="33" t="s">
        <v>251</v>
      </c>
    </row>
    <row r="754" spans="1:14" ht="15">
      <c r="A754" s="12"/>
      <c r="B754" s="33" t="s">
        <v>311</v>
      </c>
      <c r="C754" s="92" t="s">
        <v>425</v>
      </c>
      <c r="D754" s="33" t="s">
        <v>411</v>
      </c>
      <c r="E754" s="34">
        <v>44286</v>
      </c>
      <c r="F754" s="34">
        <v>44287</v>
      </c>
      <c r="G754" s="34">
        <v>44294</v>
      </c>
      <c r="H754" s="35">
        <v>1.4999999999999999E-2</v>
      </c>
      <c r="I754" s="67">
        <v>6.1000000000000004E-3</v>
      </c>
      <c r="J754" s="67">
        <v>0</v>
      </c>
      <c r="K754" s="67">
        <v>6.1000000000000004E-3</v>
      </c>
      <c r="L754" s="36">
        <f>+K754-((K754*0.0000001*0.125)+(K754*(1-0.0000001)*0.26))</f>
        <v>4.5140000823499999E-3</v>
      </c>
      <c r="M754" s="64">
        <f t="shared" si="28"/>
        <v>4.5140000823499999E-3</v>
      </c>
      <c r="N754" s="33" t="s">
        <v>251</v>
      </c>
    </row>
    <row r="755" spans="1:14" ht="15">
      <c r="A755" s="12"/>
      <c r="B755" s="33" t="s">
        <v>189</v>
      </c>
      <c r="C755" s="92" t="s">
        <v>356</v>
      </c>
      <c r="D755" s="33" t="s">
        <v>411</v>
      </c>
      <c r="E755" s="34">
        <v>44286</v>
      </c>
      <c r="F755" s="34">
        <v>44287</v>
      </c>
      <c r="G755" s="34">
        <v>44294</v>
      </c>
      <c r="H755" s="35">
        <v>1.4999999999999999E-2</v>
      </c>
      <c r="I755" s="67">
        <v>0.1124</v>
      </c>
      <c r="J755" s="67">
        <v>0</v>
      </c>
      <c r="K755" s="67">
        <v>0.1124</v>
      </c>
      <c r="L755" s="36">
        <f>+K755-((K755*0.0000001*0.125)+(K755*(1-0.0000001)*0.26))</f>
        <v>8.3176001517399997E-2</v>
      </c>
      <c r="M755" s="64">
        <f t="shared" si="28"/>
        <v>8.3176001517399997E-2</v>
      </c>
      <c r="N755" s="33" t="s">
        <v>251</v>
      </c>
    </row>
    <row r="756" spans="1:14" ht="15">
      <c r="A756" s="12"/>
      <c r="B756" s="33" t="s">
        <v>197</v>
      </c>
      <c r="C756" s="92" t="s">
        <v>357</v>
      </c>
      <c r="D756" s="33" t="s">
        <v>411</v>
      </c>
      <c r="E756" s="34">
        <v>44286</v>
      </c>
      <c r="F756" s="34">
        <v>44287</v>
      </c>
      <c r="G756" s="34">
        <v>44294</v>
      </c>
      <c r="H756" s="35">
        <v>1.4999999999999999E-2</v>
      </c>
      <c r="I756" s="67">
        <v>0.1145</v>
      </c>
      <c r="J756" s="67">
        <v>0</v>
      </c>
      <c r="K756" s="67">
        <v>0.1145</v>
      </c>
      <c r="L756" s="36">
        <f>+K756-((K756*0.0000001*0.125)+(K756*(1-0.0000001)*0.26))</f>
        <v>8.473000154575E-2</v>
      </c>
      <c r="M756" s="64">
        <f t="shared" si="28"/>
        <v>8.473000154575E-2</v>
      </c>
      <c r="N756" s="33" t="s">
        <v>251</v>
      </c>
    </row>
    <row r="757" spans="1:14" ht="15">
      <c r="A757" s="12"/>
      <c r="B757" s="33" t="s">
        <v>308</v>
      </c>
      <c r="C757" s="92" t="s">
        <v>426</v>
      </c>
      <c r="D757" s="33" t="s">
        <v>411</v>
      </c>
      <c r="E757" s="34">
        <v>44286</v>
      </c>
      <c r="F757" s="34">
        <v>44287</v>
      </c>
      <c r="G757" s="34">
        <v>44294</v>
      </c>
      <c r="H757" s="35">
        <v>1.4999999999999999E-2</v>
      </c>
      <c r="I757" s="67">
        <v>6.1999999999999998E-3</v>
      </c>
      <c r="J757" s="67">
        <v>0</v>
      </c>
      <c r="K757" s="67">
        <v>6.1999999999999998E-3</v>
      </c>
      <c r="L757" s="36">
        <f>+K757-((K757*0.458*0.125)+(K757*(1-0.458)*0.26))</f>
        <v>4.9713459999999998E-3</v>
      </c>
      <c r="M757" s="64">
        <f t="shared" si="28"/>
        <v>4.9713459999999998E-3</v>
      </c>
      <c r="N757" s="33" t="s">
        <v>251</v>
      </c>
    </row>
    <row r="758" spans="1:14" ht="15">
      <c r="A758" s="12"/>
      <c r="B758" s="33" t="s">
        <v>186</v>
      </c>
      <c r="C758" s="92" t="s">
        <v>363</v>
      </c>
      <c r="D758" s="33" t="s">
        <v>411</v>
      </c>
      <c r="E758" s="34">
        <v>44286</v>
      </c>
      <c r="F758" s="34">
        <v>44287</v>
      </c>
      <c r="G758" s="34">
        <v>44294</v>
      </c>
      <c r="H758" s="35">
        <v>1.4999999999999999E-2</v>
      </c>
      <c r="I758" s="67">
        <v>0.1137</v>
      </c>
      <c r="J758" s="67">
        <v>0</v>
      </c>
      <c r="K758" s="67">
        <v>0.1137</v>
      </c>
      <c r="L758" s="36">
        <f>+K758-((K758*0.458*0.125)+(K758*(1-0.458)*0.26))</f>
        <v>9.1168070999999989E-2</v>
      </c>
      <c r="M758" s="64">
        <f t="shared" si="28"/>
        <v>9.1168070999999989E-2</v>
      </c>
      <c r="N758" s="33" t="s">
        <v>251</v>
      </c>
    </row>
    <row r="759" spans="1:14" ht="15">
      <c r="A759" s="12"/>
      <c r="B759" s="33" t="s">
        <v>194</v>
      </c>
      <c r="C759" s="92" t="s">
        <v>364</v>
      </c>
      <c r="D759" s="33" t="s">
        <v>411</v>
      </c>
      <c r="E759" s="34">
        <v>44286</v>
      </c>
      <c r="F759" s="34">
        <v>44287</v>
      </c>
      <c r="G759" s="34">
        <v>44294</v>
      </c>
      <c r="H759" s="35">
        <v>1.4999999999999999E-2</v>
      </c>
      <c r="I759" s="67">
        <v>0.1172</v>
      </c>
      <c r="J759" s="67">
        <v>0</v>
      </c>
      <c r="K759" s="67">
        <v>0.1172</v>
      </c>
      <c r="L759" s="36">
        <f>+K759-((K759*0.458*0.125)+(K759*(1-0.458)*0.26))</f>
        <v>9.3974476000000001E-2</v>
      </c>
      <c r="M759" s="64">
        <f t="shared" si="28"/>
        <v>9.3974476000000001E-2</v>
      </c>
      <c r="N759" s="33" t="s">
        <v>251</v>
      </c>
    </row>
    <row r="760" spans="1:14" ht="15">
      <c r="A760" s="12"/>
      <c r="B760" s="33" t="s">
        <v>307</v>
      </c>
      <c r="C760" s="92" t="s">
        <v>420</v>
      </c>
      <c r="D760" s="33" t="s">
        <v>411</v>
      </c>
      <c r="E760" s="34">
        <v>44286</v>
      </c>
      <c r="F760" s="34">
        <v>44287</v>
      </c>
      <c r="G760" s="34">
        <v>44294</v>
      </c>
      <c r="H760" s="35">
        <v>1.4999999999999999E-2</v>
      </c>
      <c r="I760" s="67">
        <v>6.4000000000000003E-3</v>
      </c>
      <c r="J760" s="67">
        <v>0</v>
      </c>
      <c r="K760" s="67">
        <v>6.4000000000000003E-3</v>
      </c>
      <c r="L760" s="36">
        <f>+K760-((K760*0.603*0.125)+(K760*(1-0.603)*0.26))</f>
        <v>5.2569920000000003E-3</v>
      </c>
      <c r="M760" s="64">
        <f t="shared" si="28"/>
        <v>5.2569920000000003E-3</v>
      </c>
      <c r="N760" s="33" t="s">
        <v>251</v>
      </c>
    </row>
    <row r="761" spans="1:14" ht="15">
      <c r="A761" s="12"/>
      <c r="B761" s="33" t="s">
        <v>185</v>
      </c>
      <c r="C761" s="92" t="s">
        <v>366</v>
      </c>
      <c r="D761" s="33" t="s">
        <v>411</v>
      </c>
      <c r="E761" s="34">
        <v>44286</v>
      </c>
      <c r="F761" s="34">
        <v>44287</v>
      </c>
      <c r="G761" s="34">
        <v>44294</v>
      </c>
      <c r="H761" s="35">
        <v>1.4999999999999999E-2</v>
      </c>
      <c r="I761" s="67">
        <v>0.1067</v>
      </c>
      <c r="J761" s="67">
        <v>0</v>
      </c>
      <c r="K761" s="67">
        <v>0.1067</v>
      </c>
      <c r="L761" s="36">
        <f>+K761-((K761*0.603*0.125)+(K761*(1-0.603)*0.26))</f>
        <v>8.7643913500000004E-2</v>
      </c>
      <c r="M761" s="64">
        <f t="shared" si="28"/>
        <v>8.7643913500000004E-2</v>
      </c>
      <c r="N761" s="33" t="s">
        <v>251</v>
      </c>
    </row>
    <row r="762" spans="1:14" ht="15">
      <c r="A762" s="12"/>
      <c r="B762" s="33" t="s">
        <v>193</v>
      </c>
      <c r="C762" s="92" t="s">
        <v>367</v>
      </c>
      <c r="D762" s="33" t="s">
        <v>411</v>
      </c>
      <c r="E762" s="34">
        <v>44286</v>
      </c>
      <c r="F762" s="34">
        <v>44287</v>
      </c>
      <c r="G762" s="34">
        <v>44294</v>
      </c>
      <c r="H762" s="35">
        <v>1.4999999999999999E-2</v>
      </c>
      <c r="I762" s="67">
        <v>0.1042</v>
      </c>
      <c r="J762" s="67">
        <v>0</v>
      </c>
      <c r="K762" s="67">
        <v>0.1042</v>
      </c>
      <c r="L762" s="36">
        <f>+K762-((K762*0.603*0.125)+(K762*(1-0.603)*0.26))</f>
        <v>8.5590400999999997E-2</v>
      </c>
      <c r="M762" s="64">
        <f t="shared" si="28"/>
        <v>8.5590400999999997E-2</v>
      </c>
      <c r="N762" s="33" t="s">
        <v>251</v>
      </c>
    </row>
    <row r="763" spans="1:14" ht="15">
      <c r="A763" s="12"/>
      <c r="B763" s="33" t="s">
        <v>309</v>
      </c>
      <c r="C763" s="92" t="s">
        <v>427</v>
      </c>
      <c r="D763" s="33" t="s">
        <v>411</v>
      </c>
      <c r="E763" s="34">
        <v>44286</v>
      </c>
      <c r="F763" s="34">
        <v>44287</v>
      </c>
      <c r="G763" s="34">
        <v>44294</v>
      </c>
      <c r="H763" s="35">
        <v>1.4999999999999999E-2</v>
      </c>
      <c r="I763" s="67">
        <v>6.4000000000000003E-3</v>
      </c>
      <c r="J763" s="67">
        <v>0</v>
      </c>
      <c r="K763" s="67">
        <v>6.4000000000000003E-3</v>
      </c>
      <c r="L763" s="36">
        <f>+K763-((K763*0.001*0.125)+(K763*(1-0.001)*0.26))</f>
        <v>4.7368640000000004E-3</v>
      </c>
      <c r="M763" s="64">
        <f t="shared" si="28"/>
        <v>4.7368640000000004E-3</v>
      </c>
      <c r="N763" s="33" t="s">
        <v>251</v>
      </c>
    </row>
    <row r="764" spans="1:14" ht="15">
      <c r="A764" s="12"/>
      <c r="B764" s="33" t="s">
        <v>187</v>
      </c>
      <c r="C764" s="92" t="s">
        <v>368</v>
      </c>
      <c r="D764" s="33" t="s">
        <v>411</v>
      </c>
      <c r="E764" s="34">
        <v>44286</v>
      </c>
      <c r="F764" s="34">
        <v>44287</v>
      </c>
      <c r="G764" s="34">
        <v>44294</v>
      </c>
      <c r="H764" s="35">
        <v>1.4999999999999999E-2</v>
      </c>
      <c r="I764" s="67">
        <v>0.1123</v>
      </c>
      <c r="J764" s="67">
        <v>0</v>
      </c>
      <c r="K764" s="67">
        <v>0.1123</v>
      </c>
      <c r="L764" s="36">
        <f>+K764-((K764*0.001*0.125)+(K764*(1-0.001)*0.26))</f>
        <v>8.3117160499999995E-2</v>
      </c>
      <c r="M764" s="64">
        <f t="shared" si="28"/>
        <v>8.3117160499999995E-2</v>
      </c>
      <c r="N764" s="33" t="s">
        <v>251</v>
      </c>
    </row>
    <row r="765" spans="1:14" ht="15">
      <c r="A765" s="12"/>
      <c r="B765" s="33" t="s">
        <v>195</v>
      </c>
      <c r="C765" s="92" t="s">
        <v>369</v>
      </c>
      <c r="D765" s="33" t="s">
        <v>411</v>
      </c>
      <c r="E765" s="34">
        <v>44286</v>
      </c>
      <c r="F765" s="34">
        <v>44287</v>
      </c>
      <c r="G765" s="34">
        <v>44294</v>
      </c>
      <c r="H765" s="35">
        <v>1.4999999999999999E-2</v>
      </c>
      <c r="I765" s="67">
        <v>0.11609999999999999</v>
      </c>
      <c r="J765" s="67">
        <v>0</v>
      </c>
      <c r="K765" s="67">
        <v>0.11609999999999999</v>
      </c>
      <c r="L765" s="36">
        <f>+K765-((K765*0.001*0.125)+(K765*(1-0.001)*0.26))</f>
        <v>8.5929673499999998E-2</v>
      </c>
      <c r="M765" s="64">
        <f t="shared" si="28"/>
        <v>8.5929673499999998E-2</v>
      </c>
      <c r="N765" s="33" t="s">
        <v>251</v>
      </c>
    </row>
    <row r="766" spans="1:14" ht="15">
      <c r="A766" s="12"/>
      <c r="B766" s="33" t="s">
        <v>312</v>
      </c>
      <c r="C766" s="92" t="s">
        <v>428</v>
      </c>
      <c r="D766" s="33" t="s">
        <v>411</v>
      </c>
      <c r="E766" s="34">
        <v>44286</v>
      </c>
      <c r="F766" s="34">
        <v>44287</v>
      </c>
      <c r="G766" s="34">
        <v>44294</v>
      </c>
      <c r="H766" s="35">
        <v>3.5000000000000003E-2</v>
      </c>
      <c r="I766" s="67">
        <v>1.35E-2</v>
      </c>
      <c r="J766" s="67">
        <v>0</v>
      </c>
      <c r="K766" s="67">
        <v>1.35E-2</v>
      </c>
      <c r="L766" s="36">
        <f>+K766-((K766*0.0075*0.125)+(K766*(1-0.0075)*0.26))</f>
        <v>1.000366875E-2</v>
      </c>
      <c r="M766" s="64">
        <f t="shared" si="28"/>
        <v>1.000366875E-2</v>
      </c>
      <c r="N766" s="33" t="s">
        <v>251</v>
      </c>
    </row>
    <row r="767" spans="1:14" ht="15">
      <c r="A767" s="12"/>
      <c r="B767" s="33" t="s">
        <v>190</v>
      </c>
      <c r="C767" s="92" t="s">
        <v>370</v>
      </c>
      <c r="D767" s="33" t="s">
        <v>411</v>
      </c>
      <c r="E767" s="34">
        <v>44286</v>
      </c>
      <c r="F767" s="34">
        <v>44287</v>
      </c>
      <c r="G767" s="34">
        <v>44294</v>
      </c>
      <c r="H767" s="35">
        <v>3.5000000000000003E-2</v>
      </c>
      <c r="I767" s="67">
        <v>0.2555</v>
      </c>
      <c r="J767" s="67">
        <v>0</v>
      </c>
      <c r="K767" s="67">
        <v>0.2555</v>
      </c>
      <c r="L767" s="36">
        <f>+K767-((K767*0.0075*0.125)+(K767*(1-0.0075)*0.26))</f>
        <v>0.18932869375</v>
      </c>
      <c r="M767" s="64">
        <f t="shared" si="28"/>
        <v>0.18932869375</v>
      </c>
      <c r="N767" s="33" t="s">
        <v>251</v>
      </c>
    </row>
    <row r="768" spans="1:14" ht="15">
      <c r="A768" s="12"/>
      <c r="B768" s="33" t="s">
        <v>198</v>
      </c>
      <c r="C768" s="92" t="s">
        <v>371</v>
      </c>
      <c r="D768" s="33" t="s">
        <v>411</v>
      </c>
      <c r="E768" s="34">
        <v>44286</v>
      </c>
      <c r="F768" s="34">
        <v>44287</v>
      </c>
      <c r="G768" s="34">
        <v>44294</v>
      </c>
      <c r="H768" s="35">
        <v>3.5000000000000003E-2</v>
      </c>
      <c r="I768" s="67">
        <v>0.25640000000000002</v>
      </c>
      <c r="J768" s="67">
        <v>0</v>
      </c>
      <c r="K768" s="67">
        <v>0.25640000000000002</v>
      </c>
      <c r="L768" s="36">
        <f>+K768-((K768*0.0075*0.125)+(K768*(1-0.0075)*0.26))</f>
        <v>0.18999560500000001</v>
      </c>
      <c r="M768" s="64">
        <f t="shared" si="28"/>
        <v>0.18999560500000001</v>
      </c>
      <c r="N768" s="33" t="s">
        <v>251</v>
      </c>
    </row>
    <row r="769" spans="1:14" ht="15">
      <c r="A769" s="12"/>
      <c r="B769" s="33" t="s">
        <v>513</v>
      </c>
      <c r="C769" s="92" t="s">
        <v>515</v>
      </c>
      <c r="D769" s="33" t="s">
        <v>411</v>
      </c>
      <c r="E769" s="34">
        <v>44286</v>
      </c>
      <c r="F769" s="34">
        <v>44287</v>
      </c>
      <c r="G769" s="34">
        <v>44294</v>
      </c>
      <c r="H769" s="35">
        <v>0.02</v>
      </c>
      <c r="I769" s="67">
        <v>0.13469999999999999</v>
      </c>
      <c r="J769" s="67">
        <v>0</v>
      </c>
      <c r="K769" s="67">
        <v>0.13469999999999999</v>
      </c>
      <c r="L769" s="36">
        <f>+K769-((K769*0.505*0.125)+(K769*(1-0.505)*0.26))</f>
        <v>0.10886117249999999</v>
      </c>
      <c r="M769" s="64">
        <f t="shared" si="28"/>
        <v>0.10886117249999999</v>
      </c>
      <c r="N769" s="33" t="s">
        <v>251</v>
      </c>
    </row>
    <row r="770" spans="1:14" ht="15">
      <c r="A770" s="12"/>
      <c r="B770" s="33" t="s">
        <v>514</v>
      </c>
      <c r="C770" s="92" t="s">
        <v>516</v>
      </c>
      <c r="D770" s="33" t="s">
        <v>411</v>
      </c>
      <c r="E770" s="34">
        <v>44286</v>
      </c>
      <c r="F770" s="34">
        <v>44287</v>
      </c>
      <c r="G770" s="34">
        <v>44294</v>
      </c>
      <c r="H770" s="35">
        <v>0.02</v>
      </c>
      <c r="I770" s="67">
        <v>0.1356</v>
      </c>
      <c r="J770" s="67">
        <v>0</v>
      </c>
      <c r="K770" s="67">
        <v>0.1356</v>
      </c>
      <c r="L770" s="36">
        <f>+K770-((K770*0.505*0.125)+(K770*(1-0.505)*0.26))</f>
        <v>0.10958852999999999</v>
      </c>
      <c r="M770" s="64">
        <f t="shared" si="28"/>
        <v>0.10958852999999999</v>
      </c>
      <c r="N770" s="33" t="s">
        <v>251</v>
      </c>
    </row>
    <row r="771" spans="1:14" ht="15">
      <c r="A771" s="12"/>
      <c r="B771" s="33" t="s">
        <v>313</v>
      </c>
      <c r="C771" s="92" t="s">
        <v>429</v>
      </c>
      <c r="D771" s="33" t="s">
        <v>411</v>
      </c>
      <c r="E771" s="34">
        <v>44286</v>
      </c>
      <c r="F771" s="34">
        <v>44287</v>
      </c>
      <c r="G771" s="34">
        <v>44294</v>
      </c>
      <c r="H771" s="35">
        <v>0.01</v>
      </c>
      <c r="I771" s="67">
        <v>4.3E-3</v>
      </c>
      <c r="J771" s="67">
        <v>0</v>
      </c>
      <c r="K771" s="67">
        <v>4.3E-3</v>
      </c>
      <c r="L771" s="36">
        <f>+K771-((K771*0.135*0.125)+(K771*(1-0.135)*0.26))</f>
        <v>3.2603674999999999E-3</v>
      </c>
      <c r="M771" s="64">
        <f t="shared" si="28"/>
        <v>3.2603674999999999E-3</v>
      </c>
      <c r="N771" s="33" t="s">
        <v>251</v>
      </c>
    </row>
    <row r="772" spans="1:14" ht="15">
      <c r="A772" s="12"/>
      <c r="B772" s="33" t="s">
        <v>298</v>
      </c>
      <c r="C772" s="92" t="s">
        <v>403</v>
      </c>
      <c r="D772" s="33" t="s">
        <v>410</v>
      </c>
      <c r="E772" s="34">
        <v>44286</v>
      </c>
      <c r="F772" s="34">
        <v>44287</v>
      </c>
      <c r="G772" s="34">
        <v>44291</v>
      </c>
      <c r="H772" s="35">
        <v>4.4999999999999998E-2</v>
      </c>
      <c r="I772" s="67">
        <v>5.3100000000000001E-2</v>
      </c>
      <c r="J772" s="67">
        <v>0</v>
      </c>
      <c r="K772" s="67">
        <v>5.3100000000000001E-2</v>
      </c>
      <c r="L772" s="36">
        <f>+K772-((K772*0.443*0.125)+(K772*(1-0.443)*0.26))</f>
        <v>4.24696455E-2</v>
      </c>
      <c r="M772" s="64">
        <v>0</v>
      </c>
      <c r="N772" s="33" t="s">
        <v>248</v>
      </c>
    </row>
    <row r="773" spans="1:14" ht="15">
      <c r="A773" s="12"/>
      <c r="B773" s="33" t="s">
        <v>181</v>
      </c>
      <c r="C773" s="92" t="s">
        <v>335</v>
      </c>
      <c r="D773" s="33" t="s">
        <v>410</v>
      </c>
      <c r="E773" s="34">
        <v>44286</v>
      </c>
      <c r="F773" s="34">
        <v>44287</v>
      </c>
      <c r="G773" s="34">
        <v>44291</v>
      </c>
      <c r="H773" s="35">
        <v>4.4999999999999998E-2</v>
      </c>
      <c r="I773" s="67">
        <v>0.94920000000000004</v>
      </c>
      <c r="J773" s="67">
        <v>0</v>
      </c>
      <c r="K773" s="67">
        <v>0.94920000000000004</v>
      </c>
      <c r="L773" s="36">
        <f>+K773-((K773*0.443*0.125)+(K773*(1-0.443)*0.26))</f>
        <v>0.75917490600000004</v>
      </c>
      <c r="M773" s="64">
        <v>0</v>
      </c>
      <c r="N773" s="33" t="s">
        <v>248</v>
      </c>
    </row>
    <row r="774" spans="1:14" ht="15">
      <c r="A774" s="12"/>
      <c r="B774" s="33" t="s">
        <v>201</v>
      </c>
      <c r="C774" s="92" t="s">
        <v>336</v>
      </c>
      <c r="D774" s="33" t="s">
        <v>410</v>
      </c>
      <c r="E774" s="34">
        <v>44286</v>
      </c>
      <c r="F774" s="34">
        <v>44287</v>
      </c>
      <c r="G774" s="34">
        <v>44291</v>
      </c>
      <c r="H774" s="35">
        <v>4.4999999999999998E-2</v>
      </c>
      <c r="I774" s="67">
        <v>0.95840000000000003</v>
      </c>
      <c r="J774" s="67">
        <v>0</v>
      </c>
      <c r="K774" s="67">
        <v>0.95840000000000003</v>
      </c>
      <c r="L774" s="36">
        <f>+K774-((K774*0.443*0.125)+(K774*(1-0.443)*0.26))</f>
        <v>0.76653311200000007</v>
      </c>
      <c r="M774" s="64">
        <v>0</v>
      </c>
      <c r="N774" s="33" t="s">
        <v>248</v>
      </c>
    </row>
    <row r="775" spans="1:14" ht="15">
      <c r="A775" s="12"/>
      <c r="B775" s="33" t="s">
        <v>138</v>
      </c>
      <c r="C775" s="92" t="s">
        <v>337</v>
      </c>
      <c r="D775" s="33" t="s">
        <v>410</v>
      </c>
      <c r="E775" s="34">
        <v>44286</v>
      </c>
      <c r="F775" s="34">
        <v>44287</v>
      </c>
      <c r="G775" s="34">
        <v>44291</v>
      </c>
      <c r="H775" s="35">
        <v>0.05</v>
      </c>
      <c r="I775" s="67">
        <v>7.1800000000000003E-2</v>
      </c>
      <c r="J775" s="67">
        <v>0</v>
      </c>
      <c r="K775" s="67">
        <v>7.1800000000000003E-2</v>
      </c>
      <c r="L775" s="36">
        <f>+K775-((K775*0.272*0.125)+(K775*(1-0.272)*0.26))</f>
        <v>5.5768496000000001E-2</v>
      </c>
      <c r="M775" s="64">
        <v>0</v>
      </c>
      <c r="N775" s="33" t="s">
        <v>248</v>
      </c>
    </row>
    <row r="776" spans="1:14" ht="15">
      <c r="A776" s="12"/>
      <c r="B776" s="33" t="s">
        <v>160</v>
      </c>
      <c r="C776" s="92" t="s">
        <v>338</v>
      </c>
      <c r="D776" s="33" t="s">
        <v>410</v>
      </c>
      <c r="E776" s="34">
        <v>44286</v>
      </c>
      <c r="F776" s="34">
        <v>44287</v>
      </c>
      <c r="G776" s="34">
        <v>44291</v>
      </c>
      <c r="H776" s="35">
        <v>0.05</v>
      </c>
      <c r="I776" s="67">
        <v>7.1099999999999997E-2</v>
      </c>
      <c r="J776" s="67">
        <v>0</v>
      </c>
      <c r="K776" s="67">
        <v>7.1099999999999997E-2</v>
      </c>
      <c r="L776" s="36">
        <f>+K776-((K776*0.272*0.125)+(K776*(1-0.272)*0.26))</f>
        <v>5.5224791999999995E-2</v>
      </c>
      <c r="M776" s="64">
        <v>0</v>
      </c>
      <c r="N776" s="33" t="s">
        <v>248</v>
      </c>
    </row>
    <row r="777" spans="1:14" ht="15">
      <c r="A777" s="12"/>
      <c r="B777" s="33" t="s">
        <v>300</v>
      </c>
      <c r="C777" s="92" t="s">
        <v>404</v>
      </c>
      <c r="D777" s="33" t="s">
        <v>410</v>
      </c>
      <c r="E777" s="34">
        <v>44286</v>
      </c>
      <c r="F777" s="34">
        <v>44287</v>
      </c>
      <c r="G777" s="34">
        <v>44291</v>
      </c>
      <c r="H777" s="35">
        <v>0.05</v>
      </c>
      <c r="I777" s="67">
        <v>5.5599999999999997E-2</v>
      </c>
      <c r="J777" s="67">
        <v>0</v>
      </c>
      <c r="K777" s="67">
        <v>5.5599999999999997E-2</v>
      </c>
      <c r="L777" s="36">
        <f>+K777-((K777*0.272*0.125)+(K777*(1-0.272)*0.26))</f>
        <v>4.3185632000000002E-2</v>
      </c>
      <c r="M777" s="64">
        <v>0</v>
      </c>
      <c r="N777" s="33" t="s">
        <v>248</v>
      </c>
    </row>
    <row r="778" spans="1:14" ht="15">
      <c r="A778" s="12"/>
      <c r="B778" s="33" t="s">
        <v>142</v>
      </c>
      <c r="C778" s="92" t="s">
        <v>341</v>
      </c>
      <c r="D778" s="33" t="s">
        <v>410</v>
      </c>
      <c r="E778" s="34">
        <v>44286</v>
      </c>
      <c r="F778" s="34">
        <v>44287</v>
      </c>
      <c r="G778" s="34">
        <v>44291</v>
      </c>
      <c r="H778" s="35">
        <v>5.2499999999999998E-2</v>
      </c>
      <c r="I778" s="67">
        <v>7.6999999999999999E-2</v>
      </c>
      <c r="J778" s="67">
        <v>0</v>
      </c>
      <c r="K778" s="67">
        <v>7.6999999999999999E-2</v>
      </c>
      <c r="L778" s="36">
        <f>+K778-((K778*0.033*0.125)+(K778*(1-0.033)*0.26))</f>
        <v>5.7323035000000001E-2</v>
      </c>
      <c r="M778" s="64">
        <v>0</v>
      </c>
      <c r="N778" s="33" t="s">
        <v>248</v>
      </c>
    </row>
    <row r="779" spans="1:14" ht="15">
      <c r="A779" s="12"/>
      <c r="B779" s="33" t="s">
        <v>159</v>
      </c>
      <c r="C779" s="92" t="s">
        <v>342</v>
      </c>
      <c r="D779" s="33" t="s">
        <v>410</v>
      </c>
      <c r="E779" s="34">
        <v>44286</v>
      </c>
      <c r="F779" s="34">
        <v>44287</v>
      </c>
      <c r="G779" s="34">
        <v>44291</v>
      </c>
      <c r="H779" s="35">
        <v>5.2499999999999998E-2</v>
      </c>
      <c r="I779" s="67">
        <v>7.6399999999999996E-2</v>
      </c>
      <c r="J779" s="67">
        <v>0</v>
      </c>
      <c r="K779" s="67">
        <v>7.6399999999999996E-2</v>
      </c>
      <c r="L779" s="36">
        <f>+K779-((K779*0.033*0.125)+(K779*(1-0.033)*0.26))</f>
        <v>5.6876362E-2</v>
      </c>
      <c r="M779" s="64">
        <v>0</v>
      </c>
      <c r="N779" s="33" t="s">
        <v>248</v>
      </c>
    </row>
    <row r="780" spans="1:14" ht="15">
      <c r="A780" s="12"/>
      <c r="B780" s="33" t="s">
        <v>507</v>
      </c>
      <c r="C780" s="92" t="s">
        <v>508</v>
      </c>
      <c r="D780" s="33" t="s">
        <v>410</v>
      </c>
      <c r="E780" s="34">
        <v>44286</v>
      </c>
      <c r="F780" s="34">
        <v>44287</v>
      </c>
      <c r="G780" s="34">
        <v>44291</v>
      </c>
      <c r="H780" s="35">
        <v>5.2499999999999998E-2</v>
      </c>
      <c r="I780" s="67">
        <v>6.0900000000000003E-2</v>
      </c>
      <c r="J780" s="67">
        <v>0</v>
      </c>
      <c r="K780" s="67">
        <v>6.0900000000000003E-2</v>
      </c>
      <c r="L780" s="36">
        <f>+K780-((K780*0.033*0.125)+(K780*(1-0.033)*0.26))</f>
        <v>4.5337309500000006E-2</v>
      </c>
      <c r="M780" s="64">
        <v>0</v>
      </c>
      <c r="N780" s="33" t="s">
        <v>248</v>
      </c>
    </row>
    <row r="781" spans="1:14" ht="15">
      <c r="A781" s="12"/>
      <c r="B781" s="33" t="s">
        <v>139</v>
      </c>
      <c r="C781" s="92" t="s">
        <v>344</v>
      </c>
      <c r="D781" s="33" t="s">
        <v>410</v>
      </c>
      <c r="E781" s="34">
        <v>44286</v>
      </c>
      <c r="F781" s="34">
        <v>44287</v>
      </c>
      <c r="G781" s="34">
        <v>44291</v>
      </c>
      <c r="H781" s="35">
        <v>3.5000000000000003E-2</v>
      </c>
      <c r="I781" s="67">
        <v>3.7900000000000003E-2</v>
      </c>
      <c r="J781" s="67">
        <v>0</v>
      </c>
      <c r="K781" s="67">
        <v>3.7900000000000003E-2</v>
      </c>
      <c r="L781" s="36">
        <f>+K781-((K781*0.713*0.125)+(K781*(1-0.713)*0.26))</f>
        <v>3.1694064500000001E-2</v>
      </c>
      <c r="M781" s="64">
        <v>0</v>
      </c>
      <c r="N781" s="33" t="s">
        <v>248</v>
      </c>
    </row>
    <row r="782" spans="1:14" ht="15">
      <c r="A782" s="12"/>
      <c r="B782" s="33" t="s">
        <v>161</v>
      </c>
      <c r="C782" s="92" t="s">
        <v>345</v>
      </c>
      <c r="D782" s="33" t="s">
        <v>410</v>
      </c>
      <c r="E782" s="34">
        <v>44286</v>
      </c>
      <c r="F782" s="34">
        <v>44287</v>
      </c>
      <c r="G782" s="34">
        <v>44291</v>
      </c>
      <c r="H782" s="35">
        <v>3.5000000000000003E-2</v>
      </c>
      <c r="I782" s="67">
        <v>3.7699999999999997E-2</v>
      </c>
      <c r="J782" s="67">
        <v>0</v>
      </c>
      <c r="K782" s="67">
        <v>3.7699999999999997E-2</v>
      </c>
      <c r="L782" s="36">
        <f>+K782-((K782*0.713*0.125)+(K782*(1-0.713)*0.26))</f>
        <v>3.15268135E-2</v>
      </c>
      <c r="M782" s="64">
        <v>0</v>
      </c>
      <c r="N782" s="33" t="s">
        <v>248</v>
      </c>
    </row>
    <row r="783" spans="1:14" ht="15">
      <c r="A783" s="12"/>
      <c r="B783" s="33" t="s">
        <v>141</v>
      </c>
      <c r="C783" s="92" t="s">
        <v>348</v>
      </c>
      <c r="D783" s="33" t="s">
        <v>410</v>
      </c>
      <c r="E783" s="34">
        <v>44286</v>
      </c>
      <c r="F783" s="34">
        <v>44287</v>
      </c>
      <c r="G783" s="34">
        <v>44291</v>
      </c>
      <c r="H783" s="35">
        <v>4.2500000000000003E-2</v>
      </c>
      <c r="I783" s="67">
        <v>5.04E-2</v>
      </c>
      <c r="J783" s="67">
        <v>0</v>
      </c>
      <c r="K783" s="67">
        <v>5.04E-2</v>
      </c>
      <c r="L783" s="36">
        <f>+K783-((K783*0.058*0.125)+(K783*(1-0.058)*0.26))</f>
        <v>3.7690632000000002E-2</v>
      </c>
      <c r="M783" s="64">
        <v>0</v>
      </c>
      <c r="N783" s="33" t="s">
        <v>248</v>
      </c>
    </row>
    <row r="784" spans="1:14" ht="15">
      <c r="A784" s="12"/>
      <c r="B784" s="33" t="s">
        <v>140</v>
      </c>
      <c r="C784" s="92" t="s">
        <v>349</v>
      </c>
      <c r="D784" s="33" t="s">
        <v>410</v>
      </c>
      <c r="E784" s="34">
        <v>44286</v>
      </c>
      <c r="F784" s="34">
        <v>44287</v>
      </c>
      <c r="G784" s="34">
        <v>44291</v>
      </c>
      <c r="H784" s="35">
        <v>4.2500000000000003E-2</v>
      </c>
      <c r="I784" s="67">
        <v>5.16E-2</v>
      </c>
      <c r="J784" s="67">
        <v>0</v>
      </c>
      <c r="K784" s="67">
        <v>5.16E-2</v>
      </c>
      <c r="L784" s="36">
        <f>+K784-((K784*0.058*0.125)+(K784*(1-0.058)*0.26))</f>
        <v>3.8588027999999996E-2</v>
      </c>
      <c r="M784" s="64">
        <v>0</v>
      </c>
      <c r="N784" s="33" t="s">
        <v>248</v>
      </c>
    </row>
    <row r="785" spans="1:14" ht="15">
      <c r="A785" s="12"/>
      <c r="B785" s="33" t="s">
        <v>162</v>
      </c>
      <c r="C785" s="92" t="s">
        <v>350</v>
      </c>
      <c r="D785" s="33" t="s">
        <v>410</v>
      </c>
      <c r="E785" s="34">
        <v>44286</v>
      </c>
      <c r="F785" s="34">
        <v>44287</v>
      </c>
      <c r="G785" s="34">
        <v>44291</v>
      </c>
      <c r="H785" s="35">
        <v>4.2500000000000003E-2</v>
      </c>
      <c r="I785" s="67">
        <v>5.1200000000000002E-2</v>
      </c>
      <c r="J785" s="67">
        <v>0</v>
      </c>
      <c r="K785" s="67">
        <v>5.1200000000000002E-2</v>
      </c>
      <c r="L785" s="36">
        <f>+K785-((K785*0.058*0.125)+(K785*(1-0.058)*0.26))</f>
        <v>3.8288896000000003E-2</v>
      </c>
      <c r="M785" s="64">
        <v>0</v>
      </c>
      <c r="N785" s="33" t="s">
        <v>248</v>
      </c>
    </row>
    <row r="786" spans="1:14" ht="15">
      <c r="A786" s="12"/>
      <c r="B786" s="33" t="s">
        <v>302</v>
      </c>
      <c r="C786" s="92" t="s">
        <v>405</v>
      </c>
      <c r="D786" s="33" t="s">
        <v>410</v>
      </c>
      <c r="E786" s="34">
        <v>44286</v>
      </c>
      <c r="F786" s="34">
        <v>44287</v>
      </c>
      <c r="G786" s="34">
        <v>44291</v>
      </c>
      <c r="H786" s="35">
        <v>4.2500000000000003E-2</v>
      </c>
      <c r="I786" s="67">
        <v>5.2400000000000002E-2</v>
      </c>
      <c r="J786" s="67">
        <v>0</v>
      </c>
      <c r="K786" s="67">
        <v>5.2400000000000002E-2</v>
      </c>
      <c r="L786" s="36">
        <f>+K786-((K786*0.058*0.125)+(K786*(1-0.058)*0.26))</f>
        <v>3.9186292000000005E-2</v>
      </c>
      <c r="M786" s="64">
        <v>0</v>
      </c>
      <c r="N786" s="33" t="s">
        <v>248</v>
      </c>
    </row>
    <row r="787" spans="1:14" ht="15">
      <c r="A787" s="12"/>
      <c r="B787" s="33" t="s">
        <v>303</v>
      </c>
      <c r="C787" s="92" t="s">
        <v>406</v>
      </c>
      <c r="D787" s="33" t="s">
        <v>410</v>
      </c>
      <c r="E787" s="34">
        <v>44286</v>
      </c>
      <c r="F787" s="34">
        <v>44287</v>
      </c>
      <c r="G787" s="34">
        <v>44291</v>
      </c>
      <c r="H787" s="35">
        <v>4.2500000000000003E-2</v>
      </c>
      <c r="I787" s="67">
        <v>4.8399999999999999E-2</v>
      </c>
      <c r="J787" s="67">
        <v>0</v>
      </c>
      <c r="K787" s="67">
        <v>4.8399999999999999E-2</v>
      </c>
      <c r="L787" s="36">
        <f>+K787-((K787*0.058*0.125)+(K787*(1-0.058)*0.26))</f>
        <v>3.6194971999999999E-2</v>
      </c>
      <c r="M787" s="64">
        <v>0</v>
      </c>
      <c r="N787" s="33" t="s">
        <v>248</v>
      </c>
    </row>
    <row r="788" spans="1:14" ht="15">
      <c r="A788" s="12"/>
      <c r="B788" s="33" t="s">
        <v>143</v>
      </c>
      <c r="C788" s="92" t="s">
        <v>351</v>
      </c>
      <c r="D788" s="33" t="s">
        <v>410</v>
      </c>
      <c r="E788" s="34">
        <v>44286</v>
      </c>
      <c r="F788" s="34">
        <v>44287</v>
      </c>
      <c r="G788" s="34">
        <v>44291</v>
      </c>
      <c r="H788" s="35">
        <v>4.0000000000000001E-3</v>
      </c>
      <c r="I788" s="67">
        <v>5.1999999999999998E-3</v>
      </c>
      <c r="J788" s="67">
        <v>0</v>
      </c>
      <c r="K788" s="67">
        <v>5.1999999999999998E-3</v>
      </c>
      <c r="L788" s="36">
        <f>+K788-((K788*0.511*0.125)+(K788*(1-0.511)*0.26))</f>
        <v>4.2067219999999995E-3</v>
      </c>
      <c r="M788" s="64">
        <v>0</v>
      </c>
      <c r="N788" s="33" t="s">
        <v>248</v>
      </c>
    </row>
    <row r="789" spans="1:14" ht="15">
      <c r="A789" s="12"/>
      <c r="B789" s="33" t="s">
        <v>145</v>
      </c>
      <c r="C789" s="92" t="s">
        <v>352</v>
      </c>
      <c r="D789" s="33" t="s">
        <v>410</v>
      </c>
      <c r="E789" s="34">
        <v>44286</v>
      </c>
      <c r="F789" s="34">
        <v>44287</v>
      </c>
      <c r="G789" s="34">
        <v>44291</v>
      </c>
      <c r="H789" s="35">
        <v>4.4999999999999997E-3</v>
      </c>
      <c r="I789" s="67">
        <v>5.7999999999999996E-3</v>
      </c>
      <c r="J789" s="67">
        <v>0</v>
      </c>
      <c r="K789" s="67">
        <v>5.7999999999999996E-3</v>
      </c>
      <c r="L789" s="36">
        <f>+K789-((K789*0.002*0.125)+(K789*(1-0.002)*0.26))</f>
        <v>4.2935659999999995E-3</v>
      </c>
      <c r="M789" s="64">
        <v>0</v>
      </c>
      <c r="N789" s="33" t="s">
        <v>248</v>
      </c>
    </row>
    <row r="790" spans="1:14" ht="15">
      <c r="A790" s="12"/>
      <c r="B790" s="33" t="s">
        <v>144</v>
      </c>
      <c r="C790" s="92" t="s">
        <v>353</v>
      </c>
      <c r="D790" s="33" t="s">
        <v>410</v>
      </c>
      <c r="E790" s="34">
        <v>44286</v>
      </c>
      <c r="F790" s="34">
        <v>44287</v>
      </c>
      <c r="G790" s="34">
        <v>44291</v>
      </c>
      <c r="H790" s="35">
        <v>2E-3</v>
      </c>
      <c r="I790" s="67">
        <v>2.5999999999999999E-3</v>
      </c>
      <c r="J790" s="67">
        <v>0</v>
      </c>
      <c r="K790" s="67">
        <v>2.5999999999999999E-3</v>
      </c>
      <c r="L790" s="36">
        <f>+K790-((K790*0.885*0.125)+(K790*(1-0.885)*0.26))</f>
        <v>2.234635E-3</v>
      </c>
      <c r="M790" s="64">
        <v>0</v>
      </c>
      <c r="N790" s="33" t="s">
        <v>248</v>
      </c>
    </row>
    <row r="791" spans="1:14" ht="15">
      <c r="A791" s="12"/>
      <c r="B791" s="33" t="s">
        <v>148</v>
      </c>
      <c r="C791" s="92" t="s">
        <v>362</v>
      </c>
      <c r="D791" s="33" t="s">
        <v>410</v>
      </c>
      <c r="E791" s="34">
        <v>44286</v>
      </c>
      <c r="F791" s="34">
        <v>44287</v>
      </c>
      <c r="G791" s="34">
        <v>44291</v>
      </c>
      <c r="H791" s="35">
        <v>1.4999999999999999E-2</v>
      </c>
      <c r="I791" s="67">
        <v>1.8700000000000001E-2</v>
      </c>
      <c r="J791" s="67">
        <v>0</v>
      </c>
      <c r="K791" s="67">
        <v>1.8700000000000001E-2</v>
      </c>
      <c r="L791" s="36">
        <f>+K791-((K791*0.458*0.125)+(K791*(1-0.458)*0.26))</f>
        <v>1.4994221000000002E-2</v>
      </c>
      <c r="M791" s="64">
        <v>0</v>
      </c>
      <c r="N791" s="33" t="s">
        <v>248</v>
      </c>
    </row>
    <row r="792" spans="1:14" ht="15">
      <c r="A792" s="12"/>
      <c r="B792" s="33" t="s">
        <v>200</v>
      </c>
      <c r="C792" s="92" t="s">
        <v>365</v>
      </c>
      <c r="D792" s="33" t="s">
        <v>410</v>
      </c>
      <c r="E792" s="34">
        <v>44286</v>
      </c>
      <c r="F792" s="34">
        <v>44287</v>
      </c>
      <c r="G792" s="34">
        <v>44291</v>
      </c>
      <c r="H792" s="35">
        <v>1.4999999999999999E-2</v>
      </c>
      <c r="I792" s="67">
        <v>0.37040000000000001</v>
      </c>
      <c r="J792" s="67">
        <v>0</v>
      </c>
      <c r="K792" s="67">
        <v>0.37040000000000001</v>
      </c>
      <c r="L792" s="36">
        <f>+K792-((K792*0.458*0.125)+(K792*(1-0.458)*0.26))</f>
        <v>0.29699783200000002</v>
      </c>
      <c r="M792" s="64">
        <v>0</v>
      </c>
      <c r="N792" s="33" t="s">
        <v>248</v>
      </c>
    </row>
    <row r="793" spans="1:14" ht="15">
      <c r="A793" s="12"/>
      <c r="B793" s="33" t="s">
        <v>173</v>
      </c>
      <c r="C793" s="92" t="s">
        <v>372</v>
      </c>
      <c r="D793" s="33" t="s">
        <v>410</v>
      </c>
      <c r="E793" s="34">
        <v>44286</v>
      </c>
      <c r="F793" s="34">
        <v>44287</v>
      </c>
      <c r="G793" s="34">
        <v>44291</v>
      </c>
      <c r="H793" s="35">
        <v>0.01</v>
      </c>
      <c r="I793" s="67">
        <v>1.38E-2</v>
      </c>
      <c r="J793" s="67">
        <v>0</v>
      </c>
      <c r="K793" s="67">
        <v>1.38E-2</v>
      </c>
      <c r="L793" s="36">
        <f>+K793-((K793*0.329*0.125)+(K793*(1-0.329)*0.26))</f>
        <v>1.0824927E-2</v>
      </c>
      <c r="M793" s="64">
        <v>0</v>
      </c>
      <c r="N793" s="33" t="s">
        <v>248</v>
      </c>
    </row>
    <row r="794" spans="1:14" ht="15">
      <c r="A794" s="12"/>
      <c r="B794" s="33" t="s">
        <v>150</v>
      </c>
      <c r="C794" s="92" t="s">
        <v>377</v>
      </c>
      <c r="D794" s="33" t="s">
        <v>410</v>
      </c>
      <c r="E794" s="34">
        <v>44286</v>
      </c>
      <c r="F794" s="34">
        <v>44287</v>
      </c>
      <c r="G794" s="34">
        <v>44291</v>
      </c>
      <c r="H794" s="35">
        <v>2.5000000000000001E-2</v>
      </c>
      <c r="I794" s="67">
        <v>3.5400000000000001E-2</v>
      </c>
      <c r="J794" s="67">
        <v>0</v>
      </c>
      <c r="K794" s="67">
        <v>3.5400000000000001E-2</v>
      </c>
      <c r="L794" s="36">
        <f>+K794-((K794*0.002*0.125)+(K794*(1-0.002)*0.26))</f>
        <v>2.6205558000000004E-2</v>
      </c>
      <c r="M794" s="64">
        <v>0</v>
      </c>
      <c r="N794" s="33" t="s">
        <v>248</v>
      </c>
    </row>
    <row r="795" spans="1:14" ht="15">
      <c r="A795" s="12"/>
      <c r="B795" s="33" t="s">
        <v>510</v>
      </c>
      <c r="C795" s="92" t="s">
        <v>509</v>
      </c>
      <c r="D795" s="33" t="s">
        <v>410</v>
      </c>
      <c r="E795" s="34">
        <v>44286</v>
      </c>
      <c r="F795" s="34">
        <v>44287</v>
      </c>
      <c r="G795" s="34">
        <v>44291</v>
      </c>
      <c r="H795" s="35">
        <v>2.5000000000000001E-2</v>
      </c>
      <c r="I795" s="67">
        <v>3.15E-2</v>
      </c>
      <c r="J795" s="67">
        <v>0</v>
      </c>
      <c r="K795" s="67">
        <v>3.15E-2</v>
      </c>
      <c r="L795" s="36">
        <f>+K795-((K795*0.002*0.125)+(K795*(1-0.002)*0.26))</f>
        <v>2.3318505000000003E-2</v>
      </c>
      <c r="M795" s="64">
        <v>0</v>
      </c>
      <c r="N795" s="33" t="s">
        <v>248</v>
      </c>
    </row>
    <row r="796" spans="1:14" ht="15">
      <c r="A796" s="12"/>
      <c r="B796" s="33" t="s">
        <v>441</v>
      </c>
      <c r="C796" s="92" t="s">
        <v>444</v>
      </c>
      <c r="D796" s="33" t="s">
        <v>410</v>
      </c>
      <c r="E796" s="34">
        <v>44286</v>
      </c>
      <c r="F796" s="34">
        <v>44287</v>
      </c>
      <c r="G796" s="34">
        <v>44291</v>
      </c>
      <c r="H796" s="35">
        <v>7.4999999999999997E-3</v>
      </c>
      <c r="I796" s="67">
        <v>8.6E-3</v>
      </c>
      <c r="J796" s="67">
        <v>0</v>
      </c>
      <c r="K796" s="67">
        <v>8.6E-3</v>
      </c>
      <c r="L796" s="36">
        <f>+K796-((K796*0.363*0.125)+(K796*(1-0.363)*0.26))</f>
        <v>6.7854430000000004E-3</v>
      </c>
      <c r="M796" s="64">
        <v>0</v>
      </c>
      <c r="N796" s="33" t="s">
        <v>248</v>
      </c>
    </row>
    <row r="797" spans="1:14" ht="15">
      <c r="A797" s="12"/>
      <c r="B797" s="33" t="s">
        <v>440</v>
      </c>
      <c r="C797" s="92" t="s">
        <v>443</v>
      </c>
      <c r="D797" s="33" t="s">
        <v>410</v>
      </c>
      <c r="E797" s="34">
        <v>44286</v>
      </c>
      <c r="F797" s="34">
        <v>44287</v>
      </c>
      <c r="G797" s="34">
        <v>44291</v>
      </c>
      <c r="H797" s="35">
        <v>7.4999999999999997E-3</v>
      </c>
      <c r="I797" s="67">
        <v>0.17530000000000001</v>
      </c>
      <c r="J797" s="67">
        <v>0</v>
      </c>
      <c r="K797" s="67">
        <v>0.17530000000000001</v>
      </c>
      <c r="L797" s="36">
        <f>+K797-((K797*0.363*0.125)+(K797*(1-0.363)*0.26))</f>
        <v>0.13831257650000001</v>
      </c>
      <c r="M797" s="64">
        <v>0</v>
      </c>
      <c r="N797" s="33" t="s">
        <v>248</v>
      </c>
    </row>
    <row r="798" spans="1:14" ht="15">
      <c r="A798" s="12"/>
      <c r="B798" s="33" t="s">
        <v>299</v>
      </c>
      <c r="C798" s="92" t="s">
        <v>517</v>
      </c>
      <c r="D798" s="33" t="s">
        <v>410</v>
      </c>
      <c r="E798" s="34">
        <v>44286</v>
      </c>
      <c r="F798" s="34">
        <v>44287</v>
      </c>
      <c r="G798" s="34">
        <v>44291</v>
      </c>
      <c r="H798" s="35">
        <v>1.2E-2</v>
      </c>
      <c r="I798" s="67">
        <v>1.4800000000000001E-2</v>
      </c>
      <c r="J798" s="67">
        <v>0</v>
      </c>
      <c r="K798" s="67">
        <v>1.4800000000000001E-2</v>
      </c>
      <c r="L798" s="36">
        <f>+K798-((K798*0.334*0.125)+(K798*(1-0.334)*0.26))</f>
        <v>1.1619332E-2</v>
      </c>
      <c r="M798" s="64">
        <v>0</v>
      </c>
      <c r="N798" s="33" t="s">
        <v>248</v>
      </c>
    </row>
    <row r="799" spans="1:14" ht="15">
      <c r="A799" s="12"/>
      <c r="B799" s="33" t="s">
        <v>182</v>
      </c>
      <c r="C799" s="92" t="s">
        <v>477</v>
      </c>
      <c r="D799" s="33" t="s">
        <v>410</v>
      </c>
      <c r="E799" s="34">
        <v>44286</v>
      </c>
      <c r="F799" s="34">
        <v>44287</v>
      </c>
      <c r="G799" s="34">
        <v>44291</v>
      </c>
      <c r="H799" s="35">
        <v>1.2E-2</v>
      </c>
      <c r="I799" s="67">
        <v>0.28910000000000002</v>
      </c>
      <c r="J799" s="67">
        <v>0</v>
      </c>
      <c r="K799" s="67">
        <v>0.28910000000000002</v>
      </c>
      <c r="L799" s="36">
        <f>+K799-((K799*0.334*0.125)+(K799*(1-0.334)*0.26))</f>
        <v>0.22696951900000001</v>
      </c>
      <c r="M799" s="64">
        <v>0</v>
      </c>
      <c r="N799" s="33" t="s">
        <v>248</v>
      </c>
    </row>
    <row r="800" spans="1:14" ht="15">
      <c r="A800" s="12"/>
      <c r="B800" s="33" t="s">
        <v>202</v>
      </c>
      <c r="C800" s="92" t="s">
        <v>478</v>
      </c>
      <c r="D800" s="33" t="s">
        <v>410</v>
      </c>
      <c r="E800" s="34">
        <v>44286</v>
      </c>
      <c r="F800" s="34">
        <v>44287</v>
      </c>
      <c r="G800" s="34">
        <v>44291</v>
      </c>
      <c r="H800" s="35">
        <v>1.2E-2</v>
      </c>
      <c r="I800" s="67">
        <v>0.29270000000000002</v>
      </c>
      <c r="J800" s="67">
        <v>0</v>
      </c>
      <c r="K800" s="67">
        <v>0.29270000000000002</v>
      </c>
      <c r="L800" s="36">
        <f>+K800-((K800*0.334*0.125)+(K800*(1-0.334)*0.26))</f>
        <v>0.22979584300000003</v>
      </c>
      <c r="M800" s="64">
        <v>0</v>
      </c>
      <c r="N800" s="33" t="s">
        <v>248</v>
      </c>
    </row>
    <row r="801" spans="1:14" ht="15">
      <c r="A801" s="12"/>
      <c r="B801" s="33" t="s">
        <v>146</v>
      </c>
      <c r="C801" s="92" t="s">
        <v>380</v>
      </c>
      <c r="D801" s="33" t="s">
        <v>410</v>
      </c>
      <c r="E801" s="34">
        <v>44286</v>
      </c>
      <c r="F801" s="34">
        <v>44287</v>
      </c>
      <c r="G801" s="34">
        <v>44291</v>
      </c>
      <c r="H801" s="35">
        <v>0.03</v>
      </c>
      <c r="I801" s="67">
        <v>4.6300000000000001E-2</v>
      </c>
      <c r="J801" s="67">
        <v>0</v>
      </c>
      <c r="K801" s="67">
        <v>4.6300000000000001E-2</v>
      </c>
      <c r="L801" s="36">
        <f>+K801-((K801*0.009*0.125)+(K801*(1-0.009)*0.26))</f>
        <v>3.4318254499999999E-2</v>
      </c>
      <c r="M801" s="64">
        <v>0</v>
      </c>
      <c r="N801" s="33" t="s">
        <v>248</v>
      </c>
    </row>
    <row r="802" spans="1:14" ht="15">
      <c r="A802" s="12"/>
      <c r="B802" s="33" t="s">
        <v>163</v>
      </c>
      <c r="C802" s="92" t="s">
        <v>381</v>
      </c>
      <c r="D802" s="33" t="s">
        <v>410</v>
      </c>
      <c r="E802" s="34">
        <v>44286</v>
      </c>
      <c r="F802" s="34">
        <v>44287</v>
      </c>
      <c r="G802" s="34">
        <v>44291</v>
      </c>
      <c r="H802" s="35">
        <v>0.03</v>
      </c>
      <c r="I802" s="67">
        <v>4.1700000000000001E-2</v>
      </c>
      <c r="J802" s="67">
        <v>0</v>
      </c>
      <c r="K802" s="67">
        <v>4.1700000000000001E-2</v>
      </c>
      <c r="L802" s="36">
        <f>+K802-((K802*0.009*0.125)+(K802*(1-0.009)*0.26))</f>
        <v>3.0908665500000002E-2</v>
      </c>
      <c r="M802" s="64">
        <v>0</v>
      </c>
      <c r="N802" s="33" t="s">
        <v>248</v>
      </c>
    </row>
    <row r="803" spans="1:14" ht="15">
      <c r="A803" s="12"/>
      <c r="B803" s="33" t="s">
        <v>151</v>
      </c>
      <c r="C803" s="92" t="s">
        <v>383</v>
      </c>
      <c r="D803" s="33" t="s">
        <v>410</v>
      </c>
      <c r="E803" s="34">
        <v>44286</v>
      </c>
      <c r="F803" s="34">
        <v>44287</v>
      </c>
      <c r="G803" s="34">
        <v>44291</v>
      </c>
      <c r="H803" s="35">
        <v>2.5000000000000001E-2</v>
      </c>
      <c r="I803" s="67">
        <v>3.09E-2</v>
      </c>
      <c r="J803" s="67">
        <v>0</v>
      </c>
      <c r="K803" s="67">
        <v>3.09E-2</v>
      </c>
      <c r="L803" s="36">
        <f>+K803-((K803*0.052*0.125)+(K803*(1-0.052)*0.26))</f>
        <v>2.3082918000000001E-2</v>
      </c>
      <c r="M803" s="64">
        <v>0</v>
      </c>
      <c r="N803" s="33" t="s">
        <v>248</v>
      </c>
    </row>
    <row r="804" spans="1:14" ht="15">
      <c r="A804" s="12"/>
      <c r="B804" s="33" t="s">
        <v>166</v>
      </c>
      <c r="C804" s="92" t="s">
        <v>384</v>
      </c>
      <c r="D804" s="33" t="s">
        <v>410</v>
      </c>
      <c r="E804" s="34">
        <v>44286</v>
      </c>
      <c r="F804" s="34">
        <v>44287</v>
      </c>
      <c r="G804" s="34">
        <v>44291</v>
      </c>
      <c r="H804" s="35">
        <v>2.5000000000000001E-2</v>
      </c>
      <c r="I804" s="67">
        <v>3.0700000000000002E-2</v>
      </c>
      <c r="J804" s="67">
        <v>0</v>
      </c>
      <c r="K804" s="67">
        <v>3.0700000000000002E-2</v>
      </c>
      <c r="L804" s="36">
        <f>+K804-((K804*0.052*0.125)+(K804*(1-0.052)*0.26))</f>
        <v>2.2933514000000002E-2</v>
      </c>
      <c r="M804" s="64">
        <v>0</v>
      </c>
      <c r="N804" s="33" t="s">
        <v>248</v>
      </c>
    </row>
    <row r="805" spans="1:14" ht="15">
      <c r="A805" s="12"/>
      <c r="B805" s="33" t="s">
        <v>149</v>
      </c>
      <c r="C805" s="92" t="s">
        <v>386</v>
      </c>
      <c r="D805" s="33" t="s">
        <v>410</v>
      </c>
      <c r="E805" s="34">
        <v>44286</v>
      </c>
      <c r="F805" s="34">
        <v>44287</v>
      </c>
      <c r="G805" s="34">
        <v>44291</v>
      </c>
      <c r="H805" s="35">
        <v>3.5000000000000003E-2</v>
      </c>
      <c r="I805" s="67">
        <v>4.6899999999999997E-2</v>
      </c>
      <c r="J805" s="67">
        <v>0</v>
      </c>
      <c r="K805" s="67">
        <v>4.6899999999999997E-2</v>
      </c>
      <c r="L805" s="36">
        <f>+K805-((K805*0.0075*0.125)+(K805*(1-0.0075)*0.26))</f>
        <v>3.4753486249999993E-2</v>
      </c>
      <c r="M805" s="64">
        <v>0</v>
      </c>
      <c r="N805" s="33" t="s">
        <v>248</v>
      </c>
    </row>
    <row r="806" spans="1:14" ht="15">
      <c r="A806" s="12"/>
      <c r="B806" s="33" t="s">
        <v>165</v>
      </c>
      <c r="C806" s="92" t="s">
        <v>387</v>
      </c>
      <c r="D806" s="33" t="s">
        <v>410</v>
      </c>
      <c r="E806" s="34">
        <v>44286</v>
      </c>
      <c r="F806" s="34">
        <v>44287</v>
      </c>
      <c r="G806" s="34">
        <v>44291</v>
      </c>
      <c r="H806" s="35">
        <v>3.5000000000000003E-2</v>
      </c>
      <c r="I806" s="67">
        <v>4.41E-2</v>
      </c>
      <c r="J806" s="67">
        <v>0</v>
      </c>
      <c r="K806" s="67">
        <v>4.41E-2</v>
      </c>
      <c r="L806" s="36">
        <f>+K806-((K806*0.0075*0.125)+(K806*(1-0.0075)*0.26))</f>
        <v>3.2678651249999996E-2</v>
      </c>
      <c r="M806" s="64">
        <v>0</v>
      </c>
      <c r="N806" s="33" t="s">
        <v>248</v>
      </c>
    </row>
    <row r="807" spans="1:14" ht="15">
      <c r="A807" s="12"/>
      <c r="B807" s="33" t="s">
        <v>153</v>
      </c>
      <c r="C807" s="92" t="s">
        <v>394</v>
      </c>
      <c r="D807" s="33" t="s">
        <v>410</v>
      </c>
      <c r="E807" s="34">
        <v>44286</v>
      </c>
      <c r="F807" s="34">
        <v>44287</v>
      </c>
      <c r="G807" s="34">
        <v>44291</v>
      </c>
      <c r="H807" s="35">
        <v>1.4E-2</v>
      </c>
      <c r="I807" s="67">
        <v>1.7399999999999999E-2</v>
      </c>
      <c r="J807" s="67">
        <v>0</v>
      </c>
      <c r="K807" s="67">
        <v>1.7399999999999999E-2</v>
      </c>
      <c r="L807" s="36">
        <f>+K807-((K807*0.118*0.125)+(K807*(1-0.118)*0.26))</f>
        <v>1.3153181999999999E-2</v>
      </c>
      <c r="M807" s="64">
        <v>0</v>
      </c>
      <c r="N807" s="33" t="s">
        <v>248</v>
      </c>
    </row>
    <row r="808" spans="1:14" ht="15">
      <c r="A808" s="12"/>
      <c r="B808" s="33" t="s">
        <v>152</v>
      </c>
      <c r="C808" s="92" t="s">
        <v>395</v>
      </c>
      <c r="D808" s="33" t="s">
        <v>410</v>
      </c>
      <c r="E808" s="34">
        <v>44286</v>
      </c>
      <c r="F808" s="34">
        <v>44287</v>
      </c>
      <c r="G808" s="34">
        <v>44291</v>
      </c>
      <c r="H808" s="35">
        <v>1.4E-2</v>
      </c>
      <c r="I808" s="67">
        <v>2.1899999999999999E-2</v>
      </c>
      <c r="J808" s="67">
        <v>0</v>
      </c>
      <c r="K808" s="67">
        <v>2.1899999999999999E-2</v>
      </c>
      <c r="L808" s="36">
        <f>+K808-((K808*0.118*0.125)+(K808*(1-0.118)*0.26))</f>
        <v>1.6554866999999997E-2</v>
      </c>
      <c r="M808" s="64">
        <v>0</v>
      </c>
      <c r="N808" s="33" t="s">
        <v>248</v>
      </c>
    </row>
    <row r="809" spans="1:14" ht="15">
      <c r="A809" s="12"/>
      <c r="B809" s="33" t="s">
        <v>167</v>
      </c>
      <c r="C809" s="92" t="s">
        <v>396</v>
      </c>
      <c r="D809" s="33" t="s">
        <v>410</v>
      </c>
      <c r="E809" s="34">
        <v>44286</v>
      </c>
      <c r="F809" s="34">
        <v>44287</v>
      </c>
      <c r="G809" s="34">
        <v>44291</v>
      </c>
      <c r="H809" s="35">
        <v>1.4E-2</v>
      </c>
      <c r="I809" s="67">
        <v>2.1000000000000001E-2</v>
      </c>
      <c r="J809" s="67">
        <v>0</v>
      </c>
      <c r="K809" s="67">
        <v>2.1000000000000001E-2</v>
      </c>
      <c r="L809" s="36">
        <f>+K809-((K809*0.118*0.125)+(K809*(1-0.118)*0.26))</f>
        <v>1.5874530000000001E-2</v>
      </c>
      <c r="M809" s="64">
        <v>0</v>
      </c>
      <c r="N809" s="33" t="s">
        <v>248</v>
      </c>
    </row>
    <row r="810" spans="1:14" ht="15">
      <c r="A810" s="12"/>
      <c r="B810" s="33" t="s">
        <v>301</v>
      </c>
      <c r="C810" s="92" t="s">
        <v>407</v>
      </c>
      <c r="D810" s="33" t="s">
        <v>410</v>
      </c>
      <c r="E810" s="34">
        <v>44286</v>
      </c>
      <c r="F810" s="34">
        <v>44287</v>
      </c>
      <c r="G810" s="34">
        <v>44291</v>
      </c>
      <c r="H810" s="35">
        <v>1.4E-2</v>
      </c>
      <c r="I810" s="67">
        <v>1.6500000000000001E-2</v>
      </c>
      <c r="J810" s="67">
        <v>0</v>
      </c>
      <c r="K810" s="67">
        <v>1.6500000000000001E-2</v>
      </c>
      <c r="L810" s="36">
        <f>+K810-((K810*0.118*0.125)+(K810*(1-0.118)*0.26))</f>
        <v>1.2472845E-2</v>
      </c>
      <c r="M810" s="64">
        <v>0</v>
      </c>
      <c r="N810" s="33" t="s">
        <v>248</v>
      </c>
    </row>
    <row r="811" spans="1:14" ht="15">
      <c r="A811" s="12"/>
      <c r="B811" s="33" t="s">
        <v>304</v>
      </c>
      <c r="C811" s="92" t="s">
        <v>408</v>
      </c>
      <c r="D811" s="33" t="s">
        <v>410</v>
      </c>
      <c r="E811" s="34">
        <v>44286</v>
      </c>
      <c r="F811" s="34">
        <v>44287</v>
      </c>
      <c r="G811" s="34">
        <v>44291</v>
      </c>
      <c r="H811" s="35">
        <v>0.01</v>
      </c>
      <c r="I811" s="67">
        <v>1.2699999999999999E-2</v>
      </c>
      <c r="J811" s="67">
        <v>0</v>
      </c>
      <c r="K811" s="67">
        <v>1.2699999999999999E-2</v>
      </c>
      <c r="L811" s="36">
        <f>+K811-((K811*0.135*0.125)+(K811*(1-0.135)*0.26))</f>
        <v>9.629457499999999E-3</v>
      </c>
      <c r="M811" s="64">
        <v>0</v>
      </c>
      <c r="N811" s="33" t="s">
        <v>248</v>
      </c>
    </row>
    <row r="812" spans="1:14" ht="15">
      <c r="A812" s="12"/>
      <c r="B812" s="33" t="s">
        <v>183</v>
      </c>
      <c r="C812" s="92" t="s">
        <v>398</v>
      </c>
      <c r="D812" s="33" t="s">
        <v>410</v>
      </c>
      <c r="E812" s="34">
        <v>44286</v>
      </c>
      <c r="F812" s="34">
        <v>44287</v>
      </c>
      <c r="G812" s="34">
        <v>44291</v>
      </c>
      <c r="H812" s="35">
        <v>0.01</v>
      </c>
      <c r="I812" s="67">
        <v>1.2699999999999999E-2</v>
      </c>
      <c r="J812" s="67">
        <v>0</v>
      </c>
      <c r="K812" s="67">
        <v>1.2699999999999999E-2</v>
      </c>
      <c r="L812" s="36">
        <f>+K812-((K812*0.135*0.125)+(K812*(1-0.135)*0.26))</f>
        <v>9.629457499999999E-3</v>
      </c>
      <c r="M812" s="64">
        <v>0</v>
      </c>
      <c r="N812" s="33" t="s">
        <v>248</v>
      </c>
    </row>
    <row r="813" spans="1:14" ht="15">
      <c r="A813" s="12"/>
      <c r="B813" s="33" t="s">
        <v>305</v>
      </c>
      <c r="C813" s="92" t="s">
        <v>409</v>
      </c>
      <c r="D813" s="33" t="s">
        <v>410</v>
      </c>
      <c r="E813" s="34">
        <v>44286</v>
      </c>
      <c r="F813" s="34">
        <v>44287</v>
      </c>
      <c r="G813" s="34">
        <v>44291</v>
      </c>
      <c r="H813" s="35">
        <v>0.01</v>
      </c>
      <c r="I813" s="67">
        <v>1.2800000000000001E-2</v>
      </c>
      <c r="J813" s="67">
        <v>0</v>
      </c>
      <c r="K813" s="67">
        <v>1.2800000000000001E-2</v>
      </c>
      <c r="L813" s="36">
        <f>+K813-((K813*0.135*0.125)+(K813*(1-0.135)*0.26))</f>
        <v>9.7052800000000002E-3</v>
      </c>
      <c r="M813" s="64">
        <v>0</v>
      </c>
      <c r="N813" s="33" t="s">
        <v>248</v>
      </c>
    </row>
    <row r="814" spans="1:14" ht="15">
      <c r="A814" s="12"/>
      <c r="B814" s="33" t="s">
        <v>147</v>
      </c>
      <c r="C814" s="92" t="s">
        <v>466</v>
      </c>
      <c r="D814" s="33" t="s">
        <v>410</v>
      </c>
      <c r="E814" s="34">
        <v>44286</v>
      </c>
      <c r="F814" s="34">
        <v>44287</v>
      </c>
      <c r="G814" s="34">
        <v>44291</v>
      </c>
      <c r="H814" s="35">
        <v>0.03</v>
      </c>
      <c r="I814" s="67">
        <v>4.1399999999999999E-2</v>
      </c>
      <c r="J814" s="67">
        <v>0</v>
      </c>
      <c r="K814" s="67">
        <v>4.1399999999999999E-2</v>
      </c>
      <c r="L814" s="36">
        <f>+K814-((K814*0.16*0.125)+(K814*(1-0.16)*0.26))</f>
        <v>3.1530240000000001E-2</v>
      </c>
      <c r="M814" s="64">
        <v>0</v>
      </c>
      <c r="N814" s="33" t="s">
        <v>248</v>
      </c>
    </row>
    <row r="815" spans="1:14" ht="15">
      <c r="A815" s="12"/>
      <c r="B815" s="33" t="s">
        <v>164</v>
      </c>
      <c r="C815" s="92" t="s">
        <v>467</v>
      </c>
      <c r="D815" s="33" t="s">
        <v>410</v>
      </c>
      <c r="E815" s="34">
        <v>44286</v>
      </c>
      <c r="F815" s="34">
        <v>44287</v>
      </c>
      <c r="G815" s="34">
        <v>44291</v>
      </c>
      <c r="H815" s="35">
        <v>0.03</v>
      </c>
      <c r="I815" s="67">
        <v>3.8800000000000001E-2</v>
      </c>
      <c r="J815" s="67">
        <v>0</v>
      </c>
      <c r="K815" s="67">
        <v>3.8800000000000001E-2</v>
      </c>
      <c r="L815" s="36">
        <f>+K815-((K815*0.16*0.125)+(K815*(1-0.16)*0.26))</f>
        <v>2.9550079999999999E-2</v>
      </c>
      <c r="M815" s="64">
        <v>0</v>
      </c>
      <c r="N815" s="33" t="s">
        <v>248</v>
      </c>
    </row>
    <row r="816" spans="1:14" ht="15">
      <c r="A816" s="12"/>
      <c r="B816" s="33" t="s">
        <v>132</v>
      </c>
      <c r="C816" s="92" t="s">
        <v>358</v>
      </c>
      <c r="D816" s="33" t="s">
        <v>410</v>
      </c>
      <c r="E816" s="34">
        <v>44312</v>
      </c>
      <c r="F816" s="34">
        <v>44313</v>
      </c>
      <c r="G816" s="34">
        <v>44316</v>
      </c>
      <c r="H816" s="35">
        <v>0.03</v>
      </c>
      <c r="I816" s="67">
        <v>3.6499999999999998E-2</v>
      </c>
      <c r="J816" s="67">
        <v>0</v>
      </c>
      <c r="K816" s="67">
        <v>3.6499999999999998E-2</v>
      </c>
      <c r="L816" s="36">
        <f>+K816-((K816*0.282*0.125)+(K816*(1-0.282)*0.26))</f>
        <v>2.8399555E-2</v>
      </c>
      <c r="M816" s="64">
        <v>0</v>
      </c>
      <c r="N816" s="33" t="s">
        <v>249</v>
      </c>
    </row>
    <row r="817" spans="1:14" ht="15">
      <c r="A817" s="12"/>
      <c r="B817" s="33" t="s">
        <v>227</v>
      </c>
      <c r="C817" s="92" t="s">
        <v>359</v>
      </c>
      <c r="D817" s="33" t="s">
        <v>410</v>
      </c>
      <c r="E817" s="34">
        <v>44312</v>
      </c>
      <c r="F817" s="34">
        <v>44313</v>
      </c>
      <c r="G817" s="34">
        <v>44316</v>
      </c>
      <c r="H817" s="35">
        <v>0.03</v>
      </c>
      <c r="I817" s="67">
        <v>3.6200000000000003E-2</v>
      </c>
      <c r="J817" s="67">
        <v>0</v>
      </c>
      <c r="K817" s="67">
        <v>3.6200000000000003E-2</v>
      </c>
      <c r="L817" s="36">
        <f>+K817-((K817*0.282*0.125)+(K817*(1-0.282)*0.26))</f>
        <v>2.8166134000000002E-2</v>
      </c>
      <c r="M817" s="64">
        <v>0</v>
      </c>
      <c r="N817" s="33" t="s">
        <v>249</v>
      </c>
    </row>
    <row r="818" spans="1:14" ht="15">
      <c r="A818" s="12"/>
      <c r="B818" s="33" t="s">
        <v>133</v>
      </c>
      <c r="C818" s="92" t="s">
        <v>474</v>
      </c>
      <c r="D818" s="33" t="s">
        <v>410</v>
      </c>
      <c r="E818" s="34">
        <v>44312</v>
      </c>
      <c r="F818" s="34">
        <v>44313</v>
      </c>
      <c r="G818" s="34">
        <v>44316</v>
      </c>
      <c r="H818" s="35">
        <v>3.5000000000000003E-2</v>
      </c>
      <c r="I818" s="67">
        <v>3.5200000000000002E-2</v>
      </c>
      <c r="J818" s="67">
        <v>0</v>
      </c>
      <c r="K818" s="67">
        <v>3.5200000000000002E-2</v>
      </c>
      <c r="L818" s="36">
        <f>+K818-((K818*0.003*0.125)+(K818*(1-0.003)*0.26))</f>
        <v>2.6062255999999999E-2</v>
      </c>
      <c r="M818" s="64">
        <v>0</v>
      </c>
      <c r="N818" s="33" t="s">
        <v>249</v>
      </c>
    </row>
    <row r="819" spans="1:14" ht="15">
      <c r="A819" s="12"/>
      <c r="B819" s="33" t="s">
        <v>134</v>
      </c>
      <c r="C819" s="92" t="s">
        <v>374</v>
      </c>
      <c r="D819" s="33" t="s">
        <v>410</v>
      </c>
      <c r="E819" s="34">
        <v>44312</v>
      </c>
      <c r="F819" s="34">
        <v>44313</v>
      </c>
      <c r="G819" s="34">
        <v>44316</v>
      </c>
      <c r="H819" s="35">
        <v>0.04</v>
      </c>
      <c r="I819" s="67">
        <v>4.8300000000000003E-2</v>
      </c>
      <c r="J819" s="67">
        <v>0</v>
      </c>
      <c r="K819" s="67">
        <v>4.8300000000000003E-2</v>
      </c>
      <c r="L819" s="36">
        <f>+K819-((K819*0.248*0.125)+(K819*(1-0.248)*0.26))</f>
        <v>3.7359084000000001E-2</v>
      </c>
      <c r="M819" s="64">
        <v>0</v>
      </c>
      <c r="N819" s="33" t="s">
        <v>249</v>
      </c>
    </row>
    <row r="820" spans="1:14" ht="15">
      <c r="A820" s="12"/>
      <c r="B820" s="33" t="s">
        <v>168</v>
      </c>
      <c r="C820" s="92" t="s">
        <v>376</v>
      </c>
      <c r="D820" s="33" t="s">
        <v>410</v>
      </c>
      <c r="E820" s="34">
        <v>44312</v>
      </c>
      <c r="F820" s="34">
        <v>44313</v>
      </c>
      <c r="G820" s="34">
        <v>44316</v>
      </c>
      <c r="H820" s="35">
        <v>0.04</v>
      </c>
      <c r="I820" s="67">
        <v>4.48E-2</v>
      </c>
      <c r="J820" s="67">
        <v>0</v>
      </c>
      <c r="K820" s="67">
        <v>4.48E-2</v>
      </c>
      <c r="L820" s="36">
        <f>+K820-((K820*0.248*0.125)+(K820*(1-0.248)*0.26))</f>
        <v>3.4651903999999997E-2</v>
      </c>
      <c r="M820" s="64">
        <v>0</v>
      </c>
      <c r="N820" s="33" t="s">
        <v>249</v>
      </c>
    </row>
    <row r="821" spans="1:14" ht="15">
      <c r="A821" s="12"/>
      <c r="B821" s="33" t="s">
        <v>136</v>
      </c>
      <c r="C821" s="92" t="s">
        <v>388</v>
      </c>
      <c r="D821" s="33" t="s">
        <v>410</v>
      </c>
      <c r="E821" s="34">
        <v>44312</v>
      </c>
      <c r="F821" s="34">
        <v>44313</v>
      </c>
      <c r="G821" s="34">
        <v>44316</v>
      </c>
      <c r="H821" s="35">
        <v>0.03</v>
      </c>
      <c r="I821" s="67">
        <v>3.61E-2</v>
      </c>
      <c r="J821" s="67">
        <v>0</v>
      </c>
      <c r="K821" s="67">
        <v>3.61E-2</v>
      </c>
      <c r="L821" s="36">
        <f t="shared" ref="L821:L826" si="29">+K821-((K821*0.078*0.125)+(K821*(1-0.078)*0.26))</f>
        <v>2.7094132999999999E-2</v>
      </c>
      <c r="M821" s="64">
        <v>0</v>
      </c>
      <c r="N821" s="33" t="s">
        <v>249</v>
      </c>
    </row>
    <row r="822" spans="1:14" ht="15">
      <c r="A822" s="12"/>
      <c r="B822" s="33" t="s">
        <v>137</v>
      </c>
      <c r="C822" s="92" t="s">
        <v>389</v>
      </c>
      <c r="D822" s="33" t="s">
        <v>410</v>
      </c>
      <c r="E822" s="34">
        <v>44312</v>
      </c>
      <c r="F822" s="34">
        <v>44313</v>
      </c>
      <c r="G822" s="34">
        <v>44316</v>
      </c>
      <c r="H822" s="35">
        <v>3.7499999999999999E-2</v>
      </c>
      <c r="I822" s="67">
        <v>4.5600000000000002E-2</v>
      </c>
      <c r="J822" s="67">
        <v>0</v>
      </c>
      <c r="K822" s="67">
        <v>4.5600000000000002E-2</v>
      </c>
      <c r="L822" s="36">
        <f t="shared" si="29"/>
        <v>3.4224167999999999E-2</v>
      </c>
      <c r="M822" s="64">
        <v>0</v>
      </c>
      <c r="N822" s="33" t="s">
        <v>249</v>
      </c>
    </row>
    <row r="823" spans="1:14" ht="15">
      <c r="A823" s="12"/>
      <c r="B823" s="33" t="s">
        <v>135</v>
      </c>
      <c r="C823" s="92" t="s">
        <v>390</v>
      </c>
      <c r="D823" s="33" t="s">
        <v>410</v>
      </c>
      <c r="E823" s="34">
        <v>44312</v>
      </c>
      <c r="F823" s="34">
        <v>44313</v>
      </c>
      <c r="G823" s="34">
        <v>44316</v>
      </c>
      <c r="H823" s="35">
        <v>4.4999999999999998E-2</v>
      </c>
      <c r="I823" s="67">
        <v>5.1999999999999998E-2</v>
      </c>
      <c r="J823" s="67">
        <v>0</v>
      </c>
      <c r="K823" s="67">
        <v>5.1999999999999998E-2</v>
      </c>
      <c r="L823" s="36">
        <f t="shared" si="29"/>
        <v>3.9027559999999996E-2</v>
      </c>
      <c r="M823" s="64">
        <v>0</v>
      </c>
      <c r="N823" s="33" t="s">
        <v>249</v>
      </c>
    </row>
    <row r="824" spans="1:14" ht="15">
      <c r="A824" s="12"/>
      <c r="B824" s="33" t="s">
        <v>170</v>
      </c>
      <c r="C824" s="92" t="s">
        <v>391</v>
      </c>
      <c r="D824" s="33" t="s">
        <v>410</v>
      </c>
      <c r="E824" s="34">
        <v>44312</v>
      </c>
      <c r="F824" s="34">
        <v>44313</v>
      </c>
      <c r="G824" s="34">
        <v>44316</v>
      </c>
      <c r="H824" s="35">
        <v>0.03</v>
      </c>
      <c r="I824" s="67">
        <v>3.5799999999999998E-2</v>
      </c>
      <c r="J824" s="67">
        <v>0</v>
      </c>
      <c r="K824" s="67">
        <v>3.5799999999999998E-2</v>
      </c>
      <c r="L824" s="36">
        <f t="shared" si="29"/>
        <v>2.6868973999999997E-2</v>
      </c>
      <c r="M824" s="64">
        <v>0</v>
      </c>
      <c r="N824" s="33" t="s">
        <v>249</v>
      </c>
    </row>
    <row r="825" spans="1:14" ht="15">
      <c r="A825" s="12"/>
      <c r="B825" s="33" t="s">
        <v>171</v>
      </c>
      <c r="C825" s="92" t="s">
        <v>392</v>
      </c>
      <c r="D825" s="33" t="s">
        <v>410</v>
      </c>
      <c r="E825" s="34">
        <v>44312</v>
      </c>
      <c r="F825" s="34">
        <v>44313</v>
      </c>
      <c r="G825" s="34">
        <v>44316</v>
      </c>
      <c r="H825" s="35">
        <v>3.7499999999999999E-2</v>
      </c>
      <c r="I825" s="67">
        <v>4.5100000000000001E-2</v>
      </c>
      <c r="J825" s="67">
        <v>0</v>
      </c>
      <c r="K825" s="67">
        <v>4.5100000000000001E-2</v>
      </c>
      <c r="L825" s="36">
        <f t="shared" si="29"/>
        <v>3.3848903E-2</v>
      </c>
      <c r="M825" s="64">
        <v>0</v>
      </c>
      <c r="N825" s="33" t="s">
        <v>249</v>
      </c>
    </row>
    <row r="826" spans="1:14" ht="15">
      <c r="A826" s="12"/>
      <c r="B826" s="33" t="s">
        <v>172</v>
      </c>
      <c r="C826" s="92" t="s">
        <v>393</v>
      </c>
      <c r="D826" s="33" t="s">
        <v>410</v>
      </c>
      <c r="E826" s="34">
        <v>44312</v>
      </c>
      <c r="F826" s="34">
        <v>44313</v>
      </c>
      <c r="G826" s="34">
        <v>44316</v>
      </c>
      <c r="H826" s="35">
        <v>4.4999999999999998E-2</v>
      </c>
      <c r="I826" s="67">
        <v>5.1400000000000001E-2</v>
      </c>
      <c r="J826" s="67">
        <v>0</v>
      </c>
      <c r="K826" s="67">
        <v>5.1400000000000001E-2</v>
      </c>
      <c r="L826" s="36">
        <f t="shared" si="29"/>
        <v>3.8577241999999998E-2</v>
      </c>
      <c r="M826" s="64">
        <v>0</v>
      </c>
      <c r="N826" s="33" t="s">
        <v>249</v>
      </c>
    </row>
    <row r="827" spans="1:14" ht="15">
      <c r="A827" s="12"/>
      <c r="B827" s="33" t="s">
        <v>169</v>
      </c>
      <c r="C827" s="92" t="s">
        <v>400</v>
      </c>
      <c r="D827" s="33" t="s">
        <v>410</v>
      </c>
      <c r="E827" s="34">
        <v>44312</v>
      </c>
      <c r="F827" s="34">
        <v>44313</v>
      </c>
      <c r="G827" s="34">
        <v>44316</v>
      </c>
      <c r="H827" s="35">
        <v>5.5E-2</v>
      </c>
      <c r="I827" s="67">
        <v>5.8900000000000001E-2</v>
      </c>
      <c r="J827" s="67">
        <v>0</v>
      </c>
      <c r="K827" s="67">
        <v>5.8900000000000001E-2</v>
      </c>
      <c r="L827" s="36">
        <f>+K827-((K827*0.167*0.125)+(K827*(1-0.167)*0.26))</f>
        <v>4.4913900499999999E-2</v>
      </c>
      <c r="M827" s="64">
        <v>0</v>
      </c>
      <c r="N827" s="33" t="s">
        <v>249</v>
      </c>
    </row>
    <row r="828" spans="1:14" ht="15">
      <c r="A828" s="12"/>
      <c r="B828" s="33" t="s">
        <v>310</v>
      </c>
      <c r="C828" s="92" t="s">
        <v>424</v>
      </c>
      <c r="D828" s="33" t="s">
        <v>411</v>
      </c>
      <c r="E828" s="34">
        <v>44316</v>
      </c>
      <c r="F828" s="34">
        <v>44319</v>
      </c>
      <c r="G828" s="34">
        <v>44322</v>
      </c>
      <c r="H828" s="35">
        <v>0.05</v>
      </c>
      <c r="I828" s="67">
        <v>2.0500000000000001E-2</v>
      </c>
      <c r="J828" s="67">
        <v>0</v>
      </c>
      <c r="K828" s="67">
        <v>2.0500000000000001E-2</v>
      </c>
      <c r="L828" s="36">
        <f>+K828-((K828*0.036*0.125)+(K828*(1-0.036)*0.26))</f>
        <v>1.5269629999999999E-2</v>
      </c>
      <c r="M828" s="64">
        <f t="shared" ref="M828:M859" si="30">J828+L828</f>
        <v>1.5269629999999999E-2</v>
      </c>
      <c r="N828" s="33" t="s">
        <v>251</v>
      </c>
    </row>
    <row r="829" spans="1:14" ht="15">
      <c r="A829" s="12"/>
      <c r="B829" s="33" t="s">
        <v>188</v>
      </c>
      <c r="C829" s="92" t="s">
        <v>339</v>
      </c>
      <c r="D829" s="33" t="s">
        <v>411</v>
      </c>
      <c r="E829" s="34">
        <v>44316</v>
      </c>
      <c r="F829" s="34">
        <v>44319</v>
      </c>
      <c r="G829" s="34">
        <v>44322</v>
      </c>
      <c r="H829" s="35">
        <v>0.05</v>
      </c>
      <c r="I829" s="67">
        <v>0.35880000000000001</v>
      </c>
      <c r="J829" s="67">
        <v>0</v>
      </c>
      <c r="K829" s="67">
        <v>0.35880000000000001</v>
      </c>
      <c r="L829" s="36">
        <f>+K829-((K829*0.036*0.125)+(K829*(1-0.036)*0.26))</f>
        <v>0.267255768</v>
      </c>
      <c r="M829" s="64">
        <f t="shared" si="30"/>
        <v>0.267255768</v>
      </c>
      <c r="N829" s="33" t="s">
        <v>251</v>
      </c>
    </row>
    <row r="830" spans="1:14" ht="15">
      <c r="A830" s="12"/>
      <c r="B830" s="33" t="s">
        <v>196</v>
      </c>
      <c r="C830" s="92" t="s">
        <v>340</v>
      </c>
      <c r="D830" s="33" t="s">
        <v>411</v>
      </c>
      <c r="E830" s="34">
        <v>44316</v>
      </c>
      <c r="F830" s="34">
        <v>44319</v>
      </c>
      <c r="G830" s="34">
        <v>44322</v>
      </c>
      <c r="H830" s="35">
        <v>0.05</v>
      </c>
      <c r="I830" s="67">
        <v>0.37259999999999999</v>
      </c>
      <c r="J830" s="67">
        <v>0</v>
      </c>
      <c r="K830" s="67">
        <v>0.37259999999999999</v>
      </c>
      <c r="L830" s="36">
        <f>+K830-((K830*0.036*0.125)+(K830*(1-0.036)*0.26))</f>
        <v>0.27753483600000001</v>
      </c>
      <c r="M830" s="64">
        <f t="shared" si="30"/>
        <v>0.27753483600000001</v>
      </c>
      <c r="N830" s="33" t="s">
        <v>251</v>
      </c>
    </row>
    <row r="831" spans="1:14" ht="15">
      <c r="A831" s="12"/>
      <c r="B831" s="33" t="s">
        <v>191</v>
      </c>
      <c r="C831" s="92" t="s">
        <v>346</v>
      </c>
      <c r="D831" s="33" t="s">
        <v>411</v>
      </c>
      <c r="E831" s="34">
        <v>44316</v>
      </c>
      <c r="F831" s="34">
        <v>44319</v>
      </c>
      <c r="G831" s="34">
        <v>44322</v>
      </c>
      <c r="H831" s="35">
        <v>3.5000000000000003E-2</v>
      </c>
      <c r="I831" s="67">
        <v>1.41E-2</v>
      </c>
      <c r="J831" s="67">
        <v>0</v>
      </c>
      <c r="K831" s="67">
        <v>1.41E-2</v>
      </c>
      <c r="L831" s="36">
        <f>+K831-((K831*0.713*0.125)+(K831*(1-0.713)*0.26))</f>
        <v>1.1791195500000001E-2</v>
      </c>
      <c r="M831" s="64">
        <f t="shared" si="30"/>
        <v>1.1791195500000001E-2</v>
      </c>
      <c r="N831" s="33" t="s">
        <v>251</v>
      </c>
    </row>
    <row r="832" spans="1:14" ht="15">
      <c r="A832" s="12"/>
      <c r="B832" s="33" t="s">
        <v>199</v>
      </c>
      <c r="C832" s="92" t="s">
        <v>347</v>
      </c>
      <c r="D832" s="33" t="s">
        <v>411</v>
      </c>
      <c r="E832" s="34">
        <v>44316</v>
      </c>
      <c r="F832" s="34">
        <v>44319</v>
      </c>
      <c r="G832" s="34">
        <v>44322</v>
      </c>
      <c r="H832" s="35">
        <v>3.5000000000000003E-2</v>
      </c>
      <c r="I832" s="67">
        <v>1.4E-2</v>
      </c>
      <c r="J832" s="67">
        <v>0</v>
      </c>
      <c r="K832" s="67">
        <v>1.4E-2</v>
      </c>
      <c r="L832" s="36">
        <f>+K832-((K832*0.713*0.125)+(K832*(1-0.713)*0.26))</f>
        <v>1.170757E-2</v>
      </c>
      <c r="M832" s="64">
        <f t="shared" si="30"/>
        <v>1.170757E-2</v>
      </c>
      <c r="N832" s="33" t="s">
        <v>251</v>
      </c>
    </row>
    <row r="833" spans="1:14" ht="15">
      <c r="A833" s="12"/>
      <c r="B833" s="33" t="s">
        <v>306</v>
      </c>
      <c r="C833" s="92" t="s">
        <v>430</v>
      </c>
      <c r="D833" s="33" t="s">
        <v>411</v>
      </c>
      <c r="E833" s="34">
        <v>44316</v>
      </c>
      <c r="F833" s="34">
        <v>44319</v>
      </c>
      <c r="G833" s="34">
        <v>44322</v>
      </c>
      <c r="H833" s="35">
        <v>2.5000000000000001E-2</v>
      </c>
      <c r="I833" s="67">
        <v>1.03E-2</v>
      </c>
      <c r="J833" s="67">
        <v>0</v>
      </c>
      <c r="K833" s="67">
        <v>1.03E-2</v>
      </c>
      <c r="L833" s="36">
        <f>+K833-((K833*0.0002*0.125)+(K833*(1-0.0002)*0.26))</f>
        <v>7.6222780999999993E-3</v>
      </c>
      <c r="M833" s="64">
        <f t="shared" si="30"/>
        <v>7.6222780999999993E-3</v>
      </c>
      <c r="N833" s="33" t="s">
        <v>251</v>
      </c>
    </row>
    <row r="834" spans="1:14" ht="15">
      <c r="A834" s="12"/>
      <c r="B834" s="33" t="s">
        <v>184</v>
      </c>
      <c r="C834" s="92" t="s">
        <v>354</v>
      </c>
      <c r="D834" s="33" t="s">
        <v>411</v>
      </c>
      <c r="E834" s="34">
        <v>44316</v>
      </c>
      <c r="F834" s="34">
        <v>44319</v>
      </c>
      <c r="G834" s="34">
        <v>44322</v>
      </c>
      <c r="H834" s="35">
        <v>2.5000000000000001E-2</v>
      </c>
      <c r="I834" s="67">
        <v>0.20749999999999999</v>
      </c>
      <c r="J834" s="67">
        <v>0</v>
      </c>
      <c r="K834" s="67">
        <v>0.20749999999999999</v>
      </c>
      <c r="L834" s="36">
        <f>+K834-((K834*0.0002*0.125)+(K834*(1-0.0002)*0.26))</f>
        <v>0.1535556025</v>
      </c>
      <c r="M834" s="64">
        <f t="shared" si="30"/>
        <v>0.1535556025</v>
      </c>
      <c r="N834" s="33" t="s">
        <v>251</v>
      </c>
    </row>
    <row r="835" spans="1:14" ht="15">
      <c r="A835" s="12"/>
      <c r="B835" s="33" t="s">
        <v>192</v>
      </c>
      <c r="C835" s="92" t="s">
        <v>355</v>
      </c>
      <c r="D835" s="33" t="s">
        <v>411</v>
      </c>
      <c r="E835" s="34">
        <v>44316</v>
      </c>
      <c r="F835" s="34">
        <v>44319</v>
      </c>
      <c r="G835" s="34">
        <v>44322</v>
      </c>
      <c r="H835" s="35">
        <v>2.5000000000000001E-2</v>
      </c>
      <c r="I835" s="67">
        <v>0.20960000000000001</v>
      </c>
      <c r="J835" s="67">
        <v>0</v>
      </c>
      <c r="K835" s="67">
        <v>0.20960000000000001</v>
      </c>
      <c r="L835" s="36">
        <f>+K835-((K835*0.0002*0.125)+(K835*(1-0.0002)*0.26))</f>
        <v>0.1551096592</v>
      </c>
      <c r="M835" s="64">
        <f t="shared" si="30"/>
        <v>0.1551096592</v>
      </c>
      <c r="N835" s="33" t="s">
        <v>251</v>
      </c>
    </row>
    <row r="836" spans="1:14" ht="15">
      <c r="A836" s="12"/>
      <c r="B836" s="33" t="s">
        <v>311</v>
      </c>
      <c r="C836" s="92" t="s">
        <v>425</v>
      </c>
      <c r="D836" s="33" t="s">
        <v>411</v>
      </c>
      <c r="E836" s="34">
        <v>44316</v>
      </c>
      <c r="F836" s="34">
        <v>44319</v>
      </c>
      <c r="G836" s="34">
        <v>44322</v>
      </c>
      <c r="H836" s="35">
        <v>1.4999999999999999E-2</v>
      </c>
      <c r="I836" s="67">
        <v>6.1000000000000004E-3</v>
      </c>
      <c r="J836" s="67">
        <v>0</v>
      </c>
      <c r="K836" s="67">
        <v>6.1000000000000004E-3</v>
      </c>
      <c r="L836" s="36">
        <f>+K836-((K836*0.0000001*0.125)+(K836*(1-0.0000001)*0.26))</f>
        <v>4.5140000823499999E-3</v>
      </c>
      <c r="M836" s="64">
        <f t="shared" si="30"/>
        <v>4.5140000823499999E-3</v>
      </c>
      <c r="N836" s="33" t="s">
        <v>251</v>
      </c>
    </row>
    <row r="837" spans="1:14" ht="15">
      <c r="A837" s="12"/>
      <c r="B837" s="33" t="s">
        <v>189</v>
      </c>
      <c r="C837" s="92" t="s">
        <v>356</v>
      </c>
      <c r="D837" s="33" t="s">
        <v>411</v>
      </c>
      <c r="E837" s="34">
        <v>44316</v>
      </c>
      <c r="F837" s="34">
        <v>44319</v>
      </c>
      <c r="G837" s="34">
        <v>44322</v>
      </c>
      <c r="H837" s="35">
        <v>1.4999999999999999E-2</v>
      </c>
      <c r="I837" s="67">
        <v>0.1124</v>
      </c>
      <c r="J837" s="67">
        <v>0</v>
      </c>
      <c r="K837" s="67">
        <v>0.1124</v>
      </c>
      <c r="L837" s="36">
        <f>+K837-((K837*0.0000001*0.125)+(K837*(1-0.0000001)*0.26))</f>
        <v>8.3176001517399997E-2</v>
      </c>
      <c r="M837" s="64">
        <f t="shared" si="30"/>
        <v>8.3176001517399997E-2</v>
      </c>
      <c r="N837" s="33" t="s">
        <v>251</v>
      </c>
    </row>
    <row r="838" spans="1:14" ht="15">
      <c r="A838" s="12"/>
      <c r="B838" s="33" t="s">
        <v>197</v>
      </c>
      <c r="C838" s="92" t="s">
        <v>357</v>
      </c>
      <c r="D838" s="33" t="s">
        <v>411</v>
      </c>
      <c r="E838" s="34">
        <v>44316</v>
      </c>
      <c r="F838" s="34">
        <v>44319</v>
      </c>
      <c r="G838" s="34">
        <v>44322</v>
      </c>
      <c r="H838" s="35">
        <v>1.4999999999999999E-2</v>
      </c>
      <c r="I838" s="67">
        <v>0.1145</v>
      </c>
      <c r="J838" s="67">
        <v>0</v>
      </c>
      <c r="K838" s="67">
        <v>0.1145</v>
      </c>
      <c r="L838" s="36">
        <f>+K838-((K838*0.0000001*0.125)+(K838*(1-0.0000001)*0.26))</f>
        <v>8.473000154575E-2</v>
      </c>
      <c r="M838" s="64">
        <f t="shared" si="30"/>
        <v>8.473000154575E-2</v>
      </c>
      <c r="N838" s="33" t="s">
        <v>251</v>
      </c>
    </row>
    <row r="839" spans="1:14" ht="15">
      <c r="A839" s="12"/>
      <c r="B839" s="33" t="s">
        <v>308</v>
      </c>
      <c r="C839" s="92" t="s">
        <v>426</v>
      </c>
      <c r="D839" s="33" t="s">
        <v>411</v>
      </c>
      <c r="E839" s="34">
        <v>44316</v>
      </c>
      <c r="F839" s="34">
        <v>44319</v>
      </c>
      <c r="G839" s="34">
        <v>44322</v>
      </c>
      <c r="H839" s="35">
        <v>1.4999999999999999E-2</v>
      </c>
      <c r="I839" s="67">
        <v>6.1999999999999998E-3</v>
      </c>
      <c r="J839" s="67">
        <v>0</v>
      </c>
      <c r="K839" s="67">
        <v>6.1999999999999998E-3</v>
      </c>
      <c r="L839" s="36">
        <f>+K839-((K839*0.458*0.125)+(K839*(1-0.458)*0.26))</f>
        <v>4.9713459999999998E-3</v>
      </c>
      <c r="M839" s="64">
        <f t="shared" si="30"/>
        <v>4.9713459999999998E-3</v>
      </c>
      <c r="N839" s="33" t="s">
        <v>251</v>
      </c>
    </row>
    <row r="840" spans="1:14" ht="15">
      <c r="A840" s="12"/>
      <c r="B840" s="33" t="s">
        <v>186</v>
      </c>
      <c r="C840" s="92" t="s">
        <v>363</v>
      </c>
      <c r="D840" s="33" t="s">
        <v>411</v>
      </c>
      <c r="E840" s="34">
        <v>44316</v>
      </c>
      <c r="F840" s="34">
        <v>44319</v>
      </c>
      <c r="G840" s="34">
        <v>44322</v>
      </c>
      <c r="H840" s="35">
        <v>1.4999999999999999E-2</v>
      </c>
      <c r="I840" s="67">
        <v>0.1137</v>
      </c>
      <c r="J840" s="67">
        <v>0</v>
      </c>
      <c r="K840" s="67">
        <v>0.1137</v>
      </c>
      <c r="L840" s="36">
        <f>+K840-((K840*0.458*0.125)+(K840*(1-0.458)*0.26))</f>
        <v>9.1168070999999989E-2</v>
      </c>
      <c r="M840" s="64">
        <f t="shared" si="30"/>
        <v>9.1168070999999989E-2</v>
      </c>
      <c r="N840" s="33" t="s">
        <v>251</v>
      </c>
    </row>
    <row r="841" spans="1:14" ht="15">
      <c r="A841" s="12"/>
      <c r="B841" s="33" t="s">
        <v>194</v>
      </c>
      <c r="C841" s="92" t="s">
        <v>364</v>
      </c>
      <c r="D841" s="33" t="s">
        <v>411</v>
      </c>
      <c r="E841" s="34">
        <v>44316</v>
      </c>
      <c r="F841" s="34">
        <v>44319</v>
      </c>
      <c r="G841" s="34">
        <v>44322</v>
      </c>
      <c r="H841" s="35">
        <v>1.4999999999999999E-2</v>
      </c>
      <c r="I841" s="67">
        <v>0.1172</v>
      </c>
      <c r="J841" s="67">
        <v>0</v>
      </c>
      <c r="K841" s="67">
        <v>0.1172</v>
      </c>
      <c r="L841" s="36">
        <f>+K841-((K841*0.458*0.125)+(K841*(1-0.458)*0.26))</f>
        <v>9.3974476000000001E-2</v>
      </c>
      <c r="M841" s="64">
        <f t="shared" si="30"/>
        <v>9.3974476000000001E-2</v>
      </c>
      <c r="N841" s="33" t="s">
        <v>251</v>
      </c>
    </row>
    <row r="842" spans="1:14" ht="15">
      <c r="A842" s="12"/>
      <c r="B842" s="33" t="s">
        <v>307</v>
      </c>
      <c r="C842" s="92" t="s">
        <v>420</v>
      </c>
      <c r="D842" s="33" t="s">
        <v>411</v>
      </c>
      <c r="E842" s="34">
        <v>44316</v>
      </c>
      <c r="F842" s="34">
        <v>44319</v>
      </c>
      <c r="G842" s="34">
        <v>44322</v>
      </c>
      <c r="H842" s="35">
        <v>1.4999999999999999E-2</v>
      </c>
      <c r="I842" s="67">
        <v>6.4000000000000003E-3</v>
      </c>
      <c r="J842" s="67">
        <v>0</v>
      </c>
      <c r="K842" s="67">
        <v>6.4000000000000003E-3</v>
      </c>
      <c r="L842" s="36">
        <f>+K842-((K842*0.603*0.125)+(K842*(1-0.603)*0.26))</f>
        <v>5.2569920000000003E-3</v>
      </c>
      <c r="M842" s="64">
        <f t="shared" si="30"/>
        <v>5.2569920000000003E-3</v>
      </c>
      <c r="N842" s="33" t="s">
        <v>251</v>
      </c>
    </row>
    <row r="843" spans="1:14" ht="15">
      <c r="A843" s="12"/>
      <c r="B843" s="33" t="s">
        <v>185</v>
      </c>
      <c r="C843" s="92" t="s">
        <v>366</v>
      </c>
      <c r="D843" s="33" t="s">
        <v>411</v>
      </c>
      <c r="E843" s="34">
        <v>44316</v>
      </c>
      <c r="F843" s="34">
        <v>44319</v>
      </c>
      <c r="G843" s="34">
        <v>44322</v>
      </c>
      <c r="H843" s="35">
        <v>1.4999999999999999E-2</v>
      </c>
      <c r="I843" s="67">
        <v>0.1067</v>
      </c>
      <c r="J843" s="67">
        <v>0</v>
      </c>
      <c r="K843" s="67">
        <v>0.1067</v>
      </c>
      <c r="L843" s="36">
        <f>+K843-((K843*0.603*0.125)+(K843*(1-0.603)*0.26))</f>
        <v>8.7643913500000004E-2</v>
      </c>
      <c r="M843" s="64">
        <f t="shared" si="30"/>
        <v>8.7643913500000004E-2</v>
      </c>
      <c r="N843" s="33" t="s">
        <v>251</v>
      </c>
    </row>
    <row r="844" spans="1:14" ht="15">
      <c r="A844" s="12"/>
      <c r="B844" s="33" t="s">
        <v>193</v>
      </c>
      <c r="C844" s="92" t="s">
        <v>367</v>
      </c>
      <c r="D844" s="33" t="s">
        <v>411</v>
      </c>
      <c r="E844" s="34">
        <v>44316</v>
      </c>
      <c r="F844" s="34">
        <v>44319</v>
      </c>
      <c r="G844" s="34">
        <v>44322</v>
      </c>
      <c r="H844" s="35">
        <v>1.4999999999999999E-2</v>
      </c>
      <c r="I844" s="67">
        <v>0.1042</v>
      </c>
      <c r="J844" s="67">
        <v>0</v>
      </c>
      <c r="K844" s="67">
        <v>0.1042</v>
      </c>
      <c r="L844" s="36">
        <f>+K844-((K844*0.603*0.125)+(K844*(1-0.603)*0.26))</f>
        <v>8.5590400999999997E-2</v>
      </c>
      <c r="M844" s="64">
        <f t="shared" si="30"/>
        <v>8.5590400999999997E-2</v>
      </c>
      <c r="N844" s="33" t="s">
        <v>251</v>
      </c>
    </row>
    <row r="845" spans="1:14" ht="15">
      <c r="A845" s="12"/>
      <c r="B845" s="33" t="s">
        <v>309</v>
      </c>
      <c r="C845" s="92" t="s">
        <v>427</v>
      </c>
      <c r="D845" s="33" t="s">
        <v>411</v>
      </c>
      <c r="E845" s="34">
        <v>44316</v>
      </c>
      <c r="F845" s="34">
        <v>44319</v>
      </c>
      <c r="G845" s="34">
        <v>44322</v>
      </c>
      <c r="H845" s="35">
        <v>1.4999999999999999E-2</v>
      </c>
      <c r="I845" s="67">
        <v>6.4000000000000003E-3</v>
      </c>
      <c r="J845" s="67">
        <v>0</v>
      </c>
      <c r="K845" s="67">
        <v>6.4000000000000003E-3</v>
      </c>
      <c r="L845" s="36">
        <f>+K845-((K845*0.001*0.125)+(K845*(1-0.001)*0.26))</f>
        <v>4.7368640000000004E-3</v>
      </c>
      <c r="M845" s="64">
        <f t="shared" si="30"/>
        <v>4.7368640000000004E-3</v>
      </c>
      <c r="N845" s="33" t="s">
        <v>251</v>
      </c>
    </row>
    <row r="846" spans="1:14" ht="15">
      <c r="A846" s="12"/>
      <c r="B846" s="33" t="s">
        <v>187</v>
      </c>
      <c r="C846" s="92" t="s">
        <v>368</v>
      </c>
      <c r="D846" s="33" t="s">
        <v>411</v>
      </c>
      <c r="E846" s="34">
        <v>44316</v>
      </c>
      <c r="F846" s="34">
        <v>44319</v>
      </c>
      <c r="G846" s="34">
        <v>44322</v>
      </c>
      <c r="H846" s="35">
        <v>1.4999999999999999E-2</v>
      </c>
      <c r="I846" s="67">
        <v>0.1123</v>
      </c>
      <c r="J846" s="67">
        <v>0</v>
      </c>
      <c r="K846" s="67">
        <v>0.1123</v>
      </c>
      <c r="L846" s="36">
        <f>+K846-((K846*0.001*0.125)+(K846*(1-0.001)*0.26))</f>
        <v>8.3117160499999995E-2</v>
      </c>
      <c r="M846" s="64">
        <f t="shared" si="30"/>
        <v>8.3117160499999995E-2</v>
      </c>
      <c r="N846" s="33" t="s">
        <v>251</v>
      </c>
    </row>
    <row r="847" spans="1:14" ht="15">
      <c r="A847" s="12"/>
      <c r="B847" s="33" t="s">
        <v>195</v>
      </c>
      <c r="C847" s="92" t="s">
        <v>369</v>
      </c>
      <c r="D847" s="33" t="s">
        <v>411</v>
      </c>
      <c r="E847" s="34">
        <v>44316</v>
      </c>
      <c r="F847" s="34">
        <v>44319</v>
      </c>
      <c r="G847" s="34">
        <v>44322</v>
      </c>
      <c r="H847" s="35">
        <v>1.4999999999999999E-2</v>
      </c>
      <c r="I847" s="67">
        <v>0.11609999999999999</v>
      </c>
      <c r="J847" s="67">
        <v>0</v>
      </c>
      <c r="K847" s="67">
        <v>0.11609999999999999</v>
      </c>
      <c r="L847" s="36">
        <f>+K847-((K847*0.001*0.125)+(K847*(1-0.001)*0.26))</f>
        <v>8.5929673499999998E-2</v>
      </c>
      <c r="M847" s="64">
        <f t="shared" si="30"/>
        <v>8.5929673499999998E-2</v>
      </c>
      <c r="N847" s="33" t="s">
        <v>251</v>
      </c>
    </row>
    <row r="848" spans="1:14" ht="15">
      <c r="A848" s="12"/>
      <c r="B848" s="33" t="s">
        <v>312</v>
      </c>
      <c r="C848" s="92" t="s">
        <v>428</v>
      </c>
      <c r="D848" s="33" t="s">
        <v>411</v>
      </c>
      <c r="E848" s="34">
        <v>44316</v>
      </c>
      <c r="F848" s="34">
        <v>44319</v>
      </c>
      <c r="G848" s="34">
        <v>44322</v>
      </c>
      <c r="H848" s="35">
        <v>3.5000000000000003E-2</v>
      </c>
      <c r="I848" s="67">
        <v>1.35E-2</v>
      </c>
      <c r="J848" s="67">
        <v>0</v>
      </c>
      <c r="K848" s="67">
        <v>1.35E-2</v>
      </c>
      <c r="L848" s="36">
        <f>+K848-((K848*0.0075*0.125)+(K848*(1-0.0075)*0.26))</f>
        <v>1.000366875E-2</v>
      </c>
      <c r="M848" s="64">
        <f t="shared" si="30"/>
        <v>1.000366875E-2</v>
      </c>
      <c r="N848" s="33" t="s">
        <v>251</v>
      </c>
    </row>
    <row r="849" spans="1:14" ht="15">
      <c r="A849" s="12"/>
      <c r="B849" s="33" t="s">
        <v>190</v>
      </c>
      <c r="C849" s="92" t="s">
        <v>370</v>
      </c>
      <c r="D849" s="33" t="s">
        <v>411</v>
      </c>
      <c r="E849" s="34">
        <v>44316</v>
      </c>
      <c r="F849" s="34">
        <v>44319</v>
      </c>
      <c r="G849" s="34">
        <v>44322</v>
      </c>
      <c r="H849" s="35">
        <v>3.5000000000000003E-2</v>
      </c>
      <c r="I849" s="67">
        <v>0.2555</v>
      </c>
      <c r="J849" s="67">
        <v>0</v>
      </c>
      <c r="K849" s="67">
        <v>0.2555</v>
      </c>
      <c r="L849" s="36">
        <f>+K849-((K849*0.0075*0.125)+(K849*(1-0.0075)*0.26))</f>
        <v>0.18932869375</v>
      </c>
      <c r="M849" s="64">
        <f t="shared" si="30"/>
        <v>0.18932869375</v>
      </c>
      <c r="N849" s="33" t="s">
        <v>251</v>
      </c>
    </row>
    <row r="850" spans="1:14" ht="15">
      <c r="A850" s="12"/>
      <c r="B850" s="33" t="s">
        <v>198</v>
      </c>
      <c r="C850" s="92" t="s">
        <v>371</v>
      </c>
      <c r="D850" s="33" t="s">
        <v>411</v>
      </c>
      <c r="E850" s="34">
        <v>44316</v>
      </c>
      <c r="F850" s="34">
        <v>44319</v>
      </c>
      <c r="G850" s="34">
        <v>44322</v>
      </c>
      <c r="H850" s="35">
        <v>3.5000000000000003E-2</v>
      </c>
      <c r="I850" s="67">
        <v>0.25640000000000002</v>
      </c>
      <c r="J850" s="67">
        <v>0</v>
      </c>
      <c r="K850" s="67">
        <v>0.25640000000000002</v>
      </c>
      <c r="L850" s="36">
        <f>+K850-((K850*0.0075*0.125)+(K850*(1-0.0075)*0.26))</f>
        <v>0.18999560500000001</v>
      </c>
      <c r="M850" s="64">
        <f t="shared" si="30"/>
        <v>0.18999560500000001</v>
      </c>
      <c r="N850" s="33" t="s">
        <v>251</v>
      </c>
    </row>
    <row r="851" spans="1:14" ht="15">
      <c r="A851" s="12"/>
      <c r="B851" s="33" t="s">
        <v>513</v>
      </c>
      <c r="C851" s="92" t="s">
        <v>515</v>
      </c>
      <c r="D851" s="33" t="s">
        <v>411</v>
      </c>
      <c r="E851" s="34">
        <v>44316</v>
      </c>
      <c r="F851" s="34">
        <v>44319</v>
      </c>
      <c r="G851" s="34">
        <v>44322</v>
      </c>
      <c r="H851" s="35">
        <v>0.02</v>
      </c>
      <c r="I851" s="67">
        <v>0.13469999999999999</v>
      </c>
      <c r="J851" s="67">
        <v>0</v>
      </c>
      <c r="K851" s="67">
        <v>0.13469999999999999</v>
      </c>
      <c r="L851" s="36">
        <f>+K851-((K851*0.505*0.125)+(K851*(1-0.505)*0.26))</f>
        <v>0.10886117249999999</v>
      </c>
      <c r="M851" s="64">
        <f t="shared" si="30"/>
        <v>0.10886117249999999</v>
      </c>
      <c r="N851" s="33" t="s">
        <v>251</v>
      </c>
    </row>
    <row r="852" spans="1:14" ht="15">
      <c r="A852" s="12"/>
      <c r="B852" s="33" t="s">
        <v>514</v>
      </c>
      <c r="C852" s="92" t="s">
        <v>516</v>
      </c>
      <c r="D852" s="33" t="s">
        <v>411</v>
      </c>
      <c r="E852" s="34">
        <v>44316</v>
      </c>
      <c r="F852" s="34">
        <v>44319</v>
      </c>
      <c r="G852" s="34">
        <v>44322</v>
      </c>
      <c r="H852" s="35">
        <v>0.02</v>
      </c>
      <c r="I852" s="67">
        <v>0.1356</v>
      </c>
      <c r="J852" s="67">
        <v>0</v>
      </c>
      <c r="K852" s="67">
        <v>0.1356</v>
      </c>
      <c r="L852" s="36">
        <f>+K852-((K852*0.505*0.125)+(K852*(1-0.505)*0.26))</f>
        <v>0.10958852999999999</v>
      </c>
      <c r="M852" s="64">
        <f t="shared" si="30"/>
        <v>0.10958852999999999</v>
      </c>
      <c r="N852" s="33" t="s">
        <v>251</v>
      </c>
    </row>
    <row r="853" spans="1:14" ht="15">
      <c r="A853" s="12"/>
      <c r="B853" s="33" t="s">
        <v>313</v>
      </c>
      <c r="C853" s="92" t="s">
        <v>429</v>
      </c>
      <c r="D853" s="33" t="s">
        <v>411</v>
      </c>
      <c r="E853" s="34">
        <v>44316</v>
      </c>
      <c r="F853" s="34">
        <v>44319</v>
      </c>
      <c r="G853" s="34">
        <v>44322</v>
      </c>
      <c r="H853" s="35">
        <v>0.01</v>
      </c>
      <c r="I853" s="67">
        <v>4.3E-3</v>
      </c>
      <c r="J853" s="67">
        <v>0</v>
      </c>
      <c r="K853" s="67">
        <v>4.3E-3</v>
      </c>
      <c r="L853" s="36">
        <f>+K853-((K853*0.135*0.125)+(K853*(1-0.135)*0.26))</f>
        <v>3.2603674999999999E-3</v>
      </c>
      <c r="M853" s="64">
        <f t="shared" si="30"/>
        <v>3.2603674999999999E-3</v>
      </c>
      <c r="N853" s="33" t="s">
        <v>251</v>
      </c>
    </row>
    <row r="854" spans="1:14" ht="15">
      <c r="A854" s="12"/>
      <c r="B854" s="33" t="s">
        <v>310</v>
      </c>
      <c r="C854" s="92" t="s">
        <v>424</v>
      </c>
      <c r="D854" s="33" t="s">
        <v>411</v>
      </c>
      <c r="E854" s="34">
        <v>44347</v>
      </c>
      <c r="F854" s="34">
        <v>44348</v>
      </c>
      <c r="G854" s="34">
        <v>44351</v>
      </c>
      <c r="H854" s="35">
        <v>0.05</v>
      </c>
      <c r="I854" s="67">
        <v>2.0500000000000001E-2</v>
      </c>
      <c r="J854" s="67">
        <v>0</v>
      </c>
      <c r="K854" s="67">
        <v>2.0500000000000001E-2</v>
      </c>
      <c r="L854" s="36">
        <f>+K854-((K854*0.036*0.125)+(K854*(1-0.036)*0.26))</f>
        <v>1.5269629999999999E-2</v>
      </c>
      <c r="M854" s="64">
        <f t="shared" si="30"/>
        <v>1.5269629999999999E-2</v>
      </c>
      <c r="N854" s="33" t="s">
        <v>251</v>
      </c>
    </row>
    <row r="855" spans="1:14" ht="15">
      <c r="A855" s="12"/>
      <c r="B855" s="33" t="s">
        <v>188</v>
      </c>
      <c r="C855" s="92" t="s">
        <v>339</v>
      </c>
      <c r="D855" s="33" t="s">
        <v>411</v>
      </c>
      <c r="E855" s="34">
        <v>44347</v>
      </c>
      <c r="F855" s="34">
        <v>44348</v>
      </c>
      <c r="G855" s="34">
        <v>44351</v>
      </c>
      <c r="H855" s="35">
        <v>0.05</v>
      </c>
      <c r="I855" s="67">
        <v>0.35880000000000001</v>
      </c>
      <c r="J855" s="67">
        <v>0</v>
      </c>
      <c r="K855" s="67">
        <v>0.35880000000000001</v>
      </c>
      <c r="L855" s="36">
        <f>+K855-((K855*0.036*0.125)+(K855*(1-0.036)*0.26))</f>
        <v>0.267255768</v>
      </c>
      <c r="M855" s="64">
        <f t="shared" si="30"/>
        <v>0.267255768</v>
      </c>
      <c r="N855" s="33" t="s">
        <v>251</v>
      </c>
    </row>
    <row r="856" spans="1:14" ht="15">
      <c r="A856" s="12"/>
      <c r="B856" s="33" t="s">
        <v>196</v>
      </c>
      <c r="C856" s="92" t="s">
        <v>340</v>
      </c>
      <c r="D856" s="33" t="s">
        <v>411</v>
      </c>
      <c r="E856" s="34">
        <v>44347</v>
      </c>
      <c r="F856" s="34">
        <v>44348</v>
      </c>
      <c r="G856" s="34">
        <v>44351</v>
      </c>
      <c r="H856" s="35">
        <v>0.05</v>
      </c>
      <c r="I856" s="67">
        <v>0.37259999999999999</v>
      </c>
      <c r="J856" s="67">
        <v>0</v>
      </c>
      <c r="K856" s="67">
        <v>0.37259999999999999</v>
      </c>
      <c r="L856" s="36">
        <f>+K856-((K856*0.036*0.125)+(K856*(1-0.036)*0.26))</f>
        <v>0.27753483600000001</v>
      </c>
      <c r="M856" s="64">
        <f t="shared" si="30"/>
        <v>0.27753483600000001</v>
      </c>
      <c r="N856" s="33" t="s">
        <v>251</v>
      </c>
    </row>
    <row r="857" spans="1:14" ht="15">
      <c r="A857" s="12"/>
      <c r="B857" s="33" t="s">
        <v>191</v>
      </c>
      <c r="C857" s="92" t="s">
        <v>346</v>
      </c>
      <c r="D857" s="33" t="s">
        <v>411</v>
      </c>
      <c r="E857" s="34">
        <v>44347</v>
      </c>
      <c r="F857" s="34">
        <v>44348</v>
      </c>
      <c r="G857" s="34">
        <v>44351</v>
      </c>
      <c r="H857" s="35">
        <v>3.5000000000000003E-2</v>
      </c>
      <c r="I857" s="67">
        <v>1.41E-2</v>
      </c>
      <c r="J857" s="67">
        <v>0</v>
      </c>
      <c r="K857" s="67">
        <v>1.41E-2</v>
      </c>
      <c r="L857" s="36">
        <f>+K857-((K857*0.713*0.125)+(K857*(1-0.713)*0.26))</f>
        <v>1.1791195500000001E-2</v>
      </c>
      <c r="M857" s="64">
        <f t="shared" si="30"/>
        <v>1.1791195500000001E-2</v>
      </c>
      <c r="N857" s="33" t="s">
        <v>251</v>
      </c>
    </row>
    <row r="858" spans="1:14" ht="15">
      <c r="A858" s="12"/>
      <c r="B858" s="33" t="s">
        <v>199</v>
      </c>
      <c r="C858" s="92" t="s">
        <v>347</v>
      </c>
      <c r="D858" s="33" t="s">
        <v>411</v>
      </c>
      <c r="E858" s="34">
        <v>44347</v>
      </c>
      <c r="F858" s="34">
        <v>44348</v>
      </c>
      <c r="G858" s="34">
        <v>44351</v>
      </c>
      <c r="H858" s="35">
        <v>3.5000000000000003E-2</v>
      </c>
      <c r="I858" s="67">
        <v>1.4E-2</v>
      </c>
      <c r="J858" s="67">
        <v>0</v>
      </c>
      <c r="K858" s="67">
        <v>1.4E-2</v>
      </c>
      <c r="L858" s="36">
        <f>+K858-((K858*0.713*0.125)+(K858*(1-0.713)*0.26))</f>
        <v>1.170757E-2</v>
      </c>
      <c r="M858" s="64">
        <f t="shared" si="30"/>
        <v>1.170757E-2</v>
      </c>
      <c r="N858" s="33" t="s">
        <v>251</v>
      </c>
    </row>
    <row r="859" spans="1:14" ht="15">
      <c r="A859" s="12"/>
      <c r="B859" s="33" t="s">
        <v>306</v>
      </c>
      <c r="C859" s="92" t="s">
        <v>430</v>
      </c>
      <c r="D859" s="33" t="s">
        <v>411</v>
      </c>
      <c r="E859" s="34">
        <v>44347</v>
      </c>
      <c r="F859" s="34">
        <v>44348</v>
      </c>
      <c r="G859" s="34">
        <v>44351</v>
      </c>
      <c r="H859" s="35">
        <v>2.5000000000000001E-2</v>
      </c>
      <c r="I859" s="67">
        <v>1.03E-2</v>
      </c>
      <c r="J859" s="67">
        <v>0</v>
      </c>
      <c r="K859" s="67">
        <v>1.03E-2</v>
      </c>
      <c r="L859" s="36">
        <f>+K859-((K859*0.0002*0.125)+(K859*(1-0.0002)*0.26))</f>
        <v>7.6222780999999993E-3</v>
      </c>
      <c r="M859" s="64">
        <f t="shared" si="30"/>
        <v>7.6222780999999993E-3</v>
      </c>
      <c r="N859" s="33" t="s">
        <v>251</v>
      </c>
    </row>
    <row r="860" spans="1:14" ht="15">
      <c r="A860" s="12"/>
      <c r="B860" s="33" t="s">
        <v>184</v>
      </c>
      <c r="C860" s="92" t="s">
        <v>354</v>
      </c>
      <c r="D860" s="33" t="s">
        <v>411</v>
      </c>
      <c r="E860" s="34">
        <v>44347</v>
      </c>
      <c r="F860" s="34">
        <v>44348</v>
      </c>
      <c r="G860" s="34">
        <v>44351</v>
      </c>
      <c r="H860" s="35">
        <v>2.5000000000000001E-2</v>
      </c>
      <c r="I860" s="67">
        <v>0.20749999999999999</v>
      </c>
      <c r="J860" s="67">
        <v>0</v>
      </c>
      <c r="K860" s="67">
        <v>0.20749999999999999</v>
      </c>
      <c r="L860" s="36">
        <f>+K860-((K860*0.0002*0.125)+(K860*(1-0.0002)*0.26))</f>
        <v>0.1535556025</v>
      </c>
      <c r="M860" s="64">
        <f t="shared" ref="M860:M891" si="31">J860+L860</f>
        <v>0.1535556025</v>
      </c>
      <c r="N860" s="33" t="s">
        <v>251</v>
      </c>
    </row>
    <row r="861" spans="1:14" ht="15">
      <c r="A861" s="12"/>
      <c r="B861" s="33" t="s">
        <v>192</v>
      </c>
      <c r="C861" s="92" t="s">
        <v>355</v>
      </c>
      <c r="D861" s="33" t="s">
        <v>411</v>
      </c>
      <c r="E861" s="34">
        <v>44347</v>
      </c>
      <c r="F861" s="34">
        <v>44348</v>
      </c>
      <c r="G861" s="34">
        <v>44351</v>
      </c>
      <c r="H861" s="35">
        <v>2.5000000000000001E-2</v>
      </c>
      <c r="I861" s="67">
        <v>0.20960000000000001</v>
      </c>
      <c r="J861" s="67">
        <v>0</v>
      </c>
      <c r="K861" s="67">
        <v>0.20960000000000001</v>
      </c>
      <c r="L861" s="36">
        <f>+K861-((K861*0.0002*0.125)+(K861*(1-0.0002)*0.26))</f>
        <v>0.1551096592</v>
      </c>
      <c r="M861" s="64">
        <f t="shared" si="31"/>
        <v>0.1551096592</v>
      </c>
      <c r="N861" s="33" t="s">
        <v>251</v>
      </c>
    </row>
    <row r="862" spans="1:14" ht="15">
      <c r="A862" s="12"/>
      <c r="B862" s="33" t="s">
        <v>311</v>
      </c>
      <c r="C862" s="92" t="s">
        <v>425</v>
      </c>
      <c r="D862" s="33" t="s">
        <v>411</v>
      </c>
      <c r="E862" s="34">
        <v>44347</v>
      </c>
      <c r="F862" s="34">
        <v>44348</v>
      </c>
      <c r="G862" s="34">
        <v>44351</v>
      </c>
      <c r="H862" s="35">
        <v>1.4999999999999999E-2</v>
      </c>
      <c r="I862" s="67">
        <v>6.1000000000000004E-3</v>
      </c>
      <c r="J862" s="67">
        <v>0</v>
      </c>
      <c r="K862" s="67">
        <v>6.1000000000000004E-3</v>
      </c>
      <c r="L862" s="36">
        <f>+K862-((K862*0.0000001*0.125)+(K862*(1-0.0000001)*0.26))</f>
        <v>4.5140000823499999E-3</v>
      </c>
      <c r="M862" s="64">
        <f t="shared" si="31"/>
        <v>4.5140000823499999E-3</v>
      </c>
      <c r="N862" s="33" t="s">
        <v>251</v>
      </c>
    </row>
    <row r="863" spans="1:14" ht="15">
      <c r="A863" s="12"/>
      <c r="B863" s="33" t="s">
        <v>189</v>
      </c>
      <c r="C863" s="92" t="s">
        <v>356</v>
      </c>
      <c r="D863" s="33" t="s">
        <v>411</v>
      </c>
      <c r="E863" s="34">
        <v>44347</v>
      </c>
      <c r="F863" s="34">
        <v>44348</v>
      </c>
      <c r="G863" s="34">
        <v>44351</v>
      </c>
      <c r="H863" s="35">
        <v>1.4999999999999999E-2</v>
      </c>
      <c r="I863" s="67">
        <v>0.1124</v>
      </c>
      <c r="J863" s="67">
        <v>0</v>
      </c>
      <c r="K863" s="67">
        <v>0.1124</v>
      </c>
      <c r="L863" s="36">
        <f>+K863-((K863*0.0000001*0.125)+(K863*(1-0.0000001)*0.26))</f>
        <v>8.3176001517399997E-2</v>
      </c>
      <c r="M863" s="64">
        <f t="shared" si="31"/>
        <v>8.3176001517399997E-2</v>
      </c>
      <c r="N863" s="33" t="s">
        <v>251</v>
      </c>
    </row>
    <row r="864" spans="1:14" ht="15">
      <c r="A864" s="12"/>
      <c r="B864" s="33" t="s">
        <v>197</v>
      </c>
      <c r="C864" s="92" t="s">
        <v>357</v>
      </c>
      <c r="D864" s="33" t="s">
        <v>411</v>
      </c>
      <c r="E864" s="34">
        <v>44347</v>
      </c>
      <c r="F864" s="34">
        <v>44348</v>
      </c>
      <c r="G864" s="34">
        <v>44351</v>
      </c>
      <c r="H864" s="35">
        <v>1.4999999999999999E-2</v>
      </c>
      <c r="I864" s="67">
        <v>0.1145</v>
      </c>
      <c r="J864" s="67">
        <v>0</v>
      </c>
      <c r="K864" s="67">
        <v>0.1145</v>
      </c>
      <c r="L864" s="36">
        <f>+K864-((K864*0.0000001*0.125)+(K864*(1-0.0000001)*0.26))</f>
        <v>8.473000154575E-2</v>
      </c>
      <c r="M864" s="64">
        <f t="shared" si="31"/>
        <v>8.473000154575E-2</v>
      </c>
      <c r="N864" s="33" t="s">
        <v>251</v>
      </c>
    </row>
    <row r="865" spans="1:14" ht="15">
      <c r="A865" s="12"/>
      <c r="B865" s="33" t="s">
        <v>308</v>
      </c>
      <c r="C865" s="92" t="s">
        <v>426</v>
      </c>
      <c r="D865" s="33" t="s">
        <v>411</v>
      </c>
      <c r="E865" s="34">
        <v>44347</v>
      </c>
      <c r="F865" s="34">
        <v>44348</v>
      </c>
      <c r="G865" s="34">
        <v>44351</v>
      </c>
      <c r="H865" s="35">
        <v>1.4999999999999999E-2</v>
      </c>
      <c r="I865" s="67">
        <v>6.1999999999999998E-3</v>
      </c>
      <c r="J865" s="67">
        <v>0</v>
      </c>
      <c r="K865" s="67">
        <v>6.1999999999999998E-3</v>
      </c>
      <c r="L865" s="36">
        <f>+K865-((K865*0.458*0.125)+(K865*(1-0.458)*0.26))</f>
        <v>4.9713459999999998E-3</v>
      </c>
      <c r="M865" s="64">
        <f t="shared" si="31"/>
        <v>4.9713459999999998E-3</v>
      </c>
      <c r="N865" s="33" t="s">
        <v>251</v>
      </c>
    </row>
    <row r="866" spans="1:14" ht="15">
      <c r="A866" s="12"/>
      <c r="B866" s="33" t="s">
        <v>186</v>
      </c>
      <c r="C866" s="92" t="s">
        <v>363</v>
      </c>
      <c r="D866" s="33" t="s">
        <v>411</v>
      </c>
      <c r="E866" s="34">
        <v>44347</v>
      </c>
      <c r="F866" s="34">
        <v>44348</v>
      </c>
      <c r="G866" s="34">
        <v>44351</v>
      </c>
      <c r="H866" s="35">
        <v>1.4999999999999999E-2</v>
      </c>
      <c r="I866" s="67">
        <v>0.1137</v>
      </c>
      <c r="J866" s="67">
        <v>0</v>
      </c>
      <c r="K866" s="67">
        <v>0.1137</v>
      </c>
      <c r="L866" s="36">
        <f>+K866-((K866*0.458*0.125)+(K866*(1-0.458)*0.26))</f>
        <v>9.1168070999999989E-2</v>
      </c>
      <c r="M866" s="64">
        <f t="shared" si="31"/>
        <v>9.1168070999999989E-2</v>
      </c>
      <c r="N866" s="33" t="s">
        <v>251</v>
      </c>
    </row>
    <row r="867" spans="1:14" ht="15">
      <c r="A867" s="12"/>
      <c r="B867" s="33" t="s">
        <v>194</v>
      </c>
      <c r="C867" s="92" t="s">
        <v>364</v>
      </c>
      <c r="D867" s="33" t="s">
        <v>411</v>
      </c>
      <c r="E867" s="34">
        <v>44347</v>
      </c>
      <c r="F867" s="34">
        <v>44348</v>
      </c>
      <c r="G867" s="34">
        <v>44351</v>
      </c>
      <c r="H867" s="35">
        <v>1.4999999999999999E-2</v>
      </c>
      <c r="I867" s="67">
        <v>0.1172</v>
      </c>
      <c r="J867" s="67">
        <v>0</v>
      </c>
      <c r="K867" s="67">
        <v>0.1172</v>
      </c>
      <c r="L867" s="36">
        <f>+K867-((K867*0.458*0.125)+(K867*(1-0.458)*0.26))</f>
        <v>9.3974476000000001E-2</v>
      </c>
      <c r="M867" s="64">
        <f t="shared" si="31"/>
        <v>9.3974476000000001E-2</v>
      </c>
      <c r="N867" s="33" t="s">
        <v>251</v>
      </c>
    </row>
    <row r="868" spans="1:14" ht="15">
      <c r="A868" s="12"/>
      <c r="B868" s="33" t="s">
        <v>307</v>
      </c>
      <c r="C868" s="92" t="s">
        <v>420</v>
      </c>
      <c r="D868" s="33" t="s">
        <v>411</v>
      </c>
      <c r="E868" s="34">
        <v>44347</v>
      </c>
      <c r="F868" s="34">
        <v>44348</v>
      </c>
      <c r="G868" s="34">
        <v>44351</v>
      </c>
      <c r="H868" s="35">
        <v>1.4999999999999999E-2</v>
      </c>
      <c r="I868" s="67">
        <v>6.4000000000000003E-3</v>
      </c>
      <c r="J868" s="67">
        <v>0</v>
      </c>
      <c r="K868" s="67">
        <v>6.4000000000000003E-3</v>
      </c>
      <c r="L868" s="36">
        <f>+K868-((K868*0.603*0.125)+(K868*(1-0.603)*0.26))</f>
        <v>5.2569920000000003E-3</v>
      </c>
      <c r="M868" s="64">
        <f t="shared" si="31"/>
        <v>5.2569920000000003E-3</v>
      </c>
      <c r="N868" s="33" t="s">
        <v>251</v>
      </c>
    </row>
    <row r="869" spans="1:14" ht="15">
      <c r="A869" s="12"/>
      <c r="B869" s="33" t="s">
        <v>185</v>
      </c>
      <c r="C869" s="92" t="s">
        <v>366</v>
      </c>
      <c r="D869" s="33" t="s">
        <v>411</v>
      </c>
      <c r="E869" s="34">
        <v>44347</v>
      </c>
      <c r="F869" s="34">
        <v>44348</v>
      </c>
      <c r="G869" s="34">
        <v>44351</v>
      </c>
      <c r="H869" s="35">
        <v>1.4999999999999999E-2</v>
      </c>
      <c r="I869" s="67">
        <v>0.1067</v>
      </c>
      <c r="J869" s="67">
        <v>0</v>
      </c>
      <c r="K869" s="67">
        <v>0.1067</v>
      </c>
      <c r="L869" s="36">
        <f>+K869-((K869*0.603*0.125)+(K869*(1-0.603)*0.26))</f>
        <v>8.7643913500000004E-2</v>
      </c>
      <c r="M869" s="64">
        <f t="shared" si="31"/>
        <v>8.7643913500000004E-2</v>
      </c>
      <c r="N869" s="33" t="s">
        <v>251</v>
      </c>
    </row>
    <row r="870" spans="1:14" ht="15">
      <c r="A870" s="12"/>
      <c r="B870" s="33" t="s">
        <v>193</v>
      </c>
      <c r="C870" s="92" t="s">
        <v>367</v>
      </c>
      <c r="D870" s="33" t="s">
        <v>411</v>
      </c>
      <c r="E870" s="34">
        <v>44347</v>
      </c>
      <c r="F870" s="34">
        <v>44348</v>
      </c>
      <c r="G870" s="34">
        <v>44351</v>
      </c>
      <c r="H870" s="35">
        <v>1.4999999999999999E-2</v>
      </c>
      <c r="I870" s="67">
        <v>0.1042</v>
      </c>
      <c r="J870" s="67">
        <v>0</v>
      </c>
      <c r="K870" s="67">
        <v>0.1042</v>
      </c>
      <c r="L870" s="36">
        <f>+K870-((K870*0.603*0.125)+(K870*(1-0.603)*0.26))</f>
        <v>8.5590400999999997E-2</v>
      </c>
      <c r="M870" s="64">
        <f t="shared" si="31"/>
        <v>8.5590400999999997E-2</v>
      </c>
      <c r="N870" s="33" t="s">
        <v>251</v>
      </c>
    </row>
    <row r="871" spans="1:14" ht="15">
      <c r="A871" s="12"/>
      <c r="B871" s="33" t="s">
        <v>309</v>
      </c>
      <c r="C871" s="92" t="s">
        <v>427</v>
      </c>
      <c r="D871" s="33" t="s">
        <v>411</v>
      </c>
      <c r="E871" s="34">
        <v>44347</v>
      </c>
      <c r="F871" s="34">
        <v>44348</v>
      </c>
      <c r="G871" s="34">
        <v>44351</v>
      </c>
      <c r="H871" s="35">
        <v>1.4999999999999999E-2</v>
      </c>
      <c r="I871" s="67">
        <v>6.4000000000000003E-3</v>
      </c>
      <c r="J871" s="67">
        <v>0</v>
      </c>
      <c r="K871" s="67">
        <v>6.4000000000000003E-3</v>
      </c>
      <c r="L871" s="36">
        <f>+K871-((K871*0.001*0.125)+(K871*(1-0.001)*0.26))</f>
        <v>4.7368640000000004E-3</v>
      </c>
      <c r="M871" s="64">
        <f t="shared" si="31"/>
        <v>4.7368640000000004E-3</v>
      </c>
      <c r="N871" s="33" t="s">
        <v>251</v>
      </c>
    </row>
    <row r="872" spans="1:14" ht="15">
      <c r="A872" s="12"/>
      <c r="B872" s="33" t="s">
        <v>187</v>
      </c>
      <c r="C872" s="92" t="s">
        <v>368</v>
      </c>
      <c r="D872" s="33" t="s">
        <v>411</v>
      </c>
      <c r="E872" s="34">
        <v>44347</v>
      </c>
      <c r="F872" s="34">
        <v>44348</v>
      </c>
      <c r="G872" s="34">
        <v>44351</v>
      </c>
      <c r="H872" s="35">
        <v>1.4999999999999999E-2</v>
      </c>
      <c r="I872" s="67">
        <v>0.1123</v>
      </c>
      <c r="J872" s="67">
        <v>0</v>
      </c>
      <c r="K872" s="67">
        <v>0.1123</v>
      </c>
      <c r="L872" s="36">
        <f>+K872-((K872*0.001*0.125)+(K872*(1-0.001)*0.26))</f>
        <v>8.3117160499999995E-2</v>
      </c>
      <c r="M872" s="64">
        <f t="shared" si="31"/>
        <v>8.3117160499999995E-2</v>
      </c>
      <c r="N872" s="33" t="s">
        <v>251</v>
      </c>
    </row>
    <row r="873" spans="1:14" ht="15">
      <c r="A873" s="12"/>
      <c r="B873" s="33" t="s">
        <v>195</v>
      </c>
      <c r="C873" s="92" t="s">
        <v>369</v>
      </c>
      <c r="D873" s="33" t="s">
        <v>411</v>
      </c>
      <c r="E873" s="34">
        <v>44347</v>
      </c>
      <c r="F873" s="34">
        <v>44348</v>
      </c>
      <c r="G873" s="34">
        <v>44351</v>
      </c>
      <c r="H873" s="35">
        <v>1.4999999999999999E-2</v>
      </c>
      <c r="I873" s="67">
        <v>0.11609999999999999</v>
      </c>
      <c r="J873" s="67">
        <v>0</v>
      </c>
      <c r="K873" s="67">
        <v>0.11609999999999999</v>
      </c>
      <c r="L873" s="36">
        <f>+K873-((K873*0.001*0.125)+(K873*(1-0.001)*0.26))</f>
        <v>8.5929673499999998E-2</v>
      </c>
      <c r="M873" s="64">
        <f t="shared" si="31"/>
        <v>8.5929673499999998E-2</v>
      </c>
      <c r="N873" s="33" t="s">
        <v>251</v>
      </c>
    </row>
    <row r="874" spans="1:14" ht="15">
      <c r="A874" s="12"/>
      <c r="B874" s="33" t="s">
        <v>312</v>
      </c>
      <c r="C874" s="92" t="s">
        <v>428</v>
      </c>
      <c r="D874" s="33" t="s">
        <v>411</v>
      </c>
      <c r="E874" s="34">
        <v>44347</v>
      </c>
      <c r="F874" s="34">
        <v>44348</v>
      </c>
      <c r="G874" s="34">
        <v>44351</v>
      </c>
      <c r="H874" s="35">
        <v>3.5000000000000003E-2</v>
      </c>
      <c r="I874" s="67">
        <v>1.35E-2</v>
      </c>
      <c r="J874" s="67">
        <v>0</v>
      </c>
      <c r="K874" s="67">
        <v>1.35E-2</v>
      </c>
      <c r="L874" s="36">
        <f>+K874-((K874*0.0075*0.125)+(K874*(1-0.0075)*0.26))</f>
        <v>1.000366875E-2</v>
      </c>
      <c r="M874" s="64">
        <f t="shared" si="31"/>
        <v>1.000366875E-2</v>
      </c>
      <c r="N874" s="33" t="s">
        <v>251</v>
      </c>
    </row>
    <row r="875" spans="1:14" ht="15">
      <c r="A875" s="12"/>
      <c r="B875" s="33" t="s">
        <v>190</v>
      </c>
      <c r="C875" s="92" t="s">
        <v>370</v>
      </c>
      <c r="D875" s="33" t="s">
        <v>411</v>
      </c>
      <c r="E875" s="34">
        <v>44347</v>
      </c>
      <c r="F875" s="34">
        <v>44348</v>
      </c>
      <c r="G875" s="34">
        <v>44351</v>
      </c>
      <c r="H875" s="35">
        <v>3.5000000000000003E-2</v>
      </c>
      <c r="I875" s="67">
        <v>0.2555</v>
      </c>
      <c r="J875" s="67">
        <v>0</v>
      </c>
      <c r="K875" s="67">
        <v>0.2555</v>
      </c>
      <c r="L875" s="36">
        <f>+K875-((K875*0.0075*0.125)+(K875*(1-0.0075)*0.26))</f>
        <v>0.18932869375</v>
      </c>
      <c r="M875" s="64">
        <f t="shared" si="31"/>
        <v>0.18932869375</v>
      </c>
      <c r="N875" s="33" t="s">
        <v>251</v>
      </c>
    </row>
    <row r="876" spans="1:14" ht="15">
      <c r="A876" s="12"/>
      <c r="B876" s="33" t="s">
        <v>198</v>
      </c>
      <c r="C876" s="92" t="s">
        <v>371</v>
      </c>
      <c r="D876" s="33" t="s">
        <v>411</v>
      </c>
      <c r="E876" s="34">
        <v>44347</v>
      </c>
      <c r="F876" s="34">
        <v>44348</v>
      </c>
      <c r="G876" s="34">
        <v>44351</v>
      </c>
      <c r="H876" s="35">
        <v>3.5000000000000003E-2</v>
      </c>
      <c r="I876" s="67">
        <v>0.25640000000000002</v>
      </c>
      <c r="J876" s="67">
        <v>0</v>
      </c>
      <c r="K876" s="67">
        <v>0.25640000000000002</v>
      </c>
      <c r="L876" s="36">
        <f>+K876-((K876*0.0075*0.125)+(K876*(1-0.0075)*0.26))</f>
        <v>0.18999560500000001</v>
      </c>
      <c r="M876" s="64">
        <f t="shared" si="31"/>
        <v>0.18999560500000001</v>
      </c>
      <c r="N876" s="33" t="s">
        <v>251</v>
      </c>
    </row>
    <row r="877" spans="1:14" ht="15">
      <c r="A877" s="12"/>
      <c r="B877" s="33" t="s">
        <v>513</v>
      </c>
      <c r="C877" s="92" t="s">
        <v>515</v>
      </c>
      <c r="D877" s="33" t="s">
        <v>411</v>
      </c>
      <c r="E877" s="34">
        <v>44347</v>
      </c>
      <c r="F877" s="34">
        <v>44348</v>
      </c>
      <c r="G877" s="34">
        <v>44351</v>
      </c>
      <c r="H877" s="35">
        <v>0.02</v>
      </c>
      <c r="I877" s="67">
        <v>0.13469999999999999</v>
      </c>
      <c r="J877" s="67">
        <v>0</v>
      </c>
      <c r="K877" s="67">
        <v>0.13469999999999999</v>
      </c>
      <c r="L877" s="36">
        <f>+K877-((K877*0.505*0.125)+(K877*(1-0.505)*0.26))</f>
        <v>0.10886117249999999</v>
      </c>
      <c r="M877" s="64">
        <f t="shared" si="31"/>
        <v>0.10886117249999999</v>
      </c>
      <c r="N877" s="33" t="s">
        <v>251</v>
      </c>
    </row>
    <row r="878" spans="1:14" ht="15">
      <c r="A878" s="12"/>
      <c r="B878" s="33" t="s">
        <v>514</v>
      </c>
      <c r="C878" s="92" t="s">
        <v>516</v>
      </c>
      <c r="D878" s="33" t="s">
        <v>411</v>
      </c>
      <c r="E878" s="34">
        <v>44347</v>
      </c>
      <c r="F878" s="34">
        <v>44348</v>
      </c>
      <c r="G878" s="34">
        <v>44351</v>
      </c>
      <c r="H878" s="35">
        <v>0.02</v>
      </c>
      <c r="I878" s="67">
        <v>0.1356</v>
      </c>
      <c r="J878" s="67">
        <v>0</v>
      </c>
      <c r="K878" s="67">
        <v>0.1356</v>
      </c>
      <c r="L878" s="36">
        <f>+K878-((K878*0.505*0.125)+(K878*(1-0.505)*0.26))</f>
        <v>0.10958852999999999</v>
      </c>
      <c r="M878" s="64">
        <f t="shared" si="31"/>
        <v>0.10958852999999999</v>
      </c>
      <c r="N878" s="33" t="s">
        <v>251</v>
      </c>
    </row>
    <row r="879" spans="1:14" ht="15">
      <c r="A879" s="12"/>
      <c r="B879" s="33" t="s">
        <v>313</v>
      </c>
      <c r="C879" s="92" t="s">
        <v>429</v>
      </c>
      <c r="D879" s="33" t="s">
        <v>411</v>
      </c>
      <c r="E879" s="34">
        <v>44347</v>
      </c>
      <c r="F879" s="34">
        <v>44348</v>
      </c>
      <c r="G879" s="34">
        <v>44351</v>
      </c>
      <c r="H879" s="35">
        <v>0.01</v>
      </c>
      <c r="I879" s="67">
        <v>4.3E-3</v>
      </c>
      <c r="J879" s="67">
        <v>0</v>
      </c>
      <c r="K879" s="67">
        <v>4.3E-3</v>
      </c>
      <c r="L879" s="36">
        <f>+K879-((K879*0.135*0.125)+(K879*(1-0.135)*0.26))</f>
        <v>3.2603674999999999E-3</v>
      </c>
      <c r="M879" s="64">
        <f t="shared" si="31"/>
        <v>3.2603674999999999E-3</v>
      </c>
      <c r="N879" s="33" t="s">
        <v>251</v>
      </c>
    </row>
    <row r="880" spans="1:14" ht="15">
      <c r="A880" s="12"/>
      <c r="B880" s="33" t="s">
        <v>174</v>
      </c>
      <c r="C880" s="92" t="s">
        <v>382</v>
      </c>
      <c r="D880" s="33" t="s">
        <v>410</v>
      </c>
      <c r="E880" s="34">
        <v>44376</v>
      </c>
      <c r="F880" s="34">
        <v>44377</v>
      </c>
      <c r="G880" s="34">
        <v>44382</v>
      </c>
      <c r="H880" s="35"/>
      <c r="I880" s="67">
        <v>3.0020999999999999E-2</v>
      </c>
      <c r="J880" s="67">
        <v>0</v>
      </c>
      <c r="K880" s="67">
        <v>3.0020870000000002E-2</v>
      </c>
      <c r="L880" s="36">
        <f>+K880-((K880*0.009*0.125)+(K880*(1-0.009)*0.26))</f>
        <v>2.225191915705E-2</v>
      </c>
      <c r="M880" s="64">
        <f t="shared" si="31"/>
        <v>2.225191915705E-2</v>
      </c>
      <c r="N880" s="33" t="s">
        <v>247</v>
      </c>
    </row>
    <row r="881" spans="1:14" ht="15">
      <c r="A881" s="12"/>
      <c r="B881" s="33" t="s">
        <v>176</v>
      </c>
      <c r="C881" s="92" t="s">
        <v>397</v>
      </c>
      <c r="D881" s="33" t="s">
        <v>410</v>
      </c>
      <c r="E881" s="34">
        <v>44376</v>
      </c>
      <c r="F881" s="34">
        <v>44377</v>
      </c>
      <c r="G881" s="34">
        <v>44382</v>
      </c>
      <c r="H881" s="35"/>
      <c r="I881" s="67">
        <v>3.1988000000000003E-2</v>
      </c>
      <c r="J881" s="67">
        <v>0</v>
      </c>
      <c r="K881" s="67">
        <v>3.1988000000000003E-2</v>
      </c>
      <c r="L881" s="36">
        <f>+K881-((K881*0.118*0.125)+(K881*(1-0.118)*0.26))</f>
        <v>2.4180688840000002E-2</v>
      </c>
      <c r="M881" s="64">
        <f t="shared" si="31"/>
        <v>2.4180688840000002E-2</v>
      </c>
      <c r="N881" s="33" t="s">
        <v>247</v>
      </c>
    </row>
    <row r="882" spans="1:14" ht="15">
      <c r="A882" s="12"/>
      <c r="B882" s="33" t="s">
        <v>175</v>
      </c>
      <c r="C882" s="92" t="s">
        <v>465</v>
      </c>
      <c r="D882" s="33" t="s">
        <v>410</v>
      </c>
      <c r="E882" s="34">
        <v>44376</v>
      </c>
      <c r="F882" s="34">
        <v>44377</v>
      </c>
      <c r="G882" s="34">
        <v>44382</v>
      </c>
      <c r="H882" s="35"/>
      <c r="I882" s="67">
        <v>5.1278999999999998E-2</v>
      </c>
      <c r="J882" s="67">
        <v>0</v>
      </c>
      <c r="K882" s="67">
        <v>5.127926E-2</v>
      </c>
      <c r="L882" s="36">
        <f>+K882-((K882*0.16*0.125)+(K882*(1-0.16)*0.26))</f>
        <v>3.9054284416E-2</v>
      </c>
      <c r="M882" s="64">
        <f t="shared" si="31"/>
        <v>3.9054284416E-2</v>
      </c>
      <c r="N882" s="33" t="s">
        <v>247</v>
      </c>
    </row>
    <row r="883" spans="1:14" ht="15">
      <c r="A883" s="12"/>
      <c r="B883" s="33" t="s">
        <v>310</v>
      </c>
      <c r="C883" s="92" t="s">
        <v>424</v>
      </c>
      <c r="D883" s="33" t="s">
        <v>411</v>
      </c>
      <c r="E883" s="34">
        <v>44377</v>
      </c>
      <c r="F883" s="34">
        <v>44378</v>
      </c>
      <c r="G883" s="34">
        <v>44383</v>
      </c>
      <c r="H883" s="35">
        <v>0.05</v>
      </c>
      <c r="I883" s="67">
        <v>2.0500000000000001E-2</v>
      </c>
      <c r="J883" s="67">
        <v>0</v>
      </c>
      <c r="K883" s="67">
        <v>2.0500000000000001E-2</v>
      </c>
      <c r="L883" s="36">
        <f>+K883-((K883*0.036*0.125)+(K883*(1-0.036)*0.26))</f>
        <v>1.5269629999999999E-2</v>
      </c>
      <c r="M883" s="64">
        <f t="shared" si="31"/>
        <v>1.5269629999999999E-2</v>
      </c>
      <c r="N883" s="33" t="s">
        <v>251</v>
      </c>
    </row>
    <row r="884" spans="1:14" ht="15">
      <c r="A884" s="12"/>
      <c r="B884" s="33" t="s">
        <v>188</v>
      </c>
      <c r="C884" s="92" t="s">
        <v>339</v>
      </c>
      <c r="D884" s="33" t="s">
        <v>411</v>
      </c>
      <c r="E884" s="34">
        <v>44377</v>
      </c>
      <c r="F884" s="34">
        <v>44378</v>
      </c>
      <c r="G884" s="34">
        <v>44383</v>
      </c>
      <c r="H884" s="35">
        <v>0.05</v>
      </c>
      <c r="I884" s="67">
        <v>0.35880000000000001</v>
      </c>
      <c r="J884" s="67">
        <v>0</v>
      </c>
      <c r="K884" s="67">
        <v>0.35880000000000001</v>
      </c>
      <c r="L884" s="36">
        <f>+K884-((K884*0.036*0.125)+(K884*(1-0.036)*0.26))</f>
        <v>0.267255768</v>
      </c>
      <c r="M884" s="64">
        <f t="shared" si="31"/>
        <v>0.267255768</v>
      </c>
      <c r="N884" s="33" t="s">
        <v>251</v>
      </c>
    </row>
    <row r="885" spans="1:14" ht="15">
      <c r="A885" s="12"/>
      <c r="B885" s="33" t="s">
        <v>196</v>
      </c>
      <c r="C885" s="92" t="s">
        <v>340</v>
      </c>
      <c r="D885" s="33" t="s">
        <v>411</v>
      </c>
      <c r="E885" s="34">
        <v>44377</v>
      </c>
      <c r="F885" s="34">
        <v>44378</v>
      </c>
      <c r="G885" s="34">
        <v>44383</v>
      </c>
      <c r="H885" s="35">
        <v>0.05</v>
      </c>
      <c r="I885" s="67">
        <v>0.37259999999999999</v>
      </c>
      <c r="J885" s="67">
        <v>0</v>
      </c>
      <c r="K885" s="67">
        <v>0.37259999999999999</v>
      </c>
      <c r="L885" s="36">
        <f>+K885-((K885*0.036*0.125)+(K885*(1-0.036)*0.26))</f>
        <v>0.27753483600000001</v>
      </c>
      <c r="M885" s="64">
        <f t="shared" si="31"/>
        <v>0.27753483600000001</v>
      </c>
      <c r="N885" s="33" t="s">
        <v>251</v>
      </c>
    </row>
    <row r="886" spans="1:14" ht="15">
      <c r="A886" s="12"/>
      <c r="B886" s="33" t="s">
        <v>191</v>
      </c>
      <c r="C886" s="92" t="s">
        <v>346</v>
      </c>
      <c r="D886" s="33" t="s">
        <v>411</v>
      </c>
      <c r="E886" s="34">
        <v>44377</v>
      </c>
      <c r="F886" s="34">
        <v>44378</v>
      </c>
      <c r="G886" s="34">
        <v>44383</v>
      </c>
      <c r="H886" s="35">
        <v>3.5000000000000003E-2</v>
      </c>
      <c r="I886" s="67">
        <v>1.41E-2</v>
      </c>
      <c r="J886" s="67">
        <v>0</v>
      </c>
      <c r="K886" s="67">
        <v>1.41E-2</v>
      </c>
      <c r="L886" s="36">
        <f>+K886-((K886*0.713*0.125)+(K886*(1-0.713)*0.26))</f>
        <v>1.1791195500000001E-2</v>
      </c>
      <c r="M886" s="64">
        <f t="shared" si="31"/>
        <v>1.1791195500000001E-2</v>
      </c>
      <c r="N886" s="33" t="s">
        <v>251</v>
      </c>
    </row>
    <row r="887" spans="1:14" ht="15">
      <c r="A887" s="12"/>
      <c r="B887" s="33" t="s">
        <v>199</v>
      </c>
      <c r="C887" s="92" t="s">
        <v>347</v>
      </c>
      <c r="D887" s="33" t="s">
        <v>411</v>
      </c>
      <c r="E887" s="34">
        <v>44377</v>
      </c>
      <c r="F887" s="34">
        <v>44378</v>
      </c>
      <c r="G887" s="34">
        <v>44383</v>
      </c>
      <c r="H887" s="35">
        <v>3.5000000000000003E-2</v>
      </c>
      <c r="I887" s="67">
        <v>1.4E-2</v>
      </c>
      <c r="J887" s="67">
        <v>0</v>
      </c>
      <c r="K887" s="67">
        <v>1.4E-2</v>
      </c>
      <c r="L887" s="36">
        <f>+K887-((K887*0.713*0.125)+(K887*(1-0.713)*0.26))</f>
        <v>1.170757E-2</v>
      </c>
      <c r="M887" s="64">
        <f t="shared" si="31"/>
        <v>1.170757E-2</v>
      </c>
      <c r="N887" s="33" t="s">
        <v>251</v>
      </c>
    </row>
    <row r="888" spans="1:14" ht="15">
      <c r="A888" s="12"/>
      <c r="B888" s="33" t="s">
        <v>306</v>
      </c>
      <c r="C888" s="92" t="s">
        <v>430</v>
      </c>
      <c r="D888" s="33" t="s">
        <v>411</v>
      </c>
      <c r="E888" s="34">
        <v>44377</v>
      </c>
      <c r="F888" s="34">
        <v>44378</v>
      </c>
      <c r="G888" s="34">
        <v>44383</v>
      </c>
      <c r="H888" s="35">
        <v>2.5000000000000001E-2</v>
      </c>
      <c r="I888" s="67">
        <v>1.03E-2</v>
      </c>
      <c r="J888" s="67">
        <v>0</v>
      </c>
      <c r="K888" s="67">
        <v>1.03E-2</v>
      </c>
      <c r="L888" s="36">
        <f>+K888-((K888*0.0002*0.125)+(K888*(1-0.0002)*0.26))</f>
        <v>7.6222780999999993E-3</v>
      </c>
      <c r="M888" s="64">
        <f t="shared" si="31"/>
        <v>7.6222780999999993E-3</v>
      </c>
      <c r="N888" s="33" t="s">
        <v>251</v>
      </c>
    </row>
    <row r="889" spans="1:14" ht="15">
      <c r="A889" s="12"/>
      <c r="B889" s="33" t="s">
        <v>184</v>
      </c>
      <c r="C889" s="92" t="s">
        <v>354</v>
      </c>
      <c r="D889" s="33" t="s">
        <v>411</v>
      </c>
      <c r="E889" s="34">
        <v>44377</v>
      </c>
      <c r="F889" s="34">
        <v>44378</v>
      </c>
      <c r="G889" s="34">
        <v>44383</v>
      </c>
      <c r="H889" s="35">
        <v>2.5000000000000001E-2</v>
      </c>
      <c r="I889" s="67">
        <v>0.20749999999999999</v>
      </c>
      <c r="J889" s="67">
        <v>0</v>
      </c>
      <c r="K889" s="67">
        <v>0.20749999999999999</v>
      </c>
      <c r="L889" s="36">
        <f>+K889-((K889*0.0002*0.125)+(K889*(1-0.0002)*0.26))</f>
        <v>0.1535556025</v>
      </c>
      <c r="M889" s="64">
        <f t="shared" si="31"/>
        <v>0.1535556025</v>
      </c>
      <c r="N889" s="33" t="s">
        <v>251</v>
      </c>
    </row>
    <row r="890" spans="1:14" ht="15">
      <c r="A890" s="12"/>
      <c r="B890" s="33" t="s">
        <v>192</v>
      </c>
      <c r="C890" s="92" t="s">
        <v>355</v>
      </c>
      <c r="D890" s="33" t="s">
        <v>411</v>
      </c>
      <c r="E890" s="34">
        <v>44377</v>
      </c>
      <c r="F890" s="34">
        <v>44378</v>
      </c>
      <c r="G890" s="34">
        <v>44383</v>
      </c>
      <c r="H890" s="35">
        <v>2.5000000000000001E-2</v>
      </c>
      <c r="I890" s="67">
        <v>0.20960000000000001</v>
      </c>
      <c r="J890" s="67">
        <v>0</v>
      </c>
      <c r="K890" s="67">
        <v>0.20960000000000001</v>
      </c>
      <c r="L890" s="36">
        <f>+K890-((K890*0.0002*0.125)+(K890*(1-0.0002)*0.26))</f>
        <v>0.1551096592</v>
      </c>
      <c r="M890" s="64">
        <f t="shared" si="31"/>
        <v>0.1551096592</v>
      </c>
      <c r="N890" s="33" t="s">
        <v>251</v>
      </c>
    </row>
    <row r="891" spans="1:14" ht="15">
      <c r="A891" s="12"/>
      <c r="B891" s="33" t="s">
        <v>311</v>
      </c>
      <c r="C891" s="92" t="s">
        <v>425</v>
      </c>
      <c r="D891" s="33" t="s">
        <v>411</v>
      </c>
      <c r="E891" s="34">
        <v>44377</v>
      </c>
      <c r="F891" s="34">
        <v>44378</v>
      </c>
      <c r="G891" s="34">
        <v>44383</v>
      </c>
      <c r="H891" s="35">
        <v>1.4999999999999999E-2</v>
      </c>
      <c r="I891" s="67">
        <v>6.1000000000000004E-3</v>
      </c>
      <c r="J891" s="67">
        <v>0</v>
      </c>
      <c r="K891" s="67">
        <v>6.1000000000000004E-3</v>
      </c>
      <c r="L891" s="36">
        <f>+K891-((K891*0.0000001*0.125)+(K891*(1-0.0000001)*0.26))</f>
        <v>4.5140000823499999E-3</v>
      </c>
      <c r="M891" s="64">
        <f t="shared" si="31"/>
        <v>4.5140000823499999E-3</v>
      </c>
      <c r="N891" s="33" t="s">
        <v>251</v>
      </c>
    </row>
    <row r="892" spans="1:14" ht="15">
      <c r="A892" s="12"/>
      <c r="B892" s="33" t="s">
        <v>189</v>
      </c>
      <c r="C892" s="92" t="s">
        <v>356</v>
      </c>
      <c r="D892" s="33" t="s">
        <v>411</v>
      </c>
      <c r="E892" s="34">
        <v>44377</v>
      </c>
      <c r="F892" s="34">
        <v>44378</v>
      </c>
      <c r="G892" s="34">
        <v>44383</v>
      </c>
      <c r="H892" s="35">
        <v>1.4999999999999999E-2</v>
      </c>
      <c r="I892" s="67">
        <v>0.1124</v>
      </c>
      <c r="J892" s="67">
        <v>0</v>
      </c>
      <c r="K892" s="67">
        <v>0.1124</v>
      </c>
      <c r="L892" s="36">
        <f>+K892-((K892*0.0000001*0.125)+(K892*(1-0.0000001)*0.26))</f>
        <v>8.3176001517399997E-2</v>
      </c>
      <c r="M892" s="64">
        <f t="shared" ref="M892:M908" si="32">J892+L892</f>
        <v>8.3176001517399997E-2</v>
      </c>
      <c r="N892" s="33" t="s">
        <v>251</v>
      </c>
    </row>
    <row r="893" spans="1:14" ht="15">
      <c r="A893" s="12"/>
      <c r="B893" s="33" t="s">
        <v>197</v>
      </c>
      <c r="C893" s="92" t="s">
        <v>357</v>
      </c>
      <c r="D893" s="33" t="s">
        <v>411</v>
      </c>
      <c r="E893" s="34">
        <v>44377</v>
      </c>
      <c r="F893" s="34">
        <v>44378</v>
      </c>
      <c r="G893" s="34">
        <v>44383</v>
      </c>
      <c r="H893" s="35">
        <v>1.4999999999999999E-2</v>
      </c>
      <c r="I893" s="67">
        <v>0.1145</v>
      </c>
      <c r="J893" s="67">
        <v>0</v>
      </c>
      <c r="K893" s="67">
        <v>0.1145</v>
      </c>
      <c r="L893" s="36">
        <f>+K893-((K893*0.0000001*0.125)+(K893*(1-0.0000001)*0.26))</f>
        <v>8.473000154575E-2</v>
      </c>
      <c r="M893" s="64">
        <f t="shared" si="32"/>
        <v>8.473000154575E-2</v>
      </c>
      <c r="N893" s="33" t="s">
        <v>251</v>
      </c>
    </row>
    <row r="894" spans="1:14" ht="15">
      <c r="A894" s="12"/>
      <c r="B894" s="33" t="s">
        <v>308</v>
      </c>
      <c r="C894" s="92" t="s">
        <v>426</v>
      </c>
      <c r="D894" s="33" t="s">
        <v>411</v>
      </c>
      <c r="E894" s="34">
        <v>44377</v>
      </c>
      <c r="F894" s="34">
        <v>44378</v>
      </c>
      <c r="G894" s="34">
        <v>44383</v>
      </c>
      <c r="H894" s="35">
        <v>1.4999999999999999E-2</v>
      </c>
      <c r="I894" s="67">
        <v>6.1999999999999998E-3</v>
      </c>
      <c r="J894" s="67">
        <v>0</v>
      </c>
      <c r="K894" s="67">
        <v>6.1999999999999998E-3</v>
      </c>
      <c r="L894" s="36">
        <f>+K894-((K894*0.458*0.125)+(K894*(1-0.458)*0.26))</f>
        <v>4.9713459999999998E-3</v>
      </c>
      <c r="M894" s="64">
        <f t="shared" si="32"/>
        <v>4.9713459999999998E-3</v>
      </c>
      <c r="N894" s="33" t="s">
        <v>251</v>
      </c>
    </row>
    <row r="895" spans="1:14" ht="15">
      <c r="A895" s="12"/>
      <c r="B895" s="33" t="s">
        <v>186</v>
      </c>
      <c r="C895" s="92" t="s">
        <v>363</v>
      </c>
      <c r="D895" s="33" t="s">
        <v>411</v>
      </c>
      <c r="E895" s="34">
        <v>44377</v>
      </c>
      <c r="F895" s="34">
        <v>44378</v>
      </c>
      <c r="G895" s="34">
        <v>44383</v>
      </c>
      <c r="H895" s="35">
        <v>1.4999999999999999E-2</v>
      </c>
      <c r="I895" s="67">
        <v>0.1137</v>
      </c>
      <c r="J895" s="67">
        <v>0</v>
      </c>
      <c r="K895" s="67">
        <v>0.1137</v>
      </c>
      <c r="L895" s="36">
        <f>+K895-((K895*0.458*0.125)+(K895*(1-0.458)*0.26))</f>
        <v>9.1168070999999989E-2</v>
      </c>
      <c r="M895" s="64">
        <f t="shared" si="32"/>
        <v>9.1168070999999989E-2</v>
      </c>
      <c r="N895" s="33" t="s">
        <v>251</v>
      </c>
    </row>
    <row r="896" spans="1:14" ht="15">
      <c r="A896" s="12"/>
      <c r="B896" s="33" t="s">
        <v>194</v>
      </c>
      <c r="C896" s="92" t="s">
        <v>364</v>
      </c>
      <c r="D896" s="33" t="s">
        <v>411</v>
      </c>
      <c r="E896" s="34">
        <v>44377</v>
      </c>
      <c r="F896" s="34">
        <v>44378</v>
      </c>
      <c r="G896" s="34">
        <v>44383</v>
      </c>
      <c r="H896" s="35">
        <v>1.4999999999999999E-2</v>
      </c>
      <c r="I896" s="67">
        <v>0.1172</v>
      </c>
      <c r="J896" s="67">
        <v>0</v>
      </c>
      <c r="K896" s="67">
        <v>0.1172</v>
      </c>
      <c r="L896" s="36">
        <f>+K896-((K896*0.458*0.125)+(K896*(1-0.458)*0.26))</f>
        <v>9.3974476000000001E-2</v>
      </c>
      <c r="M896" s="64">
        <f t="shared" si="32"/>
        <v>9.3974476000000001E-2</v>
      </c>
      <c r="N896" s="33" t="s">
        <v>251</v>
      </c>
    </row>
    <row r="897" spans="1:14" ht="15">
      <c r="A897" s="12"/>
      <c r="B897" s="33" t="s">
        <v>307</v>
      </c>
      <c r="C897" s="92" t="s">
        <v>420</v>
      </c>
      <c r="D897" s="33" t="s">
        <v>411</v>
      </c>
      <c r="E897" s="34">
        <v>44377</v>
      </c>
      <c r="F897" s="34">
        <v>44378</v>
      </c>
      <c r="G897" s="34">
        <v>44383</v>
      </c>
      <c r="H897" s="35">
        <v>1.4999999999999999E-2</v>
      </c>
      <c r="I897" s="67">
        <v>6.4000000000000003E-3</v>
      </c>
      <c r="J897" s="67">
        <v>0</v>
      </c>
      <c r="K897" s="67">
        <v>6.4000000000000003E-3</v>
      </c>
      <c r="L897" s="36">
        <f>+K897-((K897*0.603*0.125)+(K897*(1-0.603)*0.26))</f>
        <v>5.2569920000000003E-3</v>
      </c>
      <c r="M897" s="64">
        <f t="shared" si="32"/>
        <v>5.2569920000000003E-3</v>
      </c>
      <c r="N897" s="33" t="s">
        <v>251</v>
      </c>
    </row>
    <row r="898" spans="1:14" ht="15">
      <c r="A898" s="12"/>
      <c r="B898" s="33" t="s">
        <v>185</v>
      </c>
      <c r="C898" s="92" t="s">
        <v>366</v>
      </c>
      <c r="D898" s="33" t="s">
        <v>411</v>
      </c>
      <c r="E898" s="34">
        <v>44377</v>
      </c>
      <c r="F898" s="34">
        <v>44378</v>
      </c>
      <c r="G898" s="34">
        <v>44383</v>
      </c>
      <c r="H898" s="35">
        <v>1.4999999999999999E-2</v>
      </c>
      <c r="I898" s="67">
        <v>0.1067</v>
      </c>
      <c r="J898" s="67">
        <v>0</v>
      </c>
      <c r="K898" s="67">
        <v>0.1067</v>
      </c>
      <c r="L898" s="36">
        <f>+K898-((K898*0.603*0.125)+(K898*(1-0.603)*0.26))</f>
        <v>8.7643913500000004E-2</v>
      </c>
      <c r="M898" s="64">
        <f t="shared" si="32"/>
        <v>8.7643913500000004E-2</v>
      </c>
      <c r="N898" s="33" t="s">
        <v>251</v>
      </c>
    </row>
    <row r="899" spans="1:14" ht="15">
      <c r="A899" s="12"/>
      <c r="B899" s="33" t="s">
        <v>193</v>
      </c>
      <c r="C899" s="92" t="s">
        <v>367</v>
      </c>
      <c r="D899" s="33" t="s">
        <v>411</v>
      </c>
      <c r="E899" s="34">
        <v>44377</v>
      </c>
      <c r="F899" s="34">
        <v>44378</v>
      </c>
      <c r="G899" s="34">
        <v>44383</v>
      </c>
      <c r="H899" s="35">
        <v>1.4999999999999999E-2</v>
      </c>
      <c r="I899" s="67">
        <v>0.1042</v>
      </c>
      <c r="J899" s="67">
        <v>0</v>
      </c>
      <c r="K899" s="67">
        <v>0.1042</v>
      </c>
      <c r="L899" s="36">
        <f>+K899-((K899*0.603*0.125)+(K899*(1-0.603)*0.26))</f>
        <v>8.5590400999999997E-2</v>
      </c>
      <c r="M899" s="64">
        <f t="shared" si="32"/>
        <v>8.5590400999999997E-2</v>
      </c>
      <c r="N899" s="33" t="s">
        <v>251</v>
      </c>
    </row>
    <row r="900" spans="1:14" ht="15">
      <c r="A900" s="12"/>
      <c r="B900" s="33" t="s">
        <v>309</v>
      </c>
      <c r="C900" s="92" t="s">
        <v>427</v>
      </c>
      <c r="D900" s="33" t="s">
        <v>411</v>
      </c>
      <c r="E900" s="34">
        <v>44377</v>
      </c>
      <c r="F900" s="34">
        <v>44378</v>
      </c>
      <c r="G900" s="34">
        <v>44383</v>
      </c>
      <c r="H900" s="35">
        <v>1.4999999999999999E-2</v>
      </c>
      <c r="I900" s="67">
        <v>6.4000000000000003E-3</v>
      </c>
      <c r="J900" s="67">
        <v>0</v>
      </c>
      <c r="K900" s="67">
        <v>6.4000000000000003E-3</v>
      </c>
      <c r="L900" s="36">
        <f>+K900-((K900*0.001*0.125)+(K900*(1-0.001)*0.26))</f>
        <v>4.7368640000000004E-3</v>
      </c>
      <c r="M900" s="64">
        <f t="shared" si="32"/>
        <v>4.7368640000000004E-3</v>
      </c>
      <c r="N900" s="33" t="s">
        <v>251</v>
      </c>
    </row>
    <row r="901" spans="1:14" ht="15">
      <c r="A901" s="12"/>
      <c r="B901" s="33" t="s">
        <v>187</v>
      </c>
      <c r="C901" s="92" t="s">
        <v>368</v>
      </c>
      <c r="D901" s="33" t="s">
        <v>411</v>
      </c>
      <c r="E901" s="34">
        <v>44377</v>
      </c>
      <c r="F901" s="34">
        <v>44378</v>
      </c>
      <c r="G901" s="34">
        <v>44383</v>
      </c>
      <c r="H901" s="35">
        <v>1.4999999999999999E-2</v>
      </c>
      <c r="I901" s="67">
        <v>0.1123</v>
      </c>
      <c r="J901" s="67">
        <v>0</v>
      </c>
      <c r="K901" s="67">
        <v>0.1123</v>
      </c>
      <c r="L901" s="36">
        <f>+K901-((K901*0.001*0.125)+(K901*(1-0.001)*0.26))</f>
        <v>8.3117160499999995E-2</v>
      </c>
      <c r="M901" s="64">
        <f t="shared" si="32"/>
        <v>8.3117160499999995E-2</v>
      </c>
      <c r="N901" s="33" t="s">
        <v>251</v>
      </c>
    </row>
    <row r="902" spans="1:14" ht="15">
      <c r="A902" s="12"/>
      <c r="B902" s="33" t="s">
        <v>195</v>
      </c>
      <c r="C902" s="92" t="s">
        <v>369</v>
      </c>
      <c r="D902" s="33" t="s">
        <v>411</v>
      </c>
      <c r="E902" s="34">
        <v>44377</v>
      </c>
      <c r="F902" s="34">
        <v>44378</v>
      </c>
      <c r="G902" s="34">
        <v>44383</v>
      </c>
      <c r="H902" s="35">
        <v>1.4999999999999999E-2</v>
      </c>
      <c r="I902" s="67">
        <v>0.11609999999999999</v>
      </c>
      <c r="J902" s="67">
        <v>0</v>
      </c>
      <c r="K902" s="67">
        <v>0.11609999999999999</v>
      </c>
      <c r="L902" s="36">
        <f>+K902-((K902*0.001*0.125)+(K902*(1-0.001)*0.26))</f>
        <v>8.5929673499999998E-2</v>
      </c>
      <c r="M902" s="64">
        <f t="shared" si="32"/>
        <v>8.5929673499999998E-2</v>
      </c>
      <c r="N902" s="33" t="s">
        <v>251</v>
      </c>
    </row>
    <row r="903" spans="1:14" ht="15">
      <c r="A903" s="12"/>
      <c r="B903" s="33" t="s">
        <v>312</v>
      </c>
      <c r="C903" s="92" t="s">
        <v>428</v>
      </c>
      <c r="D903" s="33" t="s">
        <v>411</v>
      </c>
      <c r="E903" s="34">
        <v>44377</v>
      </c>
      <c r="F903" s="34">
        <v>44378</v>
      </c>
      <c r="G903" s="34">
        <v>44383</v>
      </c>
      <c r="H903" s="35">
        <v>3.5000000000000003E-2</v>
      </c>
      <c r="I903" s="67">
        <v>1.35E-2</v>
      </c>
      <c r="J903" s="67">
        <v>0</v>
      </c>
      <c r="K903" s="67">
        <v>1.35E-2</v>
      </c>
      <c r="L903" s="36">
        <f>+K903-((K903*0.0075*0.125)+(K903*(1-0.0075)*0.26))</f>
        <v>1.000366875E-2</v>
      </c>
      <c r="M903" s="64">
        <f t="shared" si="32"/>
        <v>1.000366875E-2</v>
      </c>
      <c r="N903" s="33" t="s">
        <v>251</v>
      </c>
    </row>
    <row r="904" spans="1:14" ht="15">
      <c r="A904" s="12"/>
      <c r="B904" s="33" t="s">
        <v>190</v>
      </c>
      <c r="C904" s="92" t="s">
        <v>370</v>
      </c>
      <c r="D904" s="33" t="s">
        <v>411</v>
      </c>
      <c r="E904" s="34">
        <v>44377</v>
      </c>
      <c r="F904" s="34">
        <v>44378</v>
      </c>
      <c r="G904" s="34">
        <v>44383</v>
      </c>
      <c r="H904" s="35">
        <v>3.5000000000000003E-2</v>
      </c>
      <c r="I904" s="67">
        <v>0.2555</v>
      </c>
      <c r="J904" s="67">
        <v>0</v>
      </c>
      <c r="K904" s="67">
        <v>0.2555</v>
      </c>
      <c r="L904" s="36">
        <f>+K904-((K904*0.0075*0.125)+(K904*(1-0.0075)*0.26))</f>
        <v>0.18932869375</v>
      </c>
      <c r="M904" s="64">
        <f t="shared" si="32"/>
        <v>0.18932869375</v>
      </c>
      <c r="N904" s="33" t="s">
        <v>251</v>
      </c>
    </row>
    <row r="905" spans="1:14" ht="15">
      <c r="A905" s="12"/>
      <c r="B905" s="33" t="s">
        <v>198</v>
      </c>
      <c r="C905" s="92" t="s">
        <v>371</v>
      </c>
      <c r="D905" s="33" t="s">
        <v>411</v>
      </c>
      <c r="E905" s="34">
        <v>44377</v>
      </c>
      <c r="F905" s="34">
        <v>44378</v>
      </c>
      <c r="G905" s="34">
        <v>44383</v>
      </c>
      <c r="H905" s="35">
        <v>3.5000000000000003E-2</v>
      </c>
      <c r="I905" s="67">
        <v>0.25640000000000002</v>
      </c>
      <c r="J905" s="67">
        <v>0</v>
      </c>
      <c r="K905" s="67">
        <v>0.25640000000000002</v>
      </c>
      <c r="L905" s="36">
        <f>+K905-((K905*0.0075*0.125)+(K905*(1-0.0075)*0.26))</f>
        <v>0.18999560500000001</v>
      </c>
      <c r="M905" s="64">
        <f t="shared" si="32"/>
        <v>0.18999560500000001</v>
      </c>
      <c r="N905" s="33" t="s">
        <v>251</v>
      </c>
    </row>
    <row r="906" spans="1:14" ht="15">
      <c r="A906" s="12"/>
      <c r="B906" s="33" t="s">
        <v>513</v>
      </c>
      <c r="C906" s="92" t="s">
        <v>515</v>
      </c>
      <c r="D906" s="33" t="s">
        <v>411</v>
      </c>
      <c r="E906" s="34">
        <v>44377</v>
      </c>
      <c r="F906" s="34">
        <v>44378</v>
      </c>
      <c r="G906" s="34">
        <v>44383</v>
      </c>
      <c r="H906" s="35">
        <v>0.02</v>
      </c>
      <c r="I906" s="67">
        <v>0.13469999999999999</v>
      </c>
      <c r="J906" s="67">
        <v>0</v>
      </c>
      <c r="K906" s="67">
        <v>0.13469999999999999</v>
      </c>
      <c r="L906" s="36">
        <f>+K906-((K906*0.505*0.125)+(K906*(1-0.505)*0.26))</f>
        <v>0.10886117249999999</v>
      </c>
      <c r="M906" s="64">
        <f t="shared" si="32"/>
        <v>0.10886117249999999</v>
      </c>
      <c r="N906" s="33" t="s">
        <v>251</v>
      </c>
    </row>
    <row r="907" spans="1:14" ht="15">
      <c r="A907" s="12"/>
      <c r="B907" s="33" t="s">
        <v>514</v>
      </c>
      <c r="C907" s="92" t="s">
        <v>516</v>
      </c>
      <c r="D907" s="33" t="s">
        <v>411</v>
      </c>
      <c r="E907" s="34">
        <v>44377</v>
      </c>
      <c r="F907" s="34">
        <v>44378</v>
      </c>
      <c r="G907" s="34">
        <v>44383</v>
      </c>
      <c r="H907" s="35">
        <v>0.02</v>
      </c>
      <c r="I907" s="67">
        <v>0.1356</v>
      </c>
      <c r="J907" s="67">
        <v>0</v>
      </c>
      <c r="K907" s="67">
        <v>0.1356</v>
      </c>
      <c r="L907" s="36">
        <f>+K907-((K907*0.505*0.125)+(K907*(1-0.505)*0.26))</f>
        <v>0.10958852999999999</v>
      </c>
      <c r="M907" s="64">
        <f t="shared" si="32"/>
        <v>0.10958852999999999</v>
      </c>
      <c r="N907" s="33" t="s">
        <v>251</v>
      </c>
    </row>
    <row r="908" spans="1:14" ht="15">
      <c r="A908" s="12"/>
      <c r="B908" s="33" t="s">
        <v>313</v>
      </c>
      <c r="C908" s="92" t="s">
        <v>429</v>
      </c>
      <c r="D908" s="33" t="s">
        <v>411</v>
      </c>
      <c r="E908" s="34">
        <v>44377</v>
      </c>
      <c r="F908" s="34">
        <v>44378</v>
      </c>
      <c r="G908" s="34">
        <v>44383</v>
      </c>
      <c r="H908" s="35">
        <v>0.01</v>
      </c>
      <c r="I908" s="67">
        <v>4.3E-3</v>
      </c>
      <c r="J908" s="67">
        <v>0</v>
      </c>
      <c r="K908" s="67">
        <v>4.3E-3</v>
      </c>
      <c r="L908" s="36">
        <f>+K908-((K908*0.135*0.125)+(K908*(1-0.135)*0.26))</f>
        <v>3.2603674999999999E-3</v>
      </c>
      <c r="M908" s="64">
        <f t="shared" si="32"/>
        <v>3.2603674999999999E-3</v>
      </c>
      <c r="N908" s="33" t="s">
        <v>251</v>
      </c>
    </row>
    <row r="909" spans="1:14" ht="15">
      <c r="A909" s="12"/>
      <c r="B909" s="33" t="s">
        <v>298</v>
      </c>
      <c r="C909" s="92" t="s">
        <v>403</v>
      </c>
      <c r="D909" s="33" t="s">
        <v>410</v>
      </c>
      <c r="E909" s="34">
        <v>44377</v>
      </c>
      <c r="F909" s="34">
        <v>44378</v>
      </c>
      <c r="G909" s="34">
        <v>44383</v>
      </c>
      <c r="H909" s="35">
        <v>4.4999999999999998E-2</v>
      </c>
      <c r="I909" s="67">
        <v>5.3100000000000001E-2</v>
      </c>
      <c r="J909" s="67">
        <v>0</v>
      </c>
      <c r="K909" s="67">
        <v>5.3100000000000001E-2</v>
      </c>
      <c r="L909" s="36">
        <f>+K909-((K909*0.443*0.125)+(K909*(1-0.443)*0.26))</f>
        <v>4.24696455E-2</v>
      </c>
      <c r="M909" s="64">
        <v>0</v>
      </c>
      <c r="N909" s="33" t="s">
        <v>248</v>
      </c>
    </row>
    <row r="910" spans="1:14" ht="15">
      <c r="A910" s="12"/>
      <c r="B910" s="33" t="s">
        <v>181</v>
      </c>
      <c r="C910" s="92" t="s">
        <v>335</v>
      </c>
      <c r="D910" s="33" t="s">
        <v>410</v>
      </c>
      <c r="E910" s="34">
        <v>44377</v>
      </c>
      <c r="F910" s="34">
        <v>44378</v>
      </c>
      <c r="G910" s="34">
        <v>44383</v>
      </c>
      <c r="H910" s="35">
        <v>4.4999999999999998E-2</v>
      </c>
      <c r="I910" s="67">
        <v>0.94920000000000004</v>
      </c>
      <c r="J910" s="67">
        <v>0</v>
      </c>
      <c r="K910" s="67">
        <v>0.94920000000000004</v>
      </c>
      <c r="L910" s="36">
        <f>+K910-((K910*0.443*0.125)+(K910*(1-0.443)*0.26))</f>
        <v>0.75917490600000004</v>
      </c>
      <c r="M910" s="64">
        <v>0</v>
      </c>
      <c r="N910" s="33" t="s">
        <v>248</v>
      </c>
    </row>
    <row r="911" spans="1:14" ht="15">
      <c r="A911" s="12"/>
      <c r="B911" s="33" t="s">
        <v>201</v>
      </c>
      <c r="C911" s="92" t="s">
        <v>336</v>
      </c>
      <c r="D911" s="33" t="s">
        <v>410</v>
      </c>
      <c r="E911" s="34">
        <v>44377</v>
      </c>
      <c r="F911" s="34">
        <v>44378</v>
      </c>
      <c r="G911" s="34">
        <v>44383</v>
      </c>
      <c r="H911" s="35">
        <v>4.4999999999999998E-2</v>
      </c>
      <c r="I911" s="67">
        <v>0.95840000000000003</v>
      </c>
      <c r="J911" s="67">
        <v>0</v>
      </c>
      <c r="K911" s="67">
        <v>0.95840000000000003</v>
      </c>
      <c r="L911" s="36">
        <f>+K911-((K911*0.443*0.125)+(K911*(1-0.443)*0.26))</f>
        <v>0.76653311200000007</v>
      </c>
      <c r="M911" s="64">
        <v>0</v>
      </c>
      <c r="N911" s="33" t="s">
        <v>248</v>
      </c>
    </row>
    <row r="912" spans="1:14" ht="15">
      <c r="A912" s="12"/>
      <c r="B912" s="33" t="s">
        <v>138</v>
      </c>
      <c r="C912" s="92" t="s">
        <v>337</v>
      </c>
      <c r="D912" s="33" t="s">
        <v>410</v>
      </c>
      <c r="E912" s="34">
        <v>44377</v>
      </c>
      <c r="F912" s="34">
        <v>44378</v>
      </c>
      <c r="G912" s="34">
        <v>44383</v>
      </c>
      <c r="H912" s="35">
        <v>0.05</v>
      </c>
      <c r="I912" s="67">
        <v>7.1800000000000003E-2</v>
      </c>
      <c r="J912" s="67">
        <v>0</v>
      </c>
      <c r="K912" s="67">
        <v>7.1800000000000003E-2</v>
      </c>
      <c r="L912" s="36">
        <f>+K912-((K912*0.272*0.125)+(K912*(1-0.272)*0.26))</f>
        <v>5.5768496000000001E-2</v>
      </c>
      <c r="M912" s="64">
        <v>0</v>
      </c>
      <c r="N912" s="33" t="s">
        <v>248</v>
      </c>
    </row>
    <row r="913" spans="1:14" ht="15">
      <c r="A913" s="12"/>
      <c r="B913" s="33" t="s">
        <v>160</v>
      </c>
      <c r="C913" s="92" t="s">
        <v>338</v>
      </c>
      <c r="D913" s="33" t="s">
        <v>410</v>
      </c>
      <c r="E913" s="34">
        <v>44377</v>
      </c>
      <c r="F913" s="34">
        <v>44378</v>
      </c>
      <c r="G913" s="34">
        <v>44383</v>
      </c>
      <c r="H913" s="35">
        <v>0.05</v>
      </c>
      <c r="I913" s="67">
        <v>7.1099999999999997E-2</v>
      </c>
      <c r="J913" s="67">
        <v>0</v>
      </c>
      <c r="K913" s="67">
        <v>7.1099999999999997E-2</v>
      </c>
      <c r="L913" s="36">
        <f>+K913-((K913*0.272*0.125)+(K913*(1-0.272)*0.26))</f>
        <v>5.5224791999999995E-2</v>
      </c>
      <c r="M913" s="64">
        <v>0</v>
      </c>
      <c r="N913" s="33" t="s">
        <v>248</v>
      </c>
    </row>
    <row r="914" spans="1:14" ht="15">
      <c r="A914" s="12"/>
      <c r="B914" s="33" t="s">
        <v>300</v>
      </c>
      <c r="C914" s="92" t="s">
        <v>404</v>
      </c>
      <c r="D914" s="33" t="s">
        <v>410</v>
      </c>
      <c r="E914" s="34">
        <v>44377</v>
      </c>
      <c r="F914" s="34">
        <v>44378</v>
      </c>
      <c r="G914" s="34">
        <v>44383</v>
      </c>
      <c r="H914" s="35">
        <v>0.05</v>
      </c>
      <c r="I914" s="67">
        <v>5.5599999999999997E-2</v>
      </c>
      <c r="J914" s="67">
        <v>0</v>
      </c>
      <c r="K914" s="67">
        <v>5.5599999999999997E-2</v>
      </c>
      <c r="L914" s="36">
        <f>+K914-((K914*0.272*0.125)+(K914*(1-0.272)*0.26))</f>
        <v>4.3185632000000002E-2</v>
      </c>
      <c r="M914" s="64">
        <v>0</v>
      </c>
      <c r="N914" s="33" t="s">
        <v>248</v>
      </c>
    </row>
    <row r="915" spans="1:14" ht="15">
      <c r="A915" s="12"/>
      <c r="B915" s="33" t="s">
        <v>142</v>
      </c>
      <c r="C915" s="92" t="s">
        <v>341</v>
      </c>
      <c r="D915" s="33" t="s">
        <v>410</v>
      </c>
      <c r="E915" s="34">
        <v>44377</v>
      </c>
      <c r="F915" s="34">
        <v>44378</v>
      </c>
      <c r="G915" s="34">
        <v>44383</v>
      </c>
      <c r="H915" s="35">
        <v>5.2499999999999998E-2</v>
      </c>
      <c r="I915" s="67">
        <v>7.6999999999999999E-2</v>
      </c>
      <c r="J915" s="67">
        <v>0</v>
      </c>
      <c r="K915" s="67">
        <v>7.6999999999999999E-2</v>
      </c>
      <c r="L915" s="36">
        <f>+K915-((K915*0.033*0.125)+(K915*(1-0.033)*0.26))</f>
        <v>5.7323035000000001E-2</v>
      </c>
      <c r="M915" s="64">
        <v>0</v>
      </c>
      <c r="N915" s="33" t="s">
        <v>248</v>
      </c>
    </row>
    <row r="916" spans="1:14" ht="15">
      <c r="A916" s="12"/>
      <c r="B916" s="33" t="s">
        <v>159</v>
      </c>
      <c r="C916" s="92" t="s">
        <v>342</v>
      </c>
      <c r="D916" s="33" t="s">
        <v>410</v>
      </c>
      <c r="E916" s="34">
        <v>44377</v>
      </c>
      <c r="F916" s="34">
        <v>44378</v>
      </c>
      <c r="G916" s="34">
        <v>44383</v>
      </c>
      <c r="H916" s="35">
        <v>5.2499999999999998E-2</v>
      </c>
      <c r="I916" s="67">
        <v>7.6399999999999996E-2</v>
      </c>
      <c r="J916" s="67">
        <v>0</v>
      </c>
      <c r="K916" s="67">
        <v>7.6399999999999996E-2</v>
      </c>
      <c r="L916" s="36">
        <f>+K916-((K916*0.033*0.125)+(K916*(1-0.033)*0.26))</f>
        <v>5.6876362E-2</v>
      </c>
      <c r="M916" s="64">
        <v>0</v>
      </c>
      <c r="N916" s="33" t="s">
        <v>248</v>
      </c>
    </row>
    <row r="917" spans="1:14" ht="15">
      <c r="A917" s="12"/>
      <c r="B917" s="33" t="s">
        <v>507</v>
      </c>
      <c r="C917" s="92" t="s">
        <v>508</v>
      </c>
      <c r="D917" s="33" t="s">
        <v>410</v>
      </c>
      <c r="E917" s="34">
        <v>44377</v>
      </c>
      <c r="F917" s="34">
        <v>44378</v>
      </c>
      <c r="G917" s="34">
        <v>44383</v>
      </c>
      <c r="H917" s="35">
        <v>5.2499999999999998E-2</v>
      </c>
      <c r="I917" s="67">
        <v>6.0900000000000003E-2</v>
      </c>
      <c r="J917" s="67">
        <v>0</v>
      </c>
      <c r="K917" s="67">
        <v>6.0900000000000003E-2</v>
      </c>
      <c r="L917" s="36">
        <f>+K917-((K917*0.033*0.125)+(K917*(1-0.033)*0.26))</f>
        <v>4.5337309500000006E-2</v>
      </c>
      <c r="M917" s="64">
        <v>0</v>
      </c>
      <c r="N917" s="33" t="s">
        <v>248</v>
      </c>
    </row>
    <row r="918" spans="1:14" ht="15">
      <c r="A918" s="12"/>
      <c r="B918" s="33" t="s">
        <v>139</v>
      </c>
      <c r="C918" s="92" t="s">
        <v>344</v>
      </c>
      <c r="D918" s="33" t="s">
        <v>410</v>
      </c>
      <c r="E918" s="34">
        <v>44377</v>
      </c>
      <c r="F918" s="34">
        <v>44378</v>
      </c>
      <c r="G918" s="34">
        <v>44383</v>
      </c>
      <c r="H918" s="35">
        <v>3.5000000000000003E-2</v>
      </c>
      <c r="I918" s="67">
        <v>3.7900000000000003E-2</v>
      </c>
      <c r="J918" s="67">
        <v>0</v>
      </c>
      <c r="K918" s="67">
        <v>3.7900000000000003E-2</v>
      </c>
      <c r="L918" s="36">
        <f>+K918-((K918*0.713*0.125)+(K918*(1-0.713)*0.26))</f>
        <v>3.1694064500000001E-2</v>
      </c>
      <c r="M918" s="64">
        <v>0</v>
      </c>
      <c r="N918" s="33" t="s">
        <v>248</v>
      </c>
    </row>
    <row r="919" spans="1:14" ht="15">
      <c r="A919" s="12"/>
      <c r="B919" s="33" t="s">
        <v>161</v>
      </c>
      <c r="C919" s="92" t="s">
        <v>345</v>
      </c>
      <c r="D919" s="33" t="s">
        <v>410</v>
      </c>
      <c r="E919" s="34">
        <v>44377</v>
      </c>
      <c r="F919" s="34">
        <v>44378</v>
      </c>
      <c r="G919" s="34">
        <v>44383</v>
      </c>
      <c r="H919" s="35">
        <v>3.5000000000000003E-2</v>
      </c>
      <c r="I919" s="67">
        <v>3.7699999999999997E-2</v>
      </c>
      <c r="J919" s="67">
        <v>0</v>
      </c>
      <c r="K919" s="67">
        <v>3.7699999999999997E-2</v>
      </c>
      <c r="L919" s="36">
        <f>+K919-((K919*0.713*0.125)+(K919*(1-0.713)*0.26))</f>
        <v>3.15268135E-2</v>
      </c>
      <c r="M919" s="64">
        <v>0</v>
      </c>
      <c r="N919" s="33" t="s">
        <v>248</v>
      </c>
    </row>
    <row r="920" spans="1:14" ht="15">
      <c r="A920" s="12"/>
      <c r="B920" s="33" t="s">
        <v>141</v>
      </c>
      <c r="C920" s="92" t="s">
        <v>348</v>
      </c>
      <c r="D920" s="33" t="s">
        <v>410</v>
      </c>
      <c r="E920" s="34">
        <v>44377</v>
      </c>
      <c r="F920" s="34">
        <v>44378</v>
      </c>
      <c r="G920" s="34">
        <v>44383</v>
      </c>
      <c r="H920" s="35">
        <v>4.2500000000000003E-2</v>
      </c>
      <c r="I920" s="67">
        <v>5.04E-2</v>
      </c>
      <c r="J920" s="67">
        <v>0</v>
      </c>
      <c r="K920" s="67">
        <v>5.04E-2</v>
      </c>
      <c r="L920" s="36">
        <f>+K920-((K920*0.058*0.125)+(K920*(1-0.058)*0.26))</f>
        <v>3.7690632000000002E-2</v>
      </c>
      <c r="M920" s="64">
        <v>0</v>
      </c>
      <c r="N920" s="33" t="s">
        <v>248</v>
      </c>
    </row>
    <row r="921" spans="1:14" ht="15">
      <c r="A921" s="12"/>
      <c r="B921" s="33" t="s">
        <v>140</v>
      </c>
      <c r="C921" s="92" t="s">
        <v>349</v>
      </c>
      <c r="D921" s="33" t="s">
        <v>410</v>
      </c>
      <c r="E921" s="34">
        <v>44377</v>
      </c>
      <c r="F921" s="34">
        <v>44378</v>
      </c>
      <c r="G921" s="34">
        <v>44383</v>
      </c>
      <c r="H921" s="35">
        <v>4.2500000000000003E-2</v>
      </c>
      <c r="I921" s="67">
        <v>5.16E-2</v>
      </c>
      <c r="J921" s="67">
        <v>0</v>
      </c>
      <c r="K921" s="67">
        <v>5.16E-2</v>
      </c>
      <c r="L921" s="36">
        <f>+K921-((K921*0.058*0.125)+(K921*(1-0.058)*0.26))</f>
        <v>3.8588027999999996E-2</v>
      </c>
      <c r="M921" s="64">
        <v>0</v>
      </c>
      <c r="N921" s="33" t="s">
        <v>248</v>
      </c>
    </row>
    <row r="922" spans="1:14" ht="15">
      <c r="A922" s="12"/>
      <c r="B922" s="33" t="s">
        <v>162</v>
      </c>
      <c r="C922" s="92" t="s">
        <v>350</v>
      </c>
      <c r="D922" s="33" t="s">
        <v>410</v>
      </c>
      <c r="E922" s="34">
        <v>44377</v>
      </c>
      <c r="F922" s="34">
        <v>44378</v>
      </c>
      <c r="G922" s="34">
        <v>44383</v>
      </c>
      <c r="H922" s="35">
        <v>4.2500000000000003E-2</v>
      </c>
      <c r="I922" s="67">
        <v>5.1200000000000002E-2</v>
      </c>
      <c r="J922" s="67">
        <v>0</v>
      </c>
      <c r="K922" s="67">
        <v>5.1200000000000002E-2</v>
      </c>
      <c r="L922" s="36">
        <f>+K922-((K922*0.058*0.125)+(K922*(1-0.058)*0.26))</f>
        <v>3.8288896000000003E-2</v>
      </c>
      <c r="M922" s="64">
        <v>0</v>
      </c>
      <c r="N922" s="33" t="s">
        <v>248</v>
      </c>
    </row>
    <row r="923" spans="1:14" ht="15">
      <c r="A923" s="12"/>
      <c r="B923" s="33" t="s">
        <v>302</v>
      </c>
      <c r="C923" s="92" t="s">
        <v>405</v>
      </c>
      <c r="D923" s="33" t="s">
        <v>410</v>
      </c>
      <c r="E923" s="34">
        <v>44377</v>
      </c>
      <c r="F923" s="34">
        <v>44378</v>
      </c>
      <c r="G923" s="34">
        <v>44383</v>
      </c>
      <c r="H923" s="35">
        <v>4.2500000000000003E-2</v>
      </c>
      <c r="I923" s="67">
        <v>5.2400000000000002E-2</v>
      </c>
      <c r="J923" s="67">
        <v>0</v>
      </c>
      <c r="K923" s="67">
        <v>5.2400000000000002E-2</v>
      </c>
      <c r="L923" s="36">
        <f>+K923-((K923*0.058*0.125)+(K923*(1-0.058)*0.26))</f>
        <v>3.9186292000000005E-2</v>
      </c>
      <c r="M923" s="64">
        <v>0</v>
      </c>
      <c r="N923" s="33" t="s">
        <v>248</v>
      </c>
    </row>
    <row r="924" spans="1:14" ht="15">
      <c r="A924" s="12"/>
      <c r="B924" s="33" t="s">
        <v>303</v>
      </c>
      <c r="C924" s="92" t="s">
        <v>406</v>
      </c>
      <c r="D924" s="33" t="s">
        <v>410</v>
      </c>
      <c r="E924" s="34">
        <v>44377</v>
      </c>
      <c r="F924" s="34">
        <v>44378</v>
      </c>
      <c r="G924" s="34">
        <v>44383</v>
      </c>
      <c r="H924" s="35">
        <v>4.2500000000000003E-2</v>
      </c>
      <c r="I924" s="67">
        <v>4.8399999999999999E-2</v>
      </c>
      <c r="J924" s="67">
        <v>0</v>
      </c>
      <c r="K924" s="67">
        <v>4.8399999999999999E-2</v>
      </c>
      <c r="L924" s="36">
        <f>+K924-((K924*0.058*0.125)+(K924*(1-0.058)*0.26))</f>
        <v>3.6194971999999999E-2</v>
      </c>
      <c r="M924" s="64">
        <v>0</v>
      </c>
      <c r="N924" s="33" t="s">
        <v>248</v>
      </c>
    </row>
    <row r="925" spans="1:14" ht="15">
      <c r="A925" s="12"/>
      <c r="B925" s="33" t="s">
        <v>143</v>
      </c>
      <c r="C925" s="92" t="s">
        <v>351</v>
      </c>
      <c r="D925" s="33" t="s">
        <v>410</v>
      </c>
      <c r="E925" s="34">
        <v>44377</v>
      </c>
      <c r="F925" s="34">
        <v>44378</v>
      </c>
      <c r="G925" s="34">
        <v>44383</v>
      </c>
      <c r="H925" s="35">
        <v>4.0000000000000001E-3</v>
      </c>
      <c r="I925" s="67">
        <v>5.1999999999999998E-3</v>
      </c>
      <c r="J925" s="67">
        <v>0</v>
      </c>
      <c r="K925" s="67">
        <v>5.1999999999999998E-3</v>
      </c>
      <c r="L925" s="36">
        <f>+K925-((K925*0.511*0.125)+(K925*(1-0.511)*0.26))</f>
        <v>4.2067219999999995E-3</v>
      </c>
      <c r="M925" s="64">
        <v>0</v>
      </c>
      <c r="N925" s="33" t="s">
        <v>248</v>
      </c>
    </row>
    <row r="926" spans="1:14" ht="15">
      <c r="A926" s="12"/>
      <c r="B926" s="33" t="s">
        <v>145</v>
      </c>
      <c r="C926" s="92" t="s">
        <v>352</v>
      </c>
      <c r="D926" s="33" t="s">
        <v>410</v>
      </c>
      <c r="E926" s="34">
        <v>44377</v>
      </c>
      <c r="F926" s="34">
        <v>44378</v>
      </c>
      <c r="G926" s="34">
        <v>44383</v>
      </c>
      <c r="H926" s="35">
        <v>4.4999999999999997E-3</v>
      </c>
      <c r="I926" s="67">
        <v>5.7999999999999996E-3</v>
      </c>
      <c r="J926" s="67">
        <v>0</v>
      </c>
      <c r="K926" s="67">
        <v>5.7999999999999996E-3</v>
      </c>
      <c r="L926" s="36">
        <f>+K926-((K926*0.002*0.125)+(K926*(1-0.002)*0.26))</f>
        <v>4.2935659999999995E-3</v>
      </c>
      <c r="M926" s="64">
        <v>0</v>
      </c>
      <c r="N926" s="33" t="s">
        <v>248</v>
      </c>
    </row>
    <row r="927" spans="1:14" ht="15">
      <c r="A927" s="12"/>
      <c r="B927" s="33" t="s">
        <v>144</v>
      </c>
      <c r="C927" s="92" t="s">
        <v>353</v>
      </c>
      <c r="D927" s="33" t="s">
        <v>410</v>
      </c>
      <c r="E927" s="34">
        <v>44377</v>
      </c>
      <c r="F927" s="34">
        <v>44378</v>
      </c>
      <c r="G927" s="34">
        <v>44383</v>
      </c>
      <c r="H927" s="35">
        <v>2E-3</v>
      </c>
      <c r="I927" s="67">
        <v>2.5999999999999999E-3</v>
      </c>
      <c r="J927" s="67">
        <v>0</v>
      </c>
      <c r="K927" s="67">
        <v>2.5999999999999999E-3</v>
      </c>
      <c r="L927" s="36">
        <f>+K927-((K927*0.885*0.125)+(K927*(1-0.885)*0.26))</f>
        <v>2.234635E-3</v>
      </c>
      <c r="M927" s="64">
        <v>0</v>
      </c>
      <c r="N927" s="33" t="s">
        <v>248</v>
      </c>
    </row>
    <row r="928" spans="1:14" ht="15">
      <c r="A928" s="12"/>
      <c r="B928" s="33" t="s">
        <v>148</v>
      </c>
      <c r="C928" s="92" t="s">
        <v>362</v>
      </c>
      <c r="D928" s="33" t="s">
        <v>410</v>
      </c>
      <c r="E928" s="34">
        <v>44377</v>
      </c>
      <c r="F928" s="34">
        <v>44378</v>
      </c>
      <c r="G928" s="34">
        <v>44383</v>
      </c>
      <c r="H928" s="35">
        <v>1.4999999999999999E-2</v>
      </c>
      <c r="I928" s="67">
        <v>1.8700000000000001E-2</v>
      </c>
      <c r="J928" s="67">
        <v>0</v>
      </c>
      <c r="K928" s="67">
        <v>1.8700000000000001E-2</v>
      </c>
      <c r="L928" s="36">
        <f>+K928-((K928*0.458*0.125)+(K928*(1-0.458)*0.26))</f>
        <v>1.4994221000000002E-2</v>
      </c>
      <c r="M928" s="64">
        <v>0</v>
      </c>
      <c r="N928" s="33" t="s">
        <v>248</v>
      </c>
    </row>
    <row r="929" spans="1:14" ht="15">
      <c r="A929" s="12"/>
      <c r="B929" s="33" t="s">
        <v>200</v>
      </c>
      <c r="C929" s="92" t="s">
        <v>365</v>
      </c>
      <c r="D929" s="33" t="s">
        <v>410</v>
      </c>
      <c r="E929" s="34">
        <v>44377</v>
      </c>
      <c r="F929" s="34">
        <v>44378</v>
      </c>
      <c r="G929" s="34">
        <v>44383</v>
      </c>
      <c r="H929" s="35">
        <v>1.4999999999999999E-2</v>
      </c>
      <c r="I929" s="67">
        <v>0.37040000000000001</v>
      </c>
      <c r="J929" s="67">
        <v>0</v>
      </c>
      <c r="K929" s="67">
        <v>0.37040000000000001</v>
      </c>
      <c r="L929" s="36">
        <f>+K929-((K929*0.458*0.125)+(K929*(1-0.458)*0.26))</f>
        <v>0.29699783200000002</v>
      </c>
      <c r="M929" s="64">
        <v>0</v>
      </c>
      <c r="N929" s="33" t="s">
        <v>248</v>
      </c>
    </row>
    <row r="930" spans="1:14" ht="15">
      <c r="A930" s="12"/>
      <c r="B930" s="33" t="s">
        <v>173</v>
      </c>
      <c r="C930" s="92" t="s">
        <v>372</v>
      </c>
      <c r="D930" s="33" t="s">
        <v>410</v>
      </c>
      <c r="E930" s="34">
        <v>44377</v>
      </c>
      <c r="F930" s="34">
        <v>44378</v>
      </c>
      <c r="G930" s="34">
        <v>44383</v>
      </c>
      <c r="H930" s="35">
        <v>0.01</v>
      </c>
      <c r="I930" s="67">
        <v>1.38E-2</v>
      </c>
      <c r="J930" s="67">
        <v>0</v>
      </c>
      <c r="K930" s="67">
        <v>1.38E-2</v>
      </c>
      <c r="L930" s="36">
        <f>+K930-((K930*0.329*0.125)+(K930*(1-0.329)*0.26))</f>
        <v>1.0824927E-2</v>
      </c>
      <c r="M930" s="64">
        <v>0</v>
      </c>
      <c r="N930" s="33" t="s">
        <v>248</v>
      </c>
    </row>
    <row r="931" spans="1:14" ht="15">
      <c r="A931" s="12"/>
      <c r="B931" s="33" t="s">
        <v>150</v>
      </c>
      <c r="C931" s="92" t="s">
        <v>377</v>
      </c>
      <c r="D931" s="33" t="s">
        <v>410</v>
      </c>
      <c r="E931" s="34">
        <v>44377</v>
      </c>
      <c r="F931" s="34">
        <v>44378</v>
      </c>
      <c r="G931" s="34">
        <v>44383</v>
      </c>
      <c r="H931" s="35">
        <v>2.5000000000000001E-2</v>
      </c>
      <c r="I931" s="67">
        <v>3.5400000000000001E-2</v>
      </c>
      <c r="J931" s="67">
        <v>0</v>
      </c>
      <c r="K931" s="67">
        <v>3.5400000000000001E-2</v>
      </c>
      <c r="L931" s="36">
        <f>+K931-((K931*0.002*0.125)+(K931*(1-0.002)*0.26))</f>
        <v>2.6205558000000004E-2</v>
      </c>
      <c r="M931" s="64">
        <v>0</v>
      </c>
      <c r="N931" s="33" t="s">
        <v>248</v>
      </c>
    </row>
    <row r="932" spans="1:14" ht="15">
      <c r="A932" s="12"/>
      <c r="B932" s="33" t="s">
        <v>510</v>
      </c>
      <c r="C932" s="92" t="s">
        <v>509</v>
      </c>
      <c r="D932" s="33" t="s">
        <v>410</v>
      </c>
      <c r="E932" s="34">
        <v>44377</v>
      </c>
      <c r="F932" s="34">
        <v>44378</v>
      </c>
      <c r="G932" s="34">
        <v>44383</v>
      </c>
      <c r="H932" s="35">
        <v>2.5000000000000001E-2</v>
      </c>
      <c r="I932" s="67">
        <v>3.15E-2</v>
      </c>
      <c r="J932" s="67">
        <v>0</v>
      </c>
      <c r="K932" s="67">
        <v>3.15E-2</v>
      </c>
      <c r="L932" s="36">
        <f>+K932-((K932*0.002*0.125)+(K932*(1-0.002)*0.26))</f>
        <v>2.3318505000000003E-2</v>
      </c>
      <c r="M932" s="64">
        <v>0</v>
      </c>
      <c r="N932" s="33" t="s">
        <v>248</v>
      </c>
    </row>
    <row r="933" spans="1:14" ht="15">
      <c r="A933" s="12"/>
      <c r="B933" s="33" t="s">
        <v>441</v>
      </c>
      <c r="C933" s="92" t="s">
        <v>444</v>
      </c>
      <c r="D933" s="33" t="s">
        <v>410</v>
      </c>
      <c r="E933" s="34">
        <v>44377</v>
      </c>
      <c r="F933" s="34">
        <v>44378</v>
      </c>
      <c r="G933" s="34">
        <v>44383</v>
      </c>
      <c r="H933" s="35">
        <v>7.4999999999999997E-3</v>
      </c>
      <c r="I933" s="67">
        <v>8.6E-3</v>
      </c>
      <c r="J933" s="67">
        <v>0</v>
      </c>
      <c r="K933" s="67">
        <v>8.6E-3</v>
      </c>
      <c r="L933" s="36">
        <f>+K933-((K933*0.363*0.125)+(K933*(1-0.363)*0.26))</f>
        <v>6.7854430000000004E-3</v>
      </c>
      <c r="M933" s="64">
        <v>0</v>
      </c>
      <c r="N933" s="33" t="s">
        <v>248</v>
      </c>
    </row>
    <row r="934" spans="1:14" ht="15">
      <c r="A934" s="12"/>
      <c r="B934" s="33" t="s">
        <v>440</v>
      </c>
      <c r="C934" s="92" t="s">
        <v>443</v>
      </c>
      <c r="D934" s="33" t="s">
        <v>410</v>
      </c>
      <c r="E934" s="34">
        <v>44377</v>
      </c>
      <c r="F934" s="34">
        <v>44378</v>
      </c>
      <c r="G934" s="34">
        <v>44383</v>
      </c>
      <c r="H934" s="35">
        <v>7.4999999999999997E-3</v>
      </c>
      <c r="I934" s="67">
        <v>0.17530000000000001</v>
      </c>
      <c r="J934" s="67">
        <v>0</v>
      </c>
      <c r="K934" s="67">
        <v>0.17530000000000001</v>
      </c>
      <c r="L934" s="36">
        <f>+K934-((K934*0.363*0.125)+(K934*(1-0.363)*0.26))</f>
        <v>0.13831257650000001</v>
      </c>
      <c r="M934" s="64">
        <v>0</v>
      </c>
      <c r="N934" s="33" t="s">
        <v>248</v>
      </c>
    </row>
    <row r="935" spans="1:14" ht="15">
      <c r="A935" s="12"/>
      <c r="B935" s="33" t="s">
        <v>299</v>
      </c>
      <c r="C935" s="92" t="s">
        <v>517</v>
      </c>
      <c r="D935" s="33" t="s">
        <v>410</v>
      </c>
      <c r="E935" s="34">
        <v>44377</v>
      </c>
      <c r="F935" s="34">
        <v>44378</v>
      </c>
      <c r="G935" s="34">
        <v>44383</v>
      </c>
      <c r="H935" s="35">
        <v>1.2E-2</v>
      </c>
      <c r="I935" s="67">
        <v>1.4800000000000001E-2</v>
      </c>
      <c r="J935" s="67">
        <v>0</v>
      </c>
      <c r="K935" s="67">
        <v>1.4800000000000001E-2</v>
      </c>
      <c r="L935" s="36">
        <f>+K935-((K935*0.334*0.125)+(K935*(1-0.334)*0.26))</f>
        <v>1.1619332E-2</v>
      </c>
      <c r="M935" s="64">
        <v>0</v>
      </c>
      <c r="N935" s="33" t="s">
        <v>248</v>
      </c>
    </row>
    <row r="936" spans="1:14" ht="15">
      <c r="A936" s="12"/>
      <c r="B936" s="33" t="s">
        <v>182</v>
      </c>
      <c r="C936" s="92" t="s">
        <v>477</v>
      </c>
      <c r="D936" s="33" t="s">
        <v>410</v>
      </c>
      <c r="E936" s="34">
        <v>44377</v>
      </c>
      <c r="F936" s="34">
        <v>44378</v>
      </c>
      <c r="G936" s="34">
        <v>44383</v>
      </c>
      <c r="H936" s="35">
        <v>1.2E-2</v>
      </c>
      <c r="I936" s="67">
        <v>0.28910000000000002</v>
      </c>
      <c r="J936" s="67">
        <v>0</v>
      </c>
      <c r="K936" s="67">
        <v>0.28910000000000002</v>
      </c>
      <c r="L936" s="36">
        <f>+K936-((K936*0.334*0.125)+(K936*(1-0.334)*0.26))</f>
        <v>0.22696951900000001</v>
      </c>
      <c r="M936" s="64">
        <v>0</v>
      </c>
      <c r="N936" s="33" t="s">
        <v>248</v>
      </c>
    </row>
    <row r="937" spans="1:14" ht="15">
      <c r="A937" s="12"/>
      <c r="B937" s="33" t="s">
        <v>202</v>
      </c>
      <c r="C937" s="92" t="s">
        <v>478</v>
      </c>
      <c r="D937" s="33" t="s">
        <v>410</v>
      </c>
      <c r="E937" s="34">
        <v>44377</v>
      </c>
      <c r="F937" s="34">
        <v>44378</v>
      </c>
      <c r="G937" s="34">
        <v>44383</v>
      </c>
      <c r="H937" s="35">
        <v>1.2E-2</v>
      </c>
      <c r="I937" s="67">
        <v>0.29270000000000002</v>
      </c>
      <c r="J937" s="67">
        <v>0</v>
      </c>
      <c r="K937" s="67">
        <v>0.29270000000000002</v>
      </c>
      <c r="L937" s="36">
        <f>+K937-((K937*0.334*0.125)+(K937*(1-0.334)*0.26))</f>
        <v>0.22979584300000003</v>
      </c>
      <c r="M937" s="64">
        <v>0</v>
      </c>
      <c r="N937" s="33" t="s">
        <v>248</v>
      </c>
    </row>
    <row r="938" spans="1:14" ht="15">
      <c r="A938" s="12"/>
      <c r="B938" s="33" t="s">
        <v>146</v>
      </c>
      <c r="C938" s="92" t="s">
        <v>380</v>
      </c>
      <c r="D938" s="33" t="s">
        <v>410</v>
      </c>
      <c r="E938" s="34">
        <v>44377</v>
      </c>
      <c r="F938" s="34">
        <v>44378</v>
      </c>
      <c r="G938" s="34">
        <v>44383</v>
      </c>
      <c r="H938" s="35">
        <v>0.03</v>
      </c>
      <c r="I938" s="67">
        <v>4.6300000000000001E-2</v>
      </c>
      <c r="J938" s="67">
        <v>0</v>
      </c>
      <c r="K938" s="67">
        <v>4.6300000000000001E-2</v>
      </c>
      <c r="L938" s="36">
        <f>+K938-((K938*0.009*0.125)+(K938*(1-0.009)*0.26))</f>
        <v>3.4318254499999999E-2</v>
      </c>
      <c r="M938" s="64">
        <v>0</v>
      </c>
      <c r="N938" s="33" t="s">
        <v>248</v>
      </c>
    </row>
    <row r="939" spans="1:14" ht="15">
      <c r="A939" s="12"/>
      <c r="B939" s="33" t="s">
        <v>163</v>
      </c>
      <c r="C939" s="92" t="s">
        <v>381</v>
      </c>
      <c r="D939" s="33" t="s">
        <v>410</v>
      </c>
      <c r="E939" s="34">
        <v>44377</v>
      </c>
      <c r="F939" s="34">
        <v>44378</v>
      </c>
      <c r="G939" s="34">
        <v>44383</v>
      </c>
      <c r="H939" s="35">
        <v>0.03</v>
      </c>
      <c r="I939" s="67">
        <v>4.1700000000000001E-2</v>
      </c>
      <c r="J939" s="67">
        <v>0</v>
      </c>
      <c r="K939" s="67">
        <v>4.1700000000000001E-2</v>
      </c>
      <c r="L939" s="36">
        <f>+K939-((K939*0.009*0.125)+(K939*(1-0.009)*0.26))</f>
        <v>3.0908665500000002E-2</v>
      </c>
      <c r="M939" s="64">
        <v>0</v>
      </c>
      <c r="N939" s="33" t="s">
        <v>248</v>
      </c>
    </row>
    <row r="940" spans="1:14" ht="15">
      <c r="A940" s="12"/>
      <c r="B940" s="33" t="s">
        <v>151</v>
      </c>
      <c r="C940" s="92" t="s">
        <v>383</v>
      </c>
      <c r="D940" s="33" t="s">
        <v>410</v>
      </c>
      <c r="E940" s="34">
        <v>44377</v>
      </c>
      <c r="F940" s="34">
        <v>44378</v>
      </c>
      <c r="G940" s="34">
        <v>44383</v>
      </c>
      <c r="H940" s="35">
        <v>2.5000000000000001E-2</v>
      </c>
      <c r="I940" s="67">
        <v>3.09E-2</v>
      </c>
      <c r="J940" s="67">
        <v>0</v>
      </c>
      <c r="K940" s="67">
        <v>3.09E-2</v>
      </c>
      <c r="L940" s="36">
        <f>+K940-((K940*0.052*0.125)+(K940*(1-0.052)*0.26))</f>
        <v>2.3082918000000001E-2</v>
      </c>
      <c r="M940" s="64">
        <v>0</v>
      </c>
      <c r="N940" s="33" t="s">
        <v>248</v>
      </c>
    </row>
    <row r="941" spans="1:14" ht="15">
      <c r="A941" s="12"/>
      <c r="B941" s="33" t="s">
        <v>166</v>
      </c>
      <c r="C941" s="92" t="s">
        <v>384</v>
      </c>
      <c r="D941" s="33" t="s">
        <v>410</v>
      </c>
      <c r="E941" s="34">
        <v>44377</v>
      </c>
      <c r="F941" s="34">
        <v>44378</v>
      </c>
      <c r="G941" s="34">
        <v>44383</v>
      </c>
      <c r="H941" s="35">
        <v>2.5000000000000001E-2</v>
      </c>
      <c r="I941" s="67">
        <v>3.0700000000000002E-2</v>
      </c>
      <c r="J941" s="67">
        <v>0</v>
      </c>
      <c r="K941" s="67">
        <v>3.0700000000000002E-2</v>
      </c>
      <c r="L941" s="36">
        <f>+K941-((K941*0.052*0.125)+(K941*(1-0.052)*0.26))</f>
        <v>2.2933514000000002E-2</v>
      </c>
      <c r="M941" s="64">
        <v>0</v>
      </c>
      <c r="N941" s="33" t="s">
        <v>248</v>
      </c>
    </row>
    <row r="942" spans="1:14" ht="15">
      <c r="A942" s="12"/>
      <c r="B942" s="33" t="s">
        <v>149</v>
      </c>
      <c r="C942" s="92" t="s">
        <v>386</v>
      </c>
      <c r="D942" s="33" t="s">
        <v>410</v>
      </c>
      <c r="E942" s="34">
        <v>44377</v>
      </c>
      <c r="F942" s="34">
        <v>44378</v>
      </c>
      <c r="G942" s="34">
        <v>44383</v>
      </c>
      <c r="H942" s="35">
        <v>3.5000000000000003E-2</v>
      </c>
      <c r="I942" s="67">
        <v>4.6899999999999997E-2</v>
      </c>
      <c r="J942" s="67">
        <v>0</v>
      </c>
      <c r="K942" s="67">
        <v>4.6899999999999997E-2</v>
      </c>
      <c r="L942" s="36">
        <f>+K942-((K942*0.0075*0.125)+(K942*(1-0.0075)*0.26))</f>
        <v>3.4753486249999993E-2</v>
      </c>
      <c r="M942" s="64">
        <v>0</v>
      </c>
      <c r="N942" s="33" t="s">
        <v>248</v>
      </c>
    </row>
    <row r="943" spans="1:14" ht="15">
      <c r="A943" s="12"/>
      <c r="B943" s="33" t="s">
        <v>165</v>
      </c>
      <c r="C943" s="92" t="s">
        <v>387</v>
      </c>
      <c r="D943" s="33" t="s">
        <v>410</v>
      </c>
      <c r="E943" s="34">
        <v>44377</v>
      </c>
      <c r="F943" s="34">
        <v>44378</v>
      </c>
      <c r="G943" s="34">
        <v>44383</v>
      </c>
      <c r="H943" s="35">
        <v>3.5000000000000003E-2</v>
      </c>
      <c r="I943" s="67">
        <v>4.41E-2</v>
      </c>
      <c r="J943" s="67">
        <v>0</v>
      </c>
      <c r="K943" s="67">
        <v>4.41E-2</v>
      </c>
      <c r="L943" s="36">
        <f>+K943-((K943*0.0075*0.125)+(K943*(1-0.0075)*0.26))</f>
        <v>3.2678651249999996E-2</v>
      </c>
      <c r="M943" s="64">
        <v>0</v>
      </c>
      <c r="N943" s="33" t="s">
        <v>248</v>
      </c>
    </row>
    <row r="944" spans="1:14" ht="15">
      <c r="A944" s="12"/>
      <c r="B944" s="33" t="s">
        <v>153</v>
      </c>
      <c r="C944" s="92" t="s">
        <v>394</v>
      </c>
      <c r="D944" s="33" t="s">
        <v>410</v>
      </c>
      <c r="E944" s="34">
        <v>44377</v>
      </c>
      <c r="F944" s="34">
        <v>44378</v>
      </c>
      <c r="G944" s="34">
        <v>44383</v>
      </c>
      <c r="H944" s="35">
        <v>1.4E-2</v>
      </c>
      <c r="I944" s="67">
        <v>1.7399999999999999E-2</v>
      </c>
      <c r="J944" s="67">
        <v>0</v>
      </c>
      <c r="K944" s="67">
        <v>1.7399999999999999E-2</v>
      </c>
      <c r="L944" s="36">
        <f>+K944-((K944*0.118*0.125)+(K944*(1-0.118)*0.26))</f>
        <v>1.3153181999999999E-2</v>
      </c>
      <c r="M944" s="64">
        <v>0</v>
      </c>
      <c r="N944" s="33" t="s">
        <v>248</v>
      </c>
    </row>
    <row r="945" spans="1:14" ht="15">
      <c r="A945" s="12"/>
      <c r="B945" s="33" t="s">
        <v>152</v>
      </c>
      <c r="C945" s="92" t="s">
        <v>395</v>
      </c>
      <c r="D945" s="33" t="s">
        <v>410</v>
      </c>
      <c r="E945" s="34">
        <v>44377</v>
      </c>
      <c r="F945" s="34">
        <v>44378</v>
      </c>
      <c r="G945" s="34">
        <v>44383</v>
      </c>
      <c r="H945" s="35">
        <v>1.4E-2</v>
      </c>
      <c r="I945" s="67">
        <v>2.1899999999999999E-2</v>
      </c>
      <c r="J945" s="67">
        <v>0</v>
      </c>
      <c r="K945" s="67">
        <v>2.1899999999999999E-2</v>
      </c>
      <c r="L945" s="36">
        <f>+K945-((K945*0.118*0.125)+(K945*(1-0.118)*0.26))</f>
        <v>1.6554866999999997E-2</v>
      </c>
      <c r="M945" s="64">
        <v>0</v>
      </c>
      <c r="N945" s="33" t="s">
        <v>248</v>
      </c>
    </row>
    <row r="946" spans="1:14" ht="15">
      <c r="A946" s="12"/>
      <c r="B946" s="33" t="s">
        <v>167</v>
      </c>
      <c r="C946" s="92" t="s">
        <v>396</v>
      </c>
      <c r="D946" s="33" t="s">
        <v>410</v>
      </c>
      <c r="E946" s="34">
        <v>44377</v>
      </c>
      <c r="F946" s="34">
        <v>44378</v>
      </c>
      <c r="G946" s="34">
        <v>44383</v>
      </c>
      <c r="H946" s="35">
        <v>1.4E-2</v>
      </c>
      <c r="I946" s="67">
        <v>2.1000000000000001E-2</v>
      </c>
      <c r="J946" s="67">
        <v>0</v>
      </c>
      <c r="K946" s="67">
        <v>2.1000000000000001E-2</v>
      </c>
      <c r="L946" s="36">
        <f>+K946-((K946*0.118*0.125)+(K946*(1-0.118)*0.26))</f>
        <v>1.5874530000000001E-2</v>
      </c>
      <c r="M946" s="64">
        <v>0</v>
      </c>
      <c r="N946" s="33" t="s">
        <v>248</v>
      </c>
    </row>
    <row r="947" spans="1:14" ht="15">
      <c r="A947" s="12"/>
      <c r="B947" s="33" t="s">
        <v>301</v>
      </c>
      <c r="C947" s="92" t="s">
        <v>407</v>
      </c>
      <c r="D947" s="33" t="s">
        <v>410</v>
      </c>
      <c r="E947" s="34">
        <v>44377</v>
      </c>
      <c r="F947" s="34">
        <v>44378</v>
      </c>
      <c r="G947" s="34">
        <v>44383</v>
      </c>
      <c r="H947" s="35">
        <v>1.4E-2</v>
      </c>
      <c r="I947" s="67">
        <v>1.6500000000000001E-2</v>
      </c>
      <c r="J947" s="67">
        <v>0</v>
      </c>
      <c r="K947" s="67">
        <v>1.6500000000000001E-2</v>
      </c>
      <c r="L947" s="36">
        <f>+K947-((K947*0.118*0.125)+(K947*(1-0.118)*0.26))</f>
        <v>1.2472845E-2</v>
      </c>
      <c r="M947" s="64">
        <v>0</v>
      </c>
      <c r="N947" s="33" t="s">
        <v>248</v>
      </c>
    </row>
    <row r="948" spans="1:14" ht="15">
      <c r="A948" s="12"/>
      <c r="B948" s="33" t="s">
        <v>304</v>
      </c>
      <c r="C948" s="92" t="s">
        <v>408</v>
      </c>
      <c r="D948" s="33" t="s">
        <v>410</v>
      </c>
      <c r="E948" s="34">
        <v>44377</v>
      </c>
      <c r="F948" s="34">
        <v>44378</v>
      </c>
      <c r="G948" s="34">
        <v>44383</v>
      </c>
      <c r="H948" s="35">
        <v>0.01</v>
      </c>
      <c r="I948" s="67">
        <v>1.2699999999999999E-2</v>
      </c>
      <c r="J948" s="67">
        <v>0</v>
      </c>
      <c r="K948" s="67">
        <v>1.2699999999999999E-2</v>
      </c>
      <c r="L948" s="36">
        <f>+K948-((K948*0.135*0.125)+(K948*(1-0.135)*0.26))</f>
        <v>9.629457499999999E-3</v>
      </c>
      <c r="M948" s="64">
        <v>0</v>
      </c>
      <c r="N948" s="33" t="s">
        <v>248</v>
      </c>
    </row>
    <row r="949" spans="1:14" ht="15">
      <c r="A949" s="12"/>
      <c r="B949" s="33" t="s">
        <v>183</v>
      </c>
      <c r="C949" s="92" t="s">
        <v>398</v>
      </c>
      <c r="D949" s="33" t="s">
        <v>410</v>
      </c>
      <c r="E949" s="34">
        <v>44377</v>
      </c>
      <c r="F949" s="34">
        <v>44378</v>
      </c>
      <c r="G949" s="34">
        <v>44383</v>
      </c>
      <c r="H949" s="35">
        <v>0.01</v>
      </c>
      <c r="I949" s="67">
        <v>1.2699999999999999E-2</v>
      </c>
      <c r="J949" s="67">
        <v>0</v>
      </c>
      <c r="K949" s="67">
        <v>1.2699999999999999E-2</v>
      </c>
      <c r="L949" s="36">
        <f>+K949-((K949*0.135*0.125)+(K949*(1-0.135)*0.26))</f>
        <v>9.629457499999999E-3</v>
      </c>
      <c r="M949" s="64">
        <v>0</v>
      </c>
      <c r="N949" s="33" t="s">
        <v>248</v>
      </c>
    </row>
    <row r="950" spans="1:14" ht="15">
      <c r="A950" s="12"/>
      <c r="B950" s="33" t="s">
        <v>305</v>
      </c>
      <c r="C950" s="92" t="s">
        <v>409</v>
      </c>
      <c r="D950" s="33" t="s">
        <v>410</v>
      </c>
      <c r="E950" s="34">
        <v>44377</v>
      </c>
      <c r="F950" s="34">
        <v>44378</v>
      </c>
      <c r="G950" s="34">
        <v>44383</v>
      </c>
      <c r="H950" s="35">
        <v>0.01</v>
      </c>
      <c r="I950" s="67">
        <v>1.2800000000000001E-2</v>
      </c>
      <c r="J950" s="67">
        <v>0</v>
      </c>
      <c r="K950" s="67">
        <v>1.2800000000000001E-2</v>
      </c>
      <c r="L950" s="36">
        <f>+K950-((K950*0.135*0.125)+(K950*(1-0.135)*0.26))</f>
        <v>9.7052800000000002E-3</v>
      </c>
      <c r="M950" s="64">
        <v>0</v>
      </c>
      <c r="N950" s="33" t="s">
        <v>248</v>
      </c>
    </row>
    <row r="951" spans="1:14" ht="15">
      <c r="A951" s="12"/>
      <c r="B951" s="33" t="s">
        <v>147</v>
      </c>
      <c r="C951" s="92" t="s">
        <v>466</v>
      </c>
      <c r="D951" s="33" t="s">
        <v>410</v>
      </c>
      <c r="E951" s="34">
        <v>44377</v>
      </c>
      <c r="F951" s="34">
        <v>44378</v>
      </c>
      <c r="G951" s="34">
        <v>44383</v>
      </c>
      <c r="H951" s="35">
        <v>0.03</v>
      </c>
      <c r="I951" s="67">
        <v>4.1399999999999999E-2</v>
      </c>
      <c r="J951" s="67">
        <v>0</v>
      </c>
      <c r="K951" s="67">
        <v>4.1399999999999999E-2</v>
      </c>
      <c r="L951" s="36">
        <f>+K951-((K951*0.16*0.125)+(K951*(1-0.16)*0.26))</f>
        <v>3.1530240000000001E-2</v>
      </c>
      <c r="M951" s="64">
        <v>0</v>
      </c>
      <c r="N951" s="33" t="s">
        <v>248</v>
      </c>
    </row>
    <row r="952" spans="1:14" ht="15">
      <c r="A952" s="12"/>
      <c r="B952" s="33" t="s">
        <v>164</v>
      </c>
      <c r="C952" s="92" t="s">
        <v>467</v>
      </c>
      <c r="D952" s="33" t="s">
        <v>410</v>
      </c>
      <c r="E952" s="34">
        <v>44377</v>
      </c>
      <c r="F952" s="34">
        <v>44378</v>
      </c>
      <c r="G952" s="34">
        <v>44383</v>
      </c>
      <c r="H952" s="35">
        <v>0.03</v>
      </c>
      <c r="I952" s="67">
        <v>3.8800000000000001E-2</v>
      </c>
      <c r="J952" s="67">
        <v>0</v>
      </c>
      <c r="K952" s="67">
        <v>3.8800000000000001E-2</v>
      </c>
      <c r="L952" s="36">
        <f>+K952-((K952*0.16*0.125)+(K952*(1-0.16)*0.26))</f>
        <v>2.9550079999999999E-2</v>
      </c>
      <c r="M952" s="64">
        <v>0</v>
      </c>
      <c r="N952" s="33" t="s">
        <v>248</v>
      </c>
    </row>
    <row r="953" spans="1:14" ht="15">
      <c r="A953" s="12"/>
      <c r="B953" s="33" t="s">
        <v>132</v>
      </c>
      <c r="C953" s="92" t="s">
        <v>358</v>
      </c>
      <c r="D953" s="33" t="s">
        <v>410</v>
      </c>
      <c r="E953" s="34">
        <v>44403</v>
      </c>
      <c r="F953" s="34">
        <v>44404</v>
      </c>
      <c r="G953" s="34">
        <v>44407</v>
      </c>
      <c r="H953" s="35">
        <v>0.03</v>
      </c>
      <c r="I953" s="67">
        <v>3.6499999999999998E-2</v>
      </c>
      <c r="J953" s="67">
        <v>0</v>
      </c>
      <c r="K953" s="67">
        <v>3.6499999999999998E-2</v>
      </c>
      <c r="L953" s="36">
        <v>2.8433061999999999E-2</v>
      </c>
      <c r="M953" s="64">
        <f t="shared" ref="M953:M984" si="33">J953+L953</f>
        <v>2.8433061999999999E-2</v>
      </c>
      <c r="N953" s="33" t="s">
        <v>249</v>
      </c>
    </row>
    <row r="954" spans="1:14" ht="15">
      <c r="A954" s="12"/>
      <c r="B954" s="33" t="s">
        <v>227</v>
      </c>
      <c r="C954" s="92" t="s">
        <v>359</v>
      </c>
      <c r="D954" s="33" t="s">
        <v>410</v>
      </c>
      <c r="E954" s="34">
        <v>44403</v>
      </c>
      <c r="F954" s="34">
        <v>44404</v>
      </c>
      <c r="G954" s="34">
        <v>44407</v>
      </c>
      <c r="H954" s="35">
        <v>0.03</v>
      </c>
      <c r="I954" s="67">
        <v>3.6200000000000003E-2</v>
      </c>
      <c r="J954" s="67">
        <v>0</v>
      </c>
      <c r="K954" s="67">
        <v>3.6200000000000003E-2</v>
      </c>
      <c r="L954" s="36">
        <v>2.8199365600000002E-2</v>
      </c>
      <c r="M954" s="64">
        <f t="shared" si="33"/>
        <v>2.8199365600000002E-2</v>
      </c>
      <c r="N954" s="33" t="s">
        <v>249</v>
      </c>
    </row>
    <row r="955" spans="1:14" ht="15">
      <c r="A955" s="12"/>
      <c r="B955" s="33" t="s">
        <v>133</v>
      </c>
      <c r="C955" s="92" t="s">
        <v>474</v>
      </c>
      <c r="D955" s="33" t="s">
        <v>410</v>
      </c>
      <c r="E955" s="34">
        <v>44403</v>
      </c>
      <c r="F955" s="34">
        <v>44404</v>
      </c>
      <c r="G955" s="34">
        <v>44407</v>
      </c>
      <c r="H955" s="35">
        <v>3.5000000000000003E-2</v>
      </c>
      <c r="I955" s="67">
        <v>3.5200000000000002E-2</v>
      </c>
      <c r="J955" s="67">
        <v>0</v>
      </c>
      <c r="K955" s="67">
        <v>3.5200000000000002E-2</v>
      </c>
      <c r="L955" s="36">
        <v>2.60632064E-2</v>
      </c>
      <c r="M955" s="64">
        <f t="shared" si="33"/>
        <v>2.60632064E-2</v>
      </c>
      <c r="N955" s="33" t="s">
        <v>249</v>
      </c>
    </row>
    <row r="956" spans="1:14" ht="15">
      <c r="A956" s="12"/>
      <c r="B956" s="33" t="s">
        <v>134</v>
      </c>
      <c r="C956" s="92" t="s">
        <v>374</v>
      </c>
      <c r="D956" s="33" t="s">
        <v>410</v>
      </c>
      <c r="E956" s="34">
        <v>44403</v>
      </c>
      <c r="F956" s="34">
        <v>44404</v>
      </c>
      <c r="G956" s="34">
        <v>44407</v>
      </c>
      <c r="H956" s="35">
        <v>0.04</v>
      </c>
      <c r="I956" s="67">
        <v>4.8300000000000003E-2</v>
      </c>
      <c r="J956" s="67">
        <v>0</v>
      </c>
      <c r="K956" s="67">
        <v>4.8300000000000003E-2</v>
      </c>
      <c r="L956" s="36">
        <v>3.7333654049999998E-2</v>
      </c>
      <c r="M956" s="64">
        <f t="shared" si="33"/>
        <v>3.7333654049999998E-2</v>
      </c>
      <c r="N956" s="33" t="s">
        <v>249</v>
      </c>
    </row>
    <row r="957" spans="1:14" ht="15">
      <c r="A957" s="12"/>
      <c r="B957" s="33" t="s">
        <v>168</v>
      </c>
      <c r="C957" s="92" t="s">
        <v>376</v>
      </c>
      <c r="D957" s="33" t="s">
        <v>410</v>
      </c>
      <c r="E957" s="34">
        <v>44403</v>
      </c>
      <c r="F957" s="34">
        <v>44404</v>
      </c>
      <c r="G957" s="34">
        <v>44407</v>
      </c>
      <c r="H957" s="35">
        <v>0.04</v>
      </c>
      <c r="I957" s="67">
        <v>4.48E-2</v>
      </c>
      <c r="J957" s="67">
        <v>0</v>
      </c>
      <c r="K957" s="67">
        <v>4.48E-2</v>
      </c>
      <c r="L957" s="36">
        <v>3.4628316799999996E-2</v>
      </c>
      <c r="M957" s="64">
        <f t="shared" si="33"/>
        <v>3.4628316799999996E-2</v>
      </c>
      <c r="N957" s="33" t="s">
        <v>249</v>
      </c>
    </row>
    <row r="958" spans="1:14" ht="15">
      <c r="A958" s="12"/>
      <c r="B958" s="33" t="s">
        <v>136</v>
      </c>
      <c r="C958" s="92" t="s">
        <v>388</v>
      </c>
      <c r="D958" s="33" t="s">
        <v>410</v>
      </c>
      <c r="E958" s="34">
        <v>44403</v>
      </c>
      <c r="F958" s="34">
        <v>44404</v>
      </c>
      <c r="G958" s="34">
        <v>44407</v>
      </c>
      <c r="H958" s="35">
        <v>0.03</v>
      </c>
      <c r="I958" s="67">
        <v>3.61E-2</v>
      </c>
      <c r="J958" s="67">
        <v>0</v>
      </c>
      <c r="K958" s="67">
        <v>3.61E-2</v>
      </c>
      <c r="L958" s="36">
        <v>2.7016156999999999E-2</v>
      </c>
      <c r="M958" s="64">
        <f t="shared" si="33"/>
        <v>2.7016156999999999E-2</v>
      </c>
      <c r="N958" s="33" t="s">
        <v>249</v>
      </c>
    </row>
    <row r="959" spans="1:14" ht="15">
      <c r="A959" s="12"/>
      <c r="B959" s="33" t="s">
        <v>137</v>
      </c>
      <c r="C959" s="92" t="s">
        <v>389</v>
      </c>
      <c r="D959" s="33" t="s">
        <v>410</v>
      </c>
      <c r="E959" s="34">
        <v>44403</v>
      </c>
      <c r="F959" s="34">
        <v>44404</v>
      </c>
      <c r="G959" s="34">
        <v>44407</v>
      </c>
      <c r="H959" s="35">
        <v>3.7499999999999999E-2</v>
      </c>
      <c r="I959" s="67">
        <v>4.5600000000000002E-2</v>
      </c>
      <c r="J959" s="67">
        <v>0</v>
      </c>
      <c r="K959" s="67">
        <v>4.5600000000000002E-2</v>
      </c>
      <c r="L959" s="36">
        <v>3.4125672000000003E-2</v>
      </c>
      <c r="M959" s="64">
        <f t="shared" si="33"/>
        <v>3.4125672000000003E-2</v>
      </c>
      <c r="N959" s="33" t="s">
        <v>249</v>
      </c>
    </row>
    <row r="960" spans="1:14" ht="15">
      <c r="A960" s="12"/>
      <c r="B960" s="33" t="s">
        <v>135</v>
      </c>
      <c r="C960" s="92" t="s">
        <v>390</v>
      </c>
      <c r="D960" s="33" t="s">
        <v>410</v>
      </c>
      <c r="E960" s="34">
        <v>44403</v>
      </c>
      <c r="F960" s="34">
        <v>44404</v>
      </c>
      <c r="G960" s="34">
        <v>44407</v>
      </c>
      <c r="H960" s="35">
        <v>4.4999999999999998E-2</v>
      </c>
      <c r="I960" s="67">
        <v>5.1999999999999998E-2</v>
      </c>
      <c r="J960" s="67">
        <v>0</v>
      </c>
      <c r="K960" s="67">
        <v>5.1999999999999998E-2</v>
      </c>
      <c r="L960" s="36">
        <v>3.8915239999999997E-2</v>
      </c>
      <c r="M960" s="64">
        <f t="shared" si="33"/>
        <v>3.8915239999999997E-2</v>
      </c>
      <c r="N960" s="33" t="s">
        <v>249</v>
      </c>
    </row>
    <row r="961" spans="1:14" ht="15">
      <c r="A961" s="12"/>
      <c r="B961" s="33" t="s">
        <v>170</v>
      </c>
      <c r="C961" s="92" t="s">
        <v>391</v>
      </c>
      <c r="D961" s="33" t="s">
        <v>410</v>
      </c>
      <c r="E961" s="34">
        <v>44403</v>
      </c>
      <c r="F961" s="34">
        <v>44404</v>
      </c>
      <c r="G961" s="34">
        <v>44407</v>
      </c>
      <c r="H961" s="35">
        <v>0.03</v>
      </c>
      <c r="I961" s="67">
        <v>3.5799999999999998E-2</v>
      </c>
      <c r="J961" s="67">
        <v>0</v>
      </c>
      <c r="K961" s="67">
        <v>3.5799999999999998E-2</v>
      </c>
      <c r="L961" s="36">
        <v>2.6791645999999999E-2</v>
      </c>
      <c r="M961" s="64">
        <f t="shared" si="33"/>
        <v>2.6791645999999999E-2</v>
      </c>
      <c r="N961" s="33" t="s">
        <v>249</v>
      </c>
    </row>
    <row r="962" spans="1:14" ht="15">
      <c r="A962" s="12"/>
      <c r="B962" s="33" t="s">
        <v>171</v>
      </c>
      <c r="C962" s="92" t="s">
        <v>392</v>
      </c>
      <c r="D962" s="33" t="s">
        <v>410</v>
      </c>
      <c r="E962" s="34">
        <v>44403</v>
      </c>
      <c r="F962" s="34">
        <v>44404</v>
      </c>
      <c r="G962" s="34">
        <v>44407</v>
      </c>
      <c r="H962" s="35">
        <v>3.7499999999999999E-2</v>
      </c>
      <c r="I962" s="67">
        <v>4.5100000000000001E-2</v>
      </c>
      <c r="J962" s="67">
        <v>0</v>
      </c>
      <c r="K962" s="67">
        <v>4.5100000000000001E-2</v>
      </c>
      <c r="L962" s="36">
        <v>3.3751487000000004E-2</v>
      </c>
      <c r="M962" s="64">
        <f t="shared" si="33"/>
        <v>3.3751487000000004E-2</v>
      </c>
      <c r="N962" s="33" t="s">
        <v>249</v>
      </c>
    </row>
    <row r="963" spans="1:14" ht="15">
      <c r="A963" s="12"/>
      <c r="B963" s="33" t="s">
        <v>172</v>
      </c>
      <c r="C963" s="92" t="s">
        <v>393</v>
      </c>
      <c r="D963" s="33" t="s">
        <v>410</v>
      </c>
      <c r="E963" s="34">
        <v>44403</v>
      </c>
      <c r="F963" s="34">
        <v>44404</v>
      </c>
      <c r="G963" s="34">
        <v>44407</v>
      </c>
      <c r="H963" s="35">
        <v>4.4999999999999998E-2</v>
      </c>
      <c r="I963" s="67">
        <v>5.1400000000000001E-2</v>
      </c>
      <c r="J963" s="67">
        <v>0</v>
      </c>
      <c r="K963" s="67">
        <v>5.1400000000000001E-2</v>
      </c>
      <c r="L963" s="36">
        <v>3.8466218000000003E-2</v>
      </c>
      <c r="M963" s="64">
        <f t="shared" si="33"/>
        <v>3.8466218000000003E-2</v>
      </c>
      <c r="N963" s="33" t="s">
        <v>249</v>
      </c>
    </row>
    <row r="964" spans="1:14" ht="15">
      <c r="A964" s="12"/>
      <c r="B964" s="33" t="s">
        <v>169</v>
      </c>
      <c r="C964" s="92" t="s">
        <v>400</v>
      </c>
      <c r="D964" s="33" t="s">
        <v>410</v>
      </c>
      <c r="E964" s="34">
        <v>44403</v>
      </c>
      <c r="F964" s="34">
        <v>44404</v>
      </c>
      <c r="G964" s="34">
        <v>44407</v>
      </c>
      <c r="H964" s="35">
        <v>5.5E-2</v>
      </c>
      <c r="I964" s="67">
        <v>5.8900000000000001E-2</v>
      </c>
      <c r="J964" s="67">
        <v>0</v>
      </c>
      <c r="K964" s="67">
        <v>5.8900000000000001E-2</v>
      </c>
      <c r="L964" s="36">
        <v>4.4600611399999997E-2</v>
      </c>
      <c r="M964" s="64">
        <f t="shared" si="33"/>
        <v>4.4600611399999997E-2</v>
      </c>
      <c r="N964" s="33" t="s">
        <v>249</v>
      </c>
    </row>
    <row r="965" spans="1:14" ht="15">
      <c r="A965" s="12"/>
      <c r="B965" s="33" t="s">
        <v>156</v>
      </c>
      <c r="C965" s="92" t="s">
        <v>473</v>
      </c>
      <c r="D965" s="33" t="s">
        <v>496</v>
      </c>
      <c r="E965" s="34">
        <v>44403</v>
      </c>
      <c r="F965" s="34">
        <v>44404</v>
      </c>
      <c r="G965" s="34">
        <v>44407</v>
      </c>
      <c r="H965" s="35">
        <v>3.5000000000000003E-2</v>
      </c>
      <c r="I965" s="67">
        <v>7.8100000000000003E-2</v>
      </c>
      <c r="J965" s="67">
        <v>0</v>
      </c>
      <c r="K965" s="67">
        <v>7.8100000000000003E-2</v>
      </c>
      <c r="L965" s="36">
        <f>+K965-((K965*0.0000001*0.125)+(K965*(1-0.0000001)*0.26))</f>
        <v>5.7794001054349994E-2</v>
      </c>
      <c r="M965" s="64">
        <f t="shared" si="33"/>
        <v>5.7794001054349994E-2</v>
      </c>
      <c r="N965" s="33" t="s">
        <v>250</v>
      </c>
    </row>
    <row r="966" spans="1:14" ht="15">
      <c r="A966" s="12"/>
      <c r="B966" s="33" t="s">
        <v>178</v>
      </c>
      <c r="C966" s="92" t="s">
        <v>472</v>
      </c>
      <c r="D966" s="33" t="s">
        <v>496</v>
      </c>
      <c r="E966" s="34">
        <v>44403</v>
      </c>
      <c r="F966" s="34">
        <v>44404</v>
      </c>
      <c r="G966" s="34">
        <v>44407</v>
      </c>
      <c r="H966" s="35">
        <v>3.5000000000000003E-2</v>
      </c>
      <c r="I966" s="67">
        <v>6.7799999999999999E-2</v>
      </c>
      <c r="J966" s="67">
        <v>0</v>
      </c>
      <c r="K966" s="67">
        <v>6.7799999999999999E-2</v>
      </c>
      <c r="L966" s="36">
        <f>+K966-((K966*0.0000001*0.125)+(K966*(1-0.0000001)*0.26))</f>
        <v>5.0172000915299997E-2</v>
      </c>
      <c r="M966" s="64">
        <f t="shared" si="33"/>
        <v>5.0172000915299997E-2</v>
      </c>
      <c r="N966" s="33" t="s">
        <v>250</v>
      </c>
    </row>
    <row r="967" spans="1:14" ht="15">
      <c r="A967" s="12"/>
      <c r="B967" s="33" t="s">
        <v>155</v>
      </c>
      <c r="C967" s="92" t="s">
        <v>475</v>
      </c>
      <c r="D967" s="33" t="s">
        <v>496</v>
      </c>
      <c r="E967" s="34">
        <v>44403</v>
      </c>
      <c r="F967" s="34">
        <v>44404</v>
      </c>
      <c r="G967" s="34">
        <v>44407</v>
      </c>
      <c r="H967" s="35">
        <v>3.5000000000000003E-2</v>
      </c>
      <c r="I967" s="67">
        <v>7.9200000000000007E-2</v>
      </c>
      <c r="J967" s="67">
        <v>0</v>
      </c>
      <c r="K967" s="67">
        <v>7.9200000000000007E-2</v>
      </c>
      <c r="L967" s="36">
        <v>5.8642214400000003E-2</v>
      </c>
      <c r="M967" s="64">
        <f t="shared" si="33"/>
        <v>5.8642214400000003E-2</v>
      </c>
      <c r="N967" s="33" t="s">
        <v>250</v>
      </c>
    </row>
    <row r="968" spans="1:14" ht="15">
      <c r="A968" s="12"/>
      <c r="B968" s="33" t="s">
        <v>177</v>
      </c>
      <c r="C968" s="92" t="s">
        <v>476</v>
      </c>
      <c r="D968" s="33" t="s">
        <v>496</v>
      </c>
      <c r="E968" s="34">
        <v>44403</v>
      </c>
      <c r="F968" s="34">
        <v>44404</v>
      </c>
      <c r="G968" s="34">
        <v>44407</v>
      </c>
      <c r="H968" s="35">
        <v>3.5000000000000003E-2</v>
      </c>
      <c r="I968" s="67">
        <v>8.1100000000000005E-2</v>
      </c>
      <c r="J968" s="67">
        <v>0</v>
      </c>
      <c r="K968" s="67">
        <v>8.1100000000000005E-2</v>
      </c>
      <c r="L968" s="36">
        <v>6.0049035200000003E-2</v>
      </c>
      <c r="M968" s="64">
        <f t="shared" si="33"/>
        <v>6.0049035200000003E-2</v>
      </c>
      <c r="N968" s="33" t="s">
        <v>250</v>
      </c>
    </row>
    <row r="969" spans="1:14" ht="15">
      <c r="A969" s="12"/>
      <c r="B969" s="33" t="s">
        <v>158</v>
      </c>
      <c r="C969" s="92" t="s">
        <v>373</v>
      </c>
      <c r="D969" s="33" t="s">
        <v>496</v>
      </c>
      <c r="E969" s="34">
        <v>44403</v>
      </c>
      <c r="F969" s="34">
        <v>44404</v>
      </c>
      <c r="G969" s="34">
        <v>44407</v>
      </c>
      <c r="H969" s="35">
        <v>0.04</v>
      </c>
      <c r="I969" s="67">
        <v>8.2000000000000003E-2</v>
      </c>
      <c r="J969" s="67">
        <v>0</v>
      </c>
      <c r="K969" s="67">
        <v>8.2000000000000003E-2</v>
      </c>
      <c r="L969" s="36">
        <v>6.3382187000000006E-2</v>
      </c>
      <c r="M969" s="64">
        <f t="shared" si="33"/>
        <v>6.3382187000000006E-2</v>
      </c>
      <c r="N969" s="33" t="s">
        <v>250</v>
      </c>
    </row>
    <row r="970" spans="1:14" ht="15">
      <c r="A970" s="12"/>
      <c r="B970" s="33" t="s">
        <v>157</v>
      </c>
      <c r="C970" s="92" t="s">
        <v>375</v>
      </c>
      <c r="D970" s="33" t="s">
        <v>496</v>
      </c>
      <c r="E970" s="34">
        <v>44403</v>
      </c>
      <c r="F970" s="34">
        <v>44404</v>
      </c>
      <c r="G970" s="34">
        <v>44407</v>
      </c>
      <c r="H970" s="35">
        <v>0.04</v>
      </c>
      <c r="I970" s="67">
        <v>7.2999999999999995E-2</v>
      </c>
      <c r="J970" s="67">
        <v>0</v>
      </c>
      <c r="K970" s="67">
        <v>7.2999999999999995E-2</v>
      </c>
      <c r="L970" s="36">
        <v>5.6425605499999996E-2</v>
      </c>
      <c r="M970" s="64">
        <f t="shared" si="33"/>
        <v>5.6425605499999996E-2</v>
      </c>
      <c r="N970" s="33" t="s">
        <v>250</v>
      </c>
    </row>
    <row r="971" spans="1:14" ht="15">
      <c r="A971" s="12"/>
      <c r="B971" s="33" t="s">
        <v>154</v>
      </c>
      <c r="C971" s="92" t="s">
        <v>399</v>
      </c>
      <c r="D971" s="33" t="s">
        <v>496</v>
      </c>
      <c r="E971" s="34">
        <v>44403</v>
      </c>
      <c r="F971" s="34">
        <v>44404</v>
      </c>
      <c r="G971" s="34">
        <v>44407</v>
      </c>
      <c r="H971" s="35">
        <v>5.5E-2</v>
      </c>
      <c r="I971" s="67">
        <v>0.10489999999999999</v>
      </c>
      <c r="J971" s="67">
        <v>0</v>
      </c>
      <c r="K971" s="67">
        <v>0.10489999999999999</v>
      </c>
      <c r="L971" s="36">
        <v>7.9433007399999991E-2</v>
      </c>
      <c r="M971" s="64">
        <f t="shared" si="33"/>
        <v>7.9433007399999991E-2</v>
      </c>
      <c r="N971" s="33" t="s">
        <v>250</v>
      </c>
    </row>
    <row r="972" spans="1:14" ht="15">
      <c r="A972" s="12"/>
      <c r="B972" s="33" t="s">
        <v>310</v>
      </c>
      <c r="C972" s="92" t="s">
        <v>424</v>
      </c>
      <c r="D972" s="33" t="s">
        <v>411</v>
      </c>
      <c r="E972" s="34">
        <v>44407</v>
      </c>
      <c r="F972" s="34">
        <v>44410</v>
      </c>
      <c r="G972" s="34">
        <v>44413</v>
      </c>
      <c r="H972" s="35">
        <v>0.05</v>
      </c>
      <c r="I972" s="67">
        <v>2.0500000000000001E-2</v>
      </c>
      <c r="J972" s="67">
        <v>9.0722904885752447E-3</v>
      </c>
      <c r="K972" s="67">
        <v>1.1427709511424756E-2</v>
      </c>
      <c r="L972" s="36">
        <f>+K972-((K972*0.0367*0.125)+(K972*(1-0.0367)*0.26))</f>
        <v>8.5131236252286736E-3</v>
      </c>
      <c r="M972" s="64">
        <f t="shared" si="33"/>
        <v>1.7585414113803918E-2</v>
      </c>
      <c r="N972" s="33" t="s">
        <v>251</v>
      </c>
    </row>
    <row r="973" spans="1:14" ht="15">
      <c r="A973" s="12"/>
      <c r="B973" s="33" t="s">
        <v>188</v>
      </c>
      <c r="C973" s="92" t="s">
        <v>339</v>
      </c>
      <c r="D973" s="33" t="s">
        <v>411</v>
      </c>
      <c r="E973" s="34">
        <v>44407</v>
      </c>
      <c r="F973" s="34">
        <v>44410</v>
      </c>
      <c r="G973" s="34">
        <v>44413</v>
      </c>
      <c r="H973" s="35">
        <v>0.05</v>
      </c>
      <c r="I973" s="67">
        <v>0.35880000000000001</v>
      </c>
      <c r="J973" s="67">
        <v>0.16972822259741388</v>
      </c>
      <c r="K973" s="67">
        <v>0.18907177740258613</v>
      </c>
      <c r="L973" s="36">
        <f>+K973-((K973*0.0367*0.125)+(K973*(1-0.0367)*0.26))</f>
        <v>0.14084987139905483</v>
      </c>
      <c r="M973" s="64">
        <f t="shared" si="33"/>
        <v>0.31057809399646874</v>
      </c>
      <c r="N973" s="33" t="s">
        <v>251</v>
      </c>
    </row>
    <row r="974" spans="1:14" ht="15">
      <c r="A974" s="12"/>
      <c r="B974" s="33" t="s">
        <v>196</v>
      </c>
      <c r="C974" s="92" t="s">
        <v>340</v>
      </c>
      <c r="D974" s="33" t="s">
        <v>411</v>
      </c>
      <c r="E974" s="34">
        <v>44407</v>
      </c>
      <c r="F974" s="34">
        <v>44410</v>
      </c>
      <c r="G974" s="34">
        <v>44413</v>
      </c>
      <c r="H974" s="35">
        <v>0.05</v>
      </c>
      <c r="I974" s="67">
        <v>0.37259999999999999</v>
      </c>
      <c r="J974" s="67">
        <v>0.14375230962095534</v>
      </c>
      <c r="K974" s="67">
        <v>0.22884769037904465</v>
      </c>
      <c r="L974" s="36">
        <f>+K974-((K974*0.0367*0.125)+(K974*(1-0.0367)*0.26))</f>
        <v>0.17048111676247601</v>
      </c>
      <c r="M974" s="64">
        <f t="shared" si="33"/>
        <v>0.31423342638343132</v>
      </c>
      <c r="N974" s="33" t="s">
        <v>251</v>
      </c>
    </row>
    <row r="975" spans="1:14" ht="15">
      <c r="A975" s="12"/>
      <c r="B975" s="33" t="s">
        <v>191</v>
      </c>
      <c r="C975" s="92" t="s">
        <v>346</v>
      </c>
      <c r="D975" s="33" t="s">
        <v>411</v>
      </c>
      <c r="E975" s="34">
        <v>44407</v>
      </c>
      <c r="F975" s="34">
        <v>44410</v>
      </c>
      <c r="G975" s="34">
        <v>44413</v>
      </c>
      <c r="H975" s="35">
        <v>3.5000000000000003E-2</v>
      </c>
      <c r="I975" s="67">
        <v>1.41E-2</v>
      </c>
      <c r="J975" s="67">
        <v>1.0564887913914287E-3</v>
      </c>
      <c r="K975" s="67">
        <v>1.304351120860857E-2</v>
      </c>
      <c r="L975" s="36">
        <f>+K975-((K975*0.7506*0.125)+(K975*(1-0.7506)*0.26))</f>
        <v>1.0973910328649857E-2</v>
      </c>
      <c r="M975" s="64">
        <f t="shared" si="33"/>
        <v>1.2030399120041287E-2</v>
      </c>
      <c r="N975" s="33" t="s">
        <v>251</v>
      </c>
    </row>
    <row r="976" spans="1:14" ht="15">
      <c r="A976" s="12"/>
      <c r="B976" s="33" t="s">
        <v>199</v>
      </c>
      <c r="C976" s="92" t="s">
        <v>347</v>
      </c>
      <c r="D976" s="33" t="s">
        <v>411</v>
      </c>
      <c r="E976" s="34">
        <v>44407</v>
      </c>
      <c r="F976" s="34">
        <v>44410</v>
      </c>
      <c r="G976" s="34">
        <v>44413</v>
      </c>
      <c r="H976" s="35">
        <v>3.5000000000000003E-2</v>
      </c>
      <c r="I976" s="67">
        <v>1.4E-2</v>
      </c>
      <c r="J976" s="67">
        <v>0</v>
      </c>
      <c r="K976" s="67">
        <v>1.4E-2</v>
      </c>
      <c r="L976" s="36">
        <f>+K976-((K976*0.7506*0.125)+(K976*(1-0.7506)*0.26))</f>
        <v>1.1778634E-2</v>
      </c>
      <c r="M976" s="64">
        <f t="shared" si="33"/>
        <v>1.1778634E-2</v>
      </c>
      <c r="N976" s="33" t="s">
        <v>251</v>
      </c>
    </row>
    <row r="977" spans="1:14" ht="15">
      <c r="A977" s="12"/>
      <c r="B977" s="33" t="s">
        <v>306</v>
      </c>
      <c r="C977" s="92" t="s">
        <v>430</v>
      </c>
      <c r="D977" s="33" t="s">
        <v>411</v>
      </c>
      <c r="E977" s="34">
        <v>44407</v>
      </c>
      <c r="F977" s="34">
        <v>44410</v>
      </c>
      <c r="G977" s="34">
        <v>44413</v>
      </c>
      <c r="H977" s="35">
        <v>2.5000000000000001E-2</v>
      </c>
      <c r="I977" s="67">
        <v>1.03E-2</v>
      </c>
      <c r="J977" s="67">
        <v>3.4356261653938833E-3</v>
      </c>
      <c r="K977" s="67">
        <v>6.8643738346061169E-3</v>
      </c>
      <c r="L977" s="36">
        <f>+K977-((K977*0.0002*0.125)+(K977*(1-0.0002)*0.26))</f>
        <v>5.0798219757020608E-3</v>
      </c>
      <c r="M977" s="64">
        <f t="shared" si="33"/>
        <v>8.5154481410959441E-3</v>
      </c>
      <c r="N977" s="33" t="s">
        <v>251</v>
      </c>
    </row>
    <row r="978" spans="1:14" ht="15">
      <c r="A978" s="12"/>
      <c r="B978" s="33" t="s">
        <v>184</v>
      </c>
      <c r="C978" s="92" t="s">
        <v>354</v>
      </c>
      <c r="D978" s="33" t="s">
        <v>411</v>
      </c>
      <c r="E978" s="34">
        <v>44407</v>
      </c>
      <c r="F978" s="34">
        <v>44410</v>
      </c>
      <c r="G978" s="34">
        <v>44413</v>
      </c>
      <c r="H978" s="35">
        <v>2.5000000000000001E-2</v>
      </c>
      <c r="I978" s="67">
        <v>0.20749999999999999</v>
      </c>
      <c r="J978" s="67">
        <v>8.1561932573821369E-2</v>
      </c>
      <c r="K978" s="67">
        <v>0.12593806742617861</v>
      </c>
      <c r="L978" s="36">
        <f>+K978-((K978*0.0002*0.125)+(K978*(1-0.0002)*0.26))</f>
        <v>9.3197570223192666E-2</v>
      </c>
      <c r="M978" s="64">
        <f t="shared" si="33"/>
        <v>0.17475950279701402</v>
      </c>
      <c r="N978" s="33" t="s">
        <v>251</v>
      </c>
    </row>
    <row r="979" spans="1:14" ht="15">
      <c r="A979" s="12"/>
      <c r="B979" s="33" t="s">
        <v>192</v>
      </c>
      <c r="C979" s="92" t="s">
        <v>355</v>
      </c>
      <c r="D979" s="33" t="s">
        <v>411</v>
      </c>
      <c r="E979" s="34">
        <v>44407</v>
      </c>
      <c r="F979" s="34">
        <v>44410</v>
      </c>
      <c r="G979" s="34">
        <v>44413</v>
      </c>
      <c r="H979" s="35">
        <v>2.5000000000000001E-2</v>
      </c>
      <c r="I979" s="67">
        <v>0.20960000000000001</v>
      </c>
      <c r="J979" s="67">
        <v>4.4289838464595353E-2</v>
      </c>
      <c r="K979" s="67">
        <v>0.16531016153540465</v>
      </c>
      <c r="L979" s="36">
        <f>+K979-((K979*0.0002*0.125)+(K979*(1-0.0002)*0.26))</f>
        <v>0.12233398291056088</v>
      </c>
      <c r="M979" s="64">
        <f t="shared" si="33"/>
        <v>0.16662382137515624</v>
      </c>
      <c r="N979" s="33" t="s">
        <v>251</v>
      </c>
    </row>
    <row r="980" spans="1:14" ht="15">
      <c r="A980" s="12"/>
      <c r="B980" s="33" t="s">
        <v>311</v>
      </c>
      <c r="C980" s="92" t="s">
        <v>425</v>
      </c>
      <c r="D980" s="33" t="s">
        <v>411</v>
      </c>
      <c r="E980" s="34">
        <v>44407</v>
      </c>
      <c r="F980" s="34">
        <v>44410</v>
      </c>
      <c r="G980" s="34">
        <v>44413</v>
      </c>
      <c r="H980" s="35">
        <v>1.4999999999999999E-2</v>
      </c>
      <c r="I980" s="67">
        <v>6.1000000000000004E-3</v>
      </c>
      <c r="J980" s="67">
        <v>0</v>
      </c>
      <c r="K980" s="67">
        <v>6.1000000000000004E-3</v>
      </c>
      <c r="L980" s="36">
        <f>+K980-((K980*0.0000001*0.125)+(K980*(1-0.0000001)*0.26))</f>
        <v>4.5140000823499999E-3</v>
      </c>
      <c r="M980" s="64">
        <f t="shared" si="33"/>
        <v>4.5140000823499999E-3</v>
      </c>
      <c r="N980" s="33" t="s">
        <v>251</v>
      </c>
    </row>
    <row r="981" spans="1:14" ht="15">
      <c r="A981" s="12"/>
      <c r="B981" s="33" t="s">
        <v>189</v>
      </c>
      <c r="C981" s="92" t="s">
        <v>356</v>
      </c>
      <c r="D981" s="33" t="s">
        <v>411</v>
      </c>
      <c r="E981" s="34">
        <v>44407</v>
      </c>
      <c r="F981" s="34">
        <v>44410</v>
      </c>
      <c r="G981" s="34">
        <v>44413</v>
      </c>
      <c r="H981" s="35">
        <v>1.4999999999999999E-2</v>
      </c>
      <c r="I981" s="67">
        <v>0.1124</v>
      </c>
      <c r="J981" s="67">
        <v>3.8323148048734178E-3</v>
      </c>
      <c r="K981" s="67">
        <v>0.10856768519512658</v>
      </c>
      <c r="L981" s="36">
        <f>+K981-((K981*0.0000001*0.125)+(K981*(1-0.0000001)*0.26))</f>
        <v>8.0340088510057417E-2</v>
      </c>
      <c r="M981" s="64">
        <f t="shared" si="33"/>
        <v>8.4172403314930838E-2</v>
      </c>
      <c r="N981" s="33" t="s">
        <v>251</v>
      </c>
    </row>
    <row r="982" spans="1:14" ht="15">
      <c r="A982" s="12"/>
      <c r="B982" s="33" t="s">
        <v>197</v>
      </c>
      <c r="C982" s="92" t="s">
        <v>357</v>
      </c>
      <c r="D982" s="33" t="s">
        <v>411</v>
      </c>
      <c r="E982" s="34">
        <v>44407</v>
      </c>
      <c r="F982" s="34">
        <v>44410</v>
      </c>
      <c r="G982" s="34">
        <v>44413</v>
      </c>
      <c r="H982" s="35">
        <v>1.4999999999999999E-2</v>
      </c>
      <c r="I982" s="67">
        <v>0.1145</v>
      </c>
      <c r="J982" s="67">
        <v>0</v>
      </c>
      <c r="K982" s="67">
        <v>0.1145</v>
      </c>
      <c r="L982" s="36">
        <f>+K982-((K982*0.0000001*0.125)+(K982*(1-0.0000001)*0.26))</f>
        <v>8.473000154575E-2</v>
      </c>
      <c r="M982" s="64">
        <f t="shared" si="33"/>
        <v>8.473000154575E-2</v>
      </c>
      <c r="N982" s="33" t="s">
        <v>251</v>
      </c>
    </row>
    <row r="983" spans="1:14" ht="15">
      <c r="A983" s="12"/>
      <c r="B983" s="33" t="s">
        <v>308</v>
      </c>
      <c r="C983" s="92" t="s">
        <v>426</v>
      </c>
      <c r="D983" s="33" t="s">
        <v>411</v>
      </c>
      <c r="E983" s="34">
        <v>44407</v>
      </c>
      <c r="F983" s="34">
        <v>44410</v>
      </c>
      <c r="G983" s="34">
        <v>44413</v>
      </c>
      <c r="H983" s="35">
        <v>1.4999999999999999E-2</v>
      </c>
      <c r="I983" s="67">
        <v>6.1999999999999998E-3</v>
      </c>
      <c r="J983" s="67">
        <v>3.2017370496350149E-3</v>
      </c>
      <c r="K983" s="67">
        <v>2.9982629503649853E-3</v>
      </c>
      <c r="L983" s="36">
        <f>+K983-((K983*0.4234*0.125)+(K983*(1-0.4234)*0.26))</f>
        <v>2.3900922952500014E-3</v>
      </c>
      <c r="M983" s="64">
        <f t="shared" si="33"/>
        <v>5.5918293448850159E-3</v>
      </c>
      <c r="N983" s="33" t="s">
        <v>251</v>
      </c>
    </row>
    <row r="984" spans="1:14" ht="15">
      <c r="A984" s="12"/>
      <c r="B984" s="33" t="s">
        <v>186</v>
      </c>
      <c r="C984" s="92" t="s">
        <v>363</v>
      </c>
      <c r="D984" s="33" t="s">
        <v>411</v>
      </c>
      <c r="E984" s="34">
        <v>44407</v>
      </c>
      <c r="F984" s="34">
        <v>44410</v>
      </c>
      <c r="G984" s="34">
        <v>44413</v>
      </c>
      <c r="H984" s="35">
        <v>1.4999999999999999E-2</v>
      </c>
      <c r="I984" s="67">
        <v>0.1137</v>
      </c>
      <c r="J984" s="67">
        <v>6.9558702674513112E-2</v>
      </c>
      <c r="K984" s="67">
        <v>4.4141297325486883E-2</v>
      </c>
      <c r="L984" s="36">
        <f>+K984-((K984*0.4234*0.125)+(K984*(1-0.4234)*0.26))</f>
        <v>3.5187632434687796E-2</v>
      </c>
      <c r="M984" s="64">
        <f t="shared" si="33"/>
        <v>0.10474633510920091</v>
      </c>
      <c r="N984" s="33" t="s">
        <v>251</v>
      </c>
    </row>
    <row r="985" spans="1:14" ht="15">
      <c r="A985" s="12"/>
      <c r="B985" s="33" t="s">
        <v>194</v>
      </c>
      <c r="C985" s="92" t="s">
        <v>364</v>
      </c>
      <c r="D985" s="33" t="s">
        <v>411</v>
      </c>
      <c r="E985" s="34">
        <v>44407</v>
      </c>
      <c r="F985" s="34">
        <v>44410</v>
      </c>
      <c r="G985" s="34">
        <v>44413</v>
      </c>
      <c r="H985" s="35">
        <v>1.4999999999999999E-2</v>
      </c>
      <c r="I985" s="67">
        <v>0.1172</v>
      </c>
      <c r="J985" s="67">
        <v>3.8176356888738036E-2</v>
      </c>
      <c r="K985" s="67">
        <v>7.9023643111261963E-2</v>
      </c>
      <c r="L985" s="36">
        <f>+K985-((K985*0.4234*0.125)+(K985*(1-0.4234)*0.26))</f>
        <v>6.2994408318930467E-2</v>
      </c>
      <c r="M985" s="64">
        <f t="shared" ref="M985:M1016" si="34">J985+L985</f>
        <v>0.1011707652076685</v>
      </c>
      <c r="N985" s="33" t="s">
        <v>251</v>
      </c>
    </row>
    <row r="986" spans="1:14" ht="15">
      <c r="A986" s="12"/>
      <c r="B986" s="33" t="s">
        <v>307</v>
      </c>
      <c r="C986" s="92" t="s">
        <v>420</v>
      </c>
      <c r="D986" s="33" t="s">
        <v>411</v>
      </c>
      <c r="E986" s="34">
        <v>44407</v>
      </c>
      <c r="F986" s="34">
        <v>44410</v>
      </c>
      <c r="G986" s="34">
        <v>44413</v>
      </c>
      <c r="H986" s="35">
        <v>1.4999999999999999E-2</v>
      </c>
      <c r="I986" s="67">
        <v>6.4000000000000003E-3</v>
      </c>
      <c r="J986" s="67">
        <v>5.6763358062506828E-3</v>
      </c>
      <c r="K986" s="67">
        <v>7.2366419374931754E-4</v>
      </c>
      <c r="L986" s="36">
        <f>+K986-((K986*0.5961*0.125)+(K986*(1-0.5961)*0.26))</f>
        <v>5.9374729387018073E-4</v>
      </c>
      <c r="M986" s="64">
        <f t="shared" si="34"/>
        <v>6.2700831001208639E-3</v>
      </c>
      <c r="N986" s="33" t="s">
        <v>251</v>
      </c>
    </row>
    <row r="987" spans="1:14" ht="15">
      <c r="A987" s="12"/>
      <c r="B987" s="33" t="s">
        <v>185</v>
      </c>
      <c r="C987" s="92" t="s">
        <v>366</v>
      </c>
      <c r="D987" s="33" t="s">
        <v>411</v>
      </c>
      <c r="E987" s="34">
        <v>44407</v>
      </c>
      <c r="F987" s="34">
        <v>44410</v>
      </c>
      <c r="G987" s="34">
        <v>44413</v>
      </c>
      <c r="H987" s="35">
        <v>1.4999999999999999E-2</v>
      </c>
      <c r="I987" s="67">
        <v>0.1067</v>
      </c>
      <c r="J987" s="67">
        <v>0.10443330807340008</v>
      </c>
      <c r="K987" s="67">
        <v>2.266691926599923E-3</v>
      </c>
      <c r="L987" s="36">
        <f>+K987-((K987*0.5961*0.125)+(K987*(1-0.5961)*0.26))</f>
        <v>1.8597606584391819E-3</v>
      </c>
      <c r="M987" s="64">
        <f t="shared" si="34"/>
        <v>0.10629306873183926</v>
      </c>
      <c r="N987" s="33" t="s">
        <v>251</v>
      </c>
    </row>
    <row r="988" spans="1:14" ht="15">
      <c r="A988" s="12"/>
      <c r="B988" s="33" t="s">
        <v>193</v>
      </c>
      <c r="C988" s="92" t="s">
        <v>367</v>
      </c>
      <c r="D988" s="33" t="s">
        <v>411</v>
      </c>
      <c r="E988" s="34">
        <v>44407</v>
      </c>
      <c r="F988" s="34">
        <v>44410</v>
      </c>
      <c r="G988" s="34">
        <v>44413</v>
      </c>
      <c r="H988" s="35">
        <v>1.4999999999999999E-2</v>
      </c>
      <c r="I988" s="67">
        <v>0.1042</v>
      </c>
      <c r="J988" s="67">
        <v>7.3104398897873624E-2</v>
      </c>
      <c r="K988" s="67">
        <v>3.1095601102126381E-2</v>
      </c>
      <c r="L988" s="36">
        <f>+K988-((K988*0.5961*0.125)+(K988*(1-0.5961)*0.26))</f>
        <v>2.5513116670865491E-2</v>
      </c>
      <c r="M988" s="64">
        <f t="shared" si="34"/>
        <v>9.8617515568739114E-2</v>
      </c>
      <c r="N988" s="33" t="s">
        <v>251</v>
      </c>
    </row>
    <row r="989" spans="1:14" ht="15">
      <c r="A989" s="12"/>
      <c r="B989" s="33" t="s">
        <v>309</v>
      </c>
      <c r="C989" s="92" t="s">
        <v>427</v>
      </c>
      <c r="D989" s="33" t="s">
        <v>411</v>
      </c>
      <c r="E989" s="34">
        <v>44407</v>
      </c>
      <c r="F989" s="34">
        <v>44410</v>
      </c>
      <c r="G989" s="34">
        <v>44413</v>
      </c>
      <c r="H989" s="35">
        <v>1.4999999999999999E-2</v>
      </c>
      <c r="I989" s="67">
        <v>6.4000000000000003E-3</v>
      </c>
      <c r="J989" s="67">
        <v>3.54355876311947E-3</v>
      </c>
      <c r="K989" s="67">
        <v>2.8564412368805303E-3</v>
      </c>
      <c r="L989" s="36">
        <f>+K989-((K989*0.0215*0.125)+(K989*(1-0.0215)*0.26))</f>
        <v>2.122057335981638E-3</v>
      </c>
      <c r="M989" s="64">
        <f t="shared" si="34"/>
        <v>5.6656160991011076E-3</v>
      </c>
      <c r="N989" s="33" t="s">
        <v>251</v>
      </c>
    </row>
    <row r="990" spans="1:14" ht="15">
      <c r="A990" s="12"/>
      <c r="B990" s="33" t="s">
        <v>187</v>
      </c>
      <c r="C990" s="92" t="s">
        <v>368</v>
      </c>
      <c r="D990" s="33" t="s">
        <v>411</v>
      </c>
      <c r="E990" s="34">
        <v>44407</v>
      </c>
      <c r="F990" s="34">
        <v>44410</v>
      </c>
      <c r="G990" s="34">
        <v>44413</v>
      </c>
      <c r="H990" s="35">
        <v>1.4999999999999999E-2</v>
      </c>
      <c r="I990" s="67">
        <v>0.1123</v>
      </c>
      <c r="J990" s="67">
        <v>7.2645657916815459E-2</v>
      </c>
      <c r="K990" s="67">
        <v>3.9654342083184552E-2</v>
      </c>
      <c r="L990" s="36">
        <f>+K990-((K990*0.0215*0.125)+(K990*(1-0.0215)*0.26))</f>
        <v>2.9459309869453013E-2</v>
      </c>
      <c r="M990" s="64">
        <f t="shared" si="34"/>
        <v>0.10210496778626847</v>
      </c>
      <c r="N990" s="33" t="s">
        <v>251</v>
      </c>
    </row>
    <row r="991" spans="1:14" ht="15">
      <c r="A991" s="12"/>
      <c r="B991" s="33" t="s">
        <v>195</v>
      </c>
      <c r="C991" s="92" t="s">
        <v>369</v>
      </c>
      <c r="D991" s="33" t="s">
        <v>411</v>
      </c>
      <c r="E991" s="34">
        <v>44407</v>
      </c>
      <c r="F991" s="34">
        <v>44410</v>
      </c>
      <c r="G991" s="34">
        <v>44413</v>
      </c>
      <c r="H991" s="35">
        <v>1.4999999999999999E-2</v>
      </c>
      <c r="I991" s="67">
        <v>0.11609999999999999</v>
      </c>
      <c r="J991" s="67">
        <v>4.133420642943262E-2</v>
      </c>
      <c r="K991" s="67">
        <v>7.4765793570567382E-2</v>
      </c>
      <c r="L991" s="36">
        <f>+K991-((K991*0.0215*0.125)+(K991*(1-0.0215)*0.26))</f>
        <v>5.5543694958058429E-2</v>
      </c>
      <c r="M991" s="64">
        <f t="shared" si="34"/>
        <v>9.6877901387491056E-2</v>
      </c>
      <c r="N991" s="33" t="s">
        <v>251</v>
      </c>
    </row>
    <row r="992" spans="1:14" ht="15">
      <c r="A992" s="12"/>
      <c r="B992" s="33" t="s">
        <v>312</v>
      </c>
      <c r="C992" s="92" t="s">
        <v>428</v>
      </c>
      <c r="D992" s="33" t="s">
        <v>411</v>
      </c>
      <c r="E992" s="34">
        <v>44407</v>
      </c>
      <c r="F992" s="34">
        <v>44410</v>
      </c>
      <c r="G992" s="34">
        <v>44413</v>
      </c>
      <c r="H992" s="35">
        <v>3.5000000000000003E-2</v>
      </c>
      <c r="I992" s="67">
        <v>1.35E-2</v>
      </c>
      <c r="J992" s="67">
        <v>1.0809512909723473E-3</v>
      </c>
      <c r="K992" s="67">
        <v>1.2419048709027653E-2</v>
      </c>
      <c r="L992" s="36">
        <f>+K992-((K992*0.000000000001*0.125)+(K992*(1-0.00000000001)*0.26))</f>
        <v>9.1900960447112E-3</v>
      </c>
      <c r="M992" s="64">
        <f t="shared" si="34"/>
        <v>1.0271047335683547E-2</v>
      </c>
      <c r="N992" s="33" t="s">
        <v>251</v>
      </c>
    </row>
    <row r="993" spans="1:14" ht="15">
      <c r="A993" s="12"/>
      <c r="B993" s="33" t="s">
        <v>190</v>
      </c>
      <c r="C993" s="92" t="s">
        <v>370</v>
      </c>
      <c r="D993" s="33" t="s">
        <v>411</v>
      </c>
      <c r="E993" s="34">
        <v>44407</v>
      </c>
      <c r="F993" s="34">
        <v>44410</v>
      </c>
      <c r="G993" s="34">
        <v>44413</v>
      </c>
      <c r="H993" s="35">
        <v>3.5000000000000003E-2</v>
      </c>
      <c r="I993" s="67">
        <v>0.2555</v>
      </c>
      <c r="J993" s="67">
        <v>3.0607506183093578E-2</v>
      </c>
      <c r="K993" s="67">
        <v>0.22489249381690643</v>
      </c>
      <c r="L993" s="36">
        <f>+K993-((K993*0.000000000001*0.125)+(K993*(1-0.00000000001)*0.26))</f>
        <v>0.16642044542506737</v>
      </c>
      <c r="M993" s="64">
        <f t="shared" si="34"/>
        <v>0.19702795160816094</v>
      </c>
      <c r="N993" s="33" t="s">
        <v>251</v>
      </c>
    </row>
    <row r="994" spans="1:14" ht="15">
      <c r="A994" s="12"/>
      <c r="B994" s="33" t="s">
        <v>198</v>
      </c>
      <c r="C994" s="92" t="s">
        <v>371</v>
      </c>
      <c r="D994" s="33" t="s">
        <v>411</v>
      </c>
      <c r="E994" s="34">
        <v>44407</v>
      </c>
      <c r="F994" s="34">
        <v>44410</v>
      </c>
      <c r="G994" s="34">
        <v>44413</v>
      </c>
      <c r="H994" s="35">
        <v>3.5000000000000003E-2</v>
      </c>
      <c r="I994" s="67">
        <v>0.25640000000000002</v>
      </c>
      <c r="J994" s="67">
        <v>0</v>
      </c>
      <c r="K994" s="67">
        <v>0.25640000000000002</v>
      </c>
      <c r="L994" s="36">
        <f>+K994-((K994*0.000000000001*0.125)+(K994*(1-0.00000000001)*0.26))</f>
        <v>0.18973600000063462</v>
      </c>
      <c r="M994" s="64">
        <f t="shared" si="34"/>
        <v>0.18973600000063462</v>
      </c>
      <c r="N994" s="33" t="s">
        <v>251</v>
      </c>
    </row>
    <row r="995" spans="1:14" ht="15">
      <c r="A995" s="12"/>
      <c r="B995" s="33" t="s">
        <v>513</v>
      </c>
      <c r="C995" s="92" t="s">
        <v>515</v>
      </c>
      <c r="D995" s="33" t="s">
        <v>411</v>
      </c>
      <c r="E995" s="34">
        <v>44407</v>
      </c>
      <c r="F995" s="34">
        <v>44410</v>
      </c>
      <c r="G995" s="34">
        <v>44413</v>
      </c>
      <c r="H995" s="35">
        <v>0.02</v>
      </c>
      <c r="I995" s="67">
        <v>0.13469999999999999</v>
      </c>
      <c r="J995" s="67">
        <v>0.13469999999999999</v>
      </c>
      <c r="K995" s="67">
        <v>0</v>
      </c>
      <c r="L995" s="36">
        <f>+K995-((K995*0.4282*0.125)+(K995*(1-0.4282)*0.26))</f>
        <v>0</v>
      </c>
      <c r="M995" s="64">
        <f t="shared" si="34"/>
        <v>0.13469999999999999</v>
      </c>
      <c r="N995" s="33" t="s">
        <v>251</v>
      </c>
    </row>
    <row r="996" spans="1:14" ht="15">
      <c r="A996" s="12"/>
      <c r="B996" s="33" t="s">
        <v>514</v>
      </c>
      <c r="C996" s="92" t="s">
        <v>516</v>
      </c>
      <c r="D996" s="33" t="s">
        <v>411</v>
      </c>
      <c r="E996" s="34">
        <v>44407</v>
      </c>
      <c r="F996" s="34">
        <v>44410</v>
      </c>
      <c r="G996" s="34">
        <v>44413</v>
      </c>
      <c r="H996" s="35">
        <v>0.02</v>
      </c>
      <c r="I996" s="67">
        <v>0.1356</v>
      </c>
      <c r="J996" s="67">
        <v>0.132780441390486</v>
      </c>
      <c r="K996" s="67">
        <v>2.8195586095139946E-3</v>
      </c>
      <c r="L996" s="36">
        <f>+K996-((K996*0.4282*0.125)+(K996*(1-0.4282)*0.26))</f>
        <v>2.2494635955805312E-3</v>
      </c>
      <c r="M996" s="64">
        <f t="shared" si="34"/>
        <v>0.13502990498606654</v>
      </c>
      <c r="N996" s="33" t="s">
        <v>251</v>
      </c>
    </row>
    <row r="997" spans="1:14" ht="15">
      <c r="A997" s="12"/>
      <c r="B997" s="33" t="s">
        <v>313</v>
      </c>
      <c r="C997" s="92" t="s">
        <v>429</v>
      </c>
      <c r="D997" s="33" t="s">
        <v>411</v>
      </c>
      <c r="E997" s="34">
        <v>44407</v>
      </c>
      <c r="F997" s="34">
        <v>44410</v>
      </c>
      <c r="G997" s="34">
        <v>44413</v>
      </c>
      <c r="H997" s="35">
        <v>0.01</v>
      </c>
      <c r="I997" s="67">
        <v>4.3E-3</v>
      </c>
      <c r="J997" s="67">
        <v>0</v>
      </c>
      <c r="K997" s="67">
        <v>4.3E-3</v>
      </c>
      <c r="L997" s="36">
        <f>+K997-((K997*0.148*0.125)+(K997*(1-0.148)*0.26))</f>
        <v>3.2679140000000002E-3</v>
      </c>
      <c r="M997" s="64">
        <f t="shared" si="34"/>
        <v>3.2679140000000002E-3</v>
      </c>
      <c r="N997" s="33" t="s">
        <v>251</v>
      </c>
    </row>
    <row r="998" spans="1:14" ht="15">
      <c r="A998" s="12"/>
      <c r="B998" s="33" t="s">
        <v>310</v>
      </c>
      <c r="C998" s="92" t="s">
        <v>424</v>
      </c>
      <c r="D998" s="33" t="s">
        <v>411</v>
      </c>
      <c r="E998" s="34">
        <v>44439</v>
      </c>
      <c r="F998" s="34">
        <v>44440</v>
      </c>
      <c r="G998" s="34">
        <v>44445</v>
      </c>
      <c r="H998" s="35">
        <v>0.05</v>
      </c>
      <c r="I998" s="67">
        <v>2.0500000000000001E-2</v>
      </c>
      <c r="J998" s="67">
        <v>1.4901719562231159E-3</v>
      </c>
      <c r="K998" s="67">
        <v>1.9009828043776884E-2</v>
      </c>
      <c r="L998" s="36">
        <f>+K998-((K998*0.0367*0.125)+(K998*(1-0.0367)*0.26))</f>
        <v>1.4161456945437786E-2</v>
      </c>
      <c r="M998" s="64">
        <f t="shared" si="34"/>
        <v>1.5651628901660903E-2</v>
      </c>
      <c r="N998" s="33" t="s">
        <v>251</v>
      </c>
    </row>
    <row r="999" spans="1:14" ht="15">
      <c r="A999" s="12"/>
      <c r="B999" s="33" t="s">
        <v>188</v>
      </c>
      <c r="C999" s="92" t="s">
        <v>339</v>
      </c>
      <c r="D999" s="33" t="s">
        <v>411</v>
      </c>
      <c r="E999" s="34">
        <v>44439</v>
      </c>
      <c r="F999" s="34">
        <v>44440</v>
      </c>
      <c r="G999" s="34">
        <v>44445</v>
      </c>
      <c r="H999" s="35">
        <v>0.05</v>
      </c>
      <c r="I999" s="67">
        <v>0.35880000000000001</v>
      </c>
      <c r="J999" s="67">
        <v>2.6822158423505951E-2</v>
      </c>
      <c r="K999" s="67">
        <v>0.33197784157649407</v>
      </c>
      <c r="L999" s="36">
        <f>+K999-((K999*0.0367*0.125)+(K999*(1-0.0367)*0.26))</f>
        <v>0.24730838698269636</v>
      </c>
      <c r="M999" s="64">
        <f t="shared" si="34"/>
        <v>0.2741305454062023</v>
      </c>
      <c r="N999" s="33" t="s">
        <v>251</v>
      </c>
    </row>
    <row r="1000" spans="1:14" ht="15">
      <c r="A1000" s="12"/>
      <c r="B1000" s="33" t="s">
        <v>196</v>
      </c>
      <c r="C1000" s="92" t="s">
        <v>340</v>
      </c>
      <c r="D1000" s="33" t="s">
        <v>411</v>
      </c>
      <c r="E1000" s="34">
        <v>44439</v>
      </c>
      <c r="F1000" s="34">
        <v>44440</v>
      </c>
      <c r="G1000" s="34">
        <v>44445</v>
      </c>
      <c r="H1000" s="35">
        <v>0.05</v>
      </c>
      <c r="I1000" s="67">
        <v>0.37259999999999999</v>
      </c>
      <c r="J1000" s="67">
        <v>2.7901490137231474E-2</v>
      </c>
      <c r="K1000" s="67">
        <v>0.34469850986276851</v>
      </c>
      <c r="L1000" s="36">
        <f>+K1000-((K1000*0.0367*0.125)+(K1000*(1-0.0367)*0.26))</f>
        <v>0.25678470606556375</v>
      </c>
      <c r="M1000" s="64">
        <f t="shared" si="34"/>
        <v>0.28468619620279523</v>
      </c>
      <c r="N1000" s="33" t="s">
        <v>251</v>
      </c>
    </row>
    <row r="1001" spans="1:14" ht="15">
      <c r="A1001" s="12"/>
      <c r="B1001" s="33" t="s">
        <v>191</v>
      </c>
      <c r="C1001" s="92" t="s">
        <v>346</v>
      </c>
      <c r="D1001" s="33" t="s">
        <v>411</v>
      </c>
      <c r="E1001" s="34">
        <v>44439</v>
      </c>
      <c r="F1001" s="34">
        <v>44440</v>
      </c>
      <c r="G1001" s="34">
        <v>44445</v>
      </c>
      <c r="H1001" s="35">
        <v>3.5000000000000003E-2</v>
      </c>
      <c r="I1001" s="67">
        <v>1.41E-2</v>
      </c>
      <c r="J1001" s="67">
        <v>0</v>
      </c>
      <c r="K1001" s="67">
        <v>1.41E-2</v>
      </c>
      <c r="L1001" s="36">
        <f>+K1001-((K1001*0.7506*0.125)+(K1001*(1-0.7506)*0.26))</f>
        <v>1.1862767099999999E-2</v>
      </c>
      <c r="M1001" s="64">
        <f t="shared" si="34"/>
        <v>1.1862767099999999E-2</v>
      </c>
      <c r="N1001" s="33" t="s">
        <v>251</v>
      </c>
    </row>
    <row r="1002" spans="1:14" ht="15">
      <c r="A1002" s="12"/>
      <c r="B1002" s="33" t="s">
        <v>199</v>
      </c>
      <c r="C1002" s="92" t="s">
        <v>347</v>
      </c>
      <c r="D1002" s="33" t="s">
        <v>411</v>
      </c>
      <c r="E1002" s="34">
        <v>44439</v>
      </c>
      <c r="F1002" s="34">
        <v>44440</v>
      </c>
      <c r="G1002" s="34">
        <v>44445</v>
      </c>
      <c r="H1002" s="35">
        <v>3.5000000000000003E-2</v>
      </c>
      <c r="I1002" s="67">
        <v>1.4E-2</v>
      </c>
      <c r="J1002" s="67">
        <v>0</v>
      </c>
      <c r="K1002" s="67">
        <v>1.4E-2</v>
      </c>
      <c r="L1002" s="36">
        <f>+K1002-((K1002*0.7506*0.125)+(K1002*(1-0.7506)*0.26))</f>
        <v>1.1778634E-2</v>
      </c>
      <c r="M1002" s="64">
        <f t="shared" si="34"/>
        <v>1.1778634E-2</v>
      </c>
      <c r="N1002" s="33" t="s">
        <v>251</v>
      </c>
    </row>
    <row r="1003" spans="1:14" ht="15">
      <c r="A1003" s="12"/>
      <c r="B1003" s="33" t="s">
        <v>306</v>
      </c>
      <c r="C1003" s="92" t="s">
        <v>430</v>
      </c>
      <c r="D1003" s="33" t="s">
        <v>411</v>
      </c>
      <c r="E1003" s="34">
        <v>44439</v>
      </c>
      <c r="F1003" s="34">
        <v>44440</v>
      </c>
      <c r="G1003" s="34">
        <v>44445</v>
      </c>
      <c r="H1003" s="35">
        <v>2.5000000000000001E-2</v>
      </c>
      <c r="I1003" s="67">
        <v>1.03E-2</v>
      </c>
      <c r="J1003" s="67">
        <v>0</v>
      </c>
      <c r="K1003" s="67">
        <v>1.03E-2</v>
      </c>
      <c r="L1003" s="36">
        <f>+K1003-((K1003*0.0002*0.125)+(K1003*(1-0.0002)*0.26))</f>
        <v>7.6222780999999993E-3</v>
      </c>
      <c r="M1003" s="64">
        <f t="shared" si="34"/>
        <v>7.6222780999999993E-3</v>
      </c>
      <c r="N1003" s="33" t="s">
        <v>251</v>
      </c>
    </row>
    <row r="1004" spans="1:14" ht="15">
      <c r="A1004" s="12"/>
      <c r="B1004" s="33" t="s">
        <v>184</v>
      </c>
      <c r="C1004" s="92" t="s">
        <v>354</v>
      </c>
      <c r="D1004" s="33" t="s">
        <v>411</v>
      </c>
      <c r="E1004" s="34">
        <v>44439</v>
      </c>
      <c r="F1004" s="34">
        <v>44440</v>
      </c>
      <c r="G1004" s="34">
        <v>44445</v>
      </c>
      <c r="H1004" s="35">
        <v>2.5000000000000001E-2</v>
      </c>
      <c r="I1004" s="67">
        <v>0.20749999999999999</v>
      </c>
      <c r="J1004" s="67">
        <v>0</v>
      </c>
      <c r="K1004" s="67">
        <v>0.20749999999999999</v>
      </c>
      <c r="L1004" s="36">
        <f>+K1004-((K1004*0.0002*0.125)+(K1004*(1-0.0002)*0.26))</f>
        <v>0.1535556025</v>
      </c>
      <c r="M1004" s="64">
        <f t="shared" si="34"/>
        <v>0.1535556025</v>
      </c>
      <c r="N1004" s="33" t="s">
        <v>251</v>
      </c>
    </row>
    <row r="1005" spans="1:14" ht="15">
      <c r="A1005" s="12"/>
      <c r="B1005" s="33" t="s">
        <v>192</v>
      </c>
      <c r="C1005" s="92" t="s">
        <v>355</v>
      </c>
      <c r="D1005" s="33" t="s">
        <v>411</v>
      </c>
      <c r="E1005" s="34">
        <v>44439</v>
      </c>
      <c r="F1005" s="34">
        <v>44440</v>
      </c>
      <c r="G1005" s="34">
        <v>44445</v>
      </c>
      <c r="H1005" s="35">
        <v>2.5000000000000001E-2</v>
      </c>
      <c r="I1005" s="67">
        <v>0.20960000000000001</v>
      </c>
      <c r="J1005" s="67">
        <v>0</v>
      </c>
      <c r="K1005" s="67">
        <v>0.20960000000000001</v>
      </c>
      <c r="L1005" s="36">
        <f>+K1005-((K1005*0.0002*0.125)+(K1005*(1-0.0002)*0.26))</f>
        <v>0.1551096592</v>
      </c>
      <c r="M1005" s="64">
        <f t="shared" si="34"/>
        <v>0.1551096592</v>
      </c>
      <c r="N1005" s="33" t="s">
        <v>251</v>
      </c>
    </row>
    <row r="1006" spans="1:14" ht="15">
      <c r="A1006" s="12"/>
      <c r="B1006" s="33" t="s">
        <v>311</v>
      </c>
      <c r="C1006" s="92" t="s">
        <v>425</v>
      </c>
      <c r="D1006" s="33" t="s">
        <v>411</v>
      </c>
      <c r="E1006" s="34">
        <v>44439</v>
      </c>
      <c r="F1006" s="34">
        <v>44440</v>
      </c>
      <c r="G1006" s="34">
        <v>44445</v>
      </c>
      <c r="H1006" s="35">
        <v>1.4999999999999999E-2</v>
      </c>
      <c r="I1006" s="67">
        <v>6.1000000000000004E-3</v>
      </c>
      <c r="J1006" s="67">
        <v>0</v>
      </c>
      <c r="K1006" s="67">
        <v>6.1000000000000004E-3</v>
      </c>
      <c r="L1006" s="36">
        <f>+K1006-((K1006*0.0000001*0.125)+(K1006*(1-0.0000001)*0.26))</f>
        <v>4.5140000823499999E-3</v>
      </c>
      <c r="M1006" s="64">
        <f t="shared" si="34"/>
        <v>4.5140000823499999E-3</v>
      </c>
      <c r="N1006" s="33" t="s">
        <v>251</v>
      </c>
    </row>
    <row r="1007" spans="1:14" ht="15">
      <c r="A1007" s="12"/>
      <c r="B1007" s="33" t="s">
        <v>189</v>
      </c>
      <c r="C1007" s="92" t="s">
        <v>356</v>
      </c>
      <c r="D1007" s="33" t="s">
        <v>411</v>
      </c>
      <c r="E1007" s="34">
        <v>44439</v>
      </c>
      <c r="F1007" s="34">
        <v>44440</v>
      </c>
      <c r="G1007" s="34">
        <v>44445</v>
      </c>
      <c r="H1007" s="35">
        <v>1.4999999999999999E-2</v>
      </c>
      <c r="I1007" s="67">
        <v>0.1124</v>
      </c>
      <c r="J1007" s="67">
        <v>0</v>
      </c>
      <c r="K1007" s="67">
        <v>0.1124</v>
      </c>
      <c r="L1007" s="36">
        <f>+K1007-((K1007*0.0000001*0.125)+(K1007*(1-0.0000001)*0.26))</f>
        <v>8.3176001517399997E-2</v>
      </c>
      <c r="M1007" s="64">
        <f t="shared" si="34"/>
        <v>8.3176001517399997E-2</v>
      </c>
      <c r="N1007" s="33" t="s">
        <v>251</v>
      </c>
    </row>
    <row r="1008" spans="1:14" ht="15">
      <c r="A1008" s="12"/>
      <c r="B1008" s="33" t="s">
        <v>197</v>
      </c>
      <c r="C1008" s="92" t="s">
        <v>357</v>
      </c>
      <c r="D1008" s="33" t="s">
        <v>411</v>
      </c>
      <c r="E1008" s="34">
        <v>44439</v>
      </c>
      <c r="F1008" s="34">
        <v>44440</v>
      </c>
      <c r="G1008" s="34">
        <v>44445</v>
      </c>
      <c r="H1008" s="35">
        <v>1.4999999999999999E-2</v>
      </c>
      <c r="I1008" s="67">
        <v>0.1145</v>
      </c>
      <c r="J1008" s="67">
        <v>0</v>
      </c>
      <c r="K1008" s="67">
        <v>0.1145</v>
      </c>
      <c r="L1008" s="36">
        <f>+K1008-((K1008*0.0000001*0.125)+(K1008*(1-0.0000001)*0.26))</f>
        <v>8.473000154575E-2</v>
      </c>
      <c r="M1008" s="64">
        <f t="shared" si="34"/>
        <v>8.473000154575E-2</v>
      </c>
      <c r="N1008" s="33" t="s">
        <v>251</v>
      </c>
    </row>
    <row r="1009" spans="1:14" ht="15">
      <c r="A1009" s="12"/>
      <c r="B1009" s="33" t="s">
        <v>308</v>
      </c>
      <c r="C1009" s="92" t="s">
        <v>426</v>
      </c>
      <c r="D1009" s="33" t="s">
        <v>411</v>
      </c>
      <c r="E1009" s="34">
        <v>44439</v>
      </c>
      <c r="F1009" s="34">
        <v>44440</v>
      </c>
      <c r="G1009" s="34">
        <v>44445</v>
      </c>
      <c r="H1009" s="35">
        <v>1.4999999999999999E-2</v>
      </c>
      <c r="I1009" s="67">
        <v>6.1999999999999998E-3</v>
      </c>
      <c r="J1009" s="67">
        <v>0</v>
      </c>
      <c r="K1009" s="67">
        <v>6.1999999999999998E-3</v>
      </c>
      <c r="L1009" s="36">
        <f>+K1009-((K1009*0.4234*0.125)+(K1009*(1-0.4234)*0.26))</f>
        <v>4.9423857999999999E-3</v>
      </c>
      <c r="M1009" s="64">
        <f t="shared" si="34"/>
        <v>4.9423857999999999E-3</v>
      </c>
      <c r="N1009" s="33" t="s">
        <v>251</v>
      </c>
    </row>
    <row r="1010" spans="1:14" ht="15">
      <c r="A1010" s="12"/>
      <c r="B1010" s="33" t="s">
        <v>186</v>
      </c>
      <c r="C1010" s="92" t="s">
        <v>363</v>
      </c>
      <c r="D1010" s="33" t="s">
        <v>411</v>
      </c>
      <c r="E1010" s="34">
        <v>44439</v>
      </c>
      <c r="F1010" s="34">
        <v>44440</v>
      </c>
      <c r="G1010" s="34">
        <v>44445</v>
      </c>
      <c r="H1010" s="35">
        <v>1.4999999999999999E-2</v>
      </c>
      <c r="I1010" s="67">
        <v>0.1137</v>
      </c>
      <c r="J1010" s="67">
        <v>0</v>
      </c>
      <c r="K1010" s="67">
        <v>0.1137</v>
      </c>
      <c r="L1010" s="36">
        <f>+K1010-((K1010*0.4234*0.125)+(K1010*(1-0.4234)*0.26))</f>
        <v>9.0636978300000004E-2</v>
      </c>
      <c r="M1010" s="64">
        <f t="shared" si="34"/>
        <v>9.0636978300000004E-2</v>
      </c>
      <c r="N1010" s="33" t="s">
        <v>251</v>
      </c>
    </row>
    <row r="1011" spans="1:14" ht="15">
      <c r="A1011" s="12"/>
      <c r="B1011" s="33" t="s">
        <v>194</v>
      </c>
      <c r="C1011" s="92" t="s">
        <v>364</v>
      </c>
      <c r="D1011" s="33" t="s">
        <v>411</v>
      </c>
      <c r="E1011" s="34">
        <v>44439</v>
      </c>
      <c r="F1011" s="34">
        <v>44440</v>
      </c>
      <c r="G1011" s="34">
        <v>44445</v>
      </c>
      <c r="H1011" s="35">
        <v>1.4999999999999999E-2</v>
      </c>
      <c r="I1011" s="67">
        <v>0.1172</v>
      </c>
      <c r="J1011" s="67">
        <v>0</v>
      </c>
      <c r="K1011" s="67">
        <v>0.1172</v>
      </c>
      <c r="L1011" s="36">
        <f>+K1011-((K1011*0.4234*0.125)+(K1011*(1-0.4234)*0.26))</f>
        <v>9.3427034800000003E-2</v>
      </c>
      <c r="M1011" s="64">
        <f t="shared" si="34"/>
        <v>9.3427034800000003E-2</v>
      </c>
      <c r="N1011" s="33" t="s">
        <v>251</v>
      </c>
    </row>
    <row r="1012" spans="1:14" ht="15">
      <c r="A1012" s="12"/>
      <c r="B1012" s="33" t="s">
        <v>307</v>
      </c>
      <c r="C1012" s="92" t="s">
        <v>420</v>
      </c>
      <c r="D1012" s="33" t="s">
        <v>411</v>
      </c>
      <c r="E1012" s="34">
        <v>44439</v>
      </c>
      <c r="F1012" s="34">
        <v>44440</v>
      </c>
      <c r="G1012" s="34">
        <v>44445</v>
      </c>
      <c r="H1012" s="35">
        <v>1.4999999999999999E-2</v>
      </c>
      <c r="I1012" s="67">
        <v>6.4000000000000003E-3</v>
      </c>
      <c r="J1012" s="67">
        <v>0</v>
      </c>
      <c r="K1012" s="67">
        <v>6.4000000000000003E-3</v>
      </c>
      <c r="L1012" s="36">
        <f>+K1012-((K1012*0.5961*0.125)+(K1012*(1-0.5961)*0.26))</f>
        <v>5.2510304000000004E-3</v>
      </c>
      <c r="M1012" s="64">
        <f t="shared" si="34"/>
        <v>5.2510304000000004E-3</v>
      </c>
      <c r="N1012" s="33" t="s">
        <v>251</v>
      </c>
    </row>
    <row r="1013" spans="1:14" ht="15">
      <c r="A1013" s="12"/>
      <c r="B1013" s="33" t="s">
        <v>185</v>
      </c>
      <c r="C1013" s="92" t="s">
        <v>366</v>
      </c>
      <c r="D1013" s="33" t="s">
        <v>411</v>
      </c>
      <c r="E1013" s="34">
        <v>44439</v>
      </c>
      <c r="F1013" s="34">
        <v>44440</v>
      </c>
      <c r="G1013" s="34">
        <v>44445</v>
      </c>
      <c r="H1013" s="35">
        <v>1.4999999999999999E-2</v>
      </c>
      <c r="I1013" s="67">
        <v>0.1067</v>
      </c>
      <c r="J1013" s="67">
        <v>0</v>
      </c>
      <c r="K1013" s="67">
        <v>0.1067</v>
      </c>
      <c r="L1013" s="36">
        <f>+K1013-((K1013*0.5961*0.125)+(K1013*(1-0.5961)*0.26))</f>
        <v>8.7544522449999995E-2</v>
      </c>
      <c r="M1013" s="64">
        <f t="shared" si="34"/>
        <v>8.7544522449999995E-2</v>
      </c>
      <c r="N1013" s="33" t="s">
        <v>251</v>
      </c>
    </row>
    <row r="1014" spans="1:14" ht="15">
      <c r="A1014" s="12"/>
      <c r="B1014" s="33" t="s">
        <v>193</v>
      </c>
      <c r="C1014" s="92" t="s">
        <v>367</v>
      </c>
      <c r="D1014" s="33" t="s">
        <v>411</v>
      </c>
      <c r="E1014" s="34">
        <v>44439</v>
      </c>
      <c r="F1014" s="34">
        <v>44440</v>
      </c>
      <c r="G1014" s="34">
        <v>44445</v>
      </c>
      <c r="H1014" s="35">
        <v>1.4999999999999999E-2</v>
      </c>
      <c r="I1014" s="67">
        <v>0.1042</v>
      </c>
      <c r="J1014" s="67">
        <v>0</v>
      </c>
      <c r="K1014" s="67">
        <v>0.1042</v>
      </c>
      <c r="L1014" s="36">
        <f>+K1014-((K1014*0.5961*0.125)+(K1014*(1-0.5961)*0.26))</f>
        <v>8.5493338700000004E-2</v>
      </c>
      <c r="M1014" s="64">
        <f t="shared" si="34"/>
        <v>8.5493338700000004E-2</v>
      </c>
      <c r="N1014" s="33" t="s">
        <v>251</v>
      </c>
    </row>
    <row r="1015" spans="1:14" ht="15">
      <c r="A1015" s="12"/>
      <c r="B1015" s="33" t="s">
        <v>309</v>
      </c>
      <c r="C1015" s="92" t="s">
        <v>427</v>
      </c>
      <c r="D1015" s="33" t="s">
        <v>411</v>
      </c>
      <c r="E1015" s="34">
        <v>44439</v>
      </c>
      <c r="F1015" s="34">
        <v>44440</v>
      </c>
      <c r="G1015" s="34">
        <v>44445</v>
      </c>
      <c r="H1015" s="35">
        <v>1.4999999999999999E-2</v>
      </c>
      <c r="I1015" s="67">
        <v>6.4000000000000003E-3</v>
      </c>
      <c r="J1015" s="67">
        <v>0</v>
      </c>
      <c r="K1015" s="67">
        <v>6.4000000000000003E-3</v>
      </c>
      <c r="L1015" s="36">
        <f>+K1015-((K1015*0.0215*0.125)+(K1015*(1-0.0215)*0.26))</f>
        <v>4.7545759999999999E-3</v>
      </c>
      <c r="M1015" s="64">
        <f t="shared" si="34"/>
        <v>4.7545759999999999E-3</v>
      </c>
      <c r="N1015" s="33" t="s">
        <v>251</v>
      </c>
    </row>
    <row r="1016" spans="1:14" ht="15">
      <c r="A1016" s="12"/>
      <c r="B1016" s="33" t="s">
        <v>187</v>
      </c>
      <c r="C1016" s="92" t="s">
        <v>368</v>
      </c>
      <c r="D1016" s="33" t="s">
        <v>411</v>
      </c>
      <c r="E1016" s="34">
        <v>44439</v>
      </c>
      <c r="F1016" s="34">
        <v>44440</v>
      </c>
      <c r="G1016" s="34">
        <v>44445</v>
      </c>
      <c r="H1016" s="35">
        <v>1.4999999999999999E-2</v>
      </c>
      <c r="I1016" s="67">
        <v>0.1123</v>
      </c>
      <c r="J1016" s="67">
        <v>0</v>
      </c>
      <c r="K1016" s="67">
        <v>0.1123</v>
      </c>
      <c r="L1016" s="36">
        <f>+K1016-((K1016*0.0215*0.125)+(K1016*(1-0.0215)*0.26))</f>
        <v>8.3427950749999993E-2</v>
      </c>
      <c r="M1016" s="64">
        <f t="shared" si="34"/>
        <v>8.3427950749999993E-2</v>
      </c>
      <c r="N1016" s="33" t="s">
        <v>251</v>
      </c>
    </row>
    <row r="1017" spans="1:14" ht="15">
      <c r="A1017" s="12"/>
      <c r="B1017" s="33" t="s">
        <v>195</v>
      </c>
      <c r="C1017" s="92" t="s">
        <v>369</v>
      </c>
      <c r="D1017" s="33" t="s">
        <v>411</v>
      </c>
      <c r="E1017" s="34">
        <v>44439</v>
      </c>
      <c r="F1017" s="34">
        <v>44440</v>
      </c>
      <c r="G1017" s="34">
        <v>44445</v>
      </c>
      <c r="H1017" s="35">
        <v>1.4999999999999999E-2</v>
      </c>
      <c r="I1017" s="67">
        <v>0.11609999999999999</v>
      </c>
      <c r="J1017" s="67">
        <v>0</v>
      </c>
      <c r="K1017" s="67">
        <v>0.11609999999999999</v>
      </c>
      <c r="L1017" s="36">
        <f>+K1017-((K1017*0.0215*0.125)+(K1017*(1-0.0215)*0.26))</f>
        <v>8.6250980249999998E-2</v>
      </c>
      <c r="M1017" s="64">
        <f t="shared" ref="M1017:M1048" si="35">J1017+L1017</f>
        <v>8.6250980249999998E-2</v>
      </c>
      <c r="N1017" s="33" t="s">
        <v>251</v>
      </c>
    </row>
    <row r="1018" spans="1:14" ht="15">
      <c r="A1018" s="12"/>
      <c r="B1018" s="33" t="s">
        <v>312</v>
      </c>
      <c r="C1018" s="92" t="s">
        <v>428</v>
      </c>
      <c r="D1018" s="33" t="s">
        <v>411</v>
      </c>
      <c r="E1018" s="34">
        <v>44439</v>
      </c>
      <c r="F1018" s="34">
        <v>44440</v>
      </c>
      <c r="G1018" s="34">
        <v>44445</v>
      </c>
      <c r="H1018" s="35">
        <v>3.5000000000000003E-2</v>
      </c>
      <c r="I1018" s="67">
        <v>1.35E-2</v>
      </c>
      <c r="J1018" s="67">
        <v>0</v>
      </c>
      <c r="K1018" s="67">
        <v>1.35E-2</v>
      </c>
      <c r="L1018" s="36">
        <f>+K1018-((K1018*0.000000000001*0.125)+(K1018*(1-0.00000000001)*0.26))</f>
        <v>9.9900000000334131E-3</v>
      </c>
      <c r="M1018" s="64">
        <f t="shared" si="35"/>
        <v>9.9900000000334131E-3</v>
      </c>
      <c r="N1018" s="33" t="s">
        <v>251</v>
      </c>
    </row>
    <row r="1019" spans="1:14" ht="15">
      <c r="A1019" s="12"/>
      <c r="B1019" s="33" t="s">
        <v>190</v>
      </c>
      <c r="C1019" s="92" t="s">
        <v>370</v>
      </c>
      <c r="D1019" s="33" t="s">
        <v>411</v>
      </c>
      <c r="E1019" s="34">
        <v>44439</v>
      </c>
      <c r="F1019" s="34">
        <v>44440</v>
      </c>
      <c r="G1019" s="34">
        <v>44445</v>
      </c>
      <c r="H1019" s="35">
        <v>3.5000000000000003E-2</v>
      </c>
      <c r="I1019" s="67">
        <v>0.2555</v>
      </c>
      <c r="J1019" s="67">
        <v>0</v>
      </c>
      <c r="K1019" s="67">
        <v>0.2555</v>
      </c>
      <c r="L1019" s="36">
        <f>+K1019-((K1019*0.000000000001*0.125)+(K1019*(1-0.00000000001)*0.26))</f>
        <v>0.18907000000063237</v>
      </c>
      <c r="M1019" s="64">
        <f t="shared" si="35"/>
        <v>0.18907000000063237</v>
      </c>
      <c r="N1019" s="33" t="s">
        <v>251</v>
      </c>
    </row>
    <row r="1020" spans="1:14" ht="15">
      <c r="A1020" s="12"/>
      <c r="B1020" s="33" t="s">
        <v>198</v>
      </c>
      <c r="C1020" s="92" t="s">
        <v>371</v>
      </c>
      <c r="D1020" s="33" t="s">
        <v>411</v>
      </c>
      <c r="E1020" s="34">
        <v>44439</v>
      </c>
      <c r="F1020" s="34">
        <v>44440</v>
      </c>
      <c r="G1020" s="34">
        <v>44445</v>
      </c>
      <c r="H1020" s="35">
        <v>3.5000000000000003E-2</v>
      </c>
      <c r="I1020" s="67">
        <v>0.25640000000000002</v>
      </c>
      <c r="J1020" s="67">
        <v>0</v>
      </c>
      <c r="K1020" s="67">
        <v>0.25640000000000002</v>
      </c>
      <c r="L1020" s="36">
        <f>+K1020-((K1020*0.000000000001*0.125)+(K1020*(1-0.00000000001)*0.26))</f>
        <v>0.18973600000063462</v>
      </c>
      <c r="M1020" s="64">
        <f t="shared" si="35"/>
        <v>0.18973600000063462</v>
      </c>
      <c r="N1020" s="33" t="s">
        <v>251</v>
      </c>
    </row>
    <row r="1021" spans="1:14" ht="15">
      <c r="A1021" s="12"/>
      <c r="B1021" s="33" t="s">
        <v>513</v>
      </c>
      <c r="C1021" s="92" t="s">
        <v>515</v>
      </c>
      <c r="D1021" s="33" t="s">
        <v>411</v>
      </c>
      <c r="E1021" s="34">
        <v>44439</v>
      </c>
      <c r="F1021" s="34">
        <v>44440</v>
      </c>
      <c r="G1021" s="34">
        <v>44445</v>
      </c>
      <c r="H1021" s="35">
        <v>0.02</v>
      </c>
      <c r="I1021" s="67">
        <v>0.13469999999999999</v>
      </c>
      <c r="J1021" s="67">
        <v>0.13469999999999999</v>
      </c>
      <c r="K1021" s="67">
        <v>0</v>
      </c>
      <c r="L1021" s="36">
        <f>+K1021-((K1021*0.4282*0.125)+(K1021*(1-0.4282)*0.26))</f>
        <v>0</v>
      </c>
      <c r="M1021" s="64">
        <f t="shared" si="35"/>
        <v>0.13469999999999999</v>
      </c>
      <c r="N1021" s="33" t="s">
        <v>251</v>
      </c>
    </row>
    <row r="1022" spans="1:14" ht="15">
      <c r="A1022" s="12"/>
      <c r="B1022" s="33" t="s">
        <v>514</v>
      </c>
      <c r="C1022" s="92" t="s">
        <v>516</v>
      </c>
      <c r="D1022" s="33" t="s">
        <v>411</v>
      </c>
      <c r="E1022" s="34">
        <v>44439</v>
      </c>
      <c r="F1022" s="34">
        <v>44440</v>
      </c>
      <c r="G1022" s="34">
        <v>44445</v>
      </c>
      <c r="H1022" s="35">
        <v>0.02</v>
      </c>
      <c r="I1022" s="67">
        <v>0.1356</v>
      </c>
      <c r="J1022" s="67">
        <v>0.1356</v>
      </c>
      <c r="K1022" s="67">
        <v>0</v>
      </c>
      <c r="L1022" s="36">
        <f>+K1022-((K1022*0.4282*0.125)+(K1022*(1-0.4282)*0.26))</f>
        <v>0</v>
      </c>
      <c r="M1022" s="64">
        <f t="shared" si="35"/>
        <v>0.1356</v>
      </c>
      <c r="N1022" s="33" t="s">
        <v>251</v>
      </c>
    </row>
    <row r="1023" spans="1:14" ht="15">
      <c r="A1023" s="12"/>
      <c r="B1023" s="33" t="s">
        <v>313</v>
      </c>
      <c r="C1023" s="92" t="s">
        <v>429</v>
      </c>
      <c r="D1023" s="33" t="s">
        <v>411</v>
      </c>
      <c r="E1023" s="34">
        <v>44439</v>
      </c>
      <c r="F1023" s="34">
        <v>44440</v>
      </c>
      <c r="G1023" s="34">
        <v>44445</v>
      </c>
      <c r="H1023" s="35">
        <v>0.01</v>
      </c>
      <c r="I1023" s="67">
        <v>4.3E-3</v>
      </c>
      <c r="J1023" s="67">
        <v>0</v>
      </c>
      <c r="K1023" s="67">
        <v>4.3E-3</v>
      </c>
      <c r="L1023" s="36">
        <f>+K1023-((K1023*0.148*0.125)+(K1023*(1-0.148)*0.26))</f>
        <v>3.2679140000000002E-3</v>
      </c>
      <c r="M1023" s="64">
        <f t="shared" si="35"/>
        <v>3.2679140000000002E-3</v>
      </c>
      <c r="N1023" s="33" t="s">
        <v>251</v>
      </c>
    </row>
    <row r="1024" spans="1:14" ht="15">
      <c r="A1024" s="12"/>
      <c r="B1024" s="33" t="s">
        <v>272</v>
      </c>
      <c r="C1024" s="92" t="s">
        <v>431</v>
      </c>
      <c r="D1024" s="33" t="s">
        <v>412</v>
      </c>
      <c r="E1024" s="34">
        <v>44452</v>
      </c>
      <c r="F1024" s="34">
        <v>44453</v>
      </c>
      <c r="G1024" s="34">
        <v>44456</v>
      </c>
      <c r="H1024" s="35"/>
      <c r="I1024" s="67">
        <v>0.2</v>
      </c>
      <c r="J1024" s="67">
        <v>0</v>
      </c>
      <c r="K1024" s="67">
        <v>0.2</v>
      </c>
      <c r="L1024" s="36">
        <f>+K1024-((K1024*0.28008*0.125)+(K1024*(1-0.272)*0.26))</f>
        <v>0.155142</v>
      </c>
      <c r="M1024" s="64">
        <f t="shared" si="35"/>
        <v>0.155142</v>
      </c>
      <c r="N1024" s="33" t="s">
        <v>288</v>
      </c>
    </row>
    <row r="1025" spans="1:14" ht="15">
      <c r="A1025" s="12"/>
      <c r="B1025" s="33" t="s">
        <v>273</v>
      </c>
      <c r="C1025" s="92" t="s">
        <v>343</v>
      </c>
      <c r="D1025" s="33" t="s">
        <v>412</v>
      </c>
      <c r="E1025" s="34">
        <v>44452</v>
      </c>
      <c r="F1025" s="34">
        <v>44453</v>
      </c>
      <c r="G1025" s="34">
        <v>44456</v>
      </c>
      <c r="H1025" s="35"/>
      <c r="I1025" s="67">
        <v>0.16</v>
      </c>
      <c r="J1025" s="67">
        <v>0</v>
      </c>
      <c r="K1025" s="67">
        <v>0.16</v>
      </c>
      <c r="L1025" s="36">
        <f>+K1025-((K1025*0.7506*0.125)+(K1025*(1-0.7506)*0.26))</f>
        <v>0.13461296</v>
      </c>
      <c r="M1025" s="64">
        <f t="shared" si="35"/>
        <v>0.13461296</v>
      </c>
      <c r="N1025" s="33" t="s">
        <v>288</v>
      </c>
    </row>
    <row r="1026" spans="1:14" ht="15">
      <c r="A1026" s="12"/>
      <c r="B1026" s="33" t="s">
        <v>274</v>
      </c>
      <c r="C1026" s="92" t="s">
        <v>432</v>
      </c>
      <c r="D1026" s="33" t="s">
        <v>412</v>
      </c>
      <c r="E1026" s="34">
        <v>44452</v>
      </c>
      <c r="F1026" s="34">
        <v>44453</v>
      </c>
      <c r="G1026" s="34">
        <v>44456</v>
      </c>
      <c r="H1026" s="35"/>
      <c r="I1026" s="67">
        <v>0.14000000000000001</v>
      </c>
      <c r="J1026" s="67">
        <v>0</v>
      </c>
      <c r="K1026" s="67">
        <v>0.14000000000000001</v>
      </c>
      <c r="L1026" s="36">
        <f>+K1026-((K1026*0.7506*0.125)+(K1026*(1-0.7506)*0.26))</f>
        <v>0.11778634000000002</v>
      </c>
      <c r="M1026" s="64">
        <f t="shared" si="35"/>
        <v>0.11778634000000002</v>
      </c>
      <c r="N1026" s="33" t="s">
        <v>288</v>
      </c>
    </row>
    <row r="1027" spans="1:14" ht="15">
      <c r="A1027" s="12"/>
      <c r="B1027" s="33" t="s">
        <v>275</v>
      </c>
      <c r="C1027" s="92" t="s">
        <v>418</v>
      </c>
      <c r="D1027" s="33" t="s">
        <v>412</v>
      </c>
      <c r="E1027" s="34">
        <v>44452</v>
      </c>
      <c r="F1027" s="34">
        <v>44453</v>
      </c>
      <c r="G1027" s="34">
        <v>44456</v>
      </c>
      <c r="H1027" s="35"/>
      <c r="I1027" s="67">
        <v>0.01</v>
      </c>
      <c r="J1027" s="67">
        <v>0</v>
      </c>
      <c r="K1027" s="67">
        <v>0.01</v>
      </c>
      <c r="L1027" s="36">
        <f>+K1027-((K1027*0.447*0.125)+(K1027*(1-0.447)*0.26))</f>
        <v>8.0034500000000005E-3</v>
      </c>
      <c r="M1027" s="64">
        <f t="shared" si="35"/>
        <v>8.0034500000000005E-3</v>
      </c>
      <c r="N1027" s="33" t="s">
        <v>288</v>
      </c>
    </row>
    <row r="1028" spans="1:14" ht="15">
      <c r="A1028" s="12"/>
      <c r="B1028" s="33" t="s">
        <v>276</v>
      </c>
      <c r="C1028" s="92" t="s">
        <v>419</v>
      </c>
      <c r="D1028" s="33" t="s">
        <v>412</v>
      </c>
      <c r="E1028" s="34">
        <v>44452</v>
      </c>
      <c r="F1028" s="34">
        <v>44453</v>
      </c>
      <c r="G1028" s="34">
        <v>44456</v>
      </c>
      <c r="H1028" s="35"/>
      <c r="I1028" s="67">
        <v>0</v>
      </c>
      <c r="J1028" s="67">
        <v>0</v>
      </c>
      <c r="K1028" s="67">
        <v>0</v>
      </c>
      <c r="L1028" s="36">
        <f>+K1028-((K1028*0.447*0.125)+(K1028*(1-0.447)*0.26))</f>
        <v>0</v>
      </c>
      <c r="M1028" s="64">
        <f t="shared" si="35"/>
        <v>0</v>
      </c>
      <c r="N1028" s="33" t="s">
        <v>288</v>
      </c>
    </row>
    <row r="1029" spans="1:14" ht="15">
      <c r="A1029" s="12"/>
      <c r="B1029" s="33" t="s">
        <v>696</v>
      </c>
      <c r="C1029" s="92" t="s">
        <v>695</v>
      </c>
      <c r="D1029" s="33" t="s">
        <v>412</v>
      </c>
      <c r="E1029" s="34">
        <v>44452</v>
      </c>
      <c r="F1029" s="34">
        <v>44453</v>
      </c>
      <c r="G1029" s="34">
        <v>44456</v>
      </c>
      <c r="H1029" s="35"/>
      <c r="I1029" s="67">
        <v>0</v>
      </c>
      <c r="J1029" s="67">
        <v>0</v>
      </c>
      <c r="K1029" s="67">
        <v>0</v>
      </c>
      <c r="L1029" s="36">
        <f>+K1029-((K1029*0.2893*0.125)+(K1029*(1-0.2893)*0.26))</f>
        <v>0</v>
      </c>
      <c r="M1029" s="64">
        <f t="shared" si="35"/>
        <v>0</v>
      </c>
      <c r="N1029" s="33" t="s">
        <v>288</v>
      </c>
    </row>
    <row r="1030" spans="1:14" ht="15">
      <c r="A1030" s="12"/>
      <c r="B1030" s="33" t="s">
        <v>280</v>
      </c>
      <c r="C1030" s="92" t="s">
        <v>385</v>
      </c>
      <c r="D1030" s="33" t="s">
        <v>412</v>
      </c>
      <c r="E1030" s="34">
        <v>44452</v>
      </c>
      <c r="F1030" s="34">
        <v>44453</v>
      </c>
      <c r="G1030" s="34">
        <v>44456</v>
      </c>
      <c r="H1030" s="35"/>
      <c r="I1030" s="67">
        <v>0.15</v>
      </c>
      <c r="J1030" s="67">
        <v>0</v>
      </c>
      <c r="K1030" s="67">
        <v>0.15</v>
      </c>
      <c r="L1030" s="36">
        <f>+K1030-((K1030*0.0529*0.125)+(K1030*(1-0.0529)*0.26))</f>
        <v>0.112071225</v>
      </c>
      <c r="M1030" s="64">
        <f t="shared" si="35"/>
        <v>0.112071225</v>
      </c>
      <c r="N1030" s="33" t="s">
        <v>288</v>
      </c>
    </row>
    <row r="1031" spans="1:14" ht="15">
      <c r="A1031" s="12"/>
      <c r="B1031" s="33" t="s">
        <v>281</v>
      </c>
      <c r="C1031" s="92" t="s">
        <v>433</v>
      </c>
      <c r="D1031" s="33" t="s">
        <v>412</v>
      </c>
      <c r="E1031" s="34">
        <v>44452</v>
      </c>
      <c r="F1031" s="34">
        <v>44453</v>
      </c>
      <c r="G1031" s="34">
        <v>44456</v>
      </c>
      <c r="H1031" s="35"/>
      <c r="I1031" s="67">
        <v>0.21</v>
      </c>
      <c r="J1031" s="67">
        <v>0</v>
      </c>
      <c r="K1031" s="67">
        <v>0.21</v>
      </c>
      <c r="L1031" s="36">
        <f>+K1031-((K1031*0.066*0.125)+(K1031*(1-0.066)*0.26))</f>
        <v>0.1572711</v>
      </c>
      <c r="M1031" s="64">
        <f t="shared" si="35"/>
        <v>0.1572711</v>
      </c>
      <c r="N1031" s="33" t="s">
        <v>288</v>
      </c>
    </row>
    <row r="1032" spans="1:14" ht="15">
      <c r="A1032" s="12"/>
      <c r="B1032" s="33" t="s">
        <v>282</v>
      </c>
      <c r="C1032" s="92" t="s">
        <v>434</v>
      </c>
      <c r="D1032" s="33" t="s">
        <v>412</v>
      </c>
      <c r="E1032" s="34">
        <v>44452</v>
      </c>
      <c r="F1032" s="34">
        <v>44453</v>
      </c>
      <c r="G1032" s="34">
        <v>44456</v>
      </c>
      <c r="H1032" s="35"/>
      <c r="I1032" s="67">
        <v>0.18</v>
      </c>
      <c r="J1032" s="67">
        <v>0</v>
      </c>
      <c r="K1032" s="67">
        <v>0.18</v>
      </c>
      <c r="L1032" s="36">
        <f>+K1032-((K1032*0.1125*0.125)+(K1032*(1-0.1125)*0.26))</f>
        <v>0.13593374999999999</v>
      </c>
      <c r="M1032" s="64">
        <f t="shared" si="35"/>
        <v>0.13593374999999999</v>
      </c>
      <c r="N1032" s="33" t="s">
        <v>288</v>
      </c>
    </row>
    <row r="1033" spans="1:14" ht="15">
      <c r="A1033" s="12"/>
      <c r="B1033" s="33" t="s">
        <v>283</v>
      </c>
      <c r="C1033" s="92" t="s">
        <v>435</v>
      </c>
      <c r="D1033" s="33" t="s">
        <v>412</v>
      </c>
      <c r="E1033" s="34">
        <v>44452</v>
      </c>
      <c r="F1033" s="34">
        <v>44453</v>
      </c>
      <c r="G1033" s="34">
        <v>44456</v>
      </c>
      <c r="H1033" s="35"/>
      <c r="I1033" s="67">
        <v>0.15</v>
      </c>
      <c r="J1033" s="67">
        <v>0</v>
      </c>
      <c r="K1033" s="67">
        <v>0.15</v>
      </c>
      <c r="L1033" s="36">
        <f>+K1033-((K1033*0.1125*0.125)+(K1033*(1-0.1125)*0.26))</f>
        <v>0.11327812499999999</v>
      </c>
      <c r="M1033" s="64">
        <f t="shared" si="35"/>
        <v>0.11327812499999999</v>
      </c>
      <c r="N1033" s="33" t="s">
        <v>288</v>
      </c>
    </row>
    <row r="1034" spans="1:14" ht="15">
      <c r="A1034" s="12"/>
      <c r="B1034" s="33" t="s">
        <v>284</v>
      </c>
      <c r="C1034" s="92" t="s">
        <v>436</v>
      </c>
      <c r="D1034" s="33" t="s">
        <v>412</v>
      </c>
      <c r="E1034" s="34">
        <v>44452</v>
      </c>
      <c r="F1034" s="34">
        <v>44453</v>
      </c>
      <c r="G1034" s="34">
        <v>44456</v>
      </c>
      <c r="H1034" s="35"/>
      <c r="I1034" s="67">
        <v>0.15</v>
      </c>
      <c r="J1034" s="67">
        <v>0</v>
      </c>
      <c r="K1034" s="67">
        <v>0.15</v>
      </c>
      <c r="L1034" s="36">
        <f>+K1034-((K1034*0.1125*0.125)+(K1034*(1-0.1125)*0.26))</f>
        <v>0.11327812499999999</v>
      </c>
      <c r="M1034" s="64">
        <f t="shared" si="35"/>
        <v>0.11327812499999999</v>
      </c>
      <c r="N1034" s="33" t="s">
        <v>288</v>
      </c>
    </row>
    <row r="1035" spans="1:14" ht="15">
      <c r="A1035" s="12"/>
      <c r="B1035" s="33" t="s">
        <v>285</v>
      </c>
      <c r="C1035" s="92" t="s">
        <v>437</v>
      </c>
      <c r="D1035" s="33" t="s">
        <v>412</v>
      </c>
      <c r="E1035" s="34">
        <v>44452</v>
      </c>
      <c r="F1035" s="34">
        <v>44453</v>
      </c>
      <c r="G1035" s="34">
        <v>44456</v>
      </c>
      <c r="H1035" s="35"/>
      <c r="I1035" s="67">
        <v>0.12</v>
      </c>
      <c r="J1035" s="67">
        <v>0</v>
      </c>
      <c r="K1035" s="67">
        <v>0.12</v>
      </c>
      <c r="L1035" s="36">
        <f>+K1035-((K1035*0.1125*0.125)+(K1035*(1-0.1125)*0.26))</f>
        <v>9.0622499999999995E-2</v>
      </c>
      <c r="M1035" s="64">
        <f t="shared" si="35"/>
        <v>9.0622499999999995E-2</v>
      </c>
      <c r="N1035" s="33" t="s">
        <v>288</v>
      </c>
    </row>
    <row r="1036" spans="1:14" ht="15">
      <c r="A1036" s="12"/>
      <c r="B1036" s="33" t="s">
        <v>286</v>
      </c>
      <c r="C1036" s="92" t="s">
        <v>438</v>
      </c>
      <c r="D1036" s="33" t="s">
        <v>412</v>
      </c>
      <c r="E1036" s="34">
        <v>44452</v>
      </c>
      <c r="F1036" s="34">
        <v>44453</v>
      </c>
      <c r="G1036" s="34">
        <v>44456</v>
      </c>
      <c r="H1036" s="35"/>
      <c r="I1036" s="67">
        <v>0.14000000000000001</v>
      </c>
      <c r="J1036" s="67">
        <v>0</v>
      </c>
      <c r="K1036" s="67">
        <v>0.14000000000000001</v>
      </c>
      <c r="L1036" s="36">
        <f>+K1036-((K1036*0.1125*0.125)+(K1036*(1-0.1125)*0.26))</f>
        <v>0.10572625000000002</v>
      </c>
      <c r="M1036" s="64">
        <f t="shared" si="35"/>
        <v>0.10572625000000002</v>
      </c>
      <c r="N1036" s="33" t="s">
        <v>288</v>
      </c>
    </row>
    <row r="1037" spans="1:14" ht="15">
      <c r="A1037" s="12"/>
      <c r="B1037" s="33" t="s">
        <v>277</v>
      </c>
      <c r="C1037" s="92" t="s">
        <v>468</v>
      </c>
      <c r="D1037" s="33" t="s">
        <v>412</v>
      </c>
      <c r="E1037" s="34">
        <v>44452</v>
      </c>
      <c r="F1037" s="34">
        <v>44453</v>
      </c>
      <c r="G1037" s="34">
        <v>44456</v>
      </c>
      <c r="H1037" s="35"/>
      <c r="I1037" s="67">
        <v>0.17</v>
      </c>
      <c r="J1037" s="67">
        <v>0</v>
      </c>
      <c r="K1037" s="67">
        <v>0.17</v>
      </c>
      <c r="L1037" s="36">
        <f>+K1037-((K1037*0.1445*0.125)+(K1037*(1-0.1445)*0.26))</f>
        <v>0.129116275</v>
      </c>
      <c r="M1037" s="64">
        <f t="shared" si="35"/>
        <v>0.129116275</v>
      </c>
      <c r="N1037" s="33" t="s">
        <v>288</v>
      </c>
    </row>
    <row r="1038" spans="1:14" ht="15">
      <c r="A1038" s="12"/>
      <c r="B1038" s="33" t="s">
        <v>278</v>
      </c>
      <c r="C1038" s="92" t="s">
        <v>469</v>
      </c>
      <c r="D1038" s="33" t="s">
        <v>412</v>
      </c>
      <c r="E1038" s="34">
        <v>44452</v>
      </c>
      <c r="F1038" s="34">
        <v>44453</v>
      </c>
      <c r="G1038" s="34">
        <v>44456</v>
      </c>
      <c r="H1038" s="35"/>
      <c r="I1038" s="67">
        <v>0.15</v>
      </c>
      <c r="J1038" s="67">
        <v>0</v>
      </c>
      <c r="K1038" s="67">
        <v>0.15</v>
      </c>
      <c r="L1038" s="36">
        <f>+K1038-((K1038*0.1445*0.125)+(K1038*(1-0.1445)*0.26))</f>
        <v>0.11392612499999999</v>
      </c>
      <c r="M1038" s="64">
        <f t="shared" si="35"/>
        <v>0.11392612499999999</v>
      </c>
      <c r="N1038" s="33" t="s">
        <v>288</v>
      </c>
    </row>
    <row r="1039" spans="1:14" ht="15">
      <c r="A1039" s="12"/>
      <c r="B1039" s="33" t="s">
        <v>279</v>
      </c>
      <c r="C1039" s="92" t="s">
        <v>470</v>
      </c>
      <c r="D1039" s="33" t="s">
        <v>412</v>
      </c>
      <c r="E1039" s="34">
        <v>44452</v>
      </c>
      <c r="F1039" s="34">
        <v>44453</v>
      </c>
      <c r="G1039" s="34">
        <v>44456</v>
      </c>
      <c r="H1039" s="35"/>
      <c r="I1039" s="67">
        <v>0.18</v>
      </c>
      <c r="J1039" s="67">
        <v>0</v>
      </c>
      <c r="K1039" s="67">
        <v>0.18</v>
      </c>
      <c r="L1039" s="36">
        <f>+K1039-((K1039*0.1445*0.125)+(K1039*(1-0.1445)*0.26))</f>
        <v>0.13671135000000001</v>
      </c>
      <c r="M1039" s="64">
        <f t="shared" si="35"/>
        <v>0.13671135000000001</v>
      </c>
      <c r="N1039" s="33" t="s">
        <v>288</v>
      </c>
    </row>
    <row r="1040" spans="1:14" ht="15">
      <c r="A1040" s="12"/>
      <c r="B1040" s="33" t="s">
        <v>174</v>
      </c>
      <c r="C1040" s="92" t="s">
        <v>382</v>
      </c>
      <c r="D1040" s="33" t="s">
        <v>410</v>
      </c>
      <c r="E1040" s="34">
        <v>44468</v>
      </c>
      <c r="F1040" s="34">
        <v>44469</v>
      </c>
      <c r="G1040" s="34">
        <v>44474</v>
      </c>
      <c r="H1040" s="35"/>
      <c r="I1040" s="67">
        <v>2.8205000000000001E-2</v>
      </c>
      <c r="J1040" s="67">
        <v>0</v>
      </c>
      <c r="K1040" s="67">
        <v>2.8205000000000001E-2</v>
      </c>
      <c r="L1040" s="36">
        <f>+K1040-((K1040*0.0055*0.125)+(K1040*(1-0.0055)*0.26))</f>
        <v>2.08926422125E-2</v>
      </c>
      <c r="M1040" s="64">
        <f t="shared" si="35"/>
        <v>2.08926422125E-2</v>
      </c>
      <c r="N1040" s="33" t="s">
        <v>247</v>
      </c>
    </row>
    <row r="1041" spans="1:14" ht="15">
      <c r="A1041" s="12"/>
      <c r="B1041" s="33" t="s">
        <v>176</v>
      </c>
      <c r="C1041" s="92" t="s">
        <v>397</v>
      </c>
      <c r="D1041" s="33" t="s">
        <v>410</v>
      </c>
      <c r="E1041" s="34">
        <v>44468</v>
      </c>
      <c r="F1041" s="34">
        <v>44469</v>
      </c>
      <c r="G1041" s="34">
        <v>44474</v>
      </c>
      <c r="H1041" s="35"/>
      <c r="I1041" s="67">
        <v>3.2308000000000003E-2</v>
      </c>
      <c r="J1041" s="67">
        <v>0</v>
      </c>
      <c r="K1041" s="67">
        <v>3.2308000000000003E-2</v>
      </c>
      <c r="L1041" s="36">
        <f>+K1041-((K1041*0.1125*0.125)+(K1041*(1-0.1125)*0.26))</f>
        <v>2.4398597750000001E-2</v>
      </c>
      <c r="M1041" s="64">
        <f t="shared" si="35"/>
        <v>2.4398597750000001E-2</v>
      </c>
      <c r="N1041" s="33" t="s">
        <v>247</v>
      </c>
    </row>
    <row r="1042" spans="1:14" ht="15">
      <c r="A1042" s="12"/>
      <c r="B1042" s="33" t="s">
        <v>175</v>
      </c>
      <c r="C1042" s="92" t="s">
        <v>465</v>
      </c>
      <c r="D1042" s="33" t="s">
        <v>410</v>
      </c>
      <c r="E1042" s="34">
        <v>44468</v>
      </c>
      <c r="F1042" s="34">
        <v>44469</v>
      </c>
      <c r="G1042" s="34">
        <v>44474</v>
      </c>
      <c r="H1042" s="35"/>
      <c r="I1042" s="67">
        <v>5.0645000000000003E-2</v>
      </c>
      <c r="J1042" s="67">
        <v>0</v>
      </c>
      <c r="K1042" s="67">
        <v>5.0645000000000003E-2</v>
      </c>
      <c r="L1042" s="36">
        <f>+K1042-((K1042*0.1445*0.125)+(K1042*(1-0.1445)*0.26))</f>
        <v>3.8465257337500003E-2</v>
      </c>
      <c r="M1042" s="64">
        <f t="shared" si="35"/>
        <v>3.8465257337500003E-2</v>
      </c>
      <c r="N1042" s="33" t="s">
        <v>247</v>
      </c>
    </row>
    <row r="1043" spans="1:14" ht="15">
      <c r="A1043" s="12"/>
      <c r="B1043" s="33" t="s">
        <v>310</v>
      </c>
      <c r="C1043" s="92" t="s">
        <v>424</v>
      </c>
      <c r="D1043" s="33" t="s">
        <v>411</v>
      </c>
      <c r="E1043" s="34">
        <v>44469</v>
      </c>
      <c r="F1043" s="34">
        <v>44470</v>
      </c>
      <c r="G1043" s="34">
        <v>44475</v>
      </c>
      <c r="H1043" s="35">
        <v>0.05</v>
      </c>
      <c r="I1043" s="67">
        <v>2.0500000000000001E-2</v>
      </c>
      <c r="J1043" s="67">
        <v>0</v>
      </c>
      <c r="K1043" s="67">
        <v>2.0500000000000001E-2</v>
      </c>
      <c r="L1043" s="36">
        <f>+K1043-((K1043*0.0367*0.125)+(K1043*(1-0.0367)*0.26))</f>
        <v>1.527156725E-2</v>
      </c>
      <c r="M1043" s="64">
        <f t="shared" si="35"/>
        <v>1.527156725E-2</v>
      </c>
      <c r="N1043" s="33" t="s">
        <v>251</v>
      </c>
    </row>
    <row r="1044" spans="1:14" ht="15">
      <c r="A1044" s="12"/>
      <c r="B1044" s="33" t="s">
        <v>188</v>
      </c>
      <c r="C1044" s="92" t="s">
        <v>339</v>
      </c>
      <c r="D1044" s="33" t="s">
        <v>411</v>
      </c>
      <c r="E1044" s="34">
        <v>44469</v>
      </c>
      <c r="F1044" s="34">
        <v>44470</v>
      </c>
      <c r="G1044" s="34">
        <v>44475</v>
      </c>
      <c r="H1044" s="35">
        <v>0.05</v>
      </c>
      <c r="I1044" s="67">
        <v>0.35880000000000001</v>
      </c>
      <c r="J1044" s="67">
        <v>0</v>
      </c>
      <c r="K1044" s="67">
        <v>0.35880000000000001</v>
      </c>
      <c r="L1044" s="36">
        <f>+K1044-((K1044*0.0367*0.125)+(K1044*(1-0.0367)*0.26))</f>
        <v>0.26728967459999997</v>
      </c>
      <c r="M1044" s="64">
        <f t="shared" si="35"/>
        <v>0.26728967459999997</v>
      </c>
      <c r="N1044" s="33" t="s">
        <v>251</v>
      </c>
    </row>
    <row r="1045" spans="1:14" ht="15">
      <c r="A1045" s="12"/>
      <c r="B1045" s="33" t="s">
        <v>196</v>
      </c>
      <c r="C1045" s="92" t="s">
        <v>340</v>
      </c>
      <c r="D1045" s="33" t="s">
        <v>411</v>
      </c>
      <c r="E1045" s="34">
        <v>44469</v>
      </c>
      <c r="F1045" s="34">
        <v>44470</v>
      </c>
      <c r="G1045" s="34">
        <v>44475</v>
      </c>
      <c r="H1045" s="35">
        <v>0.05</v>
      </c>
      <c r="I1045" s="67">
        <v>0.37259999999999999</v>
      </c>
      <c r="J1045" s="67">
        <v>0</v>
      </c>
      <c r="K1045" s="67">
        <v>0.37259999999999999</v>
      </c>
      <c r="L1045" s="36">
        <f>+K1045-((K1045*0.0367*0.125)+(K1045*(1-0.0367)*0.26))</f>
        <v>0.27757004669999996</v>
      </c>
      <c r="M1045" s="64">
        <f t="shared" si="35"/>
        <v>0.27757004669999996</v>
      </c>
      <c r="N1045" s="33" t="s">
        <v>251</v>
      </c>
    </row>
    <row r="1046" spans="1:14" ht="15">
      <c r="A1046" s="12"/>
      <c r="B1046" s="33" t="s">
        <v>191</v>
      </c>
      <c r="C1046" s="92" t="s">
        <v>346</v>
      </c>
      <c r="D1046" s="33" t="s">
        <v>411</v>
      </c>
      <c r="E1046" s="34">
        <v>44469</v>
      </c>
      <c r="F1046" s="34">
        <v>44470</v>
      </c>
      <c r="G1046" s="34">
        <v>44475</v>
      </c>
      <c r="H1046" s="35">
        <v>3.5000000000000003E-2</v>
      </c>
      <c r="I1046" s="67">
        <v>1.41E-2</v>
      </c>
      <c r="J1046" s="67">
        <v>0</v>
      </c>
      <c r="K1046" s="67">
        <v>1.41E-2</v>
      </c>
      <c r="L1046" s="36">
        <f>+K1046-((K1046*0.7506*0.125)+(K1046*(1-0.7506)*0.26))</f>
        <v>1.1862767099999999E-2</v>
      </c>
      <c r="M1046" s="64">
        <f t="shared" si="35"/>
        <v>1.1862767099999999E-2</v>
      </c>
      <c r="N1046" s="33" t="s">
        <v>251</v>
      </c>
    </row>
    <row r="1047" spans="1:14" ht="15">
      <c r="A1047" s="12"/>
      <c r="B1047" s="33" t="s">
        <v>199</v>
      </c>
      <c r="C1047" s="92" t="s">
        <v>347</v>
      </c>
      <c r="D1047" s="33" t="s">
        <v>411</v>
      </c>
      <c r="E1047" s="34">
        <v>44469</v>
      </c>
      <c r="F1047" s="34">
        <v>44470</v>
      </c>
      <c r="G1047" s="34">
        <v>44475</v>
      </c>
      <c r="H1047" s="35">
        <v>3.5000000000000003E-2</v>
      </c>
      <c r="I1047" s="67">
        <v>1.4E-2</v>
      </c>
      <c r="J1047" s="67">
        <v>0</v>
      </c>
      <c r="K1047" s="67">
        <v>1.4E-2</v>
      </c>
      <c r="L1047" s="36">
        <f>+K1047-((K1047*0.7506*0.125)+(K1047*(1-0.7506)*0.26))</f>
        <v>1.1778634E-2</v>
      </c>
      <c r="M1047" s="64">
        <f t="shared" si="35"/>
        <v>1.1778634E-2</v>
      </c>
      <c r="N1047" s="33" t="s">
        <v>251</v>
      </c>
    </row>
    <row r="1048" spans="1:14" ht="15">
      <c r="A1048" s="12"/>
      <c r="B1048" s="33" t="s">
        <v>306</v>
      </c>
      <c r="C1048" s="92" t="s">
        <v>430</v>
      </c>
      <c r="D1048" s="33" t="s">
        <v>411</v>
      </c>
      <c r="E1048" s="34">
        <v>44469</v>
      </c>
      <c r="F1048" s="34">
        <v>44470</v>
      </c>
      <c r="G1048" s="34">
        <v>44475</v>
      </c>
      <c r="H1048" s="35">
        <v>2.5000000000000001E-2</v>
      </c>
      <c r="I1048" s="67">
        <v>1.03E-2</v>
      </c>
      <c r="J1048" s="67">
        <v>0</v>
      </c>
      <c r="K1048" s="67">
        <v>1.03E-2</v>
      </c>
      <c r="L1048" s="36">
        <f>+K1048-((K1048*0.0002*0.125)+(K1048*(1-0.0002)*0.26))</f>
        <v>7.6222780999999993E-3</v>
      </c>
      <c r="M1048" s="64">
        <f t="shared" si="35"/>
        <v>7.6222780999999993E-3</v>
      </c>
      <c r="N1048" s="33" t="s">
        <v>251</v>
      </c>
    </row>
    <row r="1049" spans="1:14" ht="15">
      <c r="A1049" s="12"/>
      <c r="B1049" s="33" t="s">
        <v>184</v>
      </c>
      <c r="C1049" s="92" t="s">
        <v>354</v>
      </c>
      <c r="D1049" s="33" t="s">
        <v>411</v>
      </c>
      <c r="E1049" s="34">
        <v>44469</v>
      </c>
      <c r="F1049" s="34">
        <v>44470</v>
      </c>
      <c r="G1049" s="34">
        <v>44475</v>
      </c>
      <c r="H1049" s="35">
        <v>2.5000000000000001E-2</v>
      </c>
      <c r="I1049" s="67">
        <v>0.20749999999999999</v>
      </c>
      <c r="J1049" s="67">
        <v>0</v>
      </c>
      <c r="K1049" s="67">
        <v>0.20749999999999999</v>
      </c>
      <c r="L1049" s="36">
        <f>+K1049-((K1049*0.0002*0.125)+(K1049*(1-0.0002)*0.26))</f>
        <v>0.1535556025</v>
      </c>
      <c r="M1049" s="64">
        <f t="shared" ref="M1049:M1080" si="36">J1049+L1049</f>
        <v>0.1535556025</v>
      </c>
      <c r="N1049" s="33" t="s">
        <v>251</v>
      </c>
    </row>
    <row r="1050" spans="1:14" ht="15">
      <c r="A1050" s="12"/>
      <c r="B1050" s="33" t="s">
        <v>192</v>
      </c>
      <c r="C1050" s="92" t="s">
        <v>355</v>
      </c>
      <c r="D1050" s="33" t="s">
        <v>411</v>
      </c>
      <c r="E1050" s="34">
        <v>44469</v>
      </c>
      <c r="F1050" s="34">
        <v>44470</v>
      </c>
      <c r="G1050" s="34">
        <v>44475</v>
      </c>
      <c r="H1050" s="35">
        <v>2.5000000000000001E-2</v>
      </c>
      <c r="I1050" s="67">
        <v>0.20960000000000001</v>
      </c>
      <c r="J1050" s="67">
        <v>0</v>
      </c>
      <c r="K1050" s="67">
        <v>0.20960000000000001</v>
      </c>
      <c r="L1050" s="36">
        <f>+K1050-((K1050*0.0002*0.125)+(K1050*(1-0.0002)*0.26))</f>
        <v>0.1551096592</v>
      </c>
      <c r="M1050" s="64">
        <f t="shared" si="36"/>
        <v>0.1551096592</v>
      </c>
      <c r="N1050" s="33" t="s">
        <v>251</v>
      </c>
    </row>
    <row r="1051" spans="1:14" ht="15">
      <c r="A1051" s="12"/>
      <c r="B1051" s="33" t="s">
        <v>311</v>
      </c>
      <c r="C1051" s="92" t="s">
        <v>425</v>
      </c>
      <c r="D1051" s="33" t="s">
        <v>411</v>
      </c>
      <c r="E1051" s="34">
        <v>44469</v>
      </c>
      <c r="F1051" s="34">
        <v>44470</v>
      </c>
      <c r="G1051" s="34">
        <v>44475</v>
      </c>
      <c r="H1051" s="35">
        <v>1.4999999999999999E-2</v>
      </c>
      <c r="I1051" s="67">
        <v>6.1000000000000004E-3</v>
      </c>
      <c r="J1051" s="67">
        <v>0</v>
      </c>
      <c r="K1051" s="67">
        <v>6.1000000000000004E-3</v>
      </c>
      <c r="L1051" s="36">
        <f>+K1051-((K1051*0.0000001*0.125)+(K1051*(1-0.0000001)*0.26))</f>
        <v>4.5140000823499999E-3</v>
      </c>
      <c r="M1051" s="64">
        <f t="shared" si="36"/>
        <v>4.5140000823499999E-3</v>
      </c>
      <c r="N1051" s="33" t="s">
        <v>251</v>
      </c>
    </row>
    <row r="1052" spans="1:14" ht="15">
      <c r="A1052" s="12"/>
      <c r="B1052" s="33" t="s">
        <v>189</v>
      </c>
      <c r="C1052" s="92" t="s">
        <v>356</v>
      </c>
      <c r="D1052" s="33" t="s">
        <v>411</v>
      </c>
      <c r="E1052" s="34">
        <v>44469</v>
      </c>
      <c r="F1052" s="34">
        <v>44470</v>
      </c>
      <c r="G1052" s="34">
        <v>44475</v>
      </c>
      <c r="H1052" s="35">
        <v>1.4999999999999999E-2</v>
      </c>
      <c r="I1052" s="67">
        <v>0.1124</v>
      </c>
      <c r="J1052" s="67">
        <v>0</v>
      </c>
      <c r="K1052" s="67">
        <v>0.1124</v>
      </c>
      <c r="L1052" s="36">
        <f>+K1052-((K1052*0.0000001*0.125)+(K1052*(1-0.0000001)*0.26))</f>
        <v>8.3176001517399997E-2</v>
      </c>
      <c r="M1052" s="64">
        <f t="shared" si="36"/>
        <v>8.3176001517399997E-2</v>
      </c>
      <c r="N1052" s="33" t="s">
        <v>251</v>
      </c>
    </row>
    <row r="1053" spans="1:14" ht="15">
      <c r="A1053" s="12"/>
      <c r="B1053" s="33" t="s">
        <v>197</v>
      </c>
      <c r="C1053" s="92" t="s">
        <v>357</v>
      </c>
      <c r="D1053" s="33" t="s">
        <v>411</v>
      </c>
      <c r="E1053" s="34">
        <v>44469</v>
      </c>
      <c r="F1053" s="34">
        <v>44470</v>
      </c>
      <c r="G1053" s="34">
        <v>44475</v>
      </c>
      <c r="H1053" s="35">
        <v>1.4999999999999999E-2</v>
      </c>
      <c r="I1053" s="67">
        <v>0.1145</v>
      </c>
      <c r="J1053" s="67">
        <v>0</v>
      </c>
      <c r="K1053" s="67">
        <v>0.1145</v>
      </c>
      <c r="L1053" s="36">
        <f>+K1053-((K1053*0.0000001*0.125)+(K1053*(1-0.0000001)*0.26))</f>
        <v>8.473000154575E-2</v>
      </c>
      <c r="M1053" s="64">
        <f t="shared" si="36"/>
        <v>8.473000154575E-2</v>
      </c>
      <c r="N1053" s="33" t="s">
        <v>251</v>
      </c>
    </row>
    <row r="1054" spans="1:14" ht="15">
      <c r="A1054" s="12"/>
      <c r="B1054" s="33" t="s">
        <v>308</v>
      </c>
      <c r="C1054" s="92" t="s">
        <v>426</v>
      </c>
      <c r="D1054" s="33" t="s">
        <v>411</v>
      </c>
      <c r="E1054" s="34">
        <v>44469</v>
      </c>
      <c r="F1054" s="34">
        <v>44470</v>
      </c>
      <c r="G1054" s="34">
        <v>44475</v>
      </c>
      <c r="H1054" s="35">
        <v>1.4999999999999999E-2</v>
      </c>
      <c r="I1054" s="67">
        <v>6.1999999999999998E-3</v>
      </c>
      <c r="J1054" s="67">
        <v>0</v>
      </c>
      <c r="K1054" s="67">
        <v>6.1999999999999998E-3</v>
      </c>
      <c r="L1054" s="36">
        <f>+K1054-((K1054*0.4234*0.125)+(K1054*(1-0.4234)*0.26))</f>
        <v>4.9423857999999999E-3</v>
      </c>
      <c r="M1054" s="64">
        <f t="shared" si="36"/>
        <v>4.9423857999999999E-3</v>
      </c>
      <c r="N1054" s="33" t="s">
        <v>251</v>
      </c>
    </row>
    <row r="1055" spans="1:14" ht="15">
      <c r="A1055" s="12"/>
      <c r="B1055" s="33" t="s">
        <v>186</v>
      </c>
      <c r="C1055" s="92" t="s">
        <v>363</v>
      </c>
      <c r="D1055" s="33" t="s">
        <v>411</v>
      </c>
      <c r="E1055" s="34">
        <v>44469</v>
      </c>
      <c r="F1055" s="34">
        <v>44470</v>
      </c>
      <c r="G1055" s="34">
        <v>44475</v>
      </c>
      <c r="H1055" s="35">
        <v>1.4999999999999999E-2</v>
      </c>
      <c r="I1055" s="67">
        <v>0.1137</v>
      </c>
      <c r="J1055" s="67">
        <v>0</v>
      </c>
      <c r="K1055" s="67">
        <v>0.1137</v>
      </c>
      <c r="L1055" s="36">
        <f>+K1055-((K1055*0.4234*0.125)+(K1055*(1-0.4234)*0.26))</f>
        <v>9.0636978300000004E-2</v>
      </c>
      <c r="M1055" s="64">
        <f t="shared" si="36"/>
        <v>9.0636978300000004E-2</v>
      </c>
      <c r="N1055" s="33" t="s">
        <v>251</v>
      </c>
    </row>
    <row r="1056" spans="1:14" ht="15">
      <c r="A1056" s="12"/>
      <c r="B1056" s="33" t="s">
        <v>194</v>
      </c>
      <c r="C1056" s="92" t="s">
        <v>364</v>
      </c>
      <c r="D1056" s="33" t="s">
        <v>411</v>
      </c>
      <c r="E1056" s="34">
        <v>44469</v>
      </c>
      <c r="F1056" s="34">
        <v>44470</v>
      </c>
      <c r="G1056" s="34">
        <v>44475</v>
      </c>
      <c r="H1056" s="35">
        <v>1.4999999999999999E-2</v>
      </c>
      <c r="I1056" s="67">
        <v>0.1172</v>
      </c>
      <c r="J1056" s="67">
        <v>0</v>
      </c>
      <c r="K1056" s="67">
        <v>0.1172</v>
      </c>
      <c r="L1056" s="36">
        <f>+K1056-((K1056*0.4234*0.125)+(K1056*(1-0.4234)*0.26))</f>
        <v>9.3427034800000003E-2</v>
      </c>
      <c r="M1056" s="64">
        <f t="shared" si="36"/>
        <v>9.3427034800000003E-2</v>
      </c>
      <c r="N1056" s="33" t="s">
        <v>251</v>
      </c>
    </row>
    <row r="1057" spans="1:14" ht="15">
      <c r="A1057" s="12"/>
      <c r="B1057" s="33" t="s">
        <v>307</v>
      </c>
      <c r="C1057" s="92" t="s">
        <v>420</v>
      </c>
      <c r="D1057" s="33" t="s">
        <v>411</v>
      </c>
      <c r="E1057" s="34">
        <v>44469</v>
      </c>
      <c r="F1057" s="34">
        <v>44470</v>
      </c>
      <c r="G1057" s="34">
        <v>44475</v>
      </c>
      <c r="H1057" s="35">
        <v>1.4999999999999999E-2</v>
      </c>
      <c r="I1057" s="67">
        <v>6.4000000000000003E-3</v>
      </c>
      <c r="J1057" s="67">
        <v>0</v>
      </c>
      <c r="K1057" s="67">
        <v>6.4000000000000003E-3</v>
      </c>
      <c r="L1057" s="36">
        <f>+K1057-((K1057*0.5961*0.125)+(K1057*(1-0.5961)*0.26))</f>
        <v>5.2510304000000004E-3</v>
      </c>
      <c r="M1057" s="64">
        <f t="shared" si="36"/>
        <v>5.2510304000000004E-3</v>
      </c>
      <c r="N1057" s="33" t="s">
        <v>251</v>
      </c>
    </row>
    <row r="1058" spans="1:14" ht="15">
      <c r="A1058" s="12"/>
      <c r="B1058" s="33" t="s">
        <v>185</v>
      </c>
      <c r="C1058" s="92" t="s">
        <v>366</v>
      </c>
      <c r="D1058" s="33" t="s">
        <v>411</v>
      </c>
      <c r="E1058" s="34">
        <v>44469</v>
      </c>
      <c r="F1058" s="34">
        <v>44470</v>
      </c>
      <c r="G1058" s="34">
        <v>44475</v>
      </c>
      <c r="H1058" s="35">
        <v>1.4999999999999999E-2</v>
      </c>
      <c r="I1058" s="67">
        <v>0.1067</v>
      </c>
      <c r="J1058" s="67">
        <v>0</v>
      </c>
      <c r="K1058" s="67">
        <v>0.1067</v>
      </c>
      <c r="L1058" s="36">
        <f>+K1058-((K1058*0.5961*0.125)+(K1058*(1-0.5961)*0.26))</f>
        <v>8.7544522449999995E-2</v>
      </c>
      <c r="M1058" s="64">
        <f t="shared" si="36"/>
        <v>8.7544522449999995E-2</v>
      </c>
      <c r="N1058" s="33" t="s">
        <v>251</v>
      </c>
    </row>
    <row r="1059" spans="1:14" ht="15">
      <c r="A1059" s="12"/>
      <c r="B1059" s="33" t="s">
        <v>193</v>
      </c>
      <c r="C1059" s="92" t="s">
        <v>367</v>
      </c>
      <c r="D1059" s="33" t="s">
        <v>411</v>
      </c>
      <c r="E1059" s="34">
        <v>44469</v>
      </c>
      <c r="F1059" s="34">
        <v>44470</v>
      </c>
      <c r="G1059" s="34">
        <v>44475</v>
      </c>
      <c r="H1059" s="35">
        <v>1.4999999999999999E-2</v>
      </c>
      <c r="I1059" s="67">
        <v>0.1042</v>
      </c>
      <c r="J1059" s="67">
        <v>0</v>
      </c>
      <c r="K1059" s="67">
        <v>0.1042</v>
      </c>
      <c r="L1059" s="36">
        <f>+K1059-((K1059*0.5961*0.125)+(K1059*(1-0.5961)*0.26))</f>
        <v>8.5493338700000004E-2</v>
      </c>
      <c r="M1059" s="64">
        <f t="shared" si="36"/>
        <v>8.5493338700000004E-2</v>
      </c>
      <c r="N1059" s="33" t="s">
        <v>251</v>
      </c>
    </row>
    <row r="1060" spans="1:14" ht="15">
      <c r="A1060" s="12"/>
      <c r="B1060" s="33" t="s">
        <v>309</v>
      </c>
      <c r="C1060" s="92" t="s">
        <v>427</v>
      </c>
      <c r="D1060" s="33" t="s">
        <v>411</v>
      </c>
      <c r="E1060" s="34">
        <v>44469</v>
      </c>
      <c r="F1060" s="34">
        <v>44470</v>
      </c>
      <c r="G1060" s="34">
        <v>44475</v>
      </c>
      <c r="H1060" s="35">
        <v>1.4999999999999999E-2</v>
      </c>
      <c r="I1060" s="67">
        <v>6.4000000000000003E-3</v>
      </c>
      <c r="J1060" s="67">
        <v>0</v>
      </c>
      <c r="K1060" s="67">
        <v>6.4000000000000003E-3</v>
      </c>
      <c r="L1060" s="36">
        <f>+K1060-((K1060*0.0215*0.125)+(K1060*(1-0.0215)*0.26))</f>
        <v>4.7545759999999999E-3</v>
      </c>
      <c r="M1060" s="64">
        <f t="shared" si="36"/>
        <v>4.7545759999999999E-3</v>
      </c>
      <c r="N1060" s="33" t="s">
        <v>251</v>
      </c>
    </row>
    <row r="1061" spans="1:14" ht="15">
      <c r="A1061" s="12"/>
      <c r="B1061" s="33" t="s">
        <v>187</v>
      </c>
      <c r="C1061" s="92" t="s">
        <v>368</v>
      </c>
      <c r="D1061" s="33" t="s">
        <v>411</v>
      </c>
      <c r="E1061" s="34">
        <v>44469</v>
      </c>
      <c r="F1061" s="34">
        <v>44470</v>
      </c>
      <c r="G1061" s="34">
        <v>44475</v>
      </c>
      <c r="H1061" s="35">
        <v>1.4999999999999999E-2</v>
      </c>
      <c r="I1061" s="67">
        <v>0.1123</v>
      </c>
      <c r="J1061" s="67">
        <v>0</v>
      </c>
      <c r="K1061" s="67">
        <v>0.1123</v>
      </c>
      <c r="L1061" s="36">
        <f>+K1061-((K1061*0.0215*0.125)+(K1061*(1-0.0215)*0.26))</f>
        <v>8.3427950749999993E-2</v>
      </c>
      <c r="M1061" s="64">
        <f t="shared" si="36"/>
        <v>8.3427950749999993E-2</v>
      </c>
      <c r="N1061" s="33" t="s">
        <v>251</v>
      </c>
    </row>
    <row r="1062" spans="1:14" ht="15">
      <c r="A1062" s="12"/>
      <c r="B1062" s="33" t="s">
        <v>195</v>
      </c>
      <c r="C1062" s="92" t="s">
        <v>369</v>
      </c>
      <c r="D1062" s="33" t="s">
        <v>411</v>
      </c>
      <c r="E1062" s="34">
        <v>44469</v>
      </c>
      <c r="F1062" s="34">
        <v>44470</v>
      </c>
      <c r="G1062" s="34">
        <v>44475</v>
      </c>
      <c r="H1062" s="35">
        <v>1.4999999999999999E-2</v>
      </c>
      <c r="I1062" s="67">
        <v>0.11609999999999999</v>
      </c>
      <c r="J1062" s="67">
        <v>0</v>
      </c>
      <c r="K1062" s="67">
        <v>0.11609999999999999</v>
      </c>
      <c r="L1062" s="36">
        <f>+K1062-((K1062*0.0215*0.125)+(K1062*(1-0.0215)*0.26))</f>
        <v>8.6250980249999998E-2</v>
      </c>
      <c r="M1062" s="64">
        <f t="shared" si="36"/>
        <v>8.6250980249999998E-2</v>
      </c>
      <c r="N1062" s="33" t="s">
        <v>251</v>
      </c>
    </row>
    <row r="1063" spans="1:14" ht="15">
      <c r="A1063" s="12"/>
      <c r="B1063" s="33" t="s">
        <v>312</v>
      </c>
      <c r="C1063" s="92" t="s">
        <v>428</v>
      </c>
      <c r="D1063" s="33" t="s">
        <v>411</v>
      </c>
      <c r="E1063" s="34">
        <v>44469</v>
      </c>
      <c r="F1063" s="34">
        <v>44470</v>
      </c>
      <c r="G1063" s="34">
        <v>44475</v>
      </c>
      <c r="H1063" s="35">
        <v>3.5000000000000003E-2</v>
      </c>
      <c r="I1063" s="67">
        <v>1.35E-2</v>
      </c>
      <c r="J1063" s="67">
        <v>0</v>
      </c>
      <c r="K1063" s="67">
        <v>1.35E-2</v>
      </c>
      <c r="L1063" s="36">
        <f>+K1063-((K1063*0.000000000001*0.125)+(K1063*(1-0.00000000001)*0.26))</f>
        <v>9.9900000000334131E-3</v>
      </c>
      <c r="M1063" s="64">
        <f t="shared" si="36"/>
        <v>9.9900000000334131E-3</v>
      </c>
      <c r="N1063" s="33" t="s">
        <v>251</v>
      </c>
    </row>
    <row r="1064" spans="1:14" ht="15">
      <c r="A1064" s="12"/>
      <c r="B1064" s="33" t="s">
        <v>190</v>
      </c>
      <c r="C1064" s="92" t="s">
        <v>370</v>
      </c>
      <c r="D1064" s="33" t="s">
        <v>411</v>
      </c>
      <c r="E1064" s="34">
        <v>44469</v>
      </c>
      <c r="F1064" s="34">
        <v>44470</v>
      </c>
      <c r="G1064" s="34">
        <v>44475</v>
      </c>
      <c r="H1064" s="35">
        <v>3.5000000000000003E-2</v>
      </c>
      <c r="I1064" s="67">
        <v>0.2555</v>
      </c>
      <c r="J1064" s="67">
        <v>0</v>
      </c>
      <c r="K1064" s="67">
        <v>0.2555</v>
      </c>
      <c r="L1064" s="36">
        <f>+K1064-((K1064*0.000000000001*0.125)+(K1064*(1-0.00000000001)*0.26))</f>
        <v>0.18907000000063237</v>
      </c>
      <c r="M1064" s="64">
        <f t="shared" si="36"/>
        <v>0.18907000000063237</v>
      </c>
      <c r="N1064" s="33" t="s">
        <v>251</v>
      </c>
    </row>
    <row r="1065" spans="1:14" ht="15">
      <c r="A1065" s="12"/>
      <c r="B1065" s="33" t="s">
        <v>198</v>
      </c>
      <c r="C1065" s="92" t="s">
        <v>371</v>
      </c>
      <c r="D1065" s="33" t="s">
        <v>411</v>
      </c>
      <c r="E1065" s="34">
        <v>44469</v>
      </c>
      <c r="F1065" s="34">
        <v>44470</v>
      </c>
      <c r="G1065" s="34">
        <v>44475</v>
      </c>
      <c r="H1065" s="35">
        <v>3.5000000000000003E-2</v>
      </c>
      <c r="I1065" s="67">
        <v>0.25640000000000002</v>
      </c>
      <c r="J1065" s="67">
        <v>0</v>
      </c>
      <c r="K1065" s="67">
        <v>0.25640000000000002</v>
      </c>
      <c r="L1065" s="36">
        <f>+K1065-((K1065*0.000000000001*0.125)+(K1065*(1-0.00000000001)*0.26))</f>
        <v>0.18973600000063462</v>
      </c>
      <c r="M1065" s="64">
        <f t="shared" si="36"/>
        <v>0.18973600000063462</v>
      </c>
      <c r="N1065" s="33" t="s">
        <v>251</v>
      </c>
    </row>
    <row r="1066" spans="1:14" ht="15">
      <c r="A1066" s="12"/>
      <c r="B1066" s="33" t="s">
        <v>513</v>
      </c>
      <c r="C1066" s="92" t="s">
        <v>515</v>
      </c>
      <c r="D1066" s="33" t="s">
        <v>411</v>
      </c>
      <c r="E1066" s="34">
        <v>44469</v>
      </c>
      <c r="F1066" s="34">
        <v>44470</v>
      </c>
      <c r="G1066" s="34">
        <v>44475</v>
      </c>
      <c r="H1066" s="35">
        <v>0.02</v>
      </c>
      <c r="I1066" s="67">
        <v>0.13469999999999999</v>
      </c>
      <c r="J1066" s="67">
        <v>0.13469999999999999</v>
      </c>
      <c r="K1066" s="67">
        <v>0</v>
      </c>
      <c r="L1066" s="36">
        <f>+K1066-((K1066*0.4282*0.125)+(K1066*(1-0.4282)*0.26))</f>
        <v>0</v>
      </c>
      <c r="M1066" s="64">
        <f t="shared" si="36"/>
        <v>0.13469999999999999</v>
      </c>
      <c r="N1066" s="33" t="s">
        <v>251</v>
      </c>
    </row>
    <row r="1067" spans="1:14" ht="15">
      <c r="A1067" s="12"/>
      <c r="B1067" s="33" t="s">
        <v>514</v>
      </c>
      <c r="C1067" s="92" t="s">
        <v>516</v>
      </c>
      <c r="D1067" s="33" t="s">
        <v>411</v>
      </c>
      <c r="E1067" s="34">
        <v>44469</v>
      </c>
      <c r="F1067" s="34">
        <v>44470</v>
      </c>
      <c r="G1067" s="34">
        <v>44475</v>
      </c>
      <c r="H1067" s="35">
        <v>0.02</v>
      </c>
      <c r="I1067" s="67">
        <v>0.1356</v>
      </c>
      <c r="J1067" s="67">
        <v>0.1356</v>
      </c>
      <c r="K1067" s="67">
        <v>0</v>
      </c>
      <c r="L1067" s="36">
        <f>+K1067-((K1067*0.4282*0.125)+(K1067*(1-0.4282)*0.26))</f>
        <v>0</v>
      </c>
      <c r="M1067" s="64">
        <f t="shared" si="36"/>
        <v>0.1356</v>
      </c>
      <c r="N1067" s="33" t="s">
        <v>251</v>
      </c>
    </row>
    <row r="1068" spans="1:14" ht="15">
      <c r="A1068" s="12"/>
      <c r="B1068" s="33" t="s">
        <v>313</v>
      </c>
      <c r="C1068" s="92" t="s">
        <v>429</v>
      </c>
      <c r="D1068" s="33" t="s">
        <v>411</v>
      </c>
      <c r="E1068" s="34">
        <v>44469</v>
      </c>
      <c r="F1068" s="34">
        <v>44470</v>
      </c>
      <c r="G1068" s="34">
        <v>44475</v>
      </c>
      <c r="H1068" s="35">
        <v>0.01</v>
      </c>
      <c r="I1068" s="67">
        <v>4.3E-3</v>
      </c>
      <c r="J1068" s="67">
        <v>0</v>
      </c>
      <c r="K1068" s="67">
        <v>4.3E-3</v>
      </c>
      <c r="L1068" s="36">
        <f>+K1068-((K1068*0.148*0.125)+(K1068*(1-0.148)*0.26))</f>
        <v>3.2679140000000002E-3</v>
      </c>
      <c r="M1068" s="64">
        <f t="shared" si="36"/>
        <v>3.2679140000000002E-3</v>
      </c>
      <c r="N1068" s="33" t="s">
        <v>251</v>
      </c>
    </row>
    <row r="1069" spans="1:14" ht="15">
      <c r="A1069" s="12"/>
      <c r="B1069" s="33" t="s">
        <v>298</v>
      </c>
      <c r="C1069" s="92" t="s">
        <v>403</v>
      </c>
      <c r="D1069" s="33" t="s">
        <v>410</v>
      </c>
      <c r="E1069" s="34">
        <v>44469</v>
      </c>
      <c r="F1069" s="34">
        <v>44470</v>
      </c>
      <c r="G1069" s="34">
        <v>44475</v>
      </c>
      <c r="H1069" s="35">
        <v>4.4999999999999998E-2</v>
      </c>
      <c r="I1069" s="67">
        <v>5.3100000000000001E-2</v>
      </c>
      <c r="J1069" s="67">
        <v>0</v>
      </c>
      <c r="K1069" s="67">
        <v>5.3100000000000001E-2</v>
      </c>
      <c r="L1069" s="36">
        <f>+K1069-((K1069*0.4448*0.125)+(K1069*(1-0.4448)*0.26))</f>
        <v>4.2482548799999999E-2</v>
      </c>
      <c r="M1069" s="64">
        <f t="shared" si="36"/>
        <v>4.2482548799999999E-2</v>
      </c>
      <c r="N1069" s="33" t="s">
        <v>248</v>
      </c>
    </row>
    <row r="1070" spans="1:14" ht="15">
      <c r="A1070" s="12"/>
      <c r="B1070" s="33" t="s">
        <v>181</v>
      </c>
      <c r="C1070" s="92" t="s">
        <v>335</v>
      </c>
      <c r="D1070" s="33" t="s">
        <v>410</v>
      </c>
      <c r="E1070" s="34">
        <v>44469</v>
      </c>
      <c r="F1070" s="34">
        <v>44470</v>
      </c>
      <c r="G1070" s="34">
        <v>44475</v>
      </c>
      <c r="H1070" s="35">
        <v>4.4999999999999998E-2</v>
      </c>
      <c r="I1070" s="67">
        <v>0.94920000000000004</v>
      </c>
      <c r="J1070" s="67">
        <v>0</v>
      </c>
      <c r="K1070" s="67">
        <v>0.94920000000000004</v>
      </c>
      <c r="L1070" s="36">
        <f>+K1070-((K1070*0.4448*0.125)+(K1070*(1-0.4448)*0.26))</f>
        <v>0.75940556160000006</v>
      </c>
      <c r="M1070" s="64">
        <f t="shared" si="36"/>
        <v>0.75940556160000006</v>
      </c>
      <c r="N1070" s="33" t="s">
        <v>248</v>
      </c>
    </row>
    <row r="1071" spans="1:14" ht="15">
      <c r="A1071" s="12"/>
      <c r="B1071" s="33" t="s">
        <v>201</v>
      </c>
      <c r="C1071" s="92" t="s">
        <v>336</v>
      </c>
      <c r="D1071" s="33" t="s">
        <v>410</v>
      </c>
      <c r="E1071" s="34">
        <v>44469</v>
      </c>
      <c r="F1071" s="34">
        <v>44470</v>
      </c>
      <c r="G1071" s="34">
        <v>44475</v>
      </c>
      <c r="H1071" s="35">
        <v>4.4999999999999998E-2</v>
      </c>
      <c r="I1071" s="67">
        <v>0.95840000000000003</v>
      </c>
      <c r="J1071" s="67">
        <v>0</v>
      </c>
      <c r="K1071" s="67">
        <v>0.95840000000000003</v>
      </c>
      <c r="L1071" s="36">
        <f>+K1071-((K1071*0.4448*0.125)+(K1071*(1-0.4448)*0.26))</f>
        <v>0.76676600319999999</v>
      </c>
      <c r="M1071" s="64">
        <f t="shared" si="36"/>
        <v>0.76676600319999999</v>
      </c>
      <c r="N1071" s="33" t="s">
        <v>248</v>
      </c>
    </row>
    <row r="1072" spans="1:14" ht="15">
      <c r="A1072" s="12"/>
      <c r="B1072" s="33" t="s">
        <v>138</v>
      </c>
      <c r="C1072" s="92" t="s">
        <v>337</v>
      </c>
      <c r="D1072" s="33" t="s">
        <v>410</v>
      </c>
      <c r="E1072" s="34">
        <v>44469</v>
      </c>
      <c r="F1072" s="34">
        <v>44470</v>
      </c>
      <c r="G1072" s="34">
        <v>44475</v>
      </c>
      <c r="H1072" s="35">
        <v>0.05</v>
      </c>
      <c r="I1072" s="67">
        <v>7.1800000000000003E-2</v>
      </c>
      <c r="J1072" s="67">
        <v>0</v>
      </c>
      <c r="K1072" s="67">
        <v>7.1800000000000003E-2</v>
      </c>
      <c r="L1072" s="36">
        <f>+K1072-((K1072*0.28008*0.125)+(K1072*(1-0.272)*0.26))</f>
        <v>5.5695978E-2</v>
      </c>
      <c r="M1072" s="64">
        <f t="shared" si="36"/>
        <v>5.5695978E-2</v>
      </c>
      <c r="N1072" s="33" t="s">
        <v>248</v>
      </c>
    </row>
    <row r="1073" spans="1:14" ht="15">
      <c r="A1073" s="12"/>
      <c r="B1073" s="33" t="s">
        <v>160</v>
      </c>
      <c r="C1073" s="92" t="s">
        <v>338</v>
      </c>
      <c r="D1073" s="33" t="s">
        <v>410</v>
      </c>
      <c r="E1073" s="34">
        <v>44469</v>
      </c>
      <c r="F1073" s="34">
        <v>44470</v>
      </c>
      <c r="G1073" s="34">
        <v>44475</v>
      </c>
      <c r="H1073" s="35">
        <v>0.05</v>
      </c>
      <c r="I1073" s="67">
        <v>7.1099999999999997E-2</v>
      </c>
      <c r="J1073" s="67">
        <v>0</v>
      </c>
      <c r="K1073" s="67">
        <v>7.1099999999999997E-2</v>
      </c>
      <c r="L1073" s="36">
        <f>+K1073-((K1073*0.28008*0.125)+(K1073*(1-0.272)*0.26))</f>
        <v>5.5152980999999997E-2</v>
      </c>
      <c r="M1073" s="64">
        <f t="shared" si="36"/>
        <v>5.5152980999999997E-2</v>
      </c>
      <c r="N1073" s="33" t="s">
        <v>248</v>
      </c>
    </row>
    <row r="1074" spans="1:14" ht="15">
      <c r="A1074" s="12"/>
      <c r="B1074" s="33" t="s">
        <v>300</v>
      </c>
      <c r="C1074" s="92" t="s">
        <v>404</v>
      </c>
      <c r="D1074" s="33" t="s">
        <v>410</v>
      </c>
      <c r="E1074" s="34">
        <v>44469</v>
      </c>
      <c r="F1074" s="34">
        <v>44470</v>
      </c>
      <c r="G1074" s="34">
        <v>44475</v>
      </c>
      <c r="H1074" s="35">
        <v>0.05</v>
      </c>
      <c r="I1074" s="67">
        <v>5.5599999999999997E-2</v>
      </c>
      <c r="J1074" s="67">
        <v>0</v>
      </c>
      <c r="K1074" s="67">
        <v>5.5599999999999997E-2</v>
      </c>
      <c r="L1074" s="36">
        <f>+K1074-((K1074*0.28008*0.125)+(K1074*(1-0.272)*0.26))</f>
        <v>4.3129476E-2</v>
      </c>
      <c r="M1074" s="64">
        <f t="shared" si="36"/>
        <v>4.3129476E-2</v>
      </c>
      <c r="N1074" s="33" t="s">
        <v>248</v>
      </c>
    </row>
    <row r="1075" spans="1:14" ht="15">
      <c r="A1075" s="12"/>
      <c r="B1075" s="33" t="s">
        <v>142</v>
      </c>
      <c r="C1075" s="92" t="s">
        <v>341</v>
      </c>
      <c r="D1075" s="33" t="s">
        <v>410</v>
      </c>
      <c r="E1075" s="34">
        <v>44469</v>
      </c>
      <c r="F1075" s="34">
        <v>44470</v>
      </c>
      <c r="G1075" s="34">
        <v>44475</v>
      </c>
      <c r="H1075" s="35">
        <v>5.2499999999999998E-2</v>
      </c>
      <c r="I1075" s="67">
        <v>7.6999999999999999E-2</v>
      </c>
      <c r="J1075" s="67">
        <v>0</v>
      </c>
      <c r="K1075" s="67">
        <v>7.6999999999999999E-2</v>
      </c>
      <c r="L1075" s="36">
        <f>+K1075-((K1075*0.0693*0.125)+(K1075*(1-0.0693)*0.26))</f>
        <v>5.7700373499999999E-2</v>
      </c>
      <c r="M1075" s="64">
        <f t="shared" si="36"/>
        <v>5.7700373499999999E-2</v>
      </c>
      <c r="N1075" s="33" t="s">
        <v>248</v>
      </c>
    </row>
    <row r="1076" spans="1:14" ht="15">
      <c r="A1076" s="12"/>
      <c r="B1076" s="33" t="s">
        <v>159</v>
      </c>
      <c r="C1076" s="92" t="s">
        <v>342</v>
      </c>
      <c r="D1076" s="33" t="s">
        <v>410</v>
      </c>
      <c r="E1076" s="34">
        <v>44469</v>
      </c>
      <c r="F1076" s="34">
        <v>44470</v>
      </c>
      <c r="G1076" s="34">
        <v>44475</v>
      </c>
      <c r="H1076" s="35">
        <v>5.2499999999999998E-2</v>
      </c>
      <c r="I1076" s="67">
        <v>7.6399999999999996E-2</v>
      </c>
      <c r="J1076" s="67">
        <v>0</v>
      </c>
      <c r="K1076" s="67">
        <v>7.6399999999999996E-2</v>
      </c>
      <c r="L1076" s="36">
        <f>+K1076-((K1076*0.0693*0.125)+(K1076*(1-0.0693)*0.26))</f>
        <v>5.72507602E-2</v>
      </c>
      <c r="M1076" s="64">
        <f t="shared" si="36"/>
        <v>5.72507602E-2</v>
      </c>
      <c r="N1076" s="33" t="s">
        <v>248</v>
      </c>
    </row>
    <row r="1077" spans="1:14" ht="15">
      <c r="A1077" s="12"/>
      <c r="B1077" s="33" t="s">
        <v>507</v>
      </c>
      <c r="C1077" s="92" t="s">
        <v>508</v>
      </c>
      <c r="D1077" s="33" t="s">
        <v>410</v>
      </c>
      <c r="E1077" s="34">
        <v>44469</v>
      </c>
      <c r="F1077" s="34">
        <v>44470</v>
      </c>
      <c r="G1077" s="34">
        <v>44475</v>
      </c>
      <c r="H1077" s="35">
        <v>5.2499999999999998E-2</v>
      </c>
      <c r="I1077" s="67">
        <v>6.0900000000000003E-2</v>
      </c>
      <c r="J1077" s="67">
        <v>0</v>
      </c>
      <c r="K1077" s="67">
        <v>6.0900000000000003E-2</v>
      </c>
      <c r="L1077" s="36">
        <f>+K1077-((K1077*0.0693*0.125)+(K1077*(1-0.0693)*0.26))</f>
        <v>4.5635749949999999E-2</v>
      </c>
      <c r="M1077" s="64">
        <f t="shared" si="36"/>
        <v>4.5635749949999999E-2</v>
      </c>
      <c r="N1077" s="33" t="s">
        <v>248</v>
      </c>
    </row>
    <row r="1078" spans="1:14" ht="15">
      <c r="A1078" s="12"/>
      <c r="B1078" s="33" t="s">
        <v>139</v>
      </c>
      <c r="C1078" s="92" t="s">
        <v>344</v>
      </c>
      <c r="D1078" s="33" t="s">
        <v>410</v>
      </c>
      <c r="E1078" s="34">
        <v>44469</v>
      </c>
      <c r="F1078" s="34">
        <v>44470</v>
      </c>
      <c r="G1078" s="34">
        <v>44475</v>
      </c>
      <c r="H1078" s="35">
        <v>3.5000000000000003E-2</v>
      </c>
      <c r="I1078" s="67">
        <v>3.7900000000000003E-2</v>
      </c>
      <c r="J1078" s="67">
        <v>0</v>
      </c>
      <c r="K1078" s="67">
        <v>3.7900000000000003E-2</v>
      </c>
      <c r="L1078" s="36">
        <f>+K1078-((K1078*0.7506*0.125)+(K1078*(1-0.7506)*0.26))</f>
        <v>3.1886444900000005E-2</v>
      </c>
      <c r="M1078" s="64">
        <f t="shared" si="36"/>
        <v>3.1886444900000005E-2</v>
      </c>
      <c r="N1078" s="33" t="s">
        <v>248</v>
      </c>
    </row>
    <row r="1079" spans="1:14" ht="15">
      <c r="A1079" s="12"/>
      <c r="B1079" s="33" t="s">
        <v>161</v>
      </c>
      <c r="C1079" s="92" t="s">
        <v>345</v>
      </c>
      <c r="D1079" s="33" t="s">
        <v>410</v>
      </c>
      <c r="E1079" s="34">
        <v>44469</v>
      </c>
      <c r="F1079" s="34">
        <v>44470</v>
      </c>
      <c r="G1079" s="34">
        <v>44475</v>
      </c>
      <c r="H1079" s="35">
        <v>3.5000000000000003E-2</v>
      </c>
      <c r="I1079" s="67">
        <v>3.7699999999999997E-2</v>
      </c>
      <c r="J1079" s="67">
        <v>0</v>
      </c>
      <c r="K1079" s="67">
        <v>3.7699999999999997E-2</v>
      </c>
      <c r="L1079" s="36">
        <f>+K1079-((K1079*0.7506*0.125)+(K1079*(1-0.7506)*0.26))</f>
        <v>3.1718178699999995E-2</v>
      </c>
      <c r="M1079" s="64">
        <f t="shared" si="36"/>
        <v>3.1718178699999995E-2</v>
      </c>
      <c r="N1079" s="33" t="s">
        <v>248</v>
      </c>
    </row>
    <row r="1080" spans="1:14" ht="15">
      <c r="A1080" s="12"/>
      <c r="B1080" s="33" t="s">
        <v>141</v>
      </c>
      <c r="C1080" s="92" t="s">
        <v>348</v>
      </c>
      <c r="D1080" s="33" t="s">
        <v>410</v>
      </c>
      <c r="E1080" s="34">
        <v>44469</v>
      </c>
      <c r="F1080" s="34">
        <v>44470</v>
      </c>
      <c r="G1080" s="34">
        <v>44475</v>
      </c>
      <c r="H1080" s="35">
        <v>4.2500000000000003E-2</v>
      </c>
      <c r="I1080" s="67">
        <v>5.04E-2</v>
      </c>
      <c r="J1080" s="67">
        <v>0</v>
      </c>
      <c r="K1080" s="67">
        <v>5.04E-2</v>
      </c>
      <c r="L1080" s="36">
        <f>+K1080-((K1080*0.0703*0.125)+(K1080*(1-0.0703)*0.26))</f>
        <v>3.7774321200000002E-2</v>
      </c>
      <c r="M1080" s="64">
        <f t="shared" si="36"/>
        <v>3.7774321200000002E-2</v>
      </c>
      <c r="N1080" s="33" t="s">
        <v>248</v>
      </c>
    </row>
    <row r="1081" spans="1:14" ht="15">
      <c r="A1081" s="12"/>
      <c r="B1081" s="33" t="s">
        <v>140</v>
      </c>
      <c r="C1081" s="92" t="s">
        <v>349</v>
      </c>
      <c r="D1081" s="33" t="s">
        <v>410</v>
      </c>
      <c r="E1081" s="34">
        <v>44469</v>
      </c>
      <c r="F1081" s="34">
        <v>44470</v>
      </c>
      <c r="G1081" s="34">
        <v>44475</v>
      </c>
      <c r="H1081" s="35">
        <v>4.2500000000000003E-2</v>
      </c>
      <c r="I1081" s="67">
        <v>5.16E-2</v>
      </c>
      <c r="J1081" s="67">
        <v>0</v>
      </c>
      <c r="K1081" s="67">
        <v>5.16E-2</v>
      </c>
      <c r="L1081" s="36">
        <f>+K1081-((K1081*0.0703*0.125)+(K1081*(1-0.0703)*0.26))</f>
        <v>3.8673709799999997E-2</v>
      </c>
      <c r="M1081" s="64">
        <f t="shared" ref="M1081:M1112" si="37">J1081+L1081</f>
        <v>3.8673709799999997E-2</v>
      </c>
      <c r="N1081" s="33" t="s">
        <v>248</v>
      </c>
    </row>
    <row r="1082" spans="1:14" ht="15">
      <c r="A1082" s="12"/>
      <c r="B1082" s="33" t="s">
        <v>162</v>
      </c>
      <c r="C1082" s="92" t="s">
        <v>350</v>
      </c>
      <c r="D1082" s="33" t="s">
        <v>410</v>
      </c>
      <c r="E1082" s="34">
        <v>44469</v>
      </c>
      <c r="F1082" s="34">
        <v>44470</v>
      </c>
      <c r="G1082" s="34">
        <v>44475</v>
      </c>
      <c r="H1082" s="35">
        <v>4.2500000000000003E-2</v>
      </c>
      <c r="I1082" s="67">
        <v>5.1200000000000002E-2</v>
      </c>
      <c r="J1082" s="67">
        <v>0</v>
      </c>
      <c r="K1082" s="67">
        <v>5.1200000000000002E-2</v>
      </c>
      <c r="L1082" s="36">
        <f>+K1082-((K1082*0.0703*0.125)+(K1082*(1-0.0703)*0.26))</f>
        <v>3.8373913600000004E-2</v>
      </c>
      <c r="M1082" s="64">
        <f t="shared" si="37"/>
        <v>3.8373913600000004E-2</v>
      </c>
      <c r="N1082" s="33" t="s">
        <v>248</v>
      </c>
    </row>
    <row r="1083" spans="1:14" ht="15">
      <c r="A1083" s="12"/>
      <c r="B1083" s="33" t="s">
        <v>302</v>
      </c>
      <c r="C1083" s="92" t="s">
        <v>405</v>
      </c>
      <c r="D1083" s="33" t="s">
        <v>410</v>
      </c>
      <c r="E1083" s="34">
        <v>44469</v>
      </c>
      <c r="F1083" s="34">
        <v>44470</v>
      </c>
      <c r="G1083" s="34">
        <v>44475</v>
      </c>
      <c r="H1083" s="35">
        <v>4.2500000000000003E-2</v>
      </c>
      <c r="I1083" s="67">
        <v>5.2400000000000002E-2</v>
      </c>
      <c r="J1083" s="67">
        <v>0</v>
      </c>
      <c r="K1083" s="67">
        <v>5.2400000000000002E-2</v>
      </c>
      <c r="L1083" s="36">
        <f>+K1083-((K1083*0.0703*0.125)+(K1083*(1-0.0703)*0.26))</f>
        <v>3.9273302199999999E-2</v>
      </c>
      <c r="M1083" s="64">
        <f t="shared" si="37"/>
        <v>3.9273302199999999E-2</v>
      </c>
      <c r="N1083" s="33" t="s">
        <v>248</v>
      </c>
    </row>
    <row r="1084" spans="1:14" ht="15">
      <c r="A1084" s="12"/>
      <c r="B1084" s="33" t="s">
        <v>303</v>
      </c>
      <c r="C1084" s="92" t="s">
        <v>406</v>
      </c>
      <c r="D1084" s="33" t="s">
        <v>410</v>
      </c>
      <c r="E1084" s="34">
        <v>44469</v>
      </c>
      <c r="F1084" s="34">
        <v>44470</v>
      </c>
      <c r="G1084" s="34">
        <v>44475</v>
      </c>
      <c r="H1084" s="35">
        <v>4.2500000000000003E-2</v>
      </c>
      <c r="I1084" s="67">
        <v>4.8399999999999999E-2</v>
      </c>
      <c r="J1084" s="67">
        <v>0</v>
      </c>
      <c r="K1084" s="67">
        <v>4.8399999999999999E-2</v>
      </c>
      <c r="L1084" s="36">
        <f>+K1084-((K1084*0.0703*0.125)+(K1084*(1-0.0703)*0.26))</f>
        <v>3.6275340199999999E-2</v>
      </c>
      <c r="M1084" s="64">
        <f t="shared" si="37"/>
        <v>3.6275340199999999E-2</v>
      </c>
      <c r="N1084" s="33" t="s">
        <v>248</v>
      </c>
    </row>
    <row r="1085" spans="1:14" ht="15">
      <c r="A1085" s="12"/>
      <c r="B1085" s="33" t="s">
        <v>143</v>
      </c>
      <c r="C1085" s="92" t="s">
        <v>351</v>
      </c>
      <c r="D1085" s="33" t="s">
        <v>410</v>
      </c>
      <c r="E1085" s="34">
        <v>44469</v>
      </c>
      <c r="F1085" s="34">
        <v>44470</v>
      </c>
      <c r="G1085" s="34">
        <v>44475</v>
      </c>
      <c r="H1085" s="35">
        <v>4.0000000000000001E-3</v>
      </c>
      <c r="I1085" s="67">
        <v>5.1999999999999998E-3</v>
      </c>
      <c r="J1085" s="67">
        <v>0</v>
      </c>
      <c r="K1085" s="67">
        <v>5.1999999999999998E-3</v>
      </c>
      <c r="L1085" s="36">
        <f>+K1085-((K1085*0.447*0.125)+(K1085*(1-0.447)*0.26))</f>
        <v>4.1617939999999999E-3</v>
      </c>
      <c r="M1085" s="64">
        <f t="shared" si="37"/>
        <v>4.1617939999999999E-3</v>
      </c>
      <c r="N1085" s="33" t="s">
        <v>248</v>
      </c>
    </row>
    <row r="1086" spans="1:14" ht="15">
      <c r="A1086" s="12"/>
      <c r="B1086" s="33" t="s">
        <v>145</v>
      </c>
      <c r="C1086" s="92" t="s">
        <v>352</v>
      </c>
      <c r="D1086" s="33" t="s">
        <v>410</v>
      </c>
      <c r="E1086" s="34">
        <v>44469</v>
      </c>
      <c r="F1086" s="34">
        <v>44470</v>
      </c>
      <c r="G1086" s="34">
        <v>44475</v>
      </c>
      <c r="H1086" s="35">
        <v>4.4999999999999997E-3</v>
      </c>
      <c r="I1086" s="67">
        <v>5.7999999999999996E-3</v>
      </c>
      <c r="J1086" s="67">
        <v>0</v>
      </c>
      <c r="K1086" s="67">
        <v>5.7999999999999996E-3</v>
      </c>
      <c r="L1086" s="36">
        <f>+K1086-((K1086*0.0019*0.125)+(K1086*(1-0.0019)*0.26))</f>
        <v>4.2934876999999993E-3</v>
      </c>
      <c r="M1086" s="64">
        <f t="shared" si="37"/>
        <v>4.2934876999999993E-3</v>
      </c>
      <c r="N1086" s="33" t="s">
        <v>248</v>
      </c>
    </row>
    <row r="1087" spans="1:14" ht="15">
      <c r="A1087" s="12"/>
      <c r="B1087" s="33" t="s">
        <v>144</v>
      </c>
      <c r="C1087" s="92" t="s">
        <v>353</v>
      </c>
      <c r="D1087" s="33" t="s">
        <v>410</v>
      </c>
      <c r="E1087" s="34">
        <v>44469</v>
      </c>
      <c r="F1087" s="34">
        <v>44470</v>
      </c>
      <c r="G1087" s="34">
        <v>44475</v>
      </c>
      <c r="H1087" s="35">
        <v>2E-3</v>
      </c>
      <c r="I1087" s="67">
        <v>2.5999999999999999E-3</v>
      </c>
      <c r="J1087" s="67">
        <v>0</v>
      </c>
      <c r="K1087" s="67">
        <v>2.5999999999999999E-3</v>
      </c>
      <c r="L1087" s="36">
        <f>+K1087-((K1087*0.8672*0.125)+(K1087*(1-0.8672)*0.26))</f>
        <v>2.2283871999999997E-3</v>
      </c>
      <c r="M1087" s="64">
        <f t="shared" si="37"/>
        <v>2.2283871999999997E-3</v>
      </c>
      <c r="N1087" s="33" t="s">
        <v>248</v>
      </c>
    </row>
    <row r="1088" spans="1:14" ht="15">
      <c r="A1088" s="12"/>
      <c r="B1088" s="33" t="s">
        <v>148</v>
      </c>
      <c r="C1088" s="92" t="s">
        <v>362</v>
      </c>
      <c r="D1088" s="33" t="s">
        <v>410</v>
      </c>
      <c r="E1088" s="34">
        <v>44469</v>
      </c>
      <c r="F1088" s="34">
        <v>44470</v>
      </c>
      <c r="G1088" s="34">
        <v>44475</v>
      </c>
      <c r="H1088" s="35">
        <v>1.4999999999999999E-2</v>
      </c>
      <c r="I1088" s="67">
        <v>1.8700000000000001E-2</v>
      </c>
      <c r="J1088" s="67">
        <v>0</v>
      </c>
      <c r="K1088" s="67">
        <v>1.8700000000000001E-2</v>
      </c>
      <c r="L1088" s="36">
        <f>+K1088-((K1088*0.4234*0.125)+(K1088*(1-0.4234)*0.26))</f>
        <v>1.4906873300000002E-2</v>
      </c>
      <c r="M1088" s="64">
        <f t="shared" si="37"/>
        <v>1.4906873300000002E-2</v>
      </c>
      <c r="N1088" s="33" t="s">
        <v>248</v>
      </c>
    </row>
    <row r="1089" spans="1:14" ht="15">
      <c r="A1089" s="12"/>
      <c r="B1089" s="33" t="s">
        <v>200</v>
      </c>
      <c r="C1089" s="92" t="s">
        <v>365</v>
      </c>
      <c r="D1089" s="33" t="s">
        <v>410</v>
      </c>
      <c r="E1089" s="34">
        <v>44469</v>
      </c>
      <c r="F1089" s="34">
        <v>44470</v>
      </c>
      <c r="G1089" s="34">
        <v>44475</v>
      </c>
      <c r="H1089" s="35">
        <v>1.4999999999999999E-2</v>
      </c>
      <c r="I1089" s="67">
        <v>0.37040000000000001</v>
      </c>
      <c r="J1089" s="67">
        <v>0</v>
      </c>
      <c r="K1089" s="67">
        <v>0.37040000000000001</v>
      </c>
      <c r="L1089" s="36">
        <f>+K1089-((K1089*0.4234*0.125)+(K1089*(1-0.4234)*0.26))</f>
        <v>0.29526769359999999</v>
      </c>
      <c r="M1089" s="64">
        <f t="shared" si="37"/>
        <v>0.29526769359999999</v>
      </c>
      <c r="N1089" s="33" t="s">
        <v>248</v>
      </c>
    </row>
    <row r="1090" spans="1:14" ht="15">
      <c r="A1090" s="12"/>
      <c r="B1090" s="33" t="s">
        <v>173</v>
      </c>
      <c r="C1090" s="92" t="s">
        <v>372</v>
      </c>
      <c r="D1090" s="33" t="s">
        <v>410</v>
      </c>
      <c r="E1090" s="34">
        <v>44469</v>
      </c>
      <c r="F1090" s="34">
        <v>44470</v>
      </c>
      <c r="G1090" s="34">
        <v>44475</v>
      </c>
      <c r="H1090" s="35">
        <v>0.01</v>
      </c>
      <c r="I1090" s="67">
        <v>1.38E-2</v>
      </c>
      <c r="J1090" s="67">
        <v>0</v>
      </c>
      <c r="K1090" s="67">
        <v>1.38E-2</v>
      </c>
      <c r="L1090" s="36">
        <f>+K1090-((K1090*0.2893*0.125)+(K1090*(1-0.2893)*0.26))</f>
        <v>1.0750965899999999E-2</v>
      </c>
      <c r="M1090" s="64">
        <f t="shared" si="37"/>
        <v>1.0750965899999999E-2</v>
      </c>
      <c r="N1090" s="33" t="s">
        <v>248</v>
      </c>
    </row>
    <row r="1091" spans="1:14" ht="15">
      <c r="A1091" s="12"/>
      <c r="B1091" s="33" t="s">
        <v>150</v>
      </c>
      <c r="C1091" s="92" t="s">
        <v>377</v>
      </c>
      <c r="D1091" s="33" t="s">
        <v>410</v>
      </c>
      <c r="E1091" s="34">
        <v>44469</v>
      </c>
      <c r="F1091" s="34">
        <v>44470</v>
      </c>
      <c r="G1091" s="34">
        <v>44475</v>
      </c>
      <c r="H1091" s="35">
        <v>2.5000000000000001E-2</v>
      </c>
      <c r="I1091" s="67">
        <v>3.5400000000000001E-2</v>
      </c>
      <c r="J1091" s="67">
        <v>0</v>
      </c>
      <c r="K1091" s="67">
        <v>3.5400000000000001E-2</v>
      </c>
      <c r="L1091" s="36">
        <f>+K1091-((K1091*0.0024*0.125)+(K1091*(1-0.0024)*0.26))</f>
        <v>2.6207469599999998E-2</v>
      </c>
      <c r="M1091" s="64">
        <f t="shared" si="37"/>
        <v>2.6207469599999998E-2</v>
      </c>
      <c r="N1091" s="33" t="s">
        <v>248</v>
      </c>
    </row>
    <row r="1092" spans="1:14" ht="15">
      <c r="A1092" s="12"/>
      <c r="B1092" s="33" t="s">
        <v>510</v>
      </c>
      <c r="C1092" s="92" t="s">
        <v>509</v>
      </c>
      <c r="D1092" s="33" t="s">
        <v>410</v>
      </c>
      <c r="E1092" s="34">
        <v>44469</v>
      </c>
      <c r="F1092" s="34">
        <v>44470</v>
      </c>
      <c r="G1092" s="34">
        <v>44475</v>
      </c>
      <c r="H1092" s="35">
        <v>2.5000000000000001E-2</v>
      </c>
      <c r="I1092" s="67">
        <v>3.15E-2</v>
      </c>
      <c r="J1092" s="67">
        <v>0</v>
      </c>
      <c r="K1092" s="67">
        <v>3.15E-2</v>
      </c>
      <c r="L1092" s="36">
        <f>+K1092-((K1092*0.0024*0.125)+(K1092*(1-0.0024)*0.26))</f>
        <v>2.3320206000000003E-2</v>
      </c>
      <c r="M1092" s="64">
        <f t="shared" si="37"/>
        <v>2.3320206000000003E-2</v>
      </c>
      <c r="N1092" s="33" t="s">
        <v>248</v>
      </c>
    </row>
    <row r="1093" spans="1:14" ht="15">
      <c r="A1093" s="12"/>
      <c r="B1093" s="33" t="s">
        <v>441</v>
      </c>
      <c r="C1093" s="92" t="s">
        <v>444</v>
      </c>
      <c r="D1093" s="33" t="s">
        <v>410</v>
      </c>
      <c r="E1093" s="34">
        <v>44469</v>
      </c>
      <c r="F1093" s="34">
        <v>44470</v>
      </c>
      <c r="G1093" s="34">
        <v>44475</v>
      </c>
      <c r="H1093" s="35">
        <v>7.4999999999999997E-3</v>
      </c>
      <c r="I1093" s="67">
        <v>8.6E-3</v>
      </c>
      <c r="J1093" s="67">
        <v>0</v>
      </c>
      <c r="K1093" s="67">
        <v>8.6E-3</v>
      </c>
      <c r="L1093" s="36">
        <f>+K1093-((K1093*0.3946*0.125)+(K1093*(1-0.3946)*0.26))</f>
        <v>6.8221306000000002E-3</v>
      </c>
      <c r="M1093" s="64">
        <f t="shared" si="37"/>
        <v>6.8221306000000002E-3</v>
      </c>
      <c r="N1093" s="33" t="s">
        <v>248</v>
      </c>
    </row>
    <row r="1094" spans="1:14" ht="15">
      <c r="A1094" s="12"/>
      <c r="B1094" s="33" t="s">
        <v>440</v>
      </c>
      <c r="C1094" s="92" t="s">
        <v>443</v>
      </c>
      <c r="D1094" s="33" t="s">
        <v>410</v>
      </c>
      <c r="E1094" s="34">
        <v>44469</v>
      </c>
      <c r="F1094" s="34">
        <v>44470</v>
      </c>
      <c r="G1094" s="34">
        <v>44475</v>
      </c>
      <c r="H1094" s="35">
        <v>7.4999999999999997E-3</v>
      </c>
      <c r="I1094" s="67">
        <v>0.17530000000000001</v>
      </c>
      <c r="J1094" s="67">
        <v>0</v>
      </c>
      <c r="K1094" s="67">
        <v>0.17530000000000001</v>
      </c>
      <c r="L1094" s="36">
        <f>+K1094-((K1094*0.3946*0.125)+(K1094*(1-0.3946)*0.26))</f>
        <v>0.13906040629999999</v>
      </c>
      <c r="M1094" s="64">
        <f t="shared" si="37"/>
        <v>0.13906040629999999</v>
      </c>
      <c r="N1094" s="33" t="s">
        <v>248</v>
      </c>
    </row>
    <row r="1095" spans="1:14" ht="15">
      <c r="A1095" s="12"/>
      <c r="B1095" s="33" t="s">
        <v>299</v>
      </c>
      <c r="C1095" s="92" t="s">
        <v>517</v>
      </c>
      <c r="D1095" s="33" t="s">
        <v>410</v>
      </c>
      <c r="E1095" s="34">
        <v>44469</v>
      </c>
      <c r="F1095" s="34">
        <v>44470</v>
      </c>
      <c r="G1095" s="34">
        <v>44475</v>
      </c>
      <c r="H1095" s="35">
        <v>1.2E-2</v>
      </c>
      <c r="I1095" s="67">
        <v>1.4800000000000001E-2</v>
      </c>
      <c r="J1095" s="67">
        <v>0</v>
      </c>
      <c r="K1095" s="67">
        <v>1.4800000000000001E-2</v>
      </c>
      <c r="L1095" s="36">
        <f>+K1095-((K1095*0.3226*0.125)+(K1095*(1-0.3226)*0.26))</f>
        <v>1.1596554800000001E-2</v>
      </c>
      <c r="M1095" s="64">
        <f t="shared" si="37"/>
        <v>1.1596554800000001E-2</v>
      </c>
      <c r="N1095" s="33" t="s">
        <v>248</v>
      </c>
    </row>
    <row r="1096" spans="1:14" ht="15">
      <c r="A1096" s="12"/>
      <c r="B1096" s="33" t="s">
        <v>182</v>
      </c>
      <c r="C1096" s="92" t="s">
        <v>477</v>
      </c>
      <c r="D1096" s="33" t="s">
        <v>410</v>
      </c>
      <c r="E1096" s="34">
        <v>44469</v>
      </c>
      <c r="F1096" s="34">
        <v>44470</v>
      </c>
      <c r="G1096" s="34">
        <v>44475</v>
      </c>
      <c r="H1096" s="35">
        <v>1.2E-2</v>
      </c>
      <c r="I1096" s="67">
        <v>0.28910000000000002</v>
      </c>
      <c r="J1096" s="67">
        <v>0</v>
      </c>
      <c r="K1096" s="67">
        <v>0.28910000000000002</v>
      </c>
      <c r="L1096" s="36">
        <f>+K1096-((K1096*0.3226*0.125)+(K1096*(1-0.3226)*0.26))</f>
        <v>0.22652459410000003</v>
      </c>
      <c r="M1096" s="64">
        <f t="shared" si="37"/>
        <v>0.22652459410000003</v>
      </c>
      <c r="N1096" s="33" t="s">
        <v>248</v>
      </c>
    </row>
    <row r="1097" spans="1:14" ht="15">
      <c r="A1097" s="12"/>
      <c r="B1097" s="33" t="s">
        <v>202</v>
      </c>
      <c r="C1097" s="92" t="s">
        <v>478</v>
      </c>
      <c r="D1097" s="33" t="s">
        <v>410</v>
      </c>
      <c r="E1097" s="34">
        <v>44469</v>
      </c>
      <c r="F1097" s="34">
        <v>44470</v>
      </c>
      <c r="G1097" s="34">
        <v>44475</v>
      </c>
      <c r="H1097" s="35">
        <v>1.2E-2</v>
      </c>
      <c r="I1097" s="67">
        <v>0.29270000000000002</v>
      </c>
      <c r="J1097" s="67">
        <v>0</v>
      </c>
      <c r="K1097" s="67">
        <v>0.29270000000000002</v>
      </c>
      <c r="L1097" s="36">
        <f>+K1097-((K1097*0.3226*0.125)+(K1097*(1-0.3226)*0.26))</f>
        <v>0.22934537770000002</v>
      </c>
      <c r="M1097" s="64">
        <f t="shared" si="37"/>
        <v>0.22934537770000002</v>
      </c>
      <c r="N1097" s="33" t="s">
        <v>248</v>
      </c>
    </row>
    <row r="1098" spans="1:14" ht="15">
      <c r="A1098" s="12"/>
      <c r="B1098" s="33" t="s">
        <v>146</v>
      </c>
      <c r="C1098" s="92" t="s">
        <v>380</v>
      </c>
      <c r="D1098" s="33" t="s">
        <v>410</v>
      </c>
      <c r="E1098" s="34">
        <v>44469</v>
      </c>
      <c r="F1098" s="34">
        <v>44470</v>
      </c>
      <c r="G1098" s="34">
        <v>44475</v>
      </c>
      <c r="H1098" s="35">
        <v>0.03</v>
      </c>
      <c r="I1098" s="67">
        <v>4.6300000000000001E-2</v>
      </c>
      <c r="J1098" s="67">
        <v>0</v>
      </c>
      <c r="K1098" s="67">
        <v>4.6300000000000001E-2</v>
      </c>
      <c r="L1098" s="36">
        <f>+K1098-((K1098*0.0055*0.125)+(K1098*(1-0.0055)*0.26))</f>
        <v>3.4296377749999996E-2</v>
      </c>
      <c r="M1098" s="64">
        <f t="shared" si="37"/>
        <v>3.4296377749999996E-2</v>
      </c>
      <c r="N1098" s="33" t="s">
        <v>248</v>
      </c>
    </row>
    <row r="1099" spans="1:14" ht="15">
      <c r="A1099" s="12"/>
      <c r="B1099" s="33" t="s">
        <v>163</v>
      </c>
      <c r="C1099" s="92" t="s">
        <v>381</v>
      </c>
      <c r="D1099" s="33" t="s">
        <v>410</v>
      </c>
      <c r="E1099" s="34">
        <v>44469</v>
      </c>
      <c r="F1099" s="34">
        <v>44470</v>
      </c>
      <c r="G1099" s="34">
        <v>44475</v>
      </c>
      <c r="H1099" s="35">
        <v>0.03</v>
      </c>
      <c r="I1099" s="67">
        <v>4.1700000000000001E-2</v>
      </c>
      <c r="J1099" s="67">
        <v>0</v>
      </c>
      <c r="K1099" s="67">
        <v>4.1700000000000001E-2</v>
      </c>
      <c r="L1099" s="36">
        <f>+K1099-((K1099*0.0055*0.125)+(K1099*(1-0.0055)*0.26))</f>
        <v>3.0888962249999999E-2</v>
      </c>
      <c r="M1099" s="64">
        <f t="shared" si="37"/>
        <v>3.0888962249999999E-2</v>
      </c>
      <c r="N1099" s="33" t="s">
        <v>248</v>
      </c>
    </row>
    <row r="1100" spans="1:14" ht="15">
      <c r="A1100" s="12"/>
      <c r="B1100" s="33" t="s">
        <v>151</v>
      </c>
      <c r="C1100" s="92" t="s">
        <v>383</v>
      </c>
      <c r="D1100" s="33" t="s">
        <v>410</v>
      </c>
      <c r="E1100" s="34">
        <v>44469</v>
      </c>
      <c r="F1100" s="34">
        <v>44470</v>
      </c>
      <c r="G1100" s="34">
        <v>44475</v>
      </c>
      <c r="H1100" s="35">
        <v>2.5000000000000001E-2</v>
      </c>
      <c r="I1100" s="67">
        <v>3.09E-2</v>
      </c>
      <c r="J1100" s="67">
        <v>0</v>
      </c>
      <c r="K1100" s="67">
        <v>3.09E-2</v>
      </c>
      <c r="L1100" s="36">
        <f>+K1100-((K1100*0.0529*0.125)+(K1100*(1-0.0529)*0.26))</f>
        <v>2.308667235E-2</v>
      </c>
      <c r="M1100" s="64">
        <f t="shared" si="37"/>
        <v>2.308667235E-2</v>
      </c>
      <c r="N1100" s="33" t="s">
        <v>248</v>
      </c>
    </row>
    <row r="1101" spans="1:14" ht="15">
      <c r="A1101" s="12"/>
      <c r="B1101" s="33" t="s">
        <v>166</v>
      </c>
      <c r="C1101" s="92" t="s">
        <v>384</v>
      </c>
      <c r="D1101" s="33" t="s">
        <v>410</v>
      </c>
      <c r="E1101" s="34">
        <v>44469</v>
      </c>
      <c r="F1101" s="34">
        <v>44470</v>
      </c>
      <c r="G1101" s="34">
        <v>44475</v>
      </c>
      <c r="H1101" s="35">
        <v>2.5000000000000001E-2</v>
      </c>
      <c r="I1101" s="67">
        <v>3.0700000000000002E-2</v>
      </c>
      <c r="J1101" s="67">
        <v>0</v>
      </c>
      <c r="K1101" s="67">
        <v>3.0700000000000002E-2</v>
      </c>
      <c r="L1101" s="36">
        <f>+K1101-((K1101*0.0529*0.125)+(K1101*(1-0.0529)*0.26))</f>
        <v>2.293724405E-2</v>
      </c>
      <c r="M1101" s="64">
        <f t="shared" si="37"/>
        <v>2.293724405E-2</v>
      </c>
      <c r="N1101" s="33" t="s">
        <v>248</v>
      </c>
    </row>
    <row r="1102" spans="1:14" ht="15">
      <c r="A1102" s="12"/>
      <c r="B1102" s="33" t="s">
        <v>149</v>
      </c>
      <c r="C1102" s="92" t="s">
        <v>386</v>
      </c>
      <c r="D1102" s="33" t="s">
        <v>410</v>
      </c>
      <c r="E1102" s="34">
        <v>44469</v>
      </c>
      <c r="F1102" s="34">
        <v>44470</v>
      </c>
      <c r="G1102" s="34">
        <v>44475</v>
      </c>
      <c r="H1102" s="35">
        <v>3.5000000000000003E-2</v>
      </c>
      <c r="I1102" s="67">
        <v>4.6899999999999997E-2</v>
      </c>
      <c r="J1102" s="67">
        <v>0</v>
      </c>
      <c r="K1102" s="67">
        <v>4.6899999999999997E-2</v>
      </c>
      <c r="L1102" s="36">
        <f>+K1102-((K1102*0.066*0.125)+(K1102*(1-0.066)*0.26))</f>
        <v>3.5123878999999997E-2</v>
      </c>
      <c r="M1102" s="64">
        <f t="shared" si="37"/>
        <v>3.5123878999999997E-2</v>
      </c>
      <c r="N1102" s="33" t="s">
        <v>248</v>
      </c>
    </row>
    <row r="1103" spans="1:14" ht="15">
      <c r="A1103" s="12"/>
      <c r="B1103" s="33" t="s">
        <v>165</v>
      </c>
      <c r="C1103" s="92" t="s">
        <v>387</v>
      </c>
      <c r="D1103" s="33" t="s">
        <v>410</v>
      </c>
      <c r="E1103" s="34">
        <v>44469</v>
      </c>
      <c r="F1103" s="34">
        <v>44470</v>
      </c>
      <c r="G1103" s="34">
        <v>44475</v>
      </c>
      <c r="H1103" s="35">
        <v>3.5000000000000003E-2</v>
      </c>
      <c r="I1103" s="67">
        <v>4.41E-2</v>
      </c>
      <c r="J1103" s="67">
        <v>0</v>
      </c>
      <c r="K1103" s="67">
        <v>4.41E-2</v>
      </c>
      <c r="L1103" s="36">
        <f>+K1103-((K1103*0.066*0.125)+(K1103*(1-0.066)*0.26))</f>
        <v>3.3026930999999995E-2</v>
      </c>
      <c r="M1103" s="64">
        <f t="shared" si="37"/>
        <v>3.3026930999999995E-2</v>
      </c>
      <c r="N1103" s="33" t="s">
        <v>248</v>
      </c>
    </row>
    <row r="1104" spans="1:14" ht="15">
      <c r="A1104" s="12"/>
      <c r="B1104" s="33" t="s">
        <v>153</v>
      </c>
      <c r="C1104" s="92" t="s">
        <v>394</v>
      </c>
      <c r="D1104" s="33" t="s">
        <v>410</v>
      </c>
      <c r="E1104" s="34">
        <v>44469</v>
      </c>
      <c r="F1104" s="34">
        <v>44470</v>
      </c>
      <c r="G1104" s="34">
        <v>44475</v>
      </c>
      <c r="H1104" s="35">
        <v>1.4E-2</v>
      </c>
      <c r="I1104" s="67">
        <v>1.7399999999999999E-2</v>
      </c>
      <c r="J1104" s="67">
        <v>0</v>
      </c>
      <c r="K1104" s="67">
        <v>1.7399999999999999E-2</v>
      </c>
      <c r="L1104" s="36">
        <f>+K1104-((K1104*0.1125*0.125)+(K1104*(1-0.1125)*0.26))</f>
        <v>1.31402625E-2</v>
      </c>
      <c r="M1104" s="64">
        <f t="shared" si="37"/>
        <v>1.31402625E-2</v>
      </c>
      <c r="N1104" s="33" t="s">
        <v>248</v>
      </c>
    </row>
    <row r="1105" spans="1:14" ht="15">
      <c r="A1105" s="12"/>
      <c r="B1105" s="33" t="s">
        <v>152</v>
      </c>
      <c r="C1105" s="92" t="s">
        <v>395</v>
      </c>
      <c r="D1105" s="33" t="s">
        <v>410</v>
      </c>
      <c r="E1105" s="34">
        <v>44469</v>
      </c>
      <c r="F1105" s="34">
        <v>44470</v>
      </c>
      <c r="G1105" s="34">
        <v>44475</v>
      </c>
      <c r="H1105" s="35">
        <v>1.4E-2</v>
      </c>
      <c r="I1105" s="67">
        <v>2.1899999999999999E-2</v>
      </c>
      <c r="J1105" s="67">
        <v>0</v>
      </c>
      <c r="K1105" s="67">
        <v>2.1899999999999999E-2</v>
      </c>
      <c r="L1105" s="36">
        <f>+K1105-((K1105*0.1125*0.125)+(K1105*(1-0.1125)*0.26))</f>
        <v>1.6538606250000001E-2</v>
      </c>
      <c r="M1105" s="64">
        <f t="shared" si="37"/>
        <v>1.6538606250000001E-2</v>
      </c>
      <c r="N1105" s="33" t="s">
        <v>248</v>
      </c>
    </row>
    <row r="1106" spans="1:14" ht="15">
      <c r="A1106" s="12"/>
      <c r="B1106" s="33" t="s">
        <v>167</v>
      </c>
      <c r="C1106" s="92" t="s">
        <v>396</v>
      </c>
      <c r="D1106" s="33" t="s">
        <v>410</v>
      </c>
      <c r="E1106" s="34">
        <v>44469</v>
      </c>
      <c r="F1106" s="34">
        <v>44470</v>
      </c>
      <c r="G1106" s="34">
        <v>44475</v>
      </c>
      <c r="H1106" s="35">
        <v>1.4E-2</v>
      </c>
      <c r="I1106" s="67">
        <v>2.1000000000000001E-2</v>
      </c>
      <c r="J1106" s="67">
        <v>0</v>
      </c>
      <c r="K1106" s="67">
        <v>2.1000000000000001E-2</v>
      </c>
      <c r="L1106" s="36">
        <f>+K1106-((K1106*0.1125*0.125)+(K1106*(1-0.1125)*0.26))</f>
        <v>1.5858937500000003E-2</v>
      </c>
      <c r="M1106" s="64">
        <f t="shared" si="37"/>
        <v>1.5858937500000003E-2</v>
      </c>
      <c r="N1106" s="33" t="s">
        <v>248</v>
      </c>
    </row>
    <row r="1107" spans="1:14" ht="15">
      <c r="A1107" s="12"/>
      <c r="B1107" s="33" t="s">
        <v>301</v>
      </c>
      <c r="C1107" s="92" t="s">
        <v>407</v>
      </c>
      <c r="D1107" s="33" t="s">
        <v>410</v>
      </c>
      <c r="E1107" s="34">
        <v>44469</v>
      </c>
      <c r="F1107" s="34">
        <v>44470</v>
      </c>
      <c r="G1107" s="34">
        <v>44475</v>
      </c>
      <c r="H1107" s="35">
        <v>1.4E-2</v>
      </c>
      <c r="I1107" s="67">
        <v>1.6500000000000001E-2</v>
      </c>
      <c r="J1107" s="67">
        <v>0</v>
      </c>
      <c r="K1107" s="67">
        <v>1.6500000000000001E-2</v>
      </c>
      <c r="L1107" s="36">
        <f>+K1107-((K1107*0.1125*0.125)+(K1107*(1-0.1125)*0.26))</f>
        <v>1.246059375E-2</v>
      </c>
      <c r="M1107" s="64">
        <f t="shared" si="37"/>
        <v>1.246059375E-2</v>
      </c>
      <c r="N1107" s="33" t="s">
        <v>248</v>
      </c>
    </row>
    <row r="1108" spans="1:14" ht="15">
      <c r="A1108" s="12"/>
      <c r="B1108" s="33" t="s">
        <v>304</v>
      </c>
      <c r="C1108" s="92" t="s">
        <v>408</v>
      </c>
      <c r="D1108" s="33" t="s">
        <v>410</v>
      </c>
      <c r="E1108" s="34">
        <v>44469</v>
      </c>
      <c r="F1108" s="34">
        <v>44470</v>
      </c>
      <c r="G1108" s="34">
        <v>44475</v>
      </c>
      <c r="H1108" s="35">
        <v>0.01</v>
      </c>
      <c r="I1108" s="67">
        <v>1.2699999999999999E-2</v>
      </c>
      <c r="J1108" s="67">
        <v>0</v>
      </c>
      <c r="K1108" s="67">
        <v>1.2699999999999999E-2</v>
      </c>
      <c r="L1108" s="36">
        <f>+K1108-((K1108*0.148*0.125)+(K1108*(1-0.148)*0.26))</f>
        <v>9.6517459999999992E-3</v>
      </c>
      <c r="M1108" s="64">
        <f t="shared" si="37"/>
        <v>9.6517459999999992E-3</v>
      </c>
      <c r="N1108" s="33" t="s">
        <v>248</v>
      </c>
    </row>
    <row r="1109" spans="1:14" ht="15">
      <c r="A1109" s="12"/>
      <c r="B1109" s="33" t="s">
        <v>183</v>
      </c>
      <c r="C1109" s="92" t="s">
        <v>398</v>
      </c>
      <c r="D1109" s="33" t="s">
        <v>410</v>
      </c>
      <c r="E1109" s="34">
        <v>44469</v>
      </c>
      <c r="F1109" s="34">
        <v>44470</v>
      </c>
      <c r="G1109" s="34">
        <v>44475</v>
      </c>
      <c r="H1109" s="35">
        <v>0.01</v>
      </c>
      <c r="I1109" s="67">
        <v>1.2699999999999999E-2</v>
      </c>
      <c r="J1109" s="67">
        <v>0</v>
      </c>
      <c r="K1109" s="67">
        <v>1.2699999999999999E-2</v>
      </c>
      <c r="L1109" s="36">
        <f>+K1109-((K1109*0.148*0.125)+(K1109*(1-0.148)*0.26))</f>
        <v>9.6517459999999992E-3</v>
      </c>
      <c r="M1109" s="64">
        <f t="shared" si="37"/>
        <v>9.6517459999999992E-3</v>
      </c>
      <c r="N1109" s="33" t="s">
        <v>248</v>
      </c>
    </row>
    <row r="1110" spans="1:14" ht="15">
      <c r="A1110" s="12"/>
      <c r="B1110" s="33" t="s">
        <v>305</v>
      </c>
      <c r="C1110" s="92" t="s">
        <v>409</v>
      </c>
      <c r="D1110" s="33" t="s">
        <v>410</v>
      </c>
      <c r="E1110" s="34">
        <v>44469</v>
      </c>
      <c r="F1110" s="34">
        <v>44470</v>
      </c>
      <c r="G1110" s="34">
        <v>44475</v>
      </c>
      <c r="H1110" s="35">
        <v>0.01</v>
      </c>
      <c r="I1110" s="67">
        <v>1.2800000000000001E-2</v>
      </c>
      <c r="J1110" s="67">
        <v>0</v>
      </c>
      <c r="K1110" s="67">
        <v>1.2800000000000001E-2</v>
      </c>
      <c r="L1110" s="36">
        <f>+K1110-((K1110*0.148*0.125)+(K1110*(1-0.148)*0.26))</f>
        <v>9.727744E-3</v>
      </c>
      <c r="M1110" s="64">
        <f t="shared" si="37"/>
        <v>9.727744E-3</v>
      </c>
      <c r="N1110" s="33" t="s">
        <v>248</v>
      </c>
    </row>
    <row r="1111" spans="1:14" ht="15">
      <c r="A1111" s="12"/>
      <c r="B1111" s="33" t="s">
        <v>147</v>
      </c>
      <c r="C1111" s="92" t="s">
        <v>466</v>
      </c>
      <c r="D1111" s="33" t="s">
        <v>410</v>
      </c>
      <c r="E1111" s="34">
        <v>44469</v>
      </c>
      <c r="F1111" s="34">
        <v>44470</v>
      </c>
      <c r="G1111" s="34">
        <v>44475</v>
      </c>
      <c r="H1111" s="35">
        <v>0.03</v>
      </c>
      <c r="I1111" s="67">
        <v>4.1399999999999999E-2</v>
      </c>
      <c r="J1111" s="67">
        <v>0</v>
      </c>
      <c r="K1111" s="67">
        <v>4.1399999999999999E-2</v>
      </c>
      <c r="L1111" s="36">
        <f>+K1111-((K1111*0.1445*0.125)+(K1111*(1-0.1445)*0.26))</f>
        <v>3.1443610499999997E-2</v>
      </c>
      <c r="M1111" s="64">
        <f t="shared" si="37"/>
        <v>3.1443610499999997E-2</v>
      </c>
      <c r="N1111" s="33" t="s">
        <v>248</v>
      </c>
    </row>
    <row r="1112" spans="1:14" ht="15">
      <c r="A1112" s="12"/>
      <c r="B1112" s="33" t="s">
        <v>164</v>
      </c>
      <c r="C1112" s="92" t="s">
        <v>467</v>
      </c>
      <c r="D1112" s="33" t="s">
        <v>410</v>
      </c>
      <c r="E1112" s="34">
        <v>44469</v>
      </c>
      <c r="F1112" s="34">
        <v>44470</v>
      </c>
      <c r="G1112" s="34">
        <v>44475</v>
      </c>
      <c r="H1112" s="35">
        <v>0.03</v>
      </c>
      <c r="I1112" s="67">
        <v>3.8800000000000001E-2</v>
      </c>
      <c r="J1112" s="67">
        <v>0</v>
      </c>
      <c r="K1112" s="67">
        <v>3.8800000000000001E-2</v>
      </c>
      <c r="L1112" s="36">
        <f>+K1112-((K1112*0.1445*0.125)+(K1112*(1-0.1445)*0.26))</f>
        <v>2.9468890999999997E-2</v>
      </c>
      <c r="M1112" s="64">
        <f t="shared" si="37"/>
        <v>2.9468890999999997E-2</v>
      </c>
      <c r="N1112" s="33" t="s">
        <v>248</v>
      </c>
    </row>
    <row r="1113" spans="1:14" ht="15">
      <c r="A1113" s="12"/>
      <c r="B1113" s="33" t="s">
        <v>334</v>
      </c>
      <c r="C1113" s="92" t="s">
        <v>401</v>
      </c>
      <c r="D1113" s="33" t="s">
        <v>412</v>
      </c>
      <c r="E1113" s="34">
        <v>44494</v>
      </c>
      <c r="F1113" s="34">
        <v>44495</v>
      </c>
      <c r="G1113" s="34">
        <v>44498</v>
      </c>
      <c r="H1113" s="35"/>
      <c r="I1113" s="67">
        <v>2</v>
      </c>
      <c r="J1113" s="67">
        <v>0</v>
      </c>
      <c r="K1113" s="67">
        <v>2</v>
      </c>
      <c r="L1113" s="36">
        <f>+K1113-((K1113*0.0838*0.125)+(K1113*(1-0.0838)*0.26))</f>
        <v>1.502626</v>
      </c>
      <c r="M1113" s="64">
        <f t="shared" ref="M1113:M1120" si="38">J1113+L1113</f>
        <v>1.502626</v>
      </c>
      <c r="N1113" s="33" t="s">
        <v>288</v>
      </c>
    </row>
    <row r="1114" spans="1:14" ht="15">
      <c r="A1114" s="12"/>
      <c r="B1114" s="33" t="s">
        <v>333</v>
      </c>
      <c r="C1114" s="92" t="s">
        <v>402</v>
      </c>
      <c r="D1114" s="33" t="s">
        <v>412</v>
      </c>
      <c r="E1114" s="34">
        <v>44494</v>
      </c>
      <c r="F1114" s="34">
        <v>44495</v>
      </c>
      <c r="G1114" s="34">
        <v>44498</v>
      </c>
      <c r="H1114" s="35"/>
      <c r="I1114" s="67">
        <v>2</v>
      </c>
      <c r="J1114" s="67">
        <v>0</v>
      </c>
      <c r="K1114" s="67">
        <v>2</v>
      </c>
      <c r="L1114" s="36">
        <f>+K1114-((K1114*0.0838*0.125)+(K1114*(1-0.0838)*0.26))</f>
        <v>1.502626</v>
      </c>
      <c r="M1114" s="64">
        <f t="shared" si="38"/>
        <v>1.502626</v>
      </c>
      <c r="N1114" s="33" t="s">
        <v>288</v>
      </c>
    </row>
    <row r="1115" spans="1:14" ht="15">
      <c r="A1115" s="12"/>
      <c r="B1115" s="33" t="s">
        <v>132</v>
      </c>
      <c r="C1115" s="92" t="s">
        <v>358</v>
      </c>
      <c r="D1115" s="33" t="s">
        <v>410</v>
      </c>
      <c r="E1115" s="34">
        <v>44494</v>
      </c>
      <c r="F1115" s="34">
        <v>44495</v>
      </c>
      <c r="G1115" s="34">
        <v>44498</v>
      </c>
      <c r="H1115" s="35">
        <v>0.03</v>
      </c>
      <c r="I1115" s="67">
        <v>3.6499999999999998E-2</v>
      </c>
      <c r="J1115" s="67">
        <v>0</v>
      </c>
      <c r="K1115" s="67">
        <v>3.6499999999999998E-2</v>
      </c>
      <c r="L1115" s="36">
        <f>+K1115-((K1115*0.2888*0.125)+(K1115*(1-0.2888)*0.26))</f>
        <v>2.8433061999999999E-2</v>
      </c>
      <c r="M1115" s="64">
        <f t="shared" si="38"/>
        <v>2.8433061999999999E-2</v>
      </c>
      <c r="N1115" s="33" t="s">
        <v>249</v>
      </c>
    </row>
    <row r="1116" spans="1:14" ht="15">
      <c r="A1116" s="12"/>
      <c r="B1116" s="33" t="s">
        <v>227</v>
      </c>
      <c r="C1116" s="92" t="s">
        <v>359</v>
      </c>
      <c r="D1116" s="33" t="s">
        <v>410</v>
      </c>
      <c r="E1116" s="34">
        <v>44494</v>
      </c>
      <c r="F1116" s="34">
        <v>44495</v>
      </c>
      <c r="G1116" s="34">
        <v>44498</v>
      </c>
      <c r="H1116" s="35">
        <v>0.03</v>
      </c>
      <c r="I1116" s="67">
        <v>3.6200000000000003E-2</v>
      </c>
      <c r="J1116" s="67">
        <v>0</v>
      </c>
      <c r="K1116" s="67">
        <v>3.6200000000000003E-2</v>
      </c>
      <c r="L1116" s="36">
        <f>+K1116-((K1116*0.2888*0.125)+(K1116*(1-0.2888)*0.26))</f>
        <v>2.8199365600000002E-2</v>
      </c>
      <c r="M1116" s="64">
        <f t="shared" si="38"/>
        <v>2.8199365600000002E-2</v>
      </c>
      <c r="N1116" s="33" t="s">
        <v>249</v>
      </c>
    </row>
    <row r="1117" spans="1:14" ht="15">
      <c r="A1117" s="12"/>
      <c r="B1117" s="33" t="s">
        <v>133</v>
      </c>
      <c r="C1117" s="92" t="s">
        <v>474</v>
      </c>
      <c r="D1117" s="33" t="s">
        <v>410</v>
      </c>
      <c r="E1117" s="34">
        <v>44494</v>
      </c>
      <c r="F1117" s="34">
        <v>44495</v>
      </c>
      <c r="G1117" s="34">
        <v>44498</v>
      </c>
      <c r="H1117" s="35">
        <v>3.5000000000000003E-2</v>
      </c>
      <c r="I1117" s="67">
        <v>3.5200000000000002E-2</v>
      </c>
      <c r="J1117" s="67">
        <v>0</v>
      </c>
      <c r="K1117" s="67">
        <v>3.5200000000000002E-2</v>
      </c>
      <c r="L1117" s="36">
        <f>+K1117-((K1117*0.0032*0.125)+(K1117*(1-0.0032)*0.26))</f>
        <v>2.60632064E-2</v>
      </c>
      <c r="M1117" s="64">
        <f t="shared" si="38"/>
        <v>2.60632064E-2</v>
      </c>
      <c r="N1117" s="33" t="s">
        <v>249</v>
      </c>
    </row>
    <row r="1118" spans="1:14" ht="15">
      <c r="A1118" s="12"/>
      <c r="B1118" s="33" t="s">
        <v>134</v>
      </c>
      <c r="C1118" s="92" t="s">
        <v>374</v>
      </c>
      <c r="D1118" s="33" t="s">
        <v>410</v>
      </c>
      <c r="E1118" s="34">
        <v>44494</v>
      </c>
      <c r="F1118" s="34">
        <v>44495</v>
      </c>
      <c r="G1118" s="34">
        <v>44498</v>
      </c>
      <c r="H1118" s="35">
        <v>0.04</v>
      </c>
      <c r="I1118" s="67">
        <v>4.8300000000000003E-2</v>
      </c>
      <c r="J1118" s="67">
        <v>0</v>
      </c>
      <c r="K1118" s="67">
        <v>4.8300000000000003E-2</v>
      </c>
      <c r="L1118" s="36">
        <f>+K1118-((K1118*0.2441*0.125)+(K1118*(1-0.2441)*0.26))</f>
        <v>3.7333654049999998E-2</v>
      </c>
      <c r="M1118" s="64">
        <f t="shared" si="38"/>
        <v>3.7333654049999998E-2</v>
      </c>
      <c r="N1118" s="33" t="s">
        <v>249</v>
      </c>
    </row>
    <row r="1119" spans="1:14" ht="15">
      <c r="A1119" s="12"/>
      <c r="B1119" s="33" t="s">
        <v>168</v>
      </c>
      <c r="C1119" s="92" t="s">
        <v>376</v>
      </c>
      <c r="D1119" s="33" t="s">
        <v>410</v>
      </c>
      <c r="E1119" s="34">
        <v>44494</v>
      </c>
      <c r="F1119" s="34">
        <v>44495</v>
      </c>
      <c r="G1119" s="34">
        <v>44498</v>
      </c>
      <c r="H1119" s="35">
        <v>0.04</v>
      </c>
      <c r="I1119" s="67">
        <v>4.48E-2</v>
      </c>
      <c r="J1119" s="67">
        <v>0</v>
      </c>
      <c r="K1119" s="67">
        <v>4.48E-2</v>
      </c>
      <c r="L1119" s="36">
        <f>+K1119-((K1119*0.2441*0.125)+(K1119*(1-0.2441)*0.26))</f>
        <v>3.4628316799999996E-2</v>
      </c>
      <c r="M1119" s="64">
        <f t="shared" si="38"/>
        <v>3.4628316799999996E-2</v>
      </c>
      <c r="N1119" s="33" t="s">
        <v>249</v>
      </c>
    </row>
    <row r="1120" spans="1:14" ht="15">
      <c r="A1120" s="12"/>
      <c r="B1120" s="33" t="s">
        <v>136</v>
      </c>
      <c r="C1120" s="92" t="s">
        <v>388</v>
      </c>
      <c r="D1120" s="33" t="s">
        <v>410</v>
      </c>
      <c r="E1120" s="34">
        <v>44494</v>
      </c>
      <c r="F1120" s="34">
        <v>44495</v>
      </c>
      <c r="G1120" s="34">
        <v>44498</v>
      </c>
      <c r="H1120" s="35">
        <v>0.03</v>
      </c>
      <c r="I1120" s="67">
        <v>3.61E-2</v>
      </c>
      <c r="J1120" s="67">
        <v>0</v>
      </c>
      <c r="K1120" s="67">
        <v>3.61E-2</v>
      </c>
      <c r="L1120" s="36">
        <f t="shared" ref="L1120:L1125" si="39">+K1120-((K1120*0.062*0.125)+(K1120*(1-0.062)*0.26))</f>
        <v>2.7016156999999999E-2</v>
      </c>
      <c r="M1120" s="64">
        <f t="shared" si="38"/>
        <v>2.7016156999999999E-2</v>
      </c>
      <c r="N1120" s="33" t="s">
        <v>249</v>
      </c>
    </row>
    <row r="1121" spans="1:14" ht="15">
      <c r="A1121" s="12"/>
      <c r="B1121" s="33" t="s">
        <v>137</v>
      </c>
      <c r="C1121" s="92" t="s">
        <v>389</v>
      </c>
      <c r="D1121" s="33" t="s">
        <v>410</v>
      </c>
      <c r="E1121" s="34">
        <v>44494</v>
      </c>
      <c r="F1121" s="34">
        <v>44495</v>
      </c>
      <c r="G1121" s="34">
        <v>44498</v>
      </c>
      <c r="H1121" s="35">
        <v>3.7499999999999999E-2</v>
      </c>
      <c r="I1121" s="67">
        <v>4.5600000000000002E-2</v>
      </c>
      <c r="J1121" s="67">
        <v>0</v>
      </c>
      <c r="K1121" s="67">
        <v>4.5600000000000002E-2</v>
      </c>
      <c r="L1121" s="36">
        <f t="shared" si="39"/>
        <v>3.4125672000000003E-2</v>
      </c>
      <c r="M1121" s="64">
        <v>0</v>
      </c>
      <c r="N1121" s="33" t="s">
        <v>249</v>
      </c>
    </row>
    <row r="1122" spans="1:14" ht="15">
      <c r="A1122" s="12"/>
      <c r="B1122" s="33" t="s">
        <v>135</v>
      </c>
      <c r="C1122" s="92" t="s">
        <v>390</v>
      </c>
      <c r="D1122" s="33" t="s">
        <v>410</v>
      </c>
      <c r="E1122" s="34">
        <v>44494</v>
      </c>
      <c r="F1122" s="34">
        <v>44495</v>
      </c>
      <c r="G1122" s="34">
        <v>44498</v>
      </c>
      <c r="H1122" s="35">
        <v>4.4999999999999998E-2</v>
      </c>
      <c r="I1122" s="67">
        <v>5.1999999999999998E-2</v>
      </c>
      <c r="J1122" s="67">
        <v>0</v>
      </c>
      <c r="K1122" s="67">
        <v>5.1999999999999998E-2</v>
      </c>
      <c r="L1122" s="36">
        <f t="shared" si="39"/>
        <v>3.8915239999999997E-2</v>
      </c>
      <c r="M1122" s="64">
        <f t="shared" ref="M1122:M1185" si="40">J1122+L1122</f>
        <v>3.8915239999999997E-2</v>
      </c>
      <c r="N1122" s="33" t="s">
        <v>249</v>
      </c>
    </row>
    <row r="1123" spans="1:14" ht="15">
      <c r="A1123" s="12"/>
      <c r="B1123" s="33" t="s">
        <v>170</v>
      </c>
      <c r="C1123" s="92" t="s">
        <v>391</v>
      </c>
      <c r="D1123" s="33" t="s">
        <v>410</v>
      </c>
      <c r="E1123" s="34">
        <v>44494</v>
      </c>
      <c r="F1123" s="34">
        <v>44495</v>
      </c>
      <c r="G1123" s="34">
        <v>44498</v>
      </c>
      <c r="H1123" s="35">
        <v>0.03</v>
      </c>
      <c r="I1123" s="67">
        <v>3.5799999999999998E-2</v>
      </c>
      <c r="J1123" s="67">
        <v>0</v>
      </c>
      <c r="K1123" s="67">
        <v>3.5799999999999998E-2</v>
      </c>
      <c r="L1123" s="36">
        <f t="shared" si="39"/>
        <v>2.6791645999999999E-2</v>
      </c>
      <c r="M1123" s="64">
        <f t="shared" si="40"/>
        <v>2.6791645999999999E-2</v>
      </c>
      <c r="N1123" s="33" t="s">
        <v>249</v>
      </c>
    </row>
    <row r="1124" spans="1:14" ht="15">
      <c r="A1124" s="12"/>
      <c r="B1124" s="33" t="s">
        <v>171</v>
      </c>
      <c r="C1124" s="92" t="s">
        <v>392</v>
      </c>
      <c r="D1124" s="33" t="s">
        <v>410</v>
      </c>
      <c r="E1124" s="34">
        <v>44494</v>
      </c>
      <c r="F1124" s="34">
        <v>44495</v>
      </c>
      <c r="G1124" s="34">
        <v>44498</v>
      </c>
      <c r="H1124" s="35">
        <v>3.7499999999999999E-2</v>
      </c>
      <c r="I1124" s="67">
        <v>4.5100000000000001E-2</v>
      </c>
      <c r="J1124" s="67">
        <v>0</v>
      </c>
      <c r="K1124" s="67">
        <v>4.5100000000000001E-2</v>
      </c>
      <c r="L1124" s="36">
        <f t="shared" si="39"/>
        <v>3.3751487000000004E-2</v>
      </c>
      <c r="M1124" s="64">
        <f t="shared" si="40"/>
        <v>3.3751487000000004E-2</v>
      </c>
      <c r="N1124" s="33" t="s">
        <v>249</v>
      </c>
    </row>
    <row r="1125" spans="1:14" ht="15">
      <c r="A1125" s="12"/>
      <c r="B1125" s="33" t="s">
        <v>172</v>
      </c>
      <c r="C1125" s="92" t="s">
        <v>393</v>
      </c>
      <c r="D1125" s="33" t="s">
        <v>410</v>
      </c>
      <c r="E1125" s="34">
        <v>44494</v>
      </c>
      <c r="F1125" s="34">
        <v>44495</v>
      </c>
      <c r="G1125" s="34">
        <v>44498</v>
      </c>
      <c r="H1125" s="35">
        <v>4.4999999999999998E-2</v>
      </c>
      <c r="I1125" s="67">
        <v>5.1400000000000001E-2</v>
      </c>
      <c r="J1125" s="67">
        <v>0</v>
      </c>
      <c r="K1125" s="67">
        <v>5.1400000000000001E-2</v>
      </c>
      <c r="L1125" s="36">
        <f t="shared" si="39"/>
        <v>3.8466218000000003E-2</v>
      </c>
      <c r="M1125" s="64">
        <f t="shared" si="40"/>
        <v>3.8466218000000003E-2</v>
      </c>
      <c r="N1125" s="33" t="s">
        <v>249</v>
      </c>
    </row>
    <row r="1126" spans="1:14" ht="15">
      <c r="A1126" s="12"/>
      <c r="B1126" s="33" t="s">
        <v>169</v>
      </c>
      <c r="C1126" s="92" t="s">
        <v>400</v>
      </c>
      <c r="D1126" s="33" t="s">
        <v>410</v>
      </c>
      <c r="E1126" s="34">
        <v>44494</v>
      </c>
      <c r="F1126" s="34">
        <v>44495</v>
      </c>
      <c r="G1126" s="34">
        <v>44498</v>
      </c>
      <c r="H1126" s="35">
        <v>5.5E-2</v>
      </c>
      <c r="I1126" s="67">
        <v>5.8900000000000001E-2</v>
      </c>
      <c r="J1126" s="67">
        <v>0</v>
      </c>
      <c r="K1126" s="67">
        <v>5.8900000000000001E-2</v>
      </c>
      <c r="L1126" s="36">
        <f>+K1126-((K1126*0.1276*0.125)+(K1126*(1-0.1276)*0.26))</f>
        <v>4.4600611399999997E-2</v>
      </c>
      <c r="M1126" s="64">
        <f t="shared" si="40"/>
        <v>4.4600611399999997E-2</v>
      </c>
      <c r="N1126" s="33" t="s">
        <v>249</v>
      </c>
    </row>
    <row r="1127" spans="1:14" ht="15">
      <c r="A1127" s="12"/>
      <c r="B1127" s="33" t="s">
        <v>310</v>
      </c>
      <c r="C1127" s="92" t="s">
        <v>424</v>
      </c>
      <c r="D1127" s="33" t="s">
        <v>411</v>
      </c>
      <c r="E1127" s="34">
        <v>44498</v>
      </c>
      <c r="F1127" s="34">
        <v>44502</v>
      </c>
      <c r="G1127" s="34">
        <v>44508</v>
      </c>
      <c r="H1127" s="35">
        <v>0.05</v>
      </c>
      <c r="I1127" s="67">
        <v>2.0500000000000001E-2</v>
      </c>
      <c r="J1127" s="67">
        <v>0</v>
      </c>
      <c r="K1127" s="67">
        <v>2.0500000000000001E-2</v>
      </c>
      <c r="L1127" s="36">
        <f>+K1127-((K1127*0.0367*0.125)+(K1127*(1-0.0367)*0.26))</f>
        <v>1.527156725E-2</v>
      </c>
      <c r="M1127" s="64">
        <f t="shared" si="40"/>
        <v>1.527156725E-2</v>
      </c>
      <c r="N1127" s="33" t="s">
        <v>251</v>
      </c>
    </row>
    <row r="1128" spans="1:14" ht="15">
      <c r="A1128" s="12"/>
      <c r="B1128" s="33" t="s">
        <v>188</v>
      </c>
      <c r="C1128" s="92" t="s">
        <v>339</v>
      </c>
      <c r="D1128" s="33" t="s">
        <v>411</v>
      </c>
      <c r="E1128" s="34">
        <v>44498</v>
      </c>
      <c r="F1128" s="34">
        <v>44502</v>
      </c>
      <c r="G1128" s="34">
        <v>44508</v>
      </c>
      <c r="H1128" s="35">
        <v>0.05</v>
      </c>
      <c r="I1128" s="67">
        <v>0.35880000000000001</v>
      </c>
      <c r="J1128" s="67">
        <v>0</v>
      </c>
      <c r="K1128" s="67">
        <v>0.35880000000000001</v>
      </c>
      <c r="L1128" s="36">
        <f>+K1128-((K1128*0.0367*0.125)+(K1128*(1-0.0367)*0.26))</f>
        <v>0.26728967459999997</v>
      </c>
      <c r="M1128" s="64">
        <f t="shared" si="40"/>
        <v>0.26728967459999997</v>
      </c>
      <c r="N1128" s="33" t="s">
        <v>251</v>
      </c>
    </row>
    <row r="1129" spans="1:14" ht="15">
      <c r="A1129" s="12"/>
      <c r="B1129" s="33" t="s">
        <v>196</v>
      </c>
      <c r="C1129" s="92" t="s">
        <v>340</v>
      </c>
      <c r="D1129" s="33" t="s">
        <v>411</v>
      </c>
      <c r="E1129" s="34">
        <v>44498</v>
      </c>
      <c r="F1129" s="34">
        <v>44502</v>
      </c>
      <c r="G1129" s="34">
        <v>44508</v>
      </c>
      <c r="H1129" s="35">
        <v>0.05</v>
      </c>
      <c r="I1129" s="67">
        <v>0.37259999999999999</v>
      </c>
      <c r="J1129" s="67">
        <v>0</v>
      </c>
      <c r="K1129" s="67">
        <v>0.37259999999999999</v>
      </c>
      <c r="L1129" s="36">
        <f>+K1129-((K1129*0.0367*0.125)+(K1129*(1-0.0367)*0.26))</f>
        <v>0.27757004669999996</v>
      </c>
      <c r="M1129" s="64">
        <f t="shared" si="40"/>
        <v>0.27757004669999996</v>
      </c>
      <c r="N1129" s="33" t="s">
        <v>251</v>
      </c>
    </row>
    <row r="1130" spans="1:14" ht="15">
      <c r="A1130" s="12"/>
      <c r="B1130" s="33" t="s">
        <v>191</v>
      </c>
      <c r="C1130" s="92" t="s">
        <v>346</v>
      </c>
      <c r="D1130" s="33" t="s">
        <v>411</v>
      </c>
      <c r="E1130" s="34">
        <v>44498</v>
      </c>
      <c r="F1130" s="34">
        <v>44502</v>
      </c>
      <c r="G1130" s="34">
        <v>44508</v>
      </c>
      <c r="H1130" s="35">
        <v>3.5000000000000003E-2</v>
      </c>
      <c r="I1130" s="67">
        <v>1.41E-2</v>
      </c>
      <c r="J1130" s="67">
        <v>0</v>
      </c>
      <c r="K1130" s="67">
        <v>1.41E-2</v>
      </c>
      <c r="L1130" s="36">
        <f>+K1130-((K1130*0.7506*0.125)+(K1130*(1-0.7506)*0.26))</f>
        <v>1.1862767099999999E-2</v>
      </c>
      <c r="M1130" s="64">
        <f t="shared" si="40"/>
        <v>1.1862767099999999E-2</v>
      </c>
      <c r="N1130" s="33" t="s">
        <v>251</v>
      </c>
    </row>
    <row r="1131" spans="1:14" ht="15">
      <c r="A1131" s="12"/>
      <c r="B1131" s="33" t="s">
        <v>199</v>
      </c>
      <c r="C1131" s="92" t="s">
        <v>347</v>
      </c>
      <c r="D1131" s="33" t="s">
        <v>411</v>
      </c>
      <c r="E1131" s="34">
        <v>44498</v>
      </c>
      <c r="F1131" s="34">
        <v>44502</v>
      </c>
      <c r="G1131" s="34">
        <v>44508</v>
      </c>
      <c r="H1131" s="35">
        <v>3.5000000000000003E-2</v>
      </c>
      <c r="I1131" s="67">
        <v>1.4E-2</v>
      </c>
      <c r="J1131" s="67">
        <v>0</v>
      </c>
      <c r="K1131" s="67">
        <v>1.4E-2</v>
      </c>
      <c r="L1131" s="36">
        <f>+K1131-((K1131*0.7506*0.125)+(K1131*(1-0.7506)*0.26))</f>
        <v>1.1778634E-2</v>
      </c>
      <c r="M1131" s="64">
        <f t="shared" si="40"/>
        <v>1.1778634E-2</v>
      </c>
      <c r="N1131" s="33" t="s">
        <v>251</v>
      </c>
    </row>
    <row r="1132" spans="1:14" ht="15">
      <c r="A1132" s="12"/>
      <c r="B1132" s="33" t="s">
        <v>306</v>
      </c>
      <c r="C1132" s="92" t="s">
        <v>430</v>
      </c>
      <c r="D1132" s="33" t="s">
        <v>411</v>
      </c>
      <c r="E1132" s="34">
        <v>44498</v>
      </c>
      <c r="F1132" s="34">
        <v>44502</v>
      </c>
      <c r="G1132" s="34">
        <v>44508</v>
      </c>
      <c r="H1132" s="35">
        <v>2.5000000000000001E-2</v>
      </c>
      <c r="I1132" s="67">
        <v>1.03E-2</v>
      </c>
      <c r="J1132" s="67">
        <v>0</v>
      </c>
      <c r="K1132" s="67">
        <v>1.03E-2</v>
      </c>
      <c r="L1132" s="36">
        <f>+K1132-((K1132*0.0002*0.125)+(K1132*(1-0.0002)*0.26))</f>
        <v>7.6222780999999993E-3</v>
      </c>
      <c r="M1132" s="64">
        <f t="shared" si="40"/>
        <v>7.6222780999999993E-3</v>
      </c>
      <c r="N1132" s="33" t="s">
        <v>251</v>
      </c>
    </row>
    <row r="1133" spans="1:14" ht="15">
      <c r="A1133" s="12"/>
      <c r="B1133" s="33" t="s">
        <v>184</v>
      </c>
      <c r="C1133" s="92" t="s">
        <v>354</v>
      </c>
      <c r="D1133" s="33" t="s">
        <v>411</v>
      </c>
      <c r="E1133" s="34">
        <v>44498</v>
      </c>
      <c r="F1133" s="34">
        <v>44502</v>
      </c>
      <c r="G1133" s="34">
        <v>44508</v>
      </c>
      <c r="H1133" s="35">
        <v>2.5000000000000001E-2</v>
      </c>
      <c r="I1133" s="67">
        <v>0.20749999999999999</v>
      </c>
      <c r="J1133" s="67">
        <v>0</v>
      </c>
      <c r="K1133" s="67">
        <v>0.20749999999999999</v>
      </c>
      <c r="L1133" s="36">
        <f>+K1133-((K1133*0.0002*0.125)+(K1133*(1-0.0002)*0.26))</f>
        <v>0.1535556025</v>
      </c>
      <c r="M1133" s="64">
        <f t="shared" si="40"/>
        <v>0.1535556025</v>
      </c>
      <c r="N1133" s="33" t="s">
        <v>251</v>
      </c>
    </row>
    <row r="1134" spans="1:14" ht="15">
      <c r="A1134" s="12"/>
      <c r="B1134" s="33" t="s">
        <v>192</v>
      </c>
      <c r="C1134" s="92" t="s">
        <v>355</v>
      </c>
      <c r="D1134" s="33" t="s">
        <v>411</v>
      </c>
      <c r="E1134" s="34">
        <v>44498</v>
      </c>
      <c r="F1134" s="34">
        <v>44502</v>
      </c>
      <c r="G1134" s="34">
        <v>44508</v>
      </c>
      <c r="H1134" s="35">
        <v>2.5000000000000001E-2</v>
      </c>
      <c r="I1134" s="67">
        <v>0.20960000000000001</v>
      </c>
      <c r="J1134" s="67">
        <v>0</v>
      </c>
      <c r="K1134" s="67">
        <v>0.20960000000000001</v>
      </c>
      <c r="L1134" s="36">
        <f>+K1134-((K1134*0.0002*0.125)+(K1134*(1-0.0002)*0.26))</f>
        <v>0.1551096592</v>
      </c>
      <c r="M1134" s="64">
        <f t="shared" si="40"/>
        <v>0.1551096592</v>
      </c>
      <c r="N1134" s="33" t="s">
        <v>251</v>
      </c>
    </row>
    <row r="1135" spans="1:14" ht="15">
      <c r="A1135" s="12"/>
      <c r="B1135" s="33" t="s">
        <v>311</v>
      </c>
      <c r="C1135" s="92" t="s">
        <v>425</v>
      </c>
      <c r="D1135" s="33" t="s">
        <v>411</v>
      </c>
      <c r="E1135" s="34">
        <v>44498</v>
      </c>
      <c r="F1135" s="34">
        <v>44502</v>
      </c>
      <c r="G1135" s="34">
        <v>44508</v>
      </c>
      <c r="H1135" s="35">
        <v>1.4999999999999999E-2</v>
      </c>
      <c r="I1135" s="67">
        <v>6.1000000000000004E-3</v>
      </c>
      <c r="J1135" s="67">
        <v>0</v>
      </c>
      <c r="K1135" s="67">
        <v>6.1000000000000004E-3</v>
      </c>
      <c r="L1135" s="36">
        <f>+K1135-((K1135*0.0000001*0.125)+(K1135*(1-0.0000001)*0.26))</f>
        <v>4.5140000823499999E-3</v>
      </c>
      <c r="M1135" s="64">
        <f t="shared" si="40"/>
        <v>4.5140000823499999E-3</v>
      </c>
      <c r="N1135" s="33" t="s">
        <v>251</v>
      </c>
    </row>
    <row r="1136" spans="1:14" ht="15">
      <c r="A1136" s="12"/>
      <c r="B1136" s="33" t="s">
        <v>189</v>
      </c>
      <c r="C1136" s="92" t="s">
        <v>356</v>
      </c>
      <c r="D1136" s="33" t="s">
        <v>411</v>
      </c>
      <c r="E1136" s="34">
        <v>44498</v>
      </c>
      <c r="F1136" s="34">
        <v>44502</v>
      </c>
      <c r="G1136" s="34">
        <v>44508</v>
      </c>
      <c r="H1136" s="35">
        <v>1.4999999999999999E-2</v>
      </c>
      <c r="I1136" s="67">
        <v>0.1124</v>
      </c>
      <c r="J1136" s="67">
        <v>0</v>
      </c>
      <c r="K1136" s="67">
        <v>0.1124</v>
      </c>
      <c r="L1136" s="36">
        <f>+K1136-((K1136*0.0000001*0.125)+(K1136*(1-0.0000001)*0.26))</f>
        <v>8.3176001517399997E-2</v>
      </c>
      <c r="M1136" s="64">
        <f t="shared" si="40"/>
        <v>8.3176001517399997E-2</v>
      </c>
      <c r="N1136" s="33" t="s">
        <v>251</v>
      </c>
    </row>
    <row r="1137" spans="1:14" ht="15">
      <c r="A1137" s="12"/>
      <c r="B1137" s="33" t="s">
        <v>197</v>
      </c>
      <c r="C1137" s="92" t="s">
        <v>357</v>
      </c>
      <c r="D1137" s="33" t="s">
        <v>411</v>
      </c>
      <c r="E1137" s="34">
        <v>44498</v>
      </c>
      <c r="F1137" s="34">
        <v>44502</v>
      </c>
      <c r="G1137" s="34">
        <v>44508</v>
      </c>
      <c r="H1137" s="35">
        <v>1.4999999999999999E-2</v>
      </c>
      <c r="I1137" s="67">
        <v>0.1145</v>
      </c>
      <c r="J1137" s="67">
        <v>0</v>
      </c>
      <c r="K1137" s="67">
        <v>0.1145</v>
      </c>
      <c r="L1137" s="36">
        <f>+K1137-((K1137*0.0000001*0.125)+(K1137*(1-0.0000001)*0.26))</f>
        <v>8.473000154575E-2</v>
      </c>
      <c r="M1137" s="64">
        <f t="shared" si="40"/>
        <v>8.473000154575E-2</v>
      </c>
      <c r="N1137" s="33" t="s">
        <v>251</v>
      </c>
    </row>
    <row r="1138" spans="1:14" ht="15">
      <c r="A1138" s="12"/>
      <c r="B1138" s="33" t="s">
        <v>308</v>
      </c>
      <c r="C1138" s="92" t="s">
        <v>426</v>
      </c>
      <c r="D1138" s="33" t="s">
        <v>411</v>
      </c>
      <c r="E1138" s="34">
        <v>44498</v>
      </c>
      <c r="F1138" s="34">
        <v>44502</v>
      </c>
      <c r="G1138" s="34">
        <v>44508</v>
      </c>
      <c r="H1138" s="35">
        <v>1.4999999999999999E-2</v>
      </c>
      <c r="I1138" s="67">
        <v>6.1999999999999998E-3</v>
      </c>
      <c r="J1138" s="67">
        <v>0</v>
      </c>
      <c r="K1138" s="67">
        <v>6.1999999999999998E-3</v>
      </c>
      <c r="L1138" s="36">
        <f>+K1138-((K1138*0.4234*0.125)+(K1138*(1-0.4234)*0.26))</f>
        <v>4.9423857999999999E-3</v>
      </c>
      <c r="M1138" s="64">
        <f t="shared" si="40"/>
        <v>4.9423857999999999E-3</v>
      </c>
      <c r="N1138" s="33" t="s">
        <v>251</v>
      </c>
    </row>
    <row r="1139" spans="1:14" ht="15">
      <c r="A1139" s="12"/>
      <c r="B1139" s="33" t="s">
        <v>186</v>
      </c>
      <c r="C1139" s="92" t="s">
        <v>363</v>
      </c>
      <c r="D1139" s="33" t="s">
        <v>411</v>
      </c>
      <c r="E1139" s="34">
        <v>44498</v>
      </c>
      <c r="F1139" s="34">
        <v>44502</v>
      </c>
      <c r="G1139" s="34">
        <v>44508</v>
      </c>
      <c r="H1139" s="35">
        <v>1.4999999999999999E-2</v>
      </c>
      <c r="I1139" s="67">
        <v>0.1137</v>
      </c>
      <c r="J1139" s="67">
        <v>0</v>
      </c>
      <c r="K1139" s="67">
        <v>0.1137</v>
      </c>
      <c r="L1139" s="36">
        <f>+K1139-((K1139*0.4234*0.125)+(K1139*(1-0.4234)*0.26))</f>
        <v>9.0636978300000004E-2</v>
      </c>
      <c r="M1139" s="64">
        <f t="shared" si="40"/>
        <v>9.0636978300000004E-2</v>
      </c>
      <c r="N1139" s="33" t="s">
        <v>251</v>
      </c>
    </row>
    <row r="1140" spans="1:14" ht="15">
      <c r="A1140" s="12"/>
      <c r="B1140" s="33" t="s">
        <v>194</v>
      </c>
      <c r="C1140" s="92" t="s">
        <v>364</v>
      </c>
      <c r="D1140" s="33" t="s">
        <v>411</v>
      </c>
      <c r="E1140" s="34">
        <v>44498</v>
      </c>
      <c r="F1140" s="34">
        <v>44502</v>
      </c>
      <c r="G1140" s="34">
        <v>44508</v>
      </c>
      <c r="H1140" s="35">
        <v>1.4999999999999999E-2</v>
      </c>
      <c r="I1140" s="67">
        <v>0.1172</v>
      </c>
      <c r="J1140" s="67">
        <v>0</v>
      </c>
      <c r="K1140" s="67">
        <v>0.1172</v>
      </c>
      <c r="L1140" s="36">
        <f>+K1140-((K1140*0.4234*0.125)+(K1140*(1-0.4234)*0.26))</f>
        <v>9.3427034800000003E-2</v>
      </c>
      <c r="M1140" s="64">
        <f t="shared" si="40"/>
        <v>9.3427034800000003E-2</v>
      </c>
      <c r="N1140" s="33" t="s">
        <v>251</v>
      </c>
    </row>
    <row r="1141" spans="1:14" ht="15">
      <c r="A1141" s="12"/>
      <c r="B1141" s="33" t="s">
        <v>307</v>
      </c>
      <c r="C1141" s="92" t="s">
        <v>420</v>
      </c>
      <c r="D1141" s="33" t="s">
        <v>411</v>
      </c>
      <c r="E1141" s="34">
        <v>44498</v>
      </c>
      <c r="F1141" s="34">
        <v>44502</v>
      </c>
      <c r="G1141" s="34">
        <v>44508</v>
      </c>
      <c r="H1141" s="35">
        <v>1.4999999999999999E-2</v>
      </c>
      <c r="I1141" s="67">
        <v>6.4000000000000003E-3</v>
      </c>
      <c r="J1141" s="67">
        <v>0</v>
      </c>
      <c r="K1141" s="67">
        <v>6.4000000000000003E-3</v>
      </c>
      <c r="L1141" s="36">
        <f>+K1141-((K1141*0.5961*0.125)+(K1141*(1-0.5961)*0.26))</f>
        <v>5.2510304000000004E-3</v>
      </c>
      <c r="M1141" s="64">
        <f t="shared" si="40"/>
        <v>5.2510304000000004E-3</v>
      </c>
      <c r="N1141" s="33" t="s">
        <v>251</v>
      </c>
    </row>
    <row r="1142" spans="1:14" ht="15">
      <c r="A1142" s="12"/>
      <c r="B1142" s="33" t="s">
        <v>185</v>
      </c>
      <c r="C1142" s="92" t="s">
        <v>366</v>
      </c>
      <c r="D1142" s="33" t="s">
        <v>411</v>
      </c>
      <c r="E1142" s="34">
        <v>44498</v>
      </c>
      <c r="F1142" s="34">
        <v>44502</v>
      </c>
      <c r="G1142" s="34">
        <v>44508</v>
      </c>
      <c r="H1142" s="35">
        <v>1.4999999999999999E-2</v>
      </c>
      <c r="I1142" s="67">
        <v>0.1067</v>
      </c>
      <c r="J1142" s="67">
        <v>0</v>
      </c>
      <c r="K1142" s="67">
        <v>0.1067</v>
      </c>
      <c r="L1142" s="36">
        <f>+K1142-((K1142*0.5961*0.125)+(K1142*(1-0.5961)*0.26))</f>
        <v>8.7544522449999995E-2</v>
      </c>
      <c r="M1142" s="64">
        <f t="shared" si="40"/>
        <v>8.7544522449999995E-2</v>
      </c>
      <c r="N1142" s="33" t="s">
        <v>251</v>
      </c>
    </row>
    <row r="1143" spans="1:14" ht="15">
      <c r="A1143" s="12"/>
      <c r="B1143" s="33" t="s">
        <v>193</v>
      </c>
      <c r="C1143" s="92" t="s">
        <v>367</v>
      </c>
      <c r="D1143" s="33" t="s">
        <v>411</v>
      </c>
      <c r="E1143" s="34">
        <v>44498</v>
      </c>
      <c r="F1143" s="34">
        <v>44502</v>
      </c>
      <c r="G1143" s="34">
        <v>44508</v>
      </c>
      <c r="H1143" s="35">
        <v>1.4999999999999999E-2</v>
      </c>
      <c r="I1143" s="67">
        <v>0.1042</v>
      </c>
      <c r="J1143" s="67">
        <v>0</v>
      </c>
      <c r="K1143" s="67">
        <v>0.1042</v>
      </c>
      <c r="L1143" s="36">
        <f>+K1143-((K1143*0.5961*0.125)+(K1143*(1-0.5961)*0.26))</f>
        <v>8.5493338700000004E-2</v>
      </c>
      <c r="M1143" s="64">
        <f t="shared" si="40"/>
        <v>8.5493338700000004E-2</v>
      </c>
      <c r="N1143" s="33" t="s">
        <v>251</v>
      </c>
    </row>
    <row r="1144" spans="1:14" ht="15">
      <c r="A1144" s="12"/>
      <c r="B1144" s="33" t="s">
        <v>309</v>
      </c>
      <c r="C1144" s="92" t="s">
        <v>427</v>
      </c>
      <c r="D1144" s="33" t="s">
        <v>411</v>
      </c>
      <c r="E1144" s="34">
        <v>44498</v>
      </c>
      <c r="F1144" s="34">
        <v>44502</v>
      </c>
      <c r="G1144" s="34">
        <v>44508</v>
      </c>
      <c r="H1144" s="35">
        <v>1.4999999999999999E-2</v>
      </c>
      <c r="I1144" s="67">
        <v>6.4000000000000003E-3</v>
      </c>
      <c r="J1144" s="67">
        <v>0</v>
      </c>
      <c r="K1144" s="67">
        <v>6.4000000000000003E-3</v>
      </c>
      <c r="L1144" s="36">
        <f>+K1144-((K1144*0.0215*0.125)+(K1144*(1-0.0215)*0.26))</f>
        <v>4.7545759999999999E-3</v>
      </c>
      <c r="M1144" s="64">
        <f t="shared" si="40"/>
        <v>4.7545759999999999E-3</v>
      </c>
      <c r="N1144" s="33" t="s">
        <v>251</v>
      </c>
    </row>
    <row r="1145" spans="1:14" ht="15">
      <c r="A1145" s="12"/>
      <c r="B1145" s="33" t="s">
        <v>187</v>
      </c>
      <c r="C1145" s="92" t="s">
        <v>368</v>
      </c>
      <c r="D1145" s="33" t="s">
        <v>411</v>
      </c>
      <c r="E1145" s="34">
        <v>44498</v>
      </c>
      <c r="F1145" s="34">
        <v>44502</v>
      </c>
      <c r="G1145" s="34">
        <v>44508</v>
      </c>
      <c r="H1145" s="35">
        <v>1.4999999999999999E-2</v>
      </c>
      <c r="I1145" s="67">
        <v>0.1123</v>
      </c>
      <c r="J1145" s="67">
        <v>0</v>
      </c>
      <c r="K1145" s="67">
        <v>0.1123</v>
      </c>
      <c r="L1145" s="36">
        <f>+K1145-((K1145*0.0215*0.125)+(K1145*(1-0.0215)*0.26))</f>
        <v>8.3427950749999993E-2</v>
      </c>
      <c r="M1145" s="64">
        <f t="shared" si="40"/>
        <v>8.3427950749999993E-2</v>
      </c>
      <c r="N1145" s="33" t="s">
        <v>251</v>
      </c>
    </row>
    <row r="1146" spans="1:14" ht="15">
      <c r="A1146" s="12"/>
      <c r="B1146" s="33" t="s">
        <v>195</v>
      </c>
      <c r="C1146" s="92" t="s">
        <v>369</v>
      </c>
      <c r="D1146" s="33" t="s">
        <v>411</v>
      </c>
      <c r="E1146" s="34">
        <v>44498</v>
      </c>
      <c r="F1146" s="34">
        <v>44502</v>
      </c>
      <c r="G1146" s="34">
        <v>44508</v>
      </c>
      <c r="H1146" s="35">
        <v>1.4999999999999999E-2</v>
      </c>
      <c r="I1146" s="67">
        <v>0.11609999999999999</v>
      </c>
      <c r="J1146" s="67">
        <v>0</v>
      </c>
      <c r="K1146" s="67">
        <v>0.11609999999999999</v>
      </c>
      <c r="L1146" s="36">
        <f>+K1146-((K1146*0.0215*0.125)+(K1146*(1-0.0215)*0.26))</f>
        <v>8.6250980249999998E-2</v>
      </c>
      <c r="M1146" s="64">
        <f t="shared" si="40"/>
        <v>8.6250980249999998E-2</v>
      </c>
      <c r="N1146" s="33" t="s">
        <v>251</v>
      </c>
    </row>
    <row r="1147" spans="1:14" ht="15">
      <c r="A1147" s="12"/>
      <c r="B1147" s="33" t="s">
        <v>312</v>
      </c>
      <c r="C1147" s="92" t="s">
        <v>428</v>
      </c>
      <c r="D1147" s="33" t="s">
        <v>411</v>
      </c>
      <c r="E1147" s="34">
        <v>44498</v>
      </c>
      <c r="F1147" s="34">
        <v>44502</v>
      </c>
      <c r="G1147" s="34">
        <v>44508</v>
      </c>
      <c r="H1147" s="35">
        <v>3.5000000000000003E-2</v>
      </c>
      <c r="I1147" s="67">
        <v>1.35E-2</v>
      </c>
      <c r="J1147" s="67">
        <v>0</v>
      </c>
      <c r="K1147" s="67">
        <v>1.35E-2</v>
      </c>
      <c r="L1147" s="36">
        <f>+K1147-((K1147*0.000000000001*0.125)+(K1147*(1-0.00000000001)*0.26))</f>
        <v>9.9900000000334131E-3</v>
      </c>
      <c r="M1147" s="64">
        <f t="shared" si="40"/>
        <v>9.9900000000334131E-3</v>
      </c>
      <c r="N1147" s="33" t="s">
        <v>251</v>
      </c>
    </row>
    <row r="1148" spans="1:14" ht="15">
      <c r="A1148" s="12"/>
      <c r="B1148" s="33" t="s">
        <v>190</v>
      </c>
      <c r="C1148" s="92" t="s">
        <v>370</v>
      </c>
      <c r="D1148" s="33" t="s">
        <v>411</v>
      </c>
      <c r="E1148" s="34">
        <v>44498</v>
      </c>
      <c r="F1148" s="34">
        <v>44502</v>
      </c>
      <c r="G1148" s="34">
        <v>44508</v>
      </c>
      <c r="H1148" s="35">
        <v>3.5000000000000003E-2</v>
      </c>
      <c r="I1148" s="67">
        <v>0.2555</v>
      </c>
      <c r="J1148" s="67">
        <v>0</v>
      </c>
      <c r="K1148" s="67">
        <v>0.2555</v>
      </c>
      <c r="L1148" s="36">
        <f>+K1148-((K1148*0.000000000001*0.125)+(K1148*(1-0.00000000001)*0.26))</f>
        <v>0.18907000000063237</v>
      </c>
      <c r="M1148" s="64">
        <f t="shared" si="40"/>
        <v>0.18907000000063237</v>
      </c>
      <c r="N1148" s="33" t="s">
        <v>251</v>
      </c>
    </row>
    <row r="1149" spans="1:14" ht="15">
      <c r="A1149" s="12"/>
      <c r="B1149" s="33" t="s">
        <v>198</v>
      </c>
      <c r="C1149" s="92" t="s">
        <v>371</v>
      </c>
      <c r="D1149" s="33" t="s">
        <v>411</v>
      </c>
      <c r="E1149" s="34">
        <v>44498</v>
      </c>
      <c r="F1149" s="34">
        <v>44502</v>
      </c>
      <c r="G1149" s="34">
        <v>44508</v>
      </c>
      <c r="H1149" s="35">
        <v>3.5000000000000003E-2</v>
      </c>
      <c r="I1149" s="67">
        <v>0.25640000000000002</v>
      </c>
      <c r="J1149" s="67">
        <v>0</v>
      </c>
      <c r="K1149" s="67">
        <v>0.25640000000000002</v>
      </c>
      <c r="L1149" s="36">
        <f>+K1149-((K1149*0.000000000001*0.125)+(K1149*(1-0.00000000001)*0.26))</f>
        <v>0.18973600000063462</v>
      </c>
      <c r="M1149" s="64">
        <f t="shared" si="40"/>
        <v>0.18973600000063462</v>
      </c>
      <c r="N1149" s="33" t="s">
        <v>251</v>
      </c>
    </row>
    <row r="1150" spans="1:14" ht="15">
      <c r="A1150" s="12"/>
      <c r="B1150" s="33" t="s">
        <v>513</v>
      </c>
      <c r="C1150" s="92" t="s">
        <v>515</v>
      </c>
      <c r="D1150" s="33" t="s">
        <v>411</v>
      </c>
      <c r="E1150" s="34">
        <v>44498</v>
      </c>
      <c r="F1150" s="34">
        <v>44502</v>
      </c>
      <c r="G1150" s="34">
        <v>44508</v>
      </c>
      <c r="H1150" s="35">
        <v>0.02</v>
      </c>
      <c r="I1150" s="67">
        <v>0.13469999999999999</v>
      </c>
      <c r="J1150" s="67">
        <v>0.13469999999999999</v>
      </c>
      <c r="K1150" s="67">
        <v>0</v>
      </c>
      <c r="L1150" s="36">
        <f>+K1150-((K1150*0.4282*0.125)+(K1150*(1-0.4282)*0.26))</f>
        <v>0</v>
      </c>
      <c r="M1150" s="64">
        <f t="shared" si="40"/>
        <v>0.13469999999999999</v>
      </c>
      <c r="N1150" s="33" t="s">
        <v>251</v>
      </c>
    </row>
    <row r="1151" spans="1:14" ht="15">
      <c r="A1151" s="12"/>
      <c r="B1151" s="33" t="s">
        <v>514</v>
      </c>
      <c r="C1151" s="92" t="s">
        <v>516</v>
      </c>
      <c r="D1151" s="33" t="s">
        <v>411</v>
      </c>
      <c r="E1151" s="34">
        <v>44498</v>
      </c>
      <c r="F1151" s="34">
        <v>44502</v>
      </c>
      <c r="G1151" s="34">
        <v>44508</v>
      </c>
      <c r="H1151" s="35">
        <v>0.02</v>
      </c>
      <c r="I1151" s="67">
        <v>0.1356</v>
      </c>
      <c r="J1151" s="67">
        <v>0.1356</v>
      </c>
      <c r="K1151" s="67">
        <v>0</v>
      </c>
      <c r="L1151" s="36">
        <f>+K1151-((K1151*0.4282*0.125)+(K1151*(1-0.4282)*0.26))</f>
        <v>0</v>
      </c>
      <c r="M1151" s="64">
        <f t="shared" si="40"/>
        <v>0.1356</v>
      </c>
      <c r="N1151" s="33" t="s">
        <v>251</v>
      </c>
    </row>
    <row r="1152" spans="1:14" ht="15">
      <c r="A1152" s="12"/>
      <c r="B1152" s="33" t="s">
        <v>313</v>
      </c>
      <c r="C1152" s="92" t="s">
        <v>429</v>
      </c>
      <c r="D1152" s="33" t="s">
        <v>411</v>
      </c>
      <c r="E1152" s="34">
        <v>44498</v>
      </c>
      <c r="F1152" s="34">
        <v>44502</v>
      </c>
      <c r="G1152" s="34">
        <v>44508</v>
      </c>
      <c r="H1152" s="35">
        <v>0.01</v>
      </c>
      <c r="I1152" s="67">
        <v>4.3E-3</v>
      </c>
      <c r="J1152" s="67">
        <v>0</v>
      </c>
      <c r="K1152" s="67">
        <v>4.3E-3</v>
      </c>
      <c r="L1152" s="36">
        <f>+K1152-((K1152*0.148*0.125)+(K1152*(1-0.148)*0.26))</f>
        <v>3.2679140000000002E-3</v>
      </c>
      <c r="M1152" s="64">
        <f t="shared" si="40"/>
        <v>3.2679140000000002E-3</v>
      </c>
      <c r="N1152" s="33" t="s">
        <v>251</v>
      </c>
    </row>
    <row r="1153" spans="1:14" ht="15">
      <c r="A1153" s="12"/>
      <c r="B1153" s="33" t="s">
        <v>310</v>
      </c>
      <c r="C1153" s="92" t="s">
        <v>424</v>
      </c>
      <c r="D1153" s="33" t="s">
        <v>411</v>
      </c>
      <c r="E1153" s="34">
        <v>44530</v>
      </c>
      <c r="F1153" s="34">
        <v>44531</v>
      </c>
      <c r="G1153" s="34">
        <v>44536</v>
      </c>
      <c r="H1153" s="35">
        <v>0.05</v>
      </c>
      <c r="I1153" s="67">
        <v>2.0500000000000001E-2</v>
      </c>
      <c r="J1153" s="67">
        <v>0</v>
      </c>
      <c r="K1153" s="67">
        <v>2.0500000000000001E-2</v>
      </c>
      <c r="L1153" s="36">
        <f>+K1153-((K1153*0.0367*0.125)+(K1153*(1-0.0367)*0.26))</f>
        <v>1.527156725E-2</v>
      </c>
      <c r="M1153" s="64">
        <f t="shared" si="40"/>
        <v>1.527156725E-2</v>
      </c>
      <c r="N1153" s="33" t="s">
        <v>251</v>
      </c>
    </row>
    <row r="1154" spans="1:14" ht="15">
      <c r="A1154" s="12"/>
      <c r="B1154" s="33" t="s">
        <v>188</v>
      </c>
      <c r="C1154" s="92" t="s">
        <v>339</v>
      </c>
      <c r="D1154" s="33" t="s">
        <v>411</v>
      </c>
      <c r="E1154" s="34">
        <v>44530</v>
      </c>
      <c r="F1154" s="34">
        <v>44531</v>
      </c>
      <c r="G1154" s="34">
        <v>44536</v>
      </c>
      <c r="H1154" s="35">
        <v>0.05</v>
      </c>
      <c r="I1154" s="67">
        <v>0.35880000000000001</v>
      </c>
      <c r="J1154" s="67">
        <v>0</v>
      </c>
      <c r="K1154" s="67">
        <v>0.35880000000000001</v>
      </c>
      <c r="L1154" s="36">
        <f>+K1154-((K1154*0.0367*0.125)+(K1154*(1-0.0367)*0.26))</f>
        <v>0.26728967459999997</v>
      </c>
      <c r="M1154" s="64">
        <f t="shared" si="40"/>
        <v>0.26728967459999997</v>
      </c>
      <c r="N1154" s="33" t="s">
        <v>251</v>
      </c>
    </row>
    <row r="1155" spans="1:14" ht="15">
      <c r="A1155" s="12"/>
      <c r="B1155" s="33" t="s">
        <v>196</v>
      </c>
      <c r="C1155" s="92" t="s">
        <v>340</v>
      </c>
      <c r="D1155" s="33" t="s">
        <v>411</v>
      </c>
      <c r="E1155" s="34">
        <v>44530</v>
      </c>
      <c r="F1155" s="34">
        <v>44531</v>
      </c>
      <c r="G1155" s="34">
        <v>44536</v>
      </c>
      <c r="H1155" s="35">
        <v>0.05</v>
      </c>
      <c r="I1155" s="67">
        <v>0.37259999999999999</v>
      </c>
      <c r="J1155" s="67">
        <v>0</v>
      </c>
      <c r="K1155" s="67">
        <v>0.37259999999999999</v>
      </c>
      <c r="L1155" s="36">
        <f>+K1155-((K1155*0.0367*0.125)+(K1155*(1-0.0367)*0.26))</f>
        <v>0.27757004669999996</v>
      </c>
      <c r="M1155" s="64">
        <f t="shared" si="40"/>
        <v>0.27757004669999996</v>
      </c>
      <c r="N1155" s="33" t="s">
        <v>251</v>
      </c>
    </row>
    <row r="1156" spans="1:14" ht="15">
      <c r="A1156" s="12"/>
      <c r="B1156" s="33" t="s">
        <v>191</v>
      </c>
      <c r="C1156" s="92" t="s">
        <v>346</v>
      </c>
      <c r="D1156" s="33" t="s">
        <v>411</v>
      </c>
      <c r="E1156" s="34">
        <v>44530</v>
      </c>
      <c r="F1156" s="34">
        <v>44531</v>
      </c>
      <c r="G1156" s="34">
        <v>44536</v>
      </c>
      <c r="H1156" s="35">
        <v>3.5000000000000003E-2</v>
      </c>
      <c r="I1156" s="67">
        <v>1.41E-2</v>
      </c>
      <c r="J1156" s="67">
        <v>0</v>
      </c>
      <c r="K1156" s="67">
        <v>1.41E-2</v>
      </c>
      <c r="L1156" s="36">
        <f>+K1156-((K1156*0.7506*0.125)+(K1156*(1-0.7506)*0.26))</f>
        <v>1.1862767099999999E-2</v>
      </c>
      <c r="M1156" s="64">
        <f t="shared" si="40"/>
        <v>1.1862767099999999E-2</v>
      </c>
      <c r="N1156" s="33" t="s">
        <v>251</v>
      </c>
    </row>
    <row r="1157" spans="1:14" ht="15">
      <c r="A1157" s="12"/>
      <c r="B1157" s="33" t="s">
        <v>199</v>
      </c>
      <c r="C1157" s="92" t="s">
        <v>347</v>
      </c>
      <c r="D1157" s="33" t="s">
        <v>411</v>
      </c>
      <c r="E1157" s="34">
        <v>44530</v>
      </c>
      <c r="F1157" s="34">
        <v>44531</v>
      </c>
      <c r="G1157" s="34">
        <v>44536</v>
      </c>
      <c r="H1157" s="35">
        <v>3.5000000000000003E-2</v>
      </c>
      <c r="I1157" s="67">
        <v>1.4E-2</v>
      </c>
      <c r="J1157" s="67">
        <v>0</v>
      </c>
      <c r="K1157" s="67">
        <v>1.4E-2</v>
      </c>
      <c r="L1157" s="36">
        <f>+K1157-((K1157*0.7506*0.125)+(K1157*(1-0.7506)*0.26))</f>
        <v>1.1778634E-2</v>
      </c>
      <c r="M1157" s="64">
        <f t="shared" si="40"/>
        <v>1.1778634E-2</v>
      </c>
      <c r="N1157" s="33" t="s">
        <v>251</v>
      </c>
    </row>
    <row r="1158" spans="1:14" ht="15">
      <c r="A1158" s="12"/>
      <c r="B1158" s="33" t="s">
        <v>306</v>
      </c>
      <c r="C1158" s="92" t="s">
        <v>430</v>
      </c>
      <c r="D1158" s="33" t="s">
        <v>411</v>
      </c>
      <c r="E1158" s="34">
        <v>44530</v>
      </c>
      <c r="F1158" s="34">
        <v>44531</v>
      </c>
      <c r="G1158" s="34">
        <v>44536</v>
      </c>
      <c r="H1158" s="35">
        <v>2.5000000000000001E-2</v>
      </c>
      <c r="I1158" s="67">
        <v>1.03E-2</v>
      </c>
      <c r="J1158" s="67">
        <v>0</v>
      </c>
      <c r="K1158" s="67">
        <v>1.03E-2</v>
      </c>
      <c r="L1158" s="36">
        <f>+K1158-((K1158*0.0002*0.125)+(K1158*(1-0.0002)*0.26))</f>
        <v>7.6222780999999993E-3</v>
      </c>
      <c r="M1158" s="64">
        <f t="shared" si="40"/>
        <v>7.6222780999999993E-3</v>
      </c>
      <c r="N1158" s="33" t="s">
        <v>251</v>
      </c>
    </row>
    <row r="1159" spans="1:14" ht="15">
      <c r="A1159" s="12"/>
      <c r="B1159" s="33" t="s">
        <v>184</v>
      </c>
      <c r="C1159" s="92" t="s">
        <v>354</v>
      </c>
      <c r="D1159" s="33" t="s">
        <v>411</v>
      </c>
      <c r="E1159" s="34">
        <v>44530</v>
      </c>
      <c r="F1159" s="34">
        <v>44531</v>
      </c>
      <c r="G1159" s="34">
        <v>44536</v>
      </c>
      <c r="H1159" s="35">
        <v>2.5000000000000001E-2</v>
      </c>
      <c r="I1159" s="67">
        <v>0.20749999999999999</v>
      </c>
      <c r="J1159" s="67">
        <v>0</v>
      </c>
      <c r="K1159" s="67">
        <v>0.20749999999999999</v>
      </c>
      <c r="L1159" s="36">
        <f>+K1159-((K1159*0.0002*0.125)+(K1159*(1-0.0002)*0.26))</f>
        <v>0.1535556025</v>
      </c>
      <c r="M1159" s="64">
        <f t="shared" si="40"/>
        <v>0.1535556025</v>
      </c>
      <c r="N1159" s="33" t="s">
        <v>251</v>
      </c>
    </row>
    <row r="1160" spans="1:14" ht="15">
      <c r="A1160" s="12"/>
      <c r="B1160" s="33" t="s">
        <v>192</v>
      </c>
      <c r="C1160" s="92" t="s">
        <v>355</v>
      </c>
      <c r="D1160" s="33" t="s">
        <v>411</v>
      </c>
      <c r="E1160" s="34">
        <v>44530</v>
      </c>
      <c r="F1160" s="34">
        <v>44531</v>
      </c>
      <c r="G1160" s="34">
        <v>44536</v>
      </c>
      <c r="H1160" s="35">
        <v>2.5000000000000001E-2</v>
      </c>
      <c r="I1160" s="67">
        <v>0.20960000000000001</v>
      </c>
      <c r="J1160" s="67">
        <v>0</v>
      </c>
      <c r="K1160" s="67">
        <v>0.20960000000000001</v>
      </c>
      <c r="L1160" s="36">
        <f>+K1160-((K1160*0.0002*0.125)+(K1160*(1-0.0002)*0.26))</f>
        <v>0.1551096592</v>
      </c>
      <c r="M1160" s="64">
        <f t="shared" si="40"/>
        <v>0.1551096592</v>
      </c>
      <c r="N1160" s="33" t="s">
        <v>251</v>
      </c>
    </row>
    <row r="1161" spans="1:14" ht="15">
      <c r="A1161" s="12"/>
      <c r="B1161" s="33" t="s">
        <v>311</v>
      </c>
      <c r="C1161" s="92" t="s">
        <v>425</v>
      </c>
      <c r="D1161" s="33" t="s">
        <v>411</v>
      </c>
      <c r="E1161" s="34">
        <v>44530</v>
      </c>
      <c r="F1161" s="34">
        <v>44531</v>
      </c>
      <c r="G1161" s="34">
        <v>44536</v>
      </c>
      <c r="H1161" s="35">
        <v>1.4999999999999999E-2</v>
      </c>
      <c r="I1161" s="67">
        <v>6.1000000000000004E-3</v>
      </c>
      <c r="J1161" s="67">
        <v>0</v>
      </c>
      <c r="K1161" s="67">
        <v>6.1000000000000004E-3</v>
      </c>
      <c r="L1161" s="36">
        <f>+K1161-((K1161*0.0000001*0.125)+(K1161*(1-0.0000001)*0.26))</f>
        <v>4.5140000823499999E-3</v>
      </c>
      <c r="M1161" s="64">
        <f t="shared" si="40"/>
        <v>4.5140000823499999E-3</v>
      </c>
      <c r="N1161" s="33" t="s">
        <v>251</v>
      </c>
    </row>
    <row r="1162" spans="1:14" ht="15">
      <c r="A1162" s="12"/>
      <c r="B1162" s="33" t="s">
        <v>189</v>
      </c>
      <c r="C1162" s="92" t="s">
        <v>356</v>
      </c>
      <c r="D1162" s="33" t="s">
        <v>411</v>
      </c>
      <c r="E1162" s="34">
        <v>44530</v>
      </c>
      <c r="F1162" s="34">
        <v>44531</v>
      </c>
      <c r="G1162" s="34">
        <v>44536</v>
      </c>
      <c r="H1162" s="35">
        <v>1.4999999999999999E-2</v>
      </c>
      <c r="I1162" s="67">
        <v>0.1124</v>
      </c>
      <c r="J1162" s="67">
        <v>0</v>
      </c>
      <c r="K1162" s="67">
        <v>0.1124</v>
      </c>
      <c r="L1162" s="36">
        <f>+K1162-((K1162*0.0000001*0.125)+(K1162*(1-0.0000001)*0.26))</f>
        <v>8.3176001517399997E-2</v>
      </c>
      <c r="M1162" s="64">
        <f t="shared" si="40"/>
        <v>8.3176001517399997E-2</v>
      </c>
      <c r="N1162" s="33" t="s">
        <v>251</v>
      </c>
    </row>
    <row r="1163" spans="1:14" ht="15">
      <c r="A1163" s="12"/>
      <c r="B1163" s="33" t="s">
        <v>197</v>
      </c>
      <c r="C1163" s="92" t="s">
        <v>357</v>
      </c>
      <c r="D1163" s="33" t="s">
        <v>411</v>
      </c>
      <c r="E1163" s="34">
        <v>44530</v>
      </c>
      <c r="F1163" s="34">
        <v>44531</v>
      </c>
      <c r="G1163" s="34">
        <v>44536</v>
      </c>
      <c r="H1163" s="35">
        <v>1.4999999999999999E-2</v>
      </c>
      <c r="I1163" s="67">
        <v>0.1145</v>
      </c>
      <c r="J1163" s="67">
        <v>0</v>
      </c>
      <c r="K1163" s="67">
        <v>0.1145</v>
      </c>
      <c r="L1163" s="36">
        <f>+K1163-((K1163*0.0000001*0.125)+(K1163*(1-0.0000001)*0.26))</f>
        <v>8.473000154575E-2</v>
      </c>
      <c r="M1163" s="64">
        <f t="shared" si="40"/>
        <v>8.473000154575E-2</v>
      </c>
      <c r="N1163" s="33" t="s">
        <v>251</v>
      </c>
    </row>
    <row r="1164" spans="1:14" ht="15">
      <c r="A1164" s="12"/>
      <c r="B1164" s="33" t="s">
        <v>308</v>
      </c>
      <c r="C1164" s="92" t="s">
        <v>426</v>
      </c>
      <c r="D1164" s="33" t="s">
        <v>411</v>
      </c>
      <c r="E1164" s="34">
        <v>44530</v>
      </c>
      <c r="F1164" s="34">
        <v>44531</v>
      </c>
      <c r="G1164" s="34">
        <v>44536</v>
      </c>
      <c r="H1164" s="35">
        <v>1.4999999999999999E-2</v>
      </c>
      <c r="I1164" s="67">
        <v>6.1999999999999998E-3</v>
      </c>
      <c r="J1164" s="67">
        <v>0</v>
      </c>
      <c r="K1164" s="67">
        <v>6.1999999999999998E-3</v>
      </c>
      <c r="L1164" s="36">
        <f>+K1164-((K1164*0.4234*0.125)+(K1164*(1-0.4234)*0.26))</f>
        <v>4.9423857999999999E-3</v>
      </c>
      <c r="M1164" s="64">
        <f t="shared" si="40"/>
        <v>4.9423857999999999E-3</v>
      </c>
      <c r="N1164" s="33" t="s">
        <v>251</v>
      </c>
    </row>
    <row r="1165" spans="1:14" ht="15">
      <c r="A1165" s="12"/>
      <c r="B1165" s="33" t="s">
        <v>186</v>
      </c>
      <c r="C1165" s="92" t="s">
        <v>363</v>
      </c>
      <c r="D1165" s="33" t="s">
        <v>411</v>
      </c>
      <c r="E1165" s="34">
        <v>44530</v>
      </c>
      <c r="F1165" s="34">
        <v>44531</v>
      </c>
      <c r="G1165" s="34">
        <v>44536</v>
      </c>
      <c r="H1165" s="35">
        <v>1.4999999999999999E-2</v>
      </c>
      <c r="I1165" s="67">
        <v>0.1137</v>
      </c>
      <c r="J1165" s="67">
        <v>0</v>
      </c>
      <c r="K1165" s="67">
        <v>0.1137</v>
      </c>
      <c r="L1165" s="36">
        <f>+K1165-((K1165*0.4234*0.125)+(K1165*(1-0.4234)*0.26))</f>
        <v>9.0636978300000004E-2</v>
      </c>
      <c r="M1165" s="64">
        <f t="shared" si="40"/>
        <v>9.0636978300000004E-2</v>
      </c>
      <c r="N1165" s="33" t="s">
        <v>251</v>
      </c>
    </row>
    <row r="1166" spans="1:14" ht="15">
      <c r="A1166" s="12"/>
      <c r="B1166" s="33" t="s">
        <v>194</v>
      </c>
      <c r="C1166" s="92" t="s">
        <v>364</v>
      </c>
      <c r="D1166" s="33" t="s">
        <v>411</v>
      </c>
      <c r="E1166" s="34">
        <v>44530</v>
      </c>
      <c r="F1166" s="34">
        <v>44531</v>
      </c>
      <c r="G1166" s="34">
        <v>44536</v>
      </c>
      <c r="H1166" s="35">
        <v>1.4999999999999999E-2</v>
      </c>
      <c r="I1166" s="67">
        <v>0.1172</v>
      </c>
      <c r="J1166" s="67">
        <v>0</v>
      </c>
      <c r="K1166" s="67">
        <v>0.1172</v>
      </c>
      <c r="L1166" s="36">
        <f>+K1166-((K1166*0.4234*0.125)+(K1166*(1-0.4234)*0.26))</f>
        <v>9.3427034800000003E-2</v>
      </c>
      <c r="M1166" s="64">
        <f t="shared" si="40"/>
        <v>9.3427034800000003E-2</v>
      </c>
      <c r="N1166" s="33" t="s">
        <v>251</v>
      </c>
    </row>
    <row r="1167" spans="1:14" ht="15">
      <c r="A1167" s="12"/>
      <c r="B1167" s="33" t="s">
        <v>307</v>
      </c>
      <c r="C1167" s="92" t="s">
        <v>420</v>
      </c>
      <c r="D1167" s="33" t="s">
        <v>411</v>
      </c>
      <c r="E1167" s="34">
        <v>44530</v>
      </c>
      <c r="F1167" s="34">
        <v>44531</v>
      </c>
      <c r="G1167" s="34">
        <v>44536</v>
      </c>
      <c r="H1167" s="35">
        <v>1.4999999999999999E-2</v>
      </c>
      <c r="I1167" s="67">
        <v>6.4000000000000003E-3</v>
      </c>
      <c r="J1167" s="67">
        <v>0</v>
      </c>
      <c r="K1167" s="67">
        <v>6.4000000000000003E-3</v>
      </c>
      <c r="L1167" s="36">
        <f>+K1167-((K1167*0.5961*0.125)+(K1167*(1-0.5961)*0.26))</f>
        <v>5.2510304000000004E-3</v>
      </c>
      <c r="M1167" s="64">
        <f t="shared" si="40"/>
        <v>5.2510304000000004E-3</v>
      </c>
      <c r="N1167" s="33" t="s">
        <v>251</v>
      </c>
    </row>
    <row r="1168" spans="1:14" ht="15">
      <c r="A1168" s="12"/>
      <c r="B1168" s="33" t="s">
        <v>185</v>
      </c>
      <c r="C1168" s="92" t="s">
        <v>366</v>
      </c>
      <c r="D1168" s="33" t="s">
        <v>411</v>
      </c>
      <c r="E1168" s="34">
        <v>44530</v>
      </c>
      <c r="F1168" s="34">
        <v>44531</v>
      </c>
      <c r="G1168" s="34">
        <v>44536</v>
      </c>
      <c r="H1168" s="35">
        <v>1.4999999999999999E-2</v>
      </c>
      <c r="I1168" s="67">
        <v>0.1067</v>
      </c>
      <c r="J1168" s="67">
        <v>0</v>
      </c>
      <c r="K1168" s="67">
        <v>0.1067</v>
      </c>
      <c r="L1168" s="36">
        <f>+K1168-((K1168*0.5961*0.125)+(K1168*(1-0.5961)*0.26))</f>
        <v>8.7544522449999995E-2</v>
      </c>
      <c r="M1168" s="64">
        <f t="shared" si="40"/>
        <v>8.7544522449999995E-2</v>
      </c>
      <c r="N1168" s="33" t="s">
        <v>251</v>
      </c>
    </row>
    <row r="1169" spans="1:14" ht="15">
      <c r="A1169" s="12"/>
      <c r="B1169" s="33" t="s">
        <v>193</v>
      </c>
      <c r="C1169" s="92" t="s">
        <v>367</v>
      </c>
      <c r="D1169" s="33" t="s">
        <v>411</v>
      </c>
      <c r="E1169" s="34">
        <v>44530</v>
      </c>
      <c r="F1169" s="34">
        <v>44531</v>
      </c>
      <c r="G1169" s="34">
        <v>44536</v>
      </c>
      <c r="H1169" s="35">
        <v>1.4999999999999999E-2</v>
      </c>
      <c r="I1169" s="67">
        <v>0.1042</v>
      </c>
      <c r="J1169" s="67">
        <v>0</v>
      </c>
      <c r="K1169" s="67">
        <v>0.1042</v>
      </c>
      <c r="L1169" s="36">
        <f>+K1169-((K1169*0.5961*0.125)+(K1169*(1-0.5961)*0.26))</f>
        <v>8.5493338700000004E-2</v>
      </c>
      <c r="M1169" s="64">
        <f t="shared" si="40"/>
        <v>8.5493338700000004E-2</v>
      </c>
      <c r="N1169" s="33" t="s">
        <v>251</v>
      </c>
    </row>
    <row r="1170" spans="1:14" ht="15">
      <c r="A1170" s="12"/>
      <c r="B1170" s="33" t="s">
        <v>309</v>
      </c>
      <c r="C1170" s="92" t="s">
        <v>427</v>
      </c>
      <c r="D1170" s="33" t="s">
        <v>411</v>
      </c>
      <c r="E1170" s="34">
        <v>44530</v>
      </c>
      <c r="F1170" s="34">
        <v>44531</v>
      </c>
      <c r="G1170" s="34">
        <v>44536</v>
      </c>
      <c r="H1170" s="35">
        <v>1.4999999999999999E-2</v>
      </c>
      <c r="I1170" s="67">
        <v>6.4000000000000003E-3</v>
      </c>
      <c r="J1170" s="67">
        <v>0</v>
      </c>
      <c r="K1170" s="67">
        <v>6.4000000000000003E-3</v>
      </c>
      <c r="L1170" s="36">
        <f>+K1170-((K1170*0.0215*0.125)+(K1170*(1-0.0215)*0.26))</f>
        <v>4.7545759999999999E-3</v>
      </c>
      <c r="M1170" s="64">
        <f t="shared" si="40"/>
        <v>4.7545759999999999E-3</v>
      </c>
      <c r="N1170" s="33" t="s">
        <v>251</v>
      </c>
    </row>
    <row r="1171" spans="1:14" ht="15">
      <c r="A1171" s="12"/>
      <c r="B1171" s="33" t="s">
        <v>187</v>
      </c>
      <c r="C1171" s="92" t="s">
        <v>368</v>
      </c>
      <c r="D1171" s="33" t="s">
        <v>411</v>
      </c>
      <c r="E1171" s="34">
        <v>44530</v>
      </c>
      <c r="F1171" s="34">
        <v>44531</v>
      </c>
      <c r="G1171" s="34">
        <v>44536</v>
      </c>
      <c r="H1171" s="35">
        <v>1.4999999999999999E-2</v>
      </c>
      <c r="I1171" s="67">
        <v>0.1123</v>
      </c>
      <c r="J1171" s="67">
        <v>0</v>
      </c>
      <c r="K1171" s="67">
        <v>0.1123</v>
      </c>
      <c r="L1171" s="36">
        <f>+K1171-((K1171*0.0215*0.125)+(K1171*(1-0.0215)*0.26))</f>
        <v>8.3427950749999993E-2</v>
      </c>
      <c r="M1171" s="64">
        <f t="shared" si="40"/>
        <v>8.3427950749999993E-2</v>
      </c>
      <c r="N1171" s="33" t="s">
        <v>251</v>
      </c>
    </row>
    <row r="1172" spans="1:14" ht="15">
      <c r="A1172" s="12"/>
      <c r="B1172" s="33" t="s">
        <v>195</v>
      </c>
      <c r="C1172" s="92" t="s">
        <v>369</v>
      </c>
      <c r="D1172" s="33" t="s">
        <v>411</v>
      </c>
      <c r="E1172" s="34">
        <v>44530</v>
      </c>
      <c r="F1172" s="34">
        <v>44531</v>
      </c>
      <c r="G1172" s="34">
        <v>44536</v>
      </c>
      <c r="H1172" s="35">
        <v>1.4999999999999999E-2</v>
      </c>
      <c r="I1172" s="67">
        <v>0.11609999999999999</v>
      </c>
      <c r="J1172" s="67">
        <v>0</v>
      </c>
      <c r="K1172" s="67">
        <v>0.11609999999999999</v>
      </c>
      <c r="L1172" s="36">
        <f>+K1172-((K1172*0.0215*0.125)+(K1172*(1-0.0215)*0.26))</f>
        <v>8.6250980249999998E-2</v>
      </c>
      <c r="M1172" s="64">
        <f t="shared" si="40"/>
        <v>8.6250980249999998E-2</v>
      </c>
      <c r="N1172" s="33" t="s">
        <v>251</v>
      </c>
    </row>
    <row r="1173" spans="1:14" ht="15">
      <c r="A1173" s="12"/>
      <c r="B1173" s="33" t="s">
        <v>312</v>
      </c>
      <c r="C1173" s="92" t="s">
        <v>428</v>
      </c>
      <c r="D1173" s="33" t="s">
        <v>411</v>
      </c>
      <c r="E1173" s="34">
        <v>44530</v>
      </c>
      <c r="F1173" s="34">
        <v>44531</v>
      </c>
      <c r="G1173" s="34">
        <v>44536</v>
      </c>
      <c r="H1173" s="35">
        <v>3.5000000000000003E-2</v>
      </c>
      <c r="I1173" s="67">
        <v>1.35E-2</v>
      </c>
      <c r="J1173" s="67">
        <v>0</v>
      </c>
      <c r="K1173" s="67">
        <v>1.35E-2</v>
      </c>
      <c r="L1173" s="36">
        <f>+K1173-((K1173*0.000000000001*0.125)+(K1173*(1-0.00000000001)*0.26))</f>
        <v>9.9900000000334131E-3</v>
      </c>
      <c r="M1173" s="64">
        <f t="shared" si="40"/>
        <v>9.9900000000334131E-3</v>
      </c>
      <c r="N1173" s="33" t="s">
        <v>251</v>
      </c>
    </row>
    <row r="1174" spans="1:14" ht="15">
      <c r="A1174" s="12"/>
      <c r="B1174" s="33" t="s">
        <v>190</v>
      </c>
      <c r="C1174" s="92" t="s">
        <v>370</v>
      </c>
      <c r="D1174" s="33" t="s">
        <v>411</v>
      </c>
      <c r="E1174" s="34">
        <v>44530</v>
      </c>
      <c r="F1174" s="34">
        <v>44531</v>
      </c>
      <c r="G1174" s="34">
        <v>44536</v>
      </c>
      <c r="H1174" s="35">
        <v>3.5000000000000003E-2</v>
      </c>
      <c r="I1174" s="67">
        <v>0.2555</v>
      </c>
      <c r="J1174" s="67">
        <v>0</v>
      </c>
      <c r="K1174" s="67">
        <v>0.2555</v>
      </c>
      <c r="L1174" s="36">
        <f>+K1174-((K1174*0.000000000001*0.125)+(K1174*(1-0.00000000001)*0.26))</f>
        <v>0.18907000000063237</v>
      </c>
      <c r="M1174" s="64">
        <f t="shared" si="40"/>
        <v>0.18907000000063237</v>
      </c>
      <c r="N1174" s="33" t="s">
        <v>251</v>
      </c>
    </row>
    <row r="1175" spans="1:14" ht="15">
      <c r="A1175" s="12"/>
      <c r="B1175" s="33" t="s">
        <v>198</v>
      </c>
      <c r="C1175" s="92" t="s">
        <v>371</v>
      </c>
      <c r="D1175" s="33" t="s">
        <v>411</v>
      </c>
      <c r="E1175" s="34">
        <v>44530</v>
      </c>
      <c r="F1175" s="34">
        <v>44531</v>
      </c>
      <c r="G1175" s="34">
        <v>44536</v>
      </c>
      <c r="H1175" s="35">
        <v>3.5000000000000003E-2</v>
      </c>
      <c r="I1175" s="67">
        <v>0.25640000000000002</v>
      </c>
      <c r="J1175" s="67">
        <v>0</v>
      </c>
      <c r="K1175" s="67">
        <v>0.25640000000000002</v>
      </c>
      <c r="L1175" s="36">
        <f>+K1175-((K1175*0.000000000001*0.125)+(K1175*(1-0.00000000001)*0.26))</f>
        <v>0.18973600000063462</v>
      </c>
      <c r="M1175" s="64">
        <f t="shared" si="40"/>
        <v>0.18973600000063462</v>
      </c>
      <c r="N1175" s="33" t="s">
        <v>251</v>
      </c>
    </row>
    <row r="1176" spans="1:14" ht="15">
      <c r="A1176" s="12"/>
      <c r="B1176" s="33" t="s">
        <v>513</v>
      </c>
      <c r="C1176" s="92" t="s">
        <v>515</v>
      </c>
      <c r="D1176" s="33" t="s">
        <v>411</v>
      </c>
      <c r="E1176" s="34">
        <v>44530</v>
      </c>
      <c r="F1176" s="34">
        <v>44531</v>
      </c>
      <c r="G1176" s="34">
        <v>44536</v>
      </c>
      <c r="H1176" s="35">
        <v>0.02</v>
      </c>
      <c r="I1176" s="67">
        <v>0.13469999999999999</v>
      </c>
      <c r="J1176" s="67">
        <v>0.13469999999999999</v>
      </c>
      <c r="K1176" s="67">
        <v>0</v>
      </c>
      <c r="L1176" s="36">
        <f>+K1176-((K1176*0.4282*0.125)+(K1176*(1-0.4282)*0.26))</f>
        <v>0</v>
      </c>
      <c r="M1176" s="64">
        <f t="shared" si="40"/>
        <v>0.13469999999999999</v>
      </c>
      <c r="N1176" s="33" t="s">
        <v>251</v>
      </c>
    </row>
    <row r="1177" spans="1:14" ht="15">
      <c r="A1177" s="12"/>
      <c r="B1177" s="33" t="s">
        <v>514</v>
      </c>
      <c r="C1177" s="92" t="s">
        <v>516</v>
      </c>
      <c r="D1177" s="33" t="s">
        <v>411</v>
      </c>
      <c r="E1177" s="34">
        <v>44530</v>
      </c>
      <c r="F1177" s="34">
        <v>44531</v>
      </c>
      <c r="G1177" s="34">
        <v>44536</v>
      </c>
      <c r="H1177" s="35">
        <v>0.02</v>
      </c>
      <c r="I1177" s="67">
        <v>0.1356</v>
      </c>
      <c r="J1177" s="67">
        <v>0.1356</v>
      </c>
      <c r="K1177" s="67">
        <v>0</v>
      </c>
      <c r="L1177" s="36">
        <f>+K1177-((K1177*0.4282*0.125)+(K1177*(1-0.4282)*0.26))</f>
        <v>0</v>
      </c>
      <c r="M1177" s="64">
        <f t="shared" si="40"/>
        <v>0.1356</v>
      </c>
      <c r="N1177" s="33" t="s">
        <v>251</v>
      </c>
    </row>
    <row r="1178" spans="1:14" ht="15">
      <c r="A1178" s="12"/>
      <c r="B1178" s="33" t="s">
        <v>313</v>
      </c>
      <c r="C1178" s="92" t="s">
        <v>429</v>
      </c>
      <c r="D1178" s="33" t="s">
        <v>411</v>
      </c>
      <c r="E1178" s="34">
        <v>44530</v>
      </c>
      <c r="F1178" s="34">
        <v>44531</v>
      </c>
      <c r="G1178" s="34">
        <v>44536</v>
      </c>
      <c r="H1178" s="35">
        <v>0.01</v>
      </c>
      <c r="I1178" s="67">
        <v>4.3E-3</v>
      </c>
      <c r="J1178" s="67">
        <v>0</v>
      </c>
      <c r="K1178" s="67">
        <v>4.3E-3</v>
      </c>
      <c r="L1178" s="36">
        <f>+K1178-((K1178*0.148*0.125)+(K1178*(1-0.148)*0.26))</f>
        <v>3.2679140000000002E-3</v>
      </c>
      <c r="M1178" s="64">
        <f t="shared" si="40"/>
        <v>3.2679140000000002E-3</v>
      </c>
      <c r="N1178" s="33" t="s">
        <v>251</v>
      </c>
    </row>
    <row r="1179" spans="1:14" ht="15">
      <c r="A1179" s="12"/>
      <c r="B1179" s="33" t="s">
        <v>174</v>
      </c>
      <c r="C1179" s="92" t="s">
        <v>382</v>
      </c>
      <c r="D1179" s="33" t="s">
        <v>410</v>
      </c>
      <c r="E1179" s="34">
        <v>44560</v>
      </c>
      <c r="F1179" s="34">
        <v>44561</v>
      </c>
      <c r="G1179" s="34">
        <v>44566</v>
      </c>
      <c r="H1179" s="35"/>
      <c r="I1179" s="67">
        <v>3.0762999999999999E-2</v>
      </c>
      <c r="J1179" s="67">
        <v>0</v>
      </c>
      <c r="K1179" s="67">
        <v>3.0762790000000002E-2</v>
      </c>
      <c r="L1179" s="36">
        <f>+K1179-((K1179*0.0055*0.125)+(K1179*(1-0.0055)*0.26))</f>
        <v>2.2787305971575002E-2</v>
      </c>
      <c r="M1179" s="64">
        <f t="shared" si="40"/>
        <v>2.2787305971575002E-2</v>
      </c>
      <c r="N1179" s="33" t="s">
        <v>247</v>
      </c>
    </row>
    <row r="1180" spans="1:14" ht="15">
      <c r="A1180" s="12"/>
      <c r="B1180" s="33" t="s">
        <v>176</v>
      </c>
      <c r="C1180" s="92" t="s">
        <v>397</v>
      </c>
      <c r="D1180" s="33" t="s">
        <v>410</v>
      </c>
      <c r="E1180" s="34">
        <v>44560</v>
      </c>
      <c r="F1180" s="34">
        <v>44561</v>
      </c>
      <c r="G1180" s="34">
        <v>44566</v>
      </c>
      <c r="H1180" s="35"/>
      <c r="I1180" s="67">
        <v>2.7282000000000001E-2</v>
      </c>
      <c r="J1180" s="67">
        <v>0</v>
      </c>
      <c r="K1180" s="67">
        <v>2.7282319999999999E-2</v>
      </c>
      <c r="L1180" s="36">
        <f>+K1180-((K1180*0.1125*0.125)+(K1180*(1-0.1125)*0.26))</f>
        <v>2.0603267034999997E-2</v>
      </c>
      <c r="M1180" s="64">
        <f t="shared" si="40"/>
        <v>2.0603267034999997E-2</v>
      </c>
      <c r="N1180" s="33" t="s">
        <v>247</v>
      </c>
    </row>
    <row r="1181" spans="1:14" ht="15">
      <c r="A1181" s="12"/>
      <c r="B1181" s="33" t="s">
        <v>175</v>
      </c>
      <c r="C1181" s="92" t="s">
        <v>465</v>
      </c>
      <c r="D1181" s="33" t="s">
        <v>410</v>
      </c>
      <c r="E1181" s="34">
        <v>44560</v>
      </c>
      <c r="F1181" s="34">
        <v>44561</v>
      </c>
      <c r="G1181" s="34">
        <v>44566</v>
      </c>
      <c r="H1181" s="35"/>
      <c r="I1181" s="67">
        <v>6.4131999999999995E-2</v>
      </c>
      <c r="J1181" s="67">
        <v>0</v>
      </c>
      <c r="K1181" s="67">
        <v>6.4131779999999999E-2</v>
      </c>
      <c r="L1181" s="36">
        <f>+K1181-((K1181*0.1445*0.125)+(K1181*(1-0.1445)*0.26))</f>
        <v>4.870856789835E-2</v>
      </c>
      <c r="M1181" s="64">
        <f t="shared" si="40"/>
        <v>4.870856789835E-2</v>
      </c>
      <c r="N1181" s="33" t="s">
        <v>247</v>
      </c>
    </row>
    <row r="1182" spans="1:14" ht="15">
      <c r="A1182" s="12"/>
      <c r="B1182" s="33" t="s">
        <v>310</v>
      </c>
      <c r="C1182" s="92" t="s">
        <v>424</v>
      </c>
      <c r="D1182" s="33" t="s">
        <v>411</v>
      </c>
      <c r="E1182" s="34">
        <v>44561</v>
      </c>
      <c r="F1182" s="34">
        <v>44564</v>
      </c>
      <c r="G1182" s="34">
        <v>44567</v>
      </c>
      <c r="H1182" s="35">
        <v>0.05</v>
      </c>
      <c r="I1182" s="67">
        <v>2.0500000000000001E-2</v>
      </c>
      <c r="J1182" s="67">
        <v>0</v>
      </c>
      <c r="K1182" s="67">
        <v>2.0500000000000001E-2</v>
      </c>
      <c r="L1182" s="36">
        <f>+K1182-((K1182*0.0367*0.125)+(K1182*(1-0.0367)*0.26))</f>
        <v>1.527156725E-2</v>
      </c>
      <c r="M1182" s="64">
        <f t="shared" si="40"/>
        <v>1.527156725E-2</v>
      </c>
      <c r="N1182" s="33" t="s">
        <v>251</v>
      </c>
    </row>
    <row r="1183" spans="1:14" ht="15">
      <c r="A1183" s="12"/>
      <c r="B1183" s="33" t="s">
        <v>188</v>
      </c>
      <c r="C1183" s="92" t="s">
        <v>339</v>
      </c>
      <c r="D1183" s="33" t="s">
        <v>411</v>
      </c>
      <c r="E1183" s="34">
        <v>44561</v>
      </c>
      <c r="F1183" s="34">
        <v>44564</v>
      </c>
      <c r="G1183" s="34">
        <v>44567</v>
      </c>
      <c r="H1183" s="35">
        <v>0.05</v>
      </c>
      <c r="I1183" s="67">
        <v>0.35880000000000001</v>
      </c>
      <c r="J1183" s="67">
        <v>0</v>
      </c>
      <c r="K1183" s="67">
        <v>0.35880000000000001</v>
      </c>
      <c r="L1183" s="36">
        <f>+K1183-((K1183*0.0367*0.125)+(K1183*(1-0.0367)*0.26))</f>
        <v>0.26728967459999997</v>
      </c>
      <c r="M1183" s="64">
        <f t="shared" si="40"/>
        <v>0.26728967459999997</v>
      </c>
      <c r="N1183" s="33" t="s">
        <v>251</v>
      </c>
    </row>
    <row r="1184" spans="1:14" ht="15">
      <c r="A1184" s="12"/>
      <c r="B1184" s="33" t="s">
        <v>196</v>
      </c>
      <c r="C1184" s="92" t="s">
        <v>340</v>
      </c>
      <c r="D1184" s="33" t="s">
        <v>411</v>
      </c>
      <c r="E1184" s="34">
        <v>44561</v>
      </c>
      <c r="F1184" s="34">
        <v>44564</v>
      </c>
      <c r="G1184" s="34">
        <v>44567</v>
      </c>
      <c r="H1184" s="35">
        <v>0.05</v>
      </c>
      <c r="I1184" s="67">
        <v>0.37259999999999999</v>
      </c>
      <c r="J1184" s="67">
        <v>0</v>
      </c>
      <c r="K1184" s="67">
        <v>0.37259999999999999</v>
      </c>
      <c r="L1184" s="36">
        <f>+K1184-((K1184*0.0367*0.125)+(K1184*(1-0.0367)*0.26))</f>
        <v>0.27757004669999996</v>
      </c>
      <c r="M1184" s="64">
        <f t="shared" si="40"/>
        <v>0.27757004669999996</v>
      </c>
      <c r="N1184" s="33" t="s">
        <v>251</v>
      </c>
    </row>
    <row r="1185" spans="1:14" ht="15">
      <c r="A1185" s="12"/>
      <c r="B1185" s="33" t="s">
        <v>191</v>
      </c>
      <c r="C1185" s="92" t="s">
        <v>346</v>
      </c>
      <c r="D1185" s="33" t="s">
        <v>411</v>
      </c>
      <c r="E1185" s="34">
        <v>44561</v>
      </c>
      <c r="F1185" s="34">
        <v>44564</v>
      </c>
      <c r="G1185" s="34">
        <v>44567</v>
      </c>
      <c r="H1185" s="35">
        <v>3.5000000000000003E-2</v>
      </c>
      <c r="I1185" s="67">
        <v>1.41E-2</v>
      </c>
      <c r="J1185" s="67">
        <v>0</v>
      </c>
      <c r="K1185" s="67">
        <v>1.41E-2</v>
      </c>
      <c r="L1185" s="36">
        <f>+K1185-((K1185*0.7506*0.125)+(K1185*(1-0.7506)*0.26))</f>
        <v>1.1862767099999999E-2</v>
      </c>
      <c r="M1185" s="64">
        <f t="shared" si="40"/>
        <v>1.1862767099999999E-2</v>
      </c>
      <c r="N1185" s="33" t="s">
        <v>251</v>
      </c>
    </row>
    <row r="1186" spans="1:14" ht="15">
      <c r="A1186" s="12"/>
      <c r="B1186" s="33" t="s">
        <v>199</v>
      </c>
      <c r="C1186" s="92" t="s">
        <v>347</v>
      </c>
      <c r="D1186" s="33" t="s">
        <v>411</v>
      </c>
      <c r="E1186" s="34">
        <v>44561</v>
      </c>
      <c r="F1186" s="34">
        <v>44564</v>
      </c>
      <c r="G1186" s="34">
        <v>44567</v>
      </c>
      <c r="H1186" s="35">
        <v>3.5000000000000003E-2</v>
      </c>
      <c r="I1186" s="67">
        <v>1.4E-2</v>
      </c>
      <c r="J1186" s="67">
        <v>0</v>
      </c>
      <c r="K1186" s="67">
        <v>1.4E-2</v>
      </c>
      <c r="L1186" s="36">
        <f>+K1186-((K1186*0.7506*0.125)+(K1186*(1-0.7506)*0.26))</f>
        <v>1.1778634E-2</v>
      </c>
      <c r="M1186" s="64">
        <f t="shared" ref="M1186:M1249" si="41">J1186+L1186</f>
        <v>1.1778634E-2</v>
      </c>
      <c r="N1186" s="33" t="s">
        <v>251</v>
      </c>
    </row>
    <row r="1187" spans="1:14" ht="15">
      <c r="A1187" s="12"/>
      <c r="B1187" s="33" t="s">
        <v>306</v>
      </c>
      <c r="C1187" s="92" t="s">
        <v>430</v>
      </c>
      <c r="D1187" s="33" t="s">
        <v>411</v>
      </c>
      <c r="E1187" s="34">
        <v>44561</v>
      </c>
      <c r="F1187" s="34">
        <v>44564</v>
      </c>
      <c r="G1187" s="34">
        <v>44567</v>
      </c>
      <c r="H1187" s="35">
        <v>2.5000000000000001E-2</v>
      </c>
      <c r="I1187" s="67">
        <v>1.03E-2</v>
      </c>
      <c r="J1187" s="67">
        <v>0</v>
      </c>
      <c r="K1187" s="67">
        <v>1.03E-2</v>
      </c>
      <c r="L1187" s="36">
        <f>+K1187-((K1187*0.0002*0.125)+(K1187*(1-0.0002)*0.26))</f>
        <v>7.6222780999999993E-3</v>
      </c>
      <c r="M1187" s="64">
        <f t="shared" si="41"/>
        <v>7.6222780999999993E-3</v>
      </c>
      <c r="N1187" s="33" t="s">
        <v>251</v>
      </c>
    </row>
    <row r="1188" spans="1:14" ht="15">
      <c r="A1188" s="12"/>
      <c r="B1188" s="33" t="s">
        <v>184</v>
      </c>
      <c r="C1188" s="92" t="s">
        <v>354</v>
      </c>
      <c r="D1188" s="33" t="s">
        <v>411</v>
      </c>
      <c r="E1188" s="34">
        <v>44561</v>
      </c>
      <c r="F1188" s="34">
        <v>44564</v>
      </c>
      <c r="G1188" s="34">
        <v>44567</v>
      </c>
      <c r="H1188" s="35">
        <v>2.5000000000000001E-2</v>
      </c>
      <c r="I1188" s="67">
        <v>0.20749999999999999</v>
      </c>
      <c r="J1188" s="67">
        <v>0</v>
      </c>
      <c r="K1188" s="67">
        <v>0.20749999999999999</v>
      </c>
      <c r="L1188" s="36">
        <f>+K1188-((K1188*0.0002*0.125)+(K1188*(1-0.0002)*0.26))</f>
        <v>0.1535556025</v>
      </c>
      <c r="M1188" s="64">
        <f t="shared" si="41"/>
        <v>0.1535556025</v>
      </c>
      <c r="N1188" s="33" t="s">
        <v>251</v>
      </c>
    </row>
    <row r="1189" spans="1:14" ht="15">
      <c r="A1189" s="12"/>
      <c r="B1189" s="33" t="s">
        <v>192</v>
      </c>
      <c r="C1189" s="92" t="s">
        <v>355</v>
      </c>
      <c r="D1189" s="33" t="s">
        <v>411</v>
      </c>
      <c r="E1189" s="34">
        <v>44561</v>
      </c>
      <c r="F1189" s="34">
        <v>44564</v>
      </c>
      <c r="G1189" s="34">
        <v>44567</v>
      </c>
      <c r="H1189" s="35">
        <v>2.5000000000000001E-2</v>
      </c>
      <c r="I1189" s="67">
        <v>0.20960000000000001</v>
      </c>
      <c r="J1189" s="67">
        <v>0</v>
      </c>
      <c r="K1189" s="67">
        <v>0.20960000000000001</v>
      </c>
      <c r="L1189" s="36">
        <f>+K1189-((K1189*0.0002*0.125)+(K1189*(1-0.0002)*0.26))</f>
        <v>0.1551096592</v>
      </c>
      <c r="M1189" s="64">
        <f t="shared" si="41"/>
        <v>0.1551096592</v>
      </c>
      <c r="N1189" s="33" t="s">
        <v>251</v>
      </c>
    </row>
    <row r="1190" spans="1:14" ht="15">
      <c r="A1190" s="12"/>
      <c r="B1190" s="33" t="s">
        <v>311</v>
      </c>
      <c r="C1190" s="92" t="s">
        <v>425</v>
      </c>
      <c r="D1190" s="33" t="s">
        <v>411</v>
      </c>
      <c r="E1190" s="34">
        <v>44561</v>
      </c>
      <c r="F1190" s="34">
        <v>44564</v>
      </c>
      <c r="G1190" s="34">
        <v>44567</v>
      </c>
      <c r="H1190" s="35">
        <v>1.4999999999999999E-2</v>
      </c>
      <c r="I1190" s="67">
        <v>6.1000000000000004E-3</v>
      </c>
      <c r="J1190" s="67">
        <v>0</v>
      </c>
      <c r="K1190" s="67">
        <v>6.1000000000000004E-3</v>
      </c>
      <c r="L1190" s="36">
        <f>+K1190-((K1190*0.0000001*0.125)+(K1190*(1-0.0000001)*0.26))</f>
        <v>4.5140000823499999E-3</v>
      </c>
      <c r="M1190" s="64">
        <f t="shared" si="41"/>
        <v>4.5140000823499999E-3</v>
      </c>
      <c r="N1190" s="33" t="s">
        <v>251</v>
      </c>
    </row>
    <row r="1191" spans="1:14" ht="15">
      <c r="A1191" s="12"/>
      <c r="B1191" s="33" t="s">
        <v>189</v>
      </c>
      <c r="C1191" s="92" t="s">
        <v>356</v>
      </c>
      <c r="D1191" s="33" t="s">
        <v>411</v>
      </c>
      <c r="E1191" s="34">
        <v>44561</v>
      </c>
      <c r="F1191" s="34">
        <v>44564</v>
      </c>
      <c r="G1191" s="34">
        <v>44567</v>
      </c>
      <c r="H1191" s="35">
        <v>1.4999999999999999E-2</v>
      </c>
      <c r="I1191" s="67">
        <v>0.1124</v>
      </c>
      <c r="J1191" s="67">
        <v>0</v>
      </c>
      <c r="K1191" s="67">
        <v>0.1124</v>
      </c>
      <c r="L1191" s="36">
        <f>+K1191-((K1191*0.0000001*0.125)+(K1191*(1-0.0000001)*0.26))</f>
        <v>8.3176001517399997E-2</v>
      </c>
      <c r="M1191" s="64">
        <f t="shared" si="41"/>
        <v>8.3176001517399997E-2</v>
      </c>
      <c r="N1191" s="33" t="s">
        <v>251</v>
      </c>
    </row>
    <row r="1192" spans="1:14" ht="15">
      <c r="A1192" s="12"/>
      <c r="B1192" s="33" t="s">
        <v>197</v>
      </c>
      <c r="C1192" s="92" t="s">
        <v>357</v>
      </c>
      <c r="D1192" s="33" t="s">
        <v>411</v>
      </c>
      <c r="E1192" s="34">
        <v>44561</v>
      </c>
      <c r="F1192" s="34">
        <v>44564</v>
      </c>
      <c r="G1192" s="34">
        <v>44567</v>
      </c>
      <c r="H1192" s="35">
        <v>1.4999999999999999E-2</v>
      </c>
      <c r="I1192" s="67">
        <v>0.1145</v>
      </c>
      <c r="J1192" s="67">
        <v>0</v>
      </c>
      <c r="K1192" s="67">
        <v>0.1145</v>
      </c>
      <c r="L1192" s="36">
        <f>+K1192-((K1192*0.0000001*0.125)+(K1192*(1-0.0000001)*0.26))</f>
        <v>8.473000154575E-2</v>
      </c>
      <c r="M1192" s="64">
        <f t="shared" si="41"/>
        <v>8.473000154575E-2</v>
      </c>
      <c r="N1192" s="33" t="s">
        <v>251</v>
      </c>
    </row>
    <row r="1193" spans="1:14" ht="15">
      <c r="A1193" s="12"/>
      <c r="B1193" s="33" t="s">
        <v>308</v>
      </c>
      <c r="C1193" s="92" t="s">
        <v>426</v>
      </c>
      <c r="D1193" s="33" t="s">
        <v>411</v>
      </c>
      <c r="E1193" s="34">
        <v>44561</v>
      </c>
      <c r="F1193" s="34">
        <v>44564</v>
      </c>
      <c r="G1193" s="34">
        <v>44567</v>
      </c>
      <c r="H1193" s="35">
        <v>1.4999999999999999E-2</v>
      </c>
      <c r="I1193" s="67">
        <v>6.1999999999999998E-3</v>
      </c>
      <c r="J1193" s="67">
        <v>0</v>
      </c>
      <c r="K1193" s="67">
        <v>6.1999999999999998E-3</v>
      </c>
      <c r="L1193" s="36">
        <f>+K1193-((K1193*0.4234*0.125)+(K1193*(1-0.4234)*0.26))</f>
        <v>4.9423857999999999E-3</v>
      </c>
      <c r="M1193" s="64">
        <f t="shared" si="41"/>
        <v>4.9423857999999999E-3</v>
      </c>
      <c r="N1193" s="33" t="s">
        <v>251</v>
      </c>
    </row>
    <row r="1194" spans="1:14" ht="15">
      <c r="A1194" s="12"/>
      <c r="B1194" s="33" t="s">
        <v>186</v>
      </c>
      <c r="C1194" s="92" t="s">
        <v>363</v>
      </c>
      <c r="D1194" s="33" t="s">
        <v>411</v>
      </c>
      <c r="E1194" s="34">
        <v>44561</v>
      </c>
      <c r="F1194" s="34">
        <v>44564</v>
      </c>
      <c r="G1194" s="34">
        <v>44567</v>
      </c>
      <c r="H1194" s="35">
        <v>1.4999999999999999E-2</v>
      </c>
      <c r="I1194" s="67">
        <v>0.1137</v>
      </c>
      <c r="J1194" s="67">
        <v>0</v>
      </c>
      <c r="K1194" s="67">
        <v>0.1137</v>
      </c>
      <c r="L1194" s="36">
        <f>+K1194-((K1194*0.4234*0.125)+(K1194*(1-0.4234)*0.26))</f>
        <v>9.0636978300000004E-2</v>
      </c>
      <c r="M1194" s="64">
        <f t="shared" si="41"/>
        <v>9.0636978300000004E-2</v>
      </c>
      <c r="N1194" s="33" t="s">
        <v>251</v>
      </c>
    </row>
    <row r="1195" spans="1:14" ht="15">
      <c r="A1195" s="12"/>
      <c r="B1195" s="33" t="s">
        <v>194</v>
      </c>
      <c r="C1195" s="92" t="s">
        <v>364</v>
      </c>
      <c r="D1195" s="33" t="s">
        <v>411</v>
      </c>
      <c r="E1195" s="34">
        <v>44561</v>
      </c>
      <c r="F1195" s="34">
        <v>44564</v>
      </c>
      <c r="G1195" s="34">
        <v>44567</v>
      </c>
      <c r="H1195" s="35">
        <v>1.4999999999999999E-2</v>
      </c>
      <c r="I1195" s="67">
        <v>0.1172</v>
      </c>
      <c r="J1195" s="67">
        <v>0</v>
      </c>
      <c r="K1195" s="67">
        <v>0.1172</v>
      </c>
      <c r="L1195" s="36">
        <f>+K1195-((K1195*0.4234*0.125)+(K1195*(1-0.4234)*0.26))</f>
        <v>9.3427034800000003E-2</v>
      </c>
      <c r="M1195" s="64">
        <f t="shared" si="41"/>
        <v>9.3427034800000003E-2</v>
      </c>
      <c r="N1195" s="33" t="s">
        <v>251</v>
      </c>
    </row>
    <row r="1196" spans="1:14" ht="15">
      <c r="A1196" s="12"/>
      <c r="B1196" s="33" t="s">
        <v>307</v>
      </c>
      <c r="C1196" s="92" t="s">
        <v>420</v>
      </c>
      <c r="D1196" s="33" t="s">
        <v>411</v>
      </c>
      <c r="E1196" s="34">
        <v>44561</v>
      </c>
      <c r="F1196" s="34">
        <v>44564</v>
      </c>
      <c r="G1196" s="34">
        <v>44567</v>
      </c>
      <c r="H1196" s="35">
        <v>1.4999999999999999E-2</v>
      </c>
      <c r="I1196" s="67">
        <v>6.4000000000000003E-3</v>
      </c>
      <c r="J1196" s="67">
        <v>0</v>
      </c>
      <c r="K1196" s="67">
        <v>6.4000000000000003E-3</v>
      </c>
      <c r="L1196" s="36">
        <f>+K1196-((K1196*0.5961*0.125)+(K1196*(1-0.5961)*0.26))</f>
        <v>5.2510304000000004E-3</v>
      </c>
      <c r="M1196" s="64">
        <f t="shared" si="41"/>
        <v>5.2510304000000004E-3</v>
      </c>
      <c r="N1196" s="33" t="s">
        <v>251</v>
      </c>
    </row>
    <row r="1197" spans="1:14" ht="15">
      <c r="A1197" s="12"/>
      <c r="B1197" s="33" t="s">
        <v>185</v>
      </c>
      <c r="C1197" s="92" t="s">
        <v>366</v>
      </c>
      <c r="D1197" s="33" t="s">
        <v>411</v>
      </c>
      <c r="E1197" s="34">
        <v>44561</v>
      </c>
      <c r="F1197" s="34">
        <v>44564</v>
      </c>
      <c r="G1197" s="34">
        <v>44567</v>
      </c>
      <c r="H1197" s="35">
        <v>1.4999999999999999E-2</v>
      </c>
      <c r="I1197" s="67">
        <v>0.1067</v>
      </c>
      <c r="J1197" s="67">
        <v>0</v>
      </c>
      <c r="K1197" s="67">
        <v>0.1067</v>
      </c>
      <c r="L1197" s="36">
        <f>+K1197-((K1197*0.5961*0.125)+(K1197*(1-0.5961)*0.26))</f>
        <v>8.7544522449999995E-2</v>
      </c>
      <c r="M1197" s="64">
        <f t="shared" si="41"/>
        <v>8.7544522449999995E-2</v>
      </c>
      <c r="N1197" s="33" t="s">
        <v>251</v>
      </c>
    </row>
    <row r="1198" spans="1:14" ht="15">
      <c r="A1198" s="12"/>
      <c r="B1198" s="33" t="s">
        <v>193</v>
      </c>
      <c r="C1198" s="92" t="s">
        <v>367</v>
      </c>
      <c r="D1198" s="33" t="s">
        <v>411</v>
      </c>
      <c r="E1198" s="34">
        <v>44561</v>
      </c>
      <c r="F1198" s="34">
        <v>44564</v>
      </c>
      <c r="G1198" s="34">
        <v>44567</v>
      </c>
      <c r="H1198" s="35">
        <v>1.4999999999999999E-2</v>
      </c>
      <c r="I1198" s="67">
        <v>0.1042</v>
      </c>
      <c r="J1198" s="67">
        <v>0</v>
      </c>
      <c r="K1198" s="67">
        <v>0.1042</v>
      </c>
      <c r="L1198" s="36">
        <f>+K1198-((K1198*0.5961*0.125)+(K1198*(1-0.5961)*0.26))</f>
        <v>8.5493338700000004E-2</v>
      </c>
      <c r="M1198" s="64">
        <f t="shared" si="41"/>
        <v>8.5493338700000004E-2</v>
      </c>
      <c r="N1198" s="33" t="s">
        <v>251</v>
      </c>
    </row>
    <row r="1199" spans="1:14" ht="15">
      <c r="A1199" s="12"/>
      <c r="B1199" s="33" t="s">
        <v>309</v>
      </c>
      <c r="C1199" s="92" t="s">
        <v>427</v>
      </c>
      <c r="D1199" s="33" t="s">
        <v>411</v>
      </c>
      <c r="E1199" s="34">
        <v>44561</v>
      </c>
      <c r="F1199" s="34">
        <v>44564</v>
      </c>
      <c r="G1199" s="34">
        <v>44567</v>
      </c>
      <c r="H1199" s="35">
        <v>1.4999999999999999E-2</v>
      </c>
      <c r="I1199" s="67">
        <v>6.4000000000000003E-3</v>
      </c>
      <c r="J1199" s="67">
        <v>0</v>
      </c>
      <c r="K1199" s="67">
        <v>6.4000000000000003E-3</v>
      </c>
      <c r="L1199" s="36">
        <f>+K1199-((K1199*0.0215*0.125)+(K1199*(1-0.0215)*0.26))</f>
        <v>4.7545759999999999E-3</v>
      </c>
      <c r="M1199" s="64">
        <f t="shared" si="41"/>
        <v>4.7545759999999999E-3</v>
      </c>
      <c r="N1199" s="33" t="s">
        <v>251</v>
      </c>
    </row>
    <row r="1200" spans="1:14" ht="15">
      <c r="A1200" s="12"/>
      <c r="B1200" s="33" t="s">
        <v>187</v>
      </c>
      <c r="C1200" s="92" t="s">
        <v>368</v>
      </c>
      <c r="D1200" s="33" t="s">
        <v>411</v>
      </c>
      <c r="E1200" s="34">
        <v>44561</v>
      </c>
      <c r="F1200" s="34">
        <v>44564</v>
      </c>
      <c r="G1200" s="34">
        <v>44567</v>
      </c>
      <c r="H1200" s="35">
        <v>1.4999999999999999E-2</v>
      </c>
      <c r="I1200" s="67">
        <v>0.1123</v>
      </c>
      <c r="J1200" s="67">
        <v>0</v>
      </c>
      <c r="K1200" s="67">
        <v>0.1123</v>
      </c>
      <c r="L1200" s="36">
        <f>+K1200-((K1200*0.0215*0.125)+(K1200*(1-0.0215)*0.26))</f>
        <v>8.3427950749999993E-2</v>
      </c>
      <c r="M1200" s="64">
        <f t="shared" si="41"/>
        <v>8.3427950749999993E-2</v>
      </c>
      <c r="N1200" s="33" t="s">
        <v>251</v>
      </c>
    </row>
    <row r="1201" spans="1:14" ht="15">
      <c r="A1201" s="12"/>
      <c r="B1201" s="33" t="s">
        <v>195</v>
      </c>
      <c r="C1201" s="92" t="s">
        <v>369</v>
      </c>
      <c r="D1201" s="33" t="s">
        <v>411</v>
      </c>
      <c r="E1201" s="34">
        <v>44561</v>
      </c>
      <c r="F1201" s="34">
        <v>44564</v>
      </c>
      <c r="G1201" s="34">
        <v>44567</v>
      </c>
      <c r="H1201" s="35">
        <v>1.4999999999999999E-2</v>
      </c>
      <c r="I1201" s="67">
        <v>0.11609999999999999</v>
      </c>
      <c r="J1201" s="67">
        <v>0</v>
      </c>
      <c r="K1201" s="67">
        <v>0.11609999999999999</v>
      </c>
      <c r="L1201" s="36">
        <f>+K1201-((K1201*0.0215*0.125)+(K1201*(1-0.0215)*0.26))</f>
        <v>8.6250980249999998E-2</v>
      </c>
      <c r="M1201" s="64">
        <f t="shared" si="41"/>
        <v>8.6250980249999998E-2</v>
      </c>
      <c r="N1201" s="33" t="s">
        <v>251</v>
      </c>
    </row>
    <row r="1202" spans="1:14" ht="15">
      <c r="A1202" s="12"/>
      <c r="B1202" s="33" t="s">
        <v>312</v>
      </c>
      <c r="C1202" s="92" t="s">
        <v>428</v>
      </c>
      <c r="D1202" s="33" t="s">
        <v>411</v>
      </c>
      <c r="E1202" s="34">
        <v>44561</v>
      </c>
      <c r="F1202" s="34">
        <v>44564</v>
      </c>
      <c r="G1202" s="34">
        <v>44567</v>
      </c>
      <c r="H1202" s="35">
        <v>3.5000000000000003E-2</v>
      </c>
      <c r="I1202" s="67">
        <v>1.35E-2</v>
      </c>
      <c r="J1202" s="67">
        <v>0</v>
      </c>
      <c r="K1202" s="67">
        <v>1.35E-2</v>
      </c>
      <c r="L1202" s="36">
        <f>+K1202-((K1202*0.000000000001*0.125)+(K1202*(1-0.00000000001)*0.26))</f>
        <v>9.9900000000334131E-3</v>
      </c>
      <c r="M1202" s="64">
        <f t="shared" si="41"/>
        <v>9.9900000000334131E-3</v>
      </c>
      <c r="N1202" s="33" t="s">
        <v>251</v>
      </c>
    </row>
    <row r="1203" spans="1:14" ht="15">
      <c r="A1203" s="12"/>
      <c r="B1203" s="33" t="s">
        <v>190</v>
      </c>
      <c r="C1203" s="92" t="s">
        <v>370</v>
      </c>
      <c r="D1203" s="33" t="s">
        <v>411</v>
      </c>
      <c r="E1203" s="34">
        <v>44561</v>
      </c>
      <c r="F1203" s="34">
        <v>44564</v>
      </c>
      <c r="G1203" s="34">
        <v>44567</v>
      </c>
      <c r="H1203" s="35">
        <v>3.5000000000000003E-2</v>
      </c>
      <c r="I1203" s="67">
        <v>0.2555</v>
      </c>
      <c r="J1203" s="67">
        <v>0</v>
      </c>
      <c r="K1203" s="67">
        <v>0.2555</v>
      </c>
      <c r="L1203" s="36">
        <f>+K1203-((K1203*0.000000000001*0.125)+(K1203*(1-0.00000000001)*0.26))</f>
        <v>0.18907000000063237</v>
      </c>
      <c r="M1203" s="64">
        <f t="shared" si="41"/>
        <v>0.18907000000063237</v>
      </c>
      <c r="N1203" s="33" t="s">
        <v>251</v>
      </c>
    </row>
    <row r="1204" spans="1:14" ht="15">
      <c r="A1204" s="12"/>
      <c r="B1204" s="33" t="s">
        <v>198</v>
      </c>
      <c r="C1204" s="92" t="s">
        <v>371</v>
      </c>
      <c r="D1204" s="33" t="s">
        <v>411</v>
      </c>
      <c r="E1204" s="34">
        <v>44561</v>
      </c>
      <c r="F1204" s="34">
        <v>44564</v>
      </c>
      <c r="G1204" s="34">
        <v>44567</v>
      </c>
      <c r="H1204" s="35">
        <v>3.5000000000000003E-2</v>
      </c>
      <c r="I1204" s="67">
        <v>0.25640000000000002</v>
      </c>
      <c r="J1204" s="67">
        <v>0</v>
      </c>
      <c r="K1204" s="67">
        <v>0.25640000000000002</v>
      </c>
      <c r="L1204" s="36">
        <f>+K1204-((K1204*0.000000000001*0.125)+(K1204*(1-0.00000000001)*0.26))</f>
        <v>0.18973600000063462</v>
      </c>
      <c r="M1204" s="64">
        <f t="shared" si="41"/>
        <v>0.18973600000063462</v>
      </c>
      <c r="N1204" s="33" t="s">
        <v>251</v>
      </c>
    </row>
    <row r="1205" spans="1:14" ht="15">
      <c r="A1205" s="12"/>
      <c r="B1205" s="33" t="s">
        <v>513</v>
      </c>
      <c r="C1205" s="92" t="s">
        <v>515</v>
      </c>
      <c r="D1205" s="33" t="s">
        <v>411</v>
      </c>
      <c r="E1205" s="34">
        <v>44561</v>
      </c>
      <c r="F1205" s="34">
        <v>44564</v>
      </c>
      <c r="G1205" s="34">
        <v>44567</v>
      </c>
      <c r="H1205" s="35">
        <v>0.02</v>
      </c>
      <c r="I1205" s="67">
        <v>0.13469999999999999</v>
      </c>
      <c r="J1205" s="67">
        <v>0.13469999999999999</v>
      </c>
      <c r="K1205" s="67">
        <v>0</v>
      </c>
      <c r="L1205" s="36">
        <f>+K1205-((K1205*0.4282*0.125)+(K1205*(1-0.4282)*0.26))</f>
        <v>0</v>
      </c>
      <c r="M1205" s="64">
        <f t="shared" si="41"/>
        <v>0.13469999999999999</v>
      </c>
      <c r="N1205" s="33" t="s">
        <v>251</v>
      </c>
    </row>
    <row r="1206" spans="1:14" ht="15">
      <c r="A1206" s="12"/>
      <c r="B1206" s="33" t="s">
        <v>514</v>
      </c>
      <c r="C1206" s="92" t="s">
        <v>516</v>
      </c>
      <c r="D1206" s="33" t="s">
        <v>411</v>
      </c>
      <c r="E1206" s="34">
        <v>44561</v>
      </c>
      <c r="F1206" s="34">
        <v>44564</v>
      </c>
      <c r="G1206" s="34">
        <v>44567</v>
      </c>
      <c r="H1206" s="35">
        <v>0.02</v>
      </c>
      <c r="I1206" s="67">
        <v>0.1356</v>
      </c>
      <c r="J1206" s="67">
        <v>0.1356</v>
      </c>
      <c r="K1206" s="67">
        <v>0</v>
      </c>
      <c r="L1206" s="36">
        <f>+K1206-((K1206*0.4282*0.125)+(K1206*(1-0.4282)*0.26))</f>
        <v>0</v>
      </c>
      <c r="M1206" s="64">
        <f t="shared" si="41"/>
        <v>0.1356</v>
      </c>
      <c r="N1206" s="33" t="s">
        <v>251</v>
      </c>
    </row>
    <row r="1207" spans="1:14" ht="15">
      <c r="A1207" s="12"/>
      <c r="B1207" s="33" t="s">
        <v>313</v>
      </c>
      <c r="C1207" s="92" t="s">
        <v>429</v>
      </c>
      <c r="D1207" s="33" t="s">
        <v>411</v>
      </c>
      <c r="E1207" s="34">
        <v>44561</v>
      </c>
      <c r="F1207" s="34">
        <v>44564</v>
      </c>
      <c r="G1207" s="34">
        <v>44567</v>
      </c>
      <c r="H1207" s="35">
        <v>0.01</v>
      </c>
      <c r="I1207" s="67">
        <v>4.3E-3</v>
      </c>
      <c r="J1207" s="67">
        <v>0</v>
      </c>
      <c r="K1207" s="67">
        <v>4.3E-3</v>
      </c>
      <c r="L1207" s="36">
        <f>+K1207-((K1207*0.148*0.125)+(K1207*(1-0.148)*0.26))</f>
        <v>3.2679140000000002E-3</v>
      </c>
      <c r="M1207" s="64">
        <f t="shared" si="41"/>
        <v>3.2679140000000002E-3</v>
      </c>
      <c r="N1207" s="33" t="s">
        <v>251</v>
      </c>
    </row>
    <row r="1208" spans="1:14" ht="15">
      <c r="A1208" s="12"/>
      <c r="B1208" s="33" t="s">
        <v>298</v>
      </c>
      <c r="C1208" s="92" t="s">
        <v>403</v>
      </c>
      <c r="D1208" s="33" t="s">
        <v>410</v>
      </c>
      <c r="E1208" s="34">
        <v>44561</v>
      </c>
      <c r="F1208" s="34">
        <v>44564</v>
      </c>
      <c r="G1208" s="34">
        <v>44567</v>
      </c>
      <c r="H1208" s="35">
        <v>4.4999999999999998E-2</v>
      </c>
      <c r="I1208" s="67">
        <v>5.3100000000000001E-2</v>
      </c>
      <c r="J1208" s="67">
        <v>8.069082202024902E-3</v>
      </c>
      <c r="K1208" s="67">
        <v>4.5030917797975099E-2</v>
      </c>
      <c r="L1208" s="36">
        <f>+K1208-((K1208*0.4448*0.125)+(K1208*(1-0.4448)*0.26))</f>
        <v>3.6026895722434379E-2</v>
      </c>
      <c r="M1208" s="64">
        <f t="shared" si="41"/>
        <v>4.4095977924459281E-2</v>
      </c>
      <c r="N1208" s="33" t="s">
        <v>248</v>
      </c>
    </row>
    <row r="1209" spans="1:14" ht="15">
      <c r="A1209" s="12"/>
      <c r="B1209" s="33" t="s">
        <v>181</v>
      </c>
      <c r="C1209" s="92" t="s">
        <v>335</v>
      </c>
      <c r="D1209" s="33" t="s">
        <v>410</v>
      </c>
      <c r="E1209" s="34">
        <v>44561</v>
      </c>
      <c r="F1209" s="34">
        <v>44564</v>
      </c>
      <c r="G1209" s="34">
        <v>44567</v>
      </c>
      <c r="H1209" s="35">
        <v>4.4999999999999998E-2</v>
      </c>
      <c r="I1209" s="67">
        <v>0.94920000000000004</v>
      </c>
      <c r="J1209" s="67">
        <v>0.14475062931152682</v>
      </c>
      <c r="K1209" s="67">
        <v>0.80444937068847322</v>
      </c>
      <c r="L1209" s="36">
        <f>+K1209-((K1209*0.4448*0.125)+(K1209*(1-0.4448)*0.26))</f>
        <v>0.64359811012057166</v>
      </c>
      <c r="M1209" s="64">
        <f t="shared" si="41"/>
        <v>0.78834873943209849</v>
      </c>
      <c r="N1209" s="33" t="s">
        <v>248</v>
      </c>
    </row>
    <row r="1210" spans="1:14" ht="15">
      <c r="A1210" s="12"/>
      <c r="B1210" s="33" t="s">
        <v>201</v>
      </c>
      <c r="C1210" s="92" t="s">
        <v>336</v>
      </c>
      <c r="D1210" s="33" t="s">
        <v>410</v>
      </c>
      <c r="E1210" s="34">
        <v>44561</v>
      </c>
      <c r="F1210" s="34">
        <v>44564</v>
      </c>
      <c r="G1210" s="34">
        <v>44567</v>
      </c>
      <c r="H1210" s="35">
        <v>4.4999999999999998E-2</v>
      </c>
      <c r="I1210" s="67">
        <v>0.95840000000000003</v>
      </c>
      <c r="J1210" s="67">
        <v>0.14349048052943586</v>
      </c>
      <c r="K1210" s="67">
        <v>0.81490951947056423</v>
      </c>
      <c r="L1210" s="36">
        <f>+K1210-((K1210*0.4448*0.125)+(K1210*(1-0.4448)*0.26))</f>
        <v>0.65196673123338589</v>
      </c>
      <c r="M1210" s="64">
        <f t="shared" si="41"/>
        <v>0.7954572117628218</v>
      </c>
      <c r="N1210" s="33" t="s">
        <v>248</v>
      </c>
    </row>
    <row r="1211" spans="1:14" ht="15">
      <c r="A1211" s="12"/>
      <c r="B1211" s="33" t="s">
        <v>138</v>
      </c>
      <c r="C1211" s="92" t="s">
        <v>337</v>
      </c>
      <c r="D1211" s="33" t="s">
        <v>410</v>
      </c>
      <c r="E1211" s="34">
        <v>44561</v>
      </c>
      <c r="F1211" s="34">
        <v>44564</v>
      </c>
      <c r="G1211" s="34">
        <v>44567</v>
      </c>
      <c r="H1211" s="35">
        <v>0.05</v>
      </c>
      <c r="I1211" s="67">
        <v>7.1800000000000003E-2</v>
      </c>
      <c r="J1211" s="67">
        <v>0</v>
      </c>
      <c r="K1211" s="67">
        <v>7.1800000000000003E-2</v>
      </c>
      <c r="L1211" s="36">
        <f>+K1211-((K1211*0.28008*0.125)+(K1211*(1-0.272)*0.26))</f>
        <v>5.5695978E-2</v>
      </c>
      <c r="M1211" s="64">
        <f t="shared" si="41"/>
        <v>5.5695978E-2</v>
      </c>
      <c r="N1211" s="33" t="s">
        <v>248</v>
      </c>
    </row>
    <row r="1212" spans="1:14" ht="15">
      <c r="A1212" s="12"/>
      <c r="B1212" s="33" t="s">
        <v>160</v>
      </c>
      <c r="C1212" s="92" t="s">
        <v>338</v>
      </c>
      <c r="D1212" s="33" t="s">
        <v>410</v>
      </c>
      <c r="E1212" s="34">
        <v>44561</v>
      </c>
      <c r="F1212" s="34">
        <v>44564</v>
      </c>
      <c r="G1212" s="34">
        <v>44567</v>
      </c>
      <c r="H1212" s="35">
        <v>0.05</v>
      </c>
      <c r="I1212" s="67">
        <v>7.1099999999999997E-2</v>
      </c>
      <c r="J1212" s="67">
        <v>0</v>
      </c>
      <c r="K1212" s="67">
        <v>7.1099999999999997E-2</v>
      </c>
      <c r="L1212" s="36">
        <f>+K1212-((K1212*0.28008*0.125)+(K1212*(1-0.272)*0.26))</f>
        <v>5.5152980999999997E-2</v>
      </c>
      <c r="M1212" s="64">
        <f t="shared" si="41"/>
        <v>5.5152980999999997E-2</v>
      </c>
      <c r="N1212" s="33" t="s">
        <v>248</v>
      </c>
    </row>
    <row r="1213" spans="1:14" ht="15">
      <c r="A1213" s="12"/>
      <c r="B1213" s="33" t="s">
        <v>300</v>
      </c>
      <c r="C1213" s="92" t="s">
        <v>404</v>
      </c>
      <c r="D1213" s="33" t="s">
        <v>410</v>
      </c>
      <c r="E1213" s="34">
        <v>44561</v>
      </c>
      <c r="F1213" s="34">
        <v>44564</v>
      </c>
      <c r="G1213" s="34">
        <v>44567</v>
      </c>
      <c r="H1213" s="35">
        <v>0.05</v>
      </c>
      <c r="I1213" s="67">
        <v>5.5599999999999997E-2</v>
      </c>
      <c r="J1213" s="67">
        <v>0</v>
      </c>
      <c r="K1213" s="67">
        <v>5.5599999999999997E-2</v>
      </c>
      <c r="L1213" s="36">
        <f>+K1213-((K1213*0.28008*0.125)+(K1213*(1-0.272)*0.26))</f>
        <v>4.3129476E-2</v>
      </c>
      <c r="M1213" s="64">
        <f t="shared" si="41"/>
        <v>4.3129476E-2</v>
      </c>
      <c r="N1213" s="33" t="s">
        <v>248</v>
      </c>
    </row>
    <row r="1214" spans="1:14" ht="15">
      <c r="A1214" s="12"/>
      <c r="B1214" s="33" t="s">
        <v>142</v>
      </c>
      <c r="C1214" s="92" t="s">
        <v>341</v>
      </c>
      <c r="D1214" s="33" t="s">
        <v>410</v>
      </c>
      <c r="E1214" s="34">
        <v>44561</v>
      </c>
      <c r="F1214" s="34">
        <v>44564</v>
      </c>
      <c r="G1214" s="34">
        <v>44567</v>
      </c>
      <c r="H1214" s="35">
        <v>5.2499999999999998E-2</v>
      </c>
      <c r="I1214" s="67">
        <v>7.6999999999999999E-2</v>
      </c>
      <c r="J1214" s="67">
        <v>0</v>
      </c>
      <c r="K1214" s="67">
        <v>7.6999999999999999E-2</v>
      </c>
      <c r="L1214" s="36">
        <f>+K1214-((K1214*0.0693*0.125)+(K1214*(1-0.0693)*0.26))</f>
        <v>5.7700373499999999E-2</v>
      </c>
      <c r="M1214" s="64">
        <f t="shared" si="41"/>
        <v>5.7700373499999999E-2</v>
      </c>
      <c r="N1214" s="33" t="s">
        <v>248</v>
      </c>
    </row>
    <row r="1215" spans="1:14" ht="15">
      <c r="A1215" s="12"/>
      <c r="B1215" s="33" t="s">
        <v>159</v>
      </c>
      <c r="C1215" s="92" t="s">
        <v>342</v>
      </c>
      <c r="D1215" s="33" t="s">
        <v>410</v>
      </c>
      <c r="E1215" s="34">
        <v>44561</v>
      </c>
      <c r="F1215" s="34">
        <v>44564</v>
      </c>
      <c r="G1215" s="34">
        <v>44567</v>
      </c>
      <c r="H1215" s="35">
        <v>5.2499999999999998E-2</v>
      </c>
      <c r="I1215" s="67">
        <v>7.6399999999999996E-2</v>
      </c>
      <c r="J1215" s="67">
        <v>0</v>
      </c>
      <c r="K1215" s="67">
        <v>7.6399999999999996E-2</v>
      </c>
      <c r="L1215" s="36">
        <f>+K1215-((K1215*0.0693*0.125)+(K1215*(1-0.0693)*0.26))</f>
        <v>5.72507602E-2</v>
      </c>
      <c r="M1215" s="64">
        <f t="shared" si="41"/>
        <v>5.72507602E-2</v>
      </c>
      <c r="N1215" s="33" t="s">
        <v>248</v>
      </c>
    </row>
    <row r="1216" spans="1:14" ht="15">
      <c r="A1216" s="12"/>
      <c r="B1216" s="33" t="s">
        <v>507</v>
      </c>
      <c r="C1216" s="92" t="s">
        <v>508</v>
      </c>
      <c r="D1216" s="33" t="s">
        <v>410</v>
      </c>
      <c r="E1216" s="34">
        <v>44561</v>
      </c>
      <c r="F1216" s="34">
        <v>44564</v>
      </c>
      <c r="G1216" s="34">
        <v>44567</v>
      </c>
      <c r="H1216" s="35">
        <v>5.2499999999999998E-2</v>
      </c>
      <c r="I1216" s="67">
        <v>6.0900000000000003E-2</v>
      </c>
      <c r="J1216" s="67">
        <v>0</v>
      </c>
      <c r="K1216" s="67">
        <v>6.0900000000000003E-2</v>
      </c>
      <c r="L1216" s="36">
        <f>+K1216-((K1216*0.0693*0.125)+(K1216*(1-0.0693)*0.26))</f>
        <v>4.5635749949999999E-2</v>
      </c>
      <c r="M1216" s="64">
        <f t="shared" si="41"/>
        <v>4.5635749949999999E-2</v>
      </c>
      <c r="N1216" s="33" t="s">
        <v>248</v>
      </c>
    </row>
    <row r="1217" spans="1:14" ht="15">
      <c r="A1217" s="12"/>
      <c r="B1217" s="33" t="s">
        <v>139</v>
      </c>
      <c r="C1217" s="92" t="s">
        <v>344</v>
      </c>
      <c r="D1217" s="33" t="s">
        <v>410</v>
      </c>
      <c r="E1217" s="34">
        <v>44561</v>
      </c>
      <c r="F1217" s="34">
        <v>44564</v>
      </c>
      <c r="G1217" s="34">
        <v>44567</v>
      </c>
      <c r="H1217" s="35">
        <v>3.5000000000000003E-2</v>
      </c>
      <c r="I1217" s="67">
        <v>3.7900000000000003E-2</v>
      </c>
      <c r="J1217" s="67">
        <v>0</v>
      </c>
      <c r="K1217" s="67">
        <v>3.7900000000000003E-2</v>
      </c>
      <c r="L1217" s="36">
        <f>+K1217-((K1217*0.7506*0.125)+(K1217*(1-0.7506)*0.26))</f>
        <v>3.1886444900000005E-2</v>
      </c>
      <c r="M1217" s="64">
        <f t="shared" si="41"/>
        <v>3.1886444900000005E-2</v>
      </c>
      <c r="N1217" s="33" t="s">
        <v>248</v>
      </c>
    </row>
    <row r="1218" spans="1:14" ht="15">
      <c r="A1218" s="12"/>
      <c r="B1218" s="33" t="s">
        <v>161</v>
      </c>
      <c r="C1218" s="92" t="s">
        <v>345</v>
      </c>
      <c r="D1218" s="33" t="s">
        <v>410</v>
      </c>
      <c r="E1218" s="34">
        <v>44561</v>
      </c>
      <c r="F1218" s="34">
        <v>44564</v>
      </c>
      <c r="G1218" s="34">
        <v>44567</v>
      </c>
      <c r="H1218" s="35">
        <v>3.5000000000000003E-2</v>
      </c>
      <c r="I1218" s="67">
        <v>3.7699999999999997E-2</v>
      </c>
      <c r="J1218" s="67">
        <v>0</v>
      </c>
      <c r="K1218" s="67">
        <v>3.7699999999999997E-2</v>
      </c>
      <c r="L1218" s="36">
        <f>+K1218-((K1218*0.7506*0.125)+(K1218*(1-0.7506)*0.26))</f>
        <v>3.1718178699999995E-2</v>
      </c>
      <c r="M1218" s="64">
        <f t="shared" si="41"/>
        <v>3.1718178699999995E-2</v>
      </c>
      <c r="N1218" s="33" t="s">
        <v>248</v>
      </c>
    </row>
    <row r="1219" spans="1:14" ht="15">
      <c r="A1219" s="12"/>
      <c r="B1219" s="33" t="s">
        <v>141</v>
      </c>
      <c r="C1219" s="92" t="s">
        <v>348</v>
      </c>
      <c r="D1219" s="33" t="s">
        <v>410</v>
      </c>
      <c r="E1219" s="34">
        <v>44561</v>
      </c>
      <c r="F1219" s="34">
        <v>44564</v>
      </c>
      <c r="G1219" s="34">
        <v>44567</v>
      </c>
      <c r="H1219" s="35">
        <v>4.2500000000000003E-2</v>
      </c>
      <c r="I1219" s="67">
        <v>5.04E-2</v>
      </c>
      <c r="J1219" s="67">
        <v>0</v>
      </c>
      <c r="K1219" s="67">
        <v>5.04E-2</v>
      </c>
      <c r="L1219" s="36">
        <f>+K1219-((K1219*0.0703*0.125)+(K1219*(1-0.0703)*0.26))</f>
        <v>3.7774321200000002E-2</v>
      </c>
      <c r="M1219" s="64">
        <f t="shared" si="41"/>
        <v>3.7774321200000002E-2</v>
      </c>
      <c r="N1219" s="33" t="s">
        <v>248</v>
      </c>
    </row>
    <row r="1220" spans="1:14" ht="15">
      <c r="A1220" s="12"/>
      <c r="B1220" s="33" t="s">
        <v>140</v>
      </c>
      <c r="C1220" s="92" t="s">
        <v>349</v>
      </c>
      <c r="D1220" s="33" t="s">
        <v>410</v>
      </c>
      <c r="E1220" s="34">
        <v>44561</v>
      </c>
      <c r="F1220" s="34">
        <v>44564</v>
      </c>
      <c r="G1220" s="34">
        <v>44567</v>
      </c>
      <c r="H1220" s="35">
        <v>4.2500000000000003E-2</v>
      </c>
      <c r="I1220" s="67">
        <v>5.16E-2</v>
      </c>
      <c r="J1220" s="67">
        <v>0</v>
      </c>
      <c r="K1220" s="67">
        <v>5.16E-2</v>
      </c>
      <c r="L1220" s="36">
        <f>+K1220-((K1220*0.0703*0.125)+(K1220*(1-0.0703)*0.26))</f>
        <v>3.8673709799999997E-2</v>
      </c>
      <c r="M1220" s="64">
        <f t="shared" si="41"/>
        <v>3.8673709799999997E-2</v>
      </c>
      <c r="N1220" s="33" t="s">
        <v>248</v>
      </c>
    </row>
    <row r="1221" spans="1:14" ht="15">
      <c r="A1221" s="12"/>
      <c r="B1221" s="33" t="s">
        <v>162</v>
      </c>
      <c r="C1221" s="92" t="s">
        <v>350</v>
      </c>
      <c r="D1221" s="33" t="s">
        <v>410</v>
      </c>
      <c r="E1221" s="34">
        <v>44561</v>
      </c>
      <c r="F1221" s="34">
        <v>44564</v>
      </c>
      <c r="G1221" s="34">
        <v>44567</v>
      </c>
      <c r="H1221" s="35">
        <v>4.2500000000000003E-2</v>
      </c>
      <c r="I1221" s="67">
        <v>5.1200000000000002E-2</v>
      </c>
      <c r="J1221" s="67">
        <v>0</v>
      </c>
      <c r="K1221" s="67">
        <v>5.1200000000000002E-2</v>
      </c>
      <c r="L1221" s="36">
        <f>+K1221-((K1221*0.0703*0.125)+(K1221*(1-0.0703)*0.26))</f>
        <v>3.8373913600000004E-2</v>
      </c>
      <c r="M1221" s="64">
        <f t="shared" si="41"/>
        <v>3.8373913600000004E-2</v>
      </c>
      <c r="N1221" s="33" t="s">
        <v>248</v>
      </c>
    </row>
    <row r="1222" spans="1:14" ht="15">
      <c r="A1222" s="12"/>
      <c r="B1222" s="33" t="s">
        <v>302</v>
      </c>
      <c r="C1222" s="92" t="s">
        <v>405</v>
      </c>
      <c r="D1222" s="33" t="s">
        <v>410</v>
      </c>
      <c r="E1222" s="34">
        <v>44561</v>
      </c>
      <c r="F1222" s="34">
        <v>44564</v>
      </c>
      <c r="G1222" s="34">
        <v>44567</v>
      </c>
      <c r="H1222" s="35">
        <v>4.2500000000000003E-2</v>
      </c>
      <c r="I1222" s="67">
        <v>5.2400000000000002E-2</v>
      </c>
      <c r="J1222" s="67">
        <v>0</v>
      </c>
      <c r="K1222" s="67">
        <v>5.2400000000000002E-2</v>
      </c>
      <c r="L1222" s="36">
        <f>+K1222-((K1222*0.0703*0.125)+(K1222*(1-0.0703)*0.26))</f>
        <v>3.9273302199999999E-2</v>
      </c>
      <c r="M1222" s="64">
        <f t="shared" si="41"/>
        <v>3.9273302199999999E-2</v>
      </c>
      <c r="N1222" s="33" t="s">
        <v>248</v>
      </c>
    </row>
    <row r="1223" spans="1:14" ht="15">
      <c r="A1223" s="12"/>
      <c r="B1223" s="33" t="s">
        <v>303</v>
      </c>
      <c r="C1223" s="92" t="s">
        <v>406</v>
      </c>
      <c r="D1223" s="33" t="s">
        <v>410</v>
      </c>
      <c r="E1223" s="34">
        <v>44561</v>
      </c>
      <c r="F1223" s="34">
        <v>44564</v>
      </c>
      <c r="G1223" s="34">
        <v>44567</v>
      </c>
      <c r="H1223" s="35">
        <v>4.2500000000000003E-2</v>
      </c>
      <c r="I1223" s="67">
        <v>4.8399999999999999E-2</v>
      </c>
      <c r="J1223" s="67">
        <v>0</v>
      </c>
      <c r="K1223" s="67">
        <v>4.8399999999999999E-2</v>
      </c>
      <c r="L1223" s="36">
        <f>+K1223-((K1223*0.0703*0.125)+(K1223*(1-0.0703)*0.26))</f>
        <v>3.6275340199999999E-2</v>
      </c>
      <c r="M1223" s="64">
        <f t="shared" si="41"/>
        <v>3.6275340199999999E-2</v>
      </c>
      <c r="N1223" s="33" t="s">
        <v>248</v>
      </c>
    </row>
    <row r="1224" spans="1:14" ht="15">
      <c r="A1224" s="12"/>
      <c r="B1224" s="33" t="s">
        <v>143</v>
      </c>
      <c r="C1224" s="92" t="s">
        <v>351</v>
      </c>
      <c r="D1224" s="33" t="s">
        <v>410</v>
      </c>
      <c r="E1224" s="34">
        <v>44561</v>
      </c>
      <c r="F1224" s="34">
        <v>44564</v>
      </c>
      <c r="G1224" s="34">
        <v>44567</v>
      </c>
      <c r="H1224" s="35">
        <v>4.0000000000000001E-3</v>
      </c>
      <c r="I1224" s="67">
        <v>5.1999999999999998E-3</v>
      </c>
      <c r="J1224" s="67">
        <v>0</v>
      </c>
      <c r="K1224" s="67">
        <v>5.1999999999999998E-3</v>
      </c>
      <c r="L1224" s="36">
        <f>+K1224-((K1224*0.447*0.125)+(K1224*(1-0.447)*0.26))</f>
        <v>4.1617939999999999E-3</v>
      </c>
      <c r="M1224" s="64">
        <f t="shared" si="41"/>
        <v>4.1617939999999999E-3</v>
      </c>
      <c r="N1224" s="33" t="s">
        <v>248</v>
      </c>
    </row>
    <row r="1225" spans="1:14" ht="15">
      <c r="A1225" s="12"/>
      <c r="B1225" s="33" t="s">
        <v>145</v>
      </c>
      <c r="C1225" s="92" t="s">
        <v>352</v>
      </c>
      <c r="D1225" s="33" t="s">
        <v>410</v>
      </c>
      <c r="E1225" s="34">
        <v>44561</v>
      </c>
      <c r="F1225" s="34">
        <v>44564</v>
      </c>
      <c r="G1225" s="34">
        <v>44567</v>
      </c>
      <c r="H1225" s="35">
        <v>4.4999999999999997E-3</v>
      </c>
      <c r="I1225" s="67">
        <v>5.7999999999999996E-3</v>
      </c>
      <c r="J1225" s="67">
        <v>0</v>
      </c>
      <c r="K1225" s="67">
        <v>5.7999999999999996E-3</v>
      </c>
      <c r="L1225" s="36">
        <f>+K1225-((K1225*0.0019*0.125)+(K1225*(1-0.0019)*0.26))</f>
        <v>4.2934876999999993E-3</v>
      </c>
      <c r="M1225" s="64">
        <f t="shared" si="41"/>
        <v>4.2934876999999993E-3</v>
      </c>
      <c r="N1225" s="33" t="s">
        <v>248</v>
      </c>
    </row>
    <row r="1226" spans="1:14" ht="15">
      <c r="A1226" s="12"/>
      <c r="B1226" s="33" t="s">
        <v>144</v>
      </c>
      <c r="C1226" s="92" t="s">
        <v>353</v>
      </c>
      <c r="D1226" s="33" t="s">
        <v>410</v>
      </c>
      <c r="E1226" s="34">
        <v>44561</v>
      </c>
      <c r="F1226" s="34">
        <v>44564</v>
      </c>
      <c r="G1226" s="34">
        <v>44567</v>
      </c>
      <c r="H1226" s="35">
        <v>2E-3</v>
      </c>
      <c r="I1226" s="67">
        <v>2.5999999999999999E-3</v>
      </c>
      <c r="J1226" s="67">
        <v>0</v>
      </c>
      <c r="K1226" s="67">
        <v>2.5999999999999999E-3</v>
      </c>
      <c r="L1226" s="36">
        <f>+K1226-((K1226*0.8672*0.125)+(K1226*(1-0.8672)*0.26))</f>
        <v>2.2283871999999997E-3</v>
      </c>
      <c r="M1226" s="64">
        <f t="shared" si="41"/>
        <v>2.2283871999999997E-3</v>
      </c>
      <c r="N1226" s="33" t="s">
        <v>248</v>
      </c>
    </row>
    <row r="1227" spans="1:14" ht="15">
      <c r="A1227" s="12"/>
      <c r="B1227" s="33" t="s">
        <v>148</v>
      </c>
      <c r="C1227" s="92" t="s">
        <v>362</v>
      </c>
      <c r="D1227" s="33" t="s">
        <v>410</v>
      </c>
      <c r="E1227" s="34">
        <v>44561</v>
      </c>
      <c r="F1227" s="34">
        <v>44564</v>
      </c>
      <c r="G1227" s="34">
        <v>44567</v>
      </c>
      <c r="H1227" s="35">
        <v>1.4999999999999999E-2</v>
      </c>
      <c r="I1227" s="67">
        <v>1.8700000000000001E-2</v>
      </c>
      <c r="J1227" s="67">
        <v>0</v>
      </c>
      <c r="K1227" s="67">
        <v>1.8700000000000001E-2</v>
      </c>
      <c r="L1227" s="36">
        <f>+K1227-((K1227*0.4234*0.125)+(K1227*(1-0.4234)*0.26))</f>
        <v>1.4906873300000002E-2</v>
      </c>
      <c r="M1227" s="64">
        <f t="shared" si="41"/>
        <v>1.4906873300000002E-2</v>
      </c>
      <c r="N1227" s="33" t="s">
        <v>248</v>
      </c>
    </row>
    <row r="1228" spans="1:14" ht="15">
      <c r="A1228" s="12"/>
      <c r="B1228" s="33" t="s">
        <v>200</v>
      </c>
      <c r="C1228" s="92" t="s">
        <v>365</v>
      </c>
      <c r="D1228" s="33" t="s">
        <v>410</v>
      </c>
      <c r="E1228" s="34">
        <v>44561</v>
      </c>
      <c r="F1228" s="34">
        <v>44564</v>
      </c>
      <c r="G1228" s="34">
        <v>44567</v>
      </c>
      <c r="H1228" s="35">
        <v>1.4999999999999999E-2</v>
      </c>
      <c r="I1228" s="67">
        <v>0.37040000000000001</v>
      </c>
      <c r="J1228" s="67">
        <v>0</v>
      </c>
      <c r="K1228" s="67">
        <v>0.37040000000000001</v>
      </c>
      <c r="L1228" s="36">
        <f>+K1228-((K1228*0.4234*0.125)+(K1228*(1-0.4234)*0.26))</f>
        <v>0.29526769359999999</v>
      </c>
      <c r="M1228" s="64">
        <f t="shared" si="41"/>
        <v>0.29526769359999999</v>
      </c>
      <c r="N1228" s="33" t="s">
        <v>248</v>
      </c>
    </row>
    <row r="1229" spans="1:14" ht="15">
      <c r="A1229" s="12"/>
      <c r="B1229" s="33" t="s">
        <v>173</v>
      </c>
      <c r="C1229" s="92" t="s">
        <v>372</v>
      </c>
      <c r="D1229" s="33" t="s">
        <v>410</v>
      </c>
      <c r="E1229" s="34">
        <v>44561</v>
      </c>
      <c r="F1229" s="34">
        <v>44564</v>
      </c>
      <c r="G1229" s="34">
        <v>44567</v>
      </c>
      <c r="H1229" s="35">
        <v>0.01</v>
      </c>
      <c r="I1229" s="67">
        <v>1.38E-2</v>
      </c>
      <c r="J1229" s="67">
        <v>0</v>
      </c>
      <c r="K1229" s="67">
        <v>1.38E-2</v>
      </c>
      <c r="L1229" s="36">
        <f>+K1229-((K1229*0.2893*0.125)+(K1229*(1-0.2893)*0.26))</f>
        <v>1.0750965899999999E-2</v>
      </c>
      <c r="M1229" s="64">
        <f t="shared" si="41"/>
        <v>1.0750965899999999E-2</v>
      </c>
      <c r="N1229" s="33" t="s">
        <v>248</v>
      </c>
    </row>
    <row r="1230" spans="1:14" ht="15">
      <c r="A1230" s="12"/>
      <c r="B1230" s="33" t="s">
        <v>150</v>
      </c>
      <c r="C1230" s="92" t="s">
        <v>377</v>
      </c>
      <c r="D1230" s="33" t="s">
        <v>410</v>
      </c>
      <c r="E1230" s="34">
        <v>44561</v>
      </c>
      <c r="F1230" s="34">
        <v>44564</v>
      </c>
      <c r="G1230" s="34">
        <v>44567</v>
      </c>
      <c r="H1230" s="35">
        <v>2.5000000000000001E-2</v>
      </c>
      <c r="I1230" s="67">
        <v>3.5400000000000001E-2</v>
      </c>
      <c r="J1230" s="67">
        <v>0</v>
      </c>
      <c r="K1230" s="67">
        <v>3.5400000000000001E-2</v>
      </c>
      <c r="L1230" s="36">
        <f>+K1230-((K1230*0.0024*0.125)+(K1230*(1-0.0024)*0.26))</f>
        <v>2.6207469599999998E-2</v>
      </c>
      <c r="M1230" s="64">
        <f t="shared" si="41"/>
        <v>2.6207469599999998E-2</v>
      </c>
      <c r="N1230" s="33" t="s">
        <v>248</v>
      </c>
    </row>
    <row r="1231" spans="1:14" ht="15">
      <c r="A1231" s="12"/>
      <c r="B1231" s="33" t="s">
        <v>510</v>
      </c>
      <c r="C1231" s="92" t="s">
        <v>509</v>
      </c>
      <c r="D1231" s="33" t="s">
        <v>410</v>
      </c>
      <c r="E1231" s="34">
        <v>44561</v>
      </c>
      <c r="F1231" s="34">
        <v>44564</v>
      </c>
      <c r="G1231" s="34">
        <v>44567</v>
      </c>
      <c r="H1231" s="35">
        <v>2.5000000000000001E-2</v>
      </c>
      <c r="I1231" s="67">
        <v>3.15E-2</v>
      </c>
      <c r="J1231" s="67">
        <v>0</v>
      </c>
      <c r="K1231" s="67">
        <v>3.15E-2</v>
      </c>
      <c r="L1231" s="36">
        <f>+K1231-((K1231*0.0024*0.125)+(K1231*(1-0.0024)*0.26))</f>
        <v>2.3320206000000003E-2</v>
      </c>
      <c r="M1231" s="64">
        <f t="shared" si="41"/>
        <v>2.3320206000000003E-2</v>
      </c>
      <c r="N1231" s="33" t="s">
        <v>248</v>
      </c>
    </row>
    <row r="1232" spans="1:14" ht="15">
      <c r="A1232" s="12"/>
      <c r="B1232" s="33" t="s">
        <v>441</v>
      </c>
      <c r="C1232" s="92" t="s">
        <v>444</v>
      </c>
      <c r="D1232" s="33" t="s">
        <v>410</v>
      </c>
      <c r="E1232" s="34">
        <v>44561</v>
      </c>
      <c r="F1232" s="34">
        <v>44564</v>
      </c>
      <c r="G1232" s="34">
        <v>44567</v>
      </c>
      <c r="H1232" s="35">
        <v>7.4999999999999997E-3</v>
      </c>
      <c r="I1232" s="67">
        <v>8.6E-3</v>
      </c>
      <c r="J1232" s="67">
        <v>0</v>
      </c>
      <c r="K1232" s="67">
        <v>8.6E-3</v>
      </c>
      <c r="L1232" s="36">
        <f>+K1232-((K1232*0.3946*0.125)+(K1232*(1-0.3946)*0.26))</f>
        <v>6.8221306000000002E-3</v>
      </c>
      <c r="M1232" s="64">
        <f t="shared" si="41"/>
        <v>6.8221306000000002E-3</v>
      </c>
      <c r="N1232" s="33" t="s">
        <v>248</v>
      </c>
    </row>
    <row r="1233" spans="1:14" ht="15">
      <c r="A1233" s="12"/>
      <c r="B1233" s="33" t="s">
        <v>440</v>
      </c>
      <c r="C1233" s="92" t="s">
        <v>443</v>
      </c>
      <c r="D1233" s="33" t="s">
        <v>410</v>
      </c>
      <c r="E1233" s="34">
        <v>44561</v>
      </c>
      <c r="F1233" s="34">
        <v>44564</v>
      </c>
      <c r="G1233" s="34">
        <v>44567</v>
      </c>
      <c r="H1233" s="35">
        <v>7.4999999999999997E-3</v>
      </c>
      <c r="I1233" s="67">
        <v>0.17530000000000001</v>
      </c>
      <c r="J1233" s="67">
        <v>0</v>
      </c>
      <c r="K1233" s="67">
        <v>0.17530000000000001</v>
      </c>
      <c r="L1233" s="36">
        <f>+K1233-((K1233*0.3946*0.125)+(K1233*(1-0.3946)*0.26))</f>
        <v>0.13906040629999999</v>
      </c>
      <c r="M1233" s="64">
        <f t="shared" si="41"/>
        <v>0.13906040629999999</v>
      </c>
      <c r="N1233" s="33" t="s">
        <v>248</v>
      </c>
    </row>
    <row r="1234" spans="1:14" ht="15">
      <c r="A1234" s="12"/>
      <c r="B1234" s="33" t="s">
        <v>299</v>
      </c>
      <c r="C1234" s="92" t="s">
        <v>517</v>
      </c>
      <c r="D1234" s="33" t="s">
        <v>410</v>
      </c>
      <c r="E1234" s="34">
        <v>44561</v>
      </c>
      <c r="F1234" s="34">
        <v>44564</v>
      </c>
      <c r="G1234" s="34">
        <v>44567</v>
      </c>
      <c r="H1234" s="35">
        <v>1.2E-2</v>
      </c>
      <c r="I1234" s="67">
        <v>1.4800000000000001E-2</v>
      </c>
      <c r="J1234" s="67">
        <v>6.1351435716908089E-4</v>
      </c>
      <c r="K1234" s="67">
        <v>1.4186485642830919E-2</v>
      </c>
      <c r="L1234" s="36">
        <f>+K1234-((K1234*0.3226*0.125)+(K1234*(1-0.3226)*0.26))</f>
        <v>1.1115835011925809E-2</v>
      </c>
      <c r="M1234" s="64">
        <f t="shared" si="41"/>
        <v>1.172934936909489E-2</v>
      </c>
      <c r="N1234" s="33" t="s">
        <v>248</v>
      </c>
    </row>
    <row r="1235" spans="1:14" ht="15">
      <c r="A1235" s="12"/>
      <c r="B1235" s="33" t="s">
        <v>182</v>
      </c>
      <c r="C1235" s="92" t="s">
        <v>477</v>
      </c>
      <c r="D1235" s="33" t="s">
        <v>410</v>
      </c>
      <c r="E1235" s="34">
        <v>44561</v>
      </c>
      <c r="F1235" s="34">
        <v>44564</v>
      </c>
      <c r="G1235" s="34">
        <v>44567</v>
      </c>
      <c r="H1235" s="35">
        <v>1.2E-2</v>
      </c>
      <c r="I1235" s="67">
        <v>0.28910000000000002</v>
      </c>
      <c r="J1235" s="67">
        <v>1.1207116272931901E-2</v>
      </c>
      <c r="K1235" s="67">
        <v>0.27789288372706811</v>
      </c>
      <c r="L1235" s="36">
        <f>+K1235-((K1235*0.3226*0.125)+(K1235*(1-0.3226)*0.26))</f>
        <v>0.21774324693722794</v>
      </c>
      <c r="M1235" s="64">
        <f t="shared" si="41"/>
        <v>0.22895036321015982</v>
      </c>
      <c r="N1235" s="33" t="s">
        <v>248</v>
      </c>
    </row>
    <row r="1236" spans="1:14" ht="15">
      <c r="A1236" s="12"/>
      <c r="B1236" s="33" t="s">
        <v>202</v>
      </c>
      <c r="C1236" s="92" t="s">
        <v>478</v>
      </c>
      <c r="D1236" s="33" t="s">
        <v>410</v>
      </c>
      <c r="E1236" s="34">
        <v>44561</v>
      </c>
      <c r="F1236" s="34">
        <v>44564</v>
      </c>
      <c r="G1236" s="34">
        <v>44567</v>
      </c>
      <c r="H1236" s="35">
        <v>1.2E-2</v>
      </c>
      <c r="I1236" s="67">
        <v>0.29270000000000002</v>
      </c>
      <c r="J1236" s="67">
        <v>1.287757257812876E-2</v>
      </c>
      <c r="K1236" s="67">
        <v>0.27982242742187124</v>
      </c>
      <c r="L1236" s="36">
        <f>+K1236-((K1236*0.3226*0.125)+(K1236*(1-0.3226)*0.26))</f>
        <v>0.21925514282883463</v>
      </c>
      <c r="M1236" s="64">
        <f t="shared" si="41"/>
        <v>0.2321327154069634</v>
      </c>
      <c r="N1236" s="33" t="s">
        <v>248</v>
      </c>
    </row>
    <row r="1237" spans="1:14" ht="15">
      <c r="A1237" s="12"/>
      <c r="B1237" s="33" t="s">
        <v>146</v>
      </c>
      <c r="C1237" s="92" t="s">
        <v>380</v>
      </c>
      <c r="D1237" s="33" t="s">
        <v>410</v>
      </c>
      <c r="E1237" s="34">
        <v>44561</v>
      </c>
      <c r="F1237" s="34">
        <v>44564</v>
      </c>
      <c r="G1237" s="34">
        <v>44567</v>
      </c>
      <c r="H1237" s="35">
        <v>0.03</v>
      </c>
      <c r="I1237" s="67">
        <v>4.6300000000000001E-2</v>
      </c>
      <c r="J1237" s="67">
        <v>0</v>
      </c>
      <c r="K1237" s="67">
        <v>4.6300000000000001E-2</v>
      </c>
      <c r="L1237" s="36">
        <f>+K1237-((K1237*0.0055*0.125)+(K1237*(1-0.0055)*0.26))</f>
        <v>3.4296377749999996E-2</v>
      </c>
      <c r="M1237" s="64">
        <f t="shared" si="41"/>
        <v>3.4296377749999996E-2</v>
      </c>
      <c r="N1237" s="33" t="s">
        <v>248</v>
      </c>
    </row>
    <row r="1238" spans="1:14" ht="15">
      <c r="A1238" s="12"/>
      <c r="B1238" s="33" t="s">
        <v>163</v>
      </c>
      <c r="C1238" s="92" t="s">
        <v>381</v>
      </c>
      <c r="D1238" s="33" t="s">
        <v>410</v>
      </c>
      <c r="E1238" s="34">
        <v>44561</v>
      </c>
      <c r="F1238" s="34">
        <v>44564</v>
      </c>
      <c r="G1238" s="34">
        <v>44567</v>
      </c>
      <c r="H1238" s="35">
        <v>0.03</v>
      </c>
      <c r="I1238" s="67">
        <v>4.1700000000000001E-2</v>
      </c>
      <c r="J1238" s="67">
        <v>0</v>
      </c>
      <c r="K1238" s="67">
        <v>4.1700000000000001E-2</v>
      </c>
      <c r="L1238" s="36">
        <f>+K1238-((K1238*0.0055*0.125)+(K1238*(1-0.0055)*0.26))</f>
        <v>3.0888962249999999E-2</v>
      </c>
      <c r="M1238" s="64">
        <f t="shared" si="41"/>
        <v>3.0888962249999999E-2</v>
      </c>
      <c r="N1238" s="33" t="s">
        <v>248</v>
      </c>
    </row>
    <row r="1239" spans="1:14" ht="15">
      <c r="A1239" s="12"/>
      <c r="B1239" s="33" t="s">
        <v>151</v>
      </c>
      <c r="C1239" s="92" t="s">
        <v>383</v>
      </c>
      <c r="D1239" s="33" t="s">
        <v>410</v>
      </c>
      <c r="E1239" s="34">
        <v>44561</v>
      </c>
      <c r="F1239" s="34">
        <v>44564</v>
      </c>
      <c r="G1239" s="34">
        <v>44567</v>
      </c>
      <c r="H1239" s="35">
        <v>2.5000000000000001E-2</v>
      </c>
      <c r="I1239" s="67">
        <v>3.09E-2</v>
      </c>
      <c r="J1239" s="67">
        <v>0</v>
      </c>
      <c r="K1239" s="67">
        <v>3.09E-2</v>
      </c>
      <c r="L1239" s="36">
        <f>+K1239-((K1239*0.0529*0.125)+(K1239*(1-0.0529)*0.26))</f>
        <v>2.308667235E-2</v>
      </c>
      <c r="M1239" s="64">
        <f t="shared" si="41"/>
        <v>2.308667235E-2</v>
      </c>
      <c r="N1239" s="33" t="s">
        <v>248</v>
      </c>
    </row>
    <row r="1240" spans="1:14" ht="15">
      <c r="A1240" s="12"/>
      <c r="B1240" s="33" t="s">
        <v>166</v>
      </c>
      <c r="C1240" s="92" t="s">
        <v>384</v>
      </c>
      <c r="D1240" s="33" t="s">
        <v>410</v>
      </c>
      <c r="E1240" s="34">
        <v>44561</v>
      </c>
      <c r="F1240" s="34">
        <v>44564</v>
      </c>
      <c r="G1240" s="34">
        <v>44567</v>
      </c>
      <c r="H1240" s="35">
        <v>2.5000000000000001E-2</v>
      </c>
      <c r="I1240" s="67">
        <v>3.0700000000000002E-2</v>
      </c>
      <c r="J1240" s="67">
        <v>0</v>
      </c>
      <c r="K1240" s="67">
        <v>3.0700000000000002E-2</v>
      </c>
      <c r="L1240" s="36">
        <f>+K1240-((K1240*0.0529*0.125)+(K1240*(1-0.0529)*0.26))</f>
        <v>2.293724405E-2</v>
      </c>
      <c r="M1240" s="64">
        <f t="shared" si="41"/>
        <v>2.293724405E-2</v>
      </c>
      <c r="N1240" s="33" t="s">
        <v>248</v>
      </c>
    </row>
    <row r="1241" spans="1:14" ht="15">
      <c r="A1241" s="12"/>
      <c r="B1241" s="33" t="s">
        <v>149</v>
      </c>
      <c r="C1241" s="92" t="s">
        <v>386</v>
      </c>
      <c r="D1241" s="33" t="s">
        <v>410</v>
      </c>
      <c r="E1241" s="34">
        <v>44561</v>
      </c>
      <c r="F1241" s="34">
        <v>44564</v>
      </c>
      <c r="G1241" s="34">
        <v>44567</v>
      </c>
      <c r="H1241" s="35">
        <v>3.5000000000000003E-2</v>
      </c>
      <c r="I1241" s="67">
        <v>4.6899999999999997E-2</v>
      </c>
      <c r="J1241" s="67">
        <v>0</v>
      </c>
      <c r="K1241" s="67">
        <v>4.6899999999999997E-2</v>
      </c>
      <c r="L1241" s="36">
        <f>+K1241-((K1241*0.066*0.125)+(K1241*(1-0.066)*0.26))</f>
        <v>3.5123878999999997E-2</v>
      </c>
      <c r="M1241" s="64">
        <f t="shared" si="41"/>
        <v>3.5123878999999997E-2</v>
      </c>
      <c r="N1241" s="33" t="s">
        <v>248</v>
      </c>
    </row>
    <row r="1242" spans="1:14" ht="15">
      <c r="A1242" s="12"/>
      <c r="B1242" s="33" t="s">
        <v>165</v>
      </c>
      <c r="C1242" s="92" t="s">
        <v>387</v>
      </c>
      <c r="D1242" s="33" t="s">
        <v>410</v>
      </c>
      <c r="E1242" s="34">
        <v>44561</v>
      </c>
      <c r="F1242" s="34">
        <v>44564</v>
      </c>
      <c r="G1242" s="34">
        <v>44567</v>
      </c>
      <c r="H1242" s="35">
        <v>3.5000000000000003E-2</v>
      </c>
      <c r="I1242" s="67">
        <v>4.41E-2</v>
      </c>
      <c r="J1242" s="67">
        <v>0</v>
      </c>
      <c r="K1242" s="67">
        <v>4.41E-2</v>
      </c>
      <c r="L1242" s="36">
        <f>+K1242-((K1242*0.066*0.125)+(K1242*(1-0.066)*0.26))</f>
        <v>3.3026930999999995E-2</v>
      </c>
      <c r="M1242" s="64">
        <f t="shared" si="41"/>
        <v>3.3026930999999995E-2</v>
      </c>
      <c r="N1242" s="33" t="s">
        <v>248</v>
      </c>
    </row>
    <row r="1243" spans="1:14" ht="15">
      <c r="A1243" s="12"/>
      <c r="B1243" s="33" t="s">
        <v>153</v>
      </c>
      <c r="C1243" s="92" t="s">
        <v>394</v>
      </c>
      <c r="D1243" s="33" t="s">
        <v>410</v>
      </c>
      <c r="E1243" s="34">
        <v>44561</v>
      </c>
      <c r="F1243" s="34">
        <v>44564</v>
      </c>
      <c r="G1243" s="34">
        <v>44567</v>
      </c>
      <c r="H1243" s="35">
        <v>1.4E-2</v>
      </c>
      <c r="I1243" s="67">
        <v>1.7399999999999999E-2</v>
      </c>
      <c r="J1243" s="67">
        <v>0</v>
      </c>
      <c r="K1243" s="67">
        <v>1.7399999999999999E-2</v>
      </c>
      <c r="L1243" s="36">
        <f>+K1243-((K1243*0.1125*0.125)+(K1243*(1-0.1125)*0.26))</f>
        <v>1.31402625E-2</v>
      </c>
      <c r="M1243" s="64">
        <f t="shared" si="41"/>
        <v>1.31402625E-2</v>
      </c>
      <c r="N1243" s="33" t="s">
        <v>248</v>
      </c>
    </row>
    <row r="1244" spans="1:14" ht="15">
      <c r="A1244" s="12"/>
      <c r="B1244" s="33" t="s">
        <v>152</v>
      </c>
      <c r="C1244" s="92" t="s">
        <v>395</v>
      </c>
      <c r="D1244" s="33" t="s">
        <v>410</v>
      </c>
      <c r="E1244" s="34">
        <v>44561</v>
      </c>
      <c r="F1244" s="34">
        <v>44564</v>
      </c>
      <c r="G1244" s="34">
        <v>44567</v>
      </c>
      <c r="H1244" s="35">
        <v>1.4E-2</v>
      </c>
      <c r="I1244" s="67">
        <v>2.1899999999999999E-2</v>
      </c>
      <c r="J1244" s="67">
        <v>0</v>
      </c>
      <c r="K1244" s="67">
        <v>2.1899999999999999E-2</v>
      </c>
      <c r="L1244" s="36">
        <f>+K1244-((K1244*0.1125*0.125)+(K1244*(1-0.1125)*0.26))</f>
        <v>1.6538606250000001E-2</v>
      </c>
      <c r="M1244" s="64">
        <f t="shared" si="41"/>
        <v>1.6538606250000001E-2</v>
      </c>
      <c r="N1244" s="33" t="s">
        <v>248</v>
      </c>
    </row>
    <row r="1245" spans="1:14" ht="15">
      <c r="A1245" s="12"/>
      <c r="B1245" s="33" t="s">
        <v>167</v>
      </c>
      <c r="C1245" s="92" t="s">
        <v>396</v>
      </c>
      <c r="D1245" s="33" t="s">
        <v>410</v>
      </c>
      <c r="E1245" s="34">
        <v>44561</v>
      </c>
      <c r="F1245" s="34">
        <v>44564</v>
      </c>
      <c r="G1245" s="34">
        <v>44567</v>
      </c>
      <c r="H1245" s="35">
        <v>1.4E-2</v>
      </c>
      <c r="I1245" s="67">
        <v>2.1000000000000001E-2</v>
      </c>
      <c r="J1245" s="67">
        <v>0</v>
      </c>
      <c r="K1245" s="67">
        <v>2.1000000000000001E-2</v>
      </c>
      <c r="L1245" s="36">
        <f>+K1245-((K1245*0.1125*0.125)+(K1245*(1-0.1125)*0.26))</f>
        <v>1.5858937500000003E-2</v>
      </c>
      <c r="M1245" s="64">
        <f t="shared" si="41"/>
        <v>1.5858937500000003E-2</v>
      </c>
      <c r="N1245" s="33" t="s">
        <v>248</v>
      </c>
    </row>
    <row r="1246" spans="1:14" ht="15">
      <c r="A1246" s="12"/>
      <c r="B1246" s="33" t="s">
        <v>301</v>
      </c>
      <c r="C1246" s="92" t="s">
        <v>407</v>
      </c>
      <c r="D1246" s="33" t="s">
        <v>410</v>
      </c>
      <c r="E1246" s="34">
        <v>44561</v>
      </c>
      <c r="F1246" s="34">
        <v>44564</v>
      </c>
      <c r="G1246" s="34">
        <v>44567</v>
      </c>
      <c r="H1246" s="35">
        <v>1.4E-2</v>
      </c>
      <c r="I1246" s="67">
        <v>1.6500000000000001E-2</v>
      </c>
      <c r="J1246" s="67">
        <v>0</v>
      </c>
      <c r="K1246" s="67">
        <v>1.6500000000000001E-2</v>
      </c>
      <c r="L1246" s="36">
        <f>+K1246-((K1246*0.1125*0.125)+(K1246*(1-0.1125)*0.26))</f>
        <v>1.246059375E-2</v>
      </c>
      <c r="M1246" s="64">
        <f t="shared" si="41"/>
        <v>1.246059375E-2</v>
      </c>
      <c r="N1246" s="33" t="s">
        <v>248</v>
      </c>
    </row>
    <row r="1247" spans="1:14" ht="15">
      <c r="A1247" s="12"/>
      <c r="B1247" s="33" t="s">
        <v>304</v>
      </c>
      <c r="C1247" s="92" t="s">
        <v>408</v>
      </c>
      <c r="D1247" s="33" t="s">
        <v>410</v>
      </c>
      <c r="E1247" s="34">
        <v>44561</v>
      </c>
      <c r="F1247" s="34">
        <v>44564</v>
      </c>
      <c r="G1247" s="34">
        <v>44567</v>
      </c>
      <c r="H1247" s="35">
        <v>0.01</v>
      </c>
      <c r="I1247" s="67">
        <v>1.2699999999999999E-2</v>
      </c>
      <c r="J1247" s="67">
        <v>0</v>
      </c>
      <c r="K1247" s="67">
        <v>1.2699999999999999E-2</v>
      </c>
      <c r="L1247" s="36">
        <f>+K1247-((K1247*0.148*0.125)+(K1247*(1-0.148)*0.26))</f>
        <v>9.6517459999999992E-3</v>
      </c>
      <c r="M1247" s="64">
        <f t="shared" si="41"/>
        <v>9.6517459999999992E-3</v>
      </c>
      <c r="N1247" s="33" t="s">
        <v>248</v>
      </c>
    </row>
    <row r="1248" spans="1:14" ht="15">
      <c r="A1248" s="12"/>
      <c r="B1248" s="33" t="s">
        <v>183</v>
      </c>
      <c r="C1248" s="92" t="s">
        <v>398</v>
      </c>
      <c r="D1248" s="33" t="s">
        <v>410</v>
      </c>
      <c r="E1248" s="34">
        <v>44561</v>
      </c>
      <c r="F1248" s="34">
        <v>44564</v>
      </c>
      <c r="G1248" s="34">
        <v>44567</v>
      </c>
      <c r="H1248" s="35">
        <v>0.01</v>
      </c>
      <c r="I1248" s="67">
        <v>1.2699999999999999E-2</v>
      </c>
      <c r="J1248" s="67">
        <v>0</v>
      </c>
      <c r="K1248" s="67">
        <v>1.2699999999999999E-2</v>
      </c>
      <c r="L1248" s="36">
        <f>+K1248-((K1248*0.148*0.125)+(K1248*(1-0.148)*0.26))</f>
        <v>9.6517459999999992E-3</v>
      </c>
      <c r="M1248" s="64">
        <f t="shared" si="41"/>
        <v>9.6517459999999992E-3</v>
      </c>
      <c r="N1248" s="33" t="s">
        <v>248</v>
      </c>
    </row>
    <row r="1249" spans="1:14" ht="15">
      <c r="A1249" s="12"/>
      <c r="B1249" s="33" t="s">
        <v>305</v>
      </c>
      <c r="C1249" s="92" t="s">
        <v>409</v>
      </c>
      <c r="D1249" s="33" t="s">
        <v>410</v>
      </c>
      <c r="E1249" s="34">
        <v>44561</v>
      </c>
      <c r="F1249" s="34">
        <v>44564</v>
      </c>
      <c r="G1249" s="34">
        <v>44567</v>
      </c>
      <c r="H1249" s="35">
        <v>0.01</v>
      </c>
      <c r="I1249" s="67">
        <v>1.2800000000000001E-2</v>
      </c>
      <c r="J1249" s="67">
        <v>0</v>
      </c>
      <c r="K1249" s="67">
        <v>1.2800000000000001E-2</v>
      </c>
      <c r="L1249" s="36">
        <f>+K1249-((K1249*0.148*0.125)+(K1249*(1-0.148)*0.26))</f>
        <v>9.727744E-3</v>
      </c>
      <c r="M1249" s="64">
        <f t="shared" si="41"/>
        <v>9.727744E-3</v>
      </c>
      <c r="N1249" s="33" t="s">
        <v>248</v>
      </c>
    </row>
    <row r="1250" spans="1:14" ht="15">
      <c r="A1250" s="12"/>
      <c r="B1250" s="33" t="s">
        <v>147</v>
      </c>
      <c r="C1250" s="92" t="s">
        <v>466</v>
      </c>
      <c r="D1250" s="33" t="s">
        <v>410</v>
      </c>
      <c r="E1250" s="34">
        <v>44561</v>
      </c>
      <c r="F1250" s="34">
        <v>44564</v>
      </c>
      <c r="G1250" s="34">
        <v>44567</v>
      </c>
      <c r="H1250" s="35">
        <v>0.03</v>
      </c>
      <c r="I1250" s="67">
        <v>4.1399999999999999E-2</v>
      </c>
      <c r="J1250" s="67">
        <v>0</v>
      </c>
      <c r="K1250" s="67">
        <v>4.1399999999999999E-2</v>
      </c>
      <c r="L1250" s="36">
        <f>+K1250-((K1250*0.148*0.125)+(K1250*(1-0.148)*0.26))</f>
        <v>3.1463171999999998E-2</v>
      </c>
      <c r="M1250" s="64">
        <f t="shared" ref="M1250:M1313" si="42">J1250+L1250</f>
        <v>3.1463171999999998E-2</v>
      </c>
      <c r="N1250" s="33" t="s">
        <v>248</v>
      </c>
    </row>
    <row r="1251" spans="1:14" ht="15">
      <c r="A1251" s="12"/>
      <c r="B1251" s="33" t="s">
        <v>164</v>
      </c>
      <c r="C1251" s="92" t="s">
        <v>467</v>
      </c>
      <c r="D1251" s="33" t="s">
        <v>410</v>
      </c>
      <c r="E1251" s="34">
        <v>44561</v>
      </c>
      <c r="F1251" s="34">
        <v>44564</v>
      </c>
      <c r="G1251" s="34">
        <v>44567</v>
      </c>
      <c r="H1251" s="35">
        <v>0.03</v>
      </c>
      <c r="I1251" s="67">
        <v>3.8800000000000001E-2</v>
      </c>
      <c r="J1251" s="67">
        <v>0</v>
      </c>
      <c r="K1251" s="67">
        <v>3.8800000000000001E-2</v>
      </c>
      <c r="L1251" s="36">
        <f>+K1251-((K1251*0.148*0.125)+(K1251*(1-0.148)*0.26))</f>
        <v>2.9487223999999999E-2</v>
      </c>
      <c r="M1251" s="64">
        <f t="shared" si="42"/>
        <v>2.9487223999999999E-2</v>
      </c>
      <c r="N1251" s="33" t="s">
        <v>248</v>
      </c>
    </row>
    <row r="1252" spans="1:14" ht="15">
      <c r="A1252" s="12"/>
      <c r="B1252" s="33" t="s">
        <v>479</v>
      </c>
      <c r="C1252" s="92" t="s">
        <v>481</v>
      </c>
      <c r="D1252" s="33" t="s">
        <v>412</v>
      </c>
      <c r="E1252" s="34">
        <v>44586</v>
      </c>
      <c r="F1252" s="34">
        <v>44587</v>
      </c>
      <c r="G1252" s="34">
        <v>44592</v>
      </c>
      <c r="H1252" s="35">
        <v>5.5E-2</v>
      </c>
      <c r="I1252" s="67">
        <v>0.18959999999999999</v>
      </c>
      <c r="J1252" s="67">
        <v>0</v>
      </c>
      <c r="K1252" s="67">
        <v>0.18959999999999999</v>
      </c>
      <c r="L1252" s="36">
        <f>+K1252-((K1252*0.1248*0.125)+(K1252*(1-0.1248)*0.26))</f>
        <v>0.14349838079999999</v>
      </c>
      <c r="M1252" s="64">
        <f t="shared" si="42"/>
        <v>0.14349838079999999</v>
      </c>
      <c r="N1252" s="33" t="s">
        <v>495</v>
      </c>
    </row>
    <row r="1253" spans="1:14" ht="15">
      <c r="A1253" s="12"/>
      <c r="B1253" s="33" t="s">
        <v>480</v>
      </c>
      <c r="C1253" s="92" t="s">
        <v>482</v>
      </c>
      <c r="D1253" s="33" t="s">
        <v>412</v>
      </c>
      <c r="E1253" s="34">
        <v>44586</v>
      </c>
      <c r="F1253" s="34">
        <v>44587</v>
      </c>
      <c r="G1253" s="34">
        <v>44592</v>
      </c>
      <c r="H1253" s="35">
        <v>5.5E-2</v>
      </c>
      <c r="I1253" s="67">
        <v>0.17949999999999999</v>
      </c>
      <c r="J1253" s="67">
        <v>0</v>
      </c>
      <c r="K1253" s="67">
        <v>0.17949999999999999</v>
      </c>
      <c r="L1253" s="36">
        <f>+K1253-((K1253*0.1248*0.125)+(K1253*(1-0.1248)*0.26))</f>
        <v>0.13585421599999997</v>
      </c>
      <c r="M1253" s="64">
        <f t="shared" si="42"/>
        <v>0.13585421599999997</v>
      </c>
      <c r="N1253" s="33" t="s">
        <v>495</v>
      </c>
    </row>
    <row r="1254" spans="1:14" ht="15">
      <c r="A1254" s="12"/>
      <c r="B1254" s="33" t="s">
        <v>132</v>
      </c>
      <c r="C1254" s="92" t="s">
        <v>358</v>
      </c>
      <c r="D1254" s="33" t="s">
        <v>410</v>
      </c>
      <c r="E1254" s="34">
        <v>44586</v>
      </c>
      <c r="F1254" s="34">
        <v>44587</v>
      </c>
      <c r="G1254" s="34">
        <v>44592</v>
      </c>
      <c r="H1254" s="35">
        <v>0.03</v>
      </c>
      <c r="I1254" s="67">
        <v>3.6499999999999998E-2</v>
      </c>
      <c r="J1254" s="67">
        <v>0</v>
      </c>
      <c r="K1254" s="67">
        <v>3.6499999999999998E-2</v>
      </c>
      <c r="L1254" s="36">
        <f>+K1254-((K1254*0.2659*0.125)+(K1254*(1-0.2659)*0.26))</f>
        <v>2.8320222249999999E-2</v>
      </c>
      <c r="M1254" s="64">
        <f t="shared" si="42"/>
        <v>2.8320222249999999E-2</v>
      </c>
      <c r="N1254" s="33" t="s">
        <v>249</v>
      </c>
    </row>
    <row r="1255" spans="1:14" ht="15">
      <c r="A1255" s="12"/>
      <c r="B1255" s="33" t="s">
        <v>227</v>
      </c>
      <c r="C1255" s="92" t="s">
        <v>359</v>
      </c>
      <c r="D1255" s="33" t="s">
        <v>410</v>
      </c>
      <c r="E1255" s="34">
        <v>44586</v>
      </c>
      <c r="F1255" s="34">
        <v>44587</v>
      </c>
      <c r="G1255" s="34">
        <v>44592</v>
      </c>
      <c r="H1255" s="35">
        <v>0.03</v>
      </c>
      <c r="I1255" s="67">
        <v>3.6200000000000003E-2</v>
      </c>
      <c r="J1255" s="67">
        <v>0</v>
      </c>
      <c r="K1255" s="67">
        <v>3.6200000000000003E-2</v>
      </c>
      <c r="L1255" s="36">
        <f>+K1255-((K1255*0.2659*0.125)+(K1255*(1-0.2659)*0.26))</f>
        <v>2.8087453300000002E-2</v>
      </c>
      <c r="M1255" s="64">
        <f t="shared" si="42"/>
        <v>2.8087453300000002E-2</v>
      </c>
      <c r="N1255" s="33" t="s">
        <v>249</v>
      </c>
    </row>
    <row r="1256" spans="1:14" ht="15">
      <c r="A1256" s="12"/>
      <c r="B1256" s="33" t="s">
        <v>133</v>
      </c>
      <c r="C1256" s="92" t="s">
        <v>474</v>
      </c>
      <c r="D1256" s="33" t="s">
        <v>410</v>
      </c>
      <c r="E1256" s="34">
        <v>44586</v>
      </c>
      <c r="F1256" s="34">
        <v>44587</v>
      </c>
      <c r="G1256" s="34">
        <v>44592</v>
      </c>
      <c r="H1256" s="35">
        <v>3.5000000000000003E-2</v>
      </c>
      <c r="I1256" s="67">
        <v>3.5200000000000002E-2</v>
      </c>
      <c r="J1256" s="67">
        <v>0</v>
      </c>
      <c r="K1256" s="67">
        <v>3.5200000000000002E-2</v>
      </c>
      <c r="L1256" s="36">
        <f>+K1256-((K1256*0.002*0.125)+(K1256*(1-0.002)*0.26))</f>
        <v>2.6057504000000002E-2</v>
      </c>
      <c r="M1256" s="64">
        <f t="shared" si="42"/>
        <v>2.6057504000000002E-2</v>
      </c>
      <c r="N1256" s="33" t="s">
        <v>249</v>
      </c>
    </row>
    <row r="1257" spans="1:14" ht="15">
      <c r="A1257" s="12"/>
      <c r="B1257" s="33" t="s">
        <v>134</v>
      </c>
      <c r="C1257" s="92" t="s">
        <v>374</v>
      </c>
      <c r="D1257" s="33" t="s">
        <v>410</v>
      </c>
      <c r="E1257" s="34">
        <v>44586</v>
      </c>
      <c r="F1257" s="34">
        <v>44587</v>
      </c>
      <c r="G1257" s="34">
        <v>44592</v>
      </c>
      <c r="H1257" s="35">
        <v>0.04</v>
      </c>
      <c r="I1257" s="67">
        <v>4.8300000000000003E-2</v>
      </c>
      <c r="J1257" s="67">
        <v>0</v>
      </c>
      <c r="K1257" s="67">
        <v>4.8300000000000003E-2</v>
      </c>
      <c r="L1257" s="36">
        <f>+K1257-((K1257*0.2436*0.125)+(K1257*(1-0.2436)*0.26))</f>
        <v>3.73303938E-2</v>
      </c>
      <c r="M1257" s="64">
        <f t="shared" si="42"/>
        <v>3.73303938E-2</v>
      </c>
      <c r="N1257" s="33" t="s">
        <v>249</v>
      </c>
    </row>
    <row r="1258" spans="1:14" ht="15">
      <c r="A1258" s="12"/>
      <c r="B1258" s="33" t="s">
        <v>168</v>
      </c>
      <c r="C1258" s="92" t="s">
        <v>376</v>
      </c>
      <c r="D1258" s="33" t="s">
        <v>410</v>
      </c>
      <c r="E1258" s="34">
        <v>44586</v>
      </c>
      <c r="F1258" s="34">
        <v>44587</v>
      </c>
      <c r="G1258" s="34">
        <v>44592</v>
      </c>
      <c r="H1258" s="35">
        <v>0.04</v>
      </c>
      <c r="I1258" s="67">
        <v>4.48E-2</v>
      </c>
      <c r="J1258" s="67">
        <v>0</v>
      </c>
      <c r="K1258" s="67">
        <v>4.48E-2</v>
      </c>
      <c r="L1258" s="36">
        <f>+K1258-((K1258*0.2436*0.125)+(K1258*(1-0.2436)*0.26))</f>
        <v>3.4625292799999999E-2</v>
      </c>
      <c r="M1258" s="64">
        <f t="shared" si="42"/>
        <v>3.4625292799999999E-2</v>
      </c>
      <c r="N1258" s="33" t="s">
        <v>249</v>
      </c>
    </row>
    <row r="1259" spans="1:14" ht="15">
      <c r="A1259" s="12"/>
      <c r="B1259" s="33" t="s">
        <v>136</v>
      </c>
      <c r="C1259" s="92" t="s">
        <v>388</v>
      </c>
      <c r="D1259" s="33" t="s">
        <v>410</v>
      </c>
      <c r="E1259" s="34">
        <v>44586</v>
      </c>
      <c r="F1259" s="34">
        <v>44587</v>
      </c>
      <c r="G1259" s="34">
        <v>44592</v>
      </c>
      <c r="H1259" s="35">
        <v>0.03</v>
      </c>
      <c r="I1259" s="67">
        <v>3.61E-2</v>
      </c>
      <c r="J1259" s="67">
        <v>0</v>
      </c>
      <c r="K1259" s="67">
        <v>3.61E-2</v>
      </c>
      <c r="L1259" s="36">
        <f t="shared" ref="L1259:L1264" si="43">+K1259-((K1259*0.0473*0.125)+(K1259*(1-0.0473)*0.26))</f>
        <v>2.6944516549999999E-2</v>
      </c>
      <c r="M1259" s="64">
        <f t="shared" si="42"/>
        <v>2.6944516549999999E-2</v>
      </c>
      <c r="N1259" s="33" t="s">
        <v>249</v>
      </c>
    </row>
    <row r="1260" spans="1:14" ht="15">
      <c r="A1260" s="12"/>
      <c r="B1260" s="33" t="s">
        <v>137</v>
      </c>
      <c r="C1260" s="92" t="s">
        <v>389</v>
      </c>
      <c r="D1260" s="33" t="s">
        <v>410</v>
      </c>
      <c r="E1260" s="34">
        <v>44586</v>
      </c>
      <c r="F1260" s="34">
        <v>44587</v>
      </c>
      <c r="G1260" s="34">
        <v>44592</v>
      </c>
      <c r="H1260" s="35">
        <v>3.7499999999999999E-2</v>
      </c>
      <c r="I1260" s="67">
        <v>4.5600000000000002E-2</v>
      </c>
      <c r="J1260" s="67">
        <v>0</v>
      </c>
      <c r="K1260" s="67">
        <v>4.5600000000000002E-2</v>
      </c>
      <c r="L1260" s="36">
        <f t="shared" si="43"/>
        <v>3.4035178800000003E-2</v>
      </c>
      <c r="M1260" s="64">
        <f t="shared" si="42"/>
        <v>3.4035178800000003E-2</v>
      </c>
      <c r="N1260" s="33" t="s">
        <v>249</v>
      </c>
    </row>
    <row r="1261" spans="1:14" ht="15">
      <c r="A1261" s="12"/>
      <c r="B1261" s="33" t="s">
        <v>135</v>
      </c>
      <c r="C1261" s="92" t="s">
        <v>390</v>
      </c>
      <c r="D1261" s="33" t="s">
        <v>410</v>
      </c>
      <c r="E1261" s="34">
        <v>44586</v>
      </c>
      <c r="F1261" s="34">
        <v>44587</v>
      </c>
      <c r="G1261" s="34">
        <v>44592</v>
      </c>
      <c r="H1261" s="35">
        <v>4.4999999999999998E-2</v>
      </c>
      <c r="I1261" s="67">
        <v>5.1999999999999998E-2</v>
      </c>
      <c r="J1261" s="67">
        <v>0</v>
      </c>
      <c r="K1261" s="67">
        <v>5.1999999999999998E-2</v>
      </c>
      <c r="L1261" s="36">
        <f t="shared" si="43"/>
        <v>3.8812045999999996E-2</v>
      </c>
      <c r="M1261" s="64">
        <f t="shared" si="42"/>
        <v>3.8812045999999996E-2</v>
      </c>
      <c r="N1261" s="33" t="s">
        <v>249</v>
      </c>
    </row>
    <row r="1262" spans="1:14" ht="15">
      <c r="A1262" s="12"/>
      <c r="B1262" s="33" t="s">
        <v>170</v>
      </c>
      <c r="C1262" s="92" t="s">
        <v>391</v>
      </c>
      <c r="D1262" s="33" t="s">
        <v>410</v>
      </c>
      <c r="E1262" s="34">
        <v>44586</v>
      </c>
      <c r="F1262" s="34">
        <v>44587</v>
      </c>
      <c r="G1262" s="34">
        <v>44592</v>
      </c>
      <c r="H1262" s="35">
        <v>0.03</v>
      </c>
      <c r="I1262" s="67">
        <v>3.5799999999999998E-2</v>
      </c>
      <c r="J1262" s="67">
        <v>0</v>
      </c>
      <c r="K1262" s="67">
        <v>3.5799999999999998E-2</v>
      </c>
      <c r="L1262" s="36">
        <f t="shared" si="43"/>
        <v>2.6720600899999999E-2</v>
      </c>
      <c r="M1262" s="64">
        <f t="shared" si="42"/>
        <v>2.6720600899999999E-2</v>
      </c>
      <c r="N1262" s="33" t="s">
        <v>249</v>
      </c>
    </row>
    <row r="1263" spans="1:14" ht="15">
      <c r="A1263" s="12"/>
      <c r="B1263" s="33" t="s">
        <v>171</v>
      </c>
      <c r="C1263" s="92" t="s">
        <v>392</v>
      </c>
      <c r="D1263" s="33" t="s">
        <v>410</v>
      </c>
      <c r="E1263" s="34">
        <v>44586</v>
      </c>
      <c r="F1263" s="34">
        <v>44587</v>
      </c>
      <c r="G1263" s="34">
        <v>44592</v>
      </c>
      <c r="H1263" s="35">
        <v>3.7499999999999999E-2</v>
      </c>
      <c r="I1263" s="67">
        <v>4.5100000000000001E-2</v>
      </c>
      <c r="J1263" s="67">
        <v>0</v>
      </c>
      <c r="K1263" s="67">
        <v>4.5100000000000001E-2</v>
      </c>
      <c r="L1263" s="36">
        <f t="shared" si="43"/>
        <v>3.3661986050000002E-2</v>
      </c>
      <c r="M1263" s="64">
        <f t="shared" si="42"/>
        <v>3.3661986050000002E-2</v>
      </c>
      <c r="N1263" s="33" t="s">
        <v>249</v>
      </c>
    </row>
    <row r="1264" spans="1:14" ht="15">
      <c r="A1264" s="12"/>
      <c r="B1264" s="33" t="s">
        <v>172</v>
      </c>
      <c r="C1264" s="92" t="s">
        <v>393</v>
      </c>
      <c r="D1264" s="33" t="s">
        <v>410</v>
      </c>
      <c r="E1264" s="34">
        <v>44586</v>
      </c>
      <c r="F1264" s="34">
        <v>44587</v>
      </c>
      <c r="G1264" s="34">
        <v>44592</v>
      </c>
      <c r="H1264" s="35">
        <v>4.4999999999999998E-2</v>
      </c>
      <c r="I1264" s="67">
        <v>5.1400000000000001E-2</v>
      </c>
      <c r="J1264" s="67">
        <v>0</v>
      </c>
      <c r="K1264" s="67">
        <v>5.1400000000000001E-2</v>
      </c>
      <c r="L1264" s="36">
        <f t="shared" si="43"/>
        <v>3.8364214699999996E-2</v>
      </c>
      <c r="M1264" s="64">
        <f t="shared" si="42"/>
        <v>3.8364214699999996E-2</v>
      </c>
      <c r="N1264" s="33" t="s">
        <v>249</v>
      </c>
    </row>
    <row r="1265" spans="1:14" ht="15">
      <c r="A1265" s="12"/>
      <c r="B1265" s="33" t="s">
        <v>169</v>
      </c>
      <c r="C1265" s="92" t="s">
        <v>400</v>
      </c>
      <c r="D1265" s="33" t="s">
        <v>410</v>
      </c>
      <c r="E1265" s="34">
        <v>44586</v>
      </c>
      <c r="F1265" s="34">
        <v>44587</v>
      </c>
      <c r="G1265" s="34">
        <v>44592</v>
      </c>
      <c r="H1265" s="35">
        <v>5.5E-2</v>
      </c>
      <c r="I1265" s="67">
        <v>5.8900000000000001E-2</v>
      </c>
      <c r="J1265" s="67">
        <v>0</v>
      </c>
      <c r="K1265" s="67">
        <v>5.8900000000000001E-2</v>
      </c>
      <c r="L1265" s="36">
        <f>+K1265-((K1265*0.1248*0.125)+(K1265*(1-0.1248)*0.26))</f>
        <v>4.45783472E-2</v>
      </c>
      <c r="M1265" s="64">
        <f t="shared" si="42"/>
        <v>4.45783472E-2</v>
      </c>
      <c r="N1265" s="33" t="s">
        <v>249</v>
      </c>
    </row>
    <row r="1266" spans="1:14" ht="15">
      <c r="A1266" s="12"/>
      <c r="B1266" s="33" t="s">
        <v>156</v>
      </c>
      <c r="C1266" s="92" t="s">
        <v>473</v>
      </c>
      <c r="D1266" s="33" t="s">
        <v>496</v>
      </c>
      <c r="E1266" s="34">
        <v>44586</v>
      </c>
      <c r="F1266" s="34">
        <v>44587</v>
      </c>
      <c r="G1266" s="34">
        <v>44592</v>
      </c>
      <c r="H1266" s="35">
        <v>3.5000000000000003E-2</v>
      </c>
      <c r="I1266" s="67">
        <v>7.8100000000000003E-2</v>
      </c>
      <c r="J1266" s="67">
        <v>0</v>
      </c>
      <c r="K1266" s="67">
        <v>7.8100000000000003E-2</v>
      </c>
      <c r="L1266" s="36">
        <f>+K1266-((K1266*0.0000001*0.125)+(K1266*(1-0.0000001)*0.26))</f>
        <v>5.7794001054349994E-2</v>
      </c>
      <c r="M1266" s="64">
        <f t="shared" si="42"/>
        <v>5.7794001054349994E-2</v>
      </c>
      <c r="N1266" s="33" t="s">
        <v>250</v>
      </c>
    </row>
    <row r="1267" spans="1:14" ht="15">
      <c r="A1267" s="12"/>
      <c r="B1267" s="33" t="s">
        <v>178</v>
      </c>
      <c r="C1267" s="92" t="s">
        <v>472</v>
      </c>
      <c r="D1267" s="33" t="s">
        <v>496</v>
      </c>
      <c r="E1267" s="34">
        <v>44586</v>
      </c>
      <c r="F1267" s="34">
        <v>44587</v>
      </c>
      <c r="G1267" s="34">
        <v>44592</v>
      </c>
      <c r="H1267" s="35">
        <v>3.5000000000000003E-2</v>
      </c>
      <c r="I1267" s="67">
        <v>6.7799999999999999E-2</v>
      </c>
      <c r="J1267" s="67">
        <v>0</v>
      </c>
      <c r="K1267" s="67">
        <v>6.7799999999999999E-2</v>
      </c>
      <c r="L1267" s="36">
        <f>+K1267-((K1267*0.0000001*0.125)+(K1267*(1-0.0000001)*0.26))</f>
        <v>5.0172000915299997E-2</v>
      </c>
      <c r="M1267" s="64">
        <f t="shared" si="42"/>
        <v>5.0172000915299997E-2</v>
      </c>
      <c r="N1267" s="33" t="s">
        <v>250</v>
      </c>
    </row>
    <row r="1268" spans="1:14" ht="15">
      <c r="A1268" s="12"/>
      <c r="B1268" s="33" t="s">
        <v>155</v>
      </c>
      <c r="C1268" s="92" t="s">
        <v>475</v>
      </c>
      <c r="D1268" s="33" t="s">
        <v>496</v>
      </c>
      <c r="E1268" s="34">
        <v>44586</v>
      </c>
      <c r="F1268" s="34">
        <v>44587</v>
      </c>
      <c r="G1268" s="34">
        <v>44592</v>
      </c>
      <c r="H1268" s="35">
        <v>3.5000000000000003E-2</v>
      </c>
      <c r="I1268" s="67">
        <v>7.9200000000000007E-2</v>
      </c>
      <c r="J1268" s="67">
        <v>1.7599750000000022E-2</v>
      </c>
      <c r="K1268" s="67">
        <v>6.1600249999999988E-2</v>
      </c>
      <c r="L1268" s="36">
        <f>+K1268-((K1268*0.002*0.125)+(K1268*(1-0.002)*0.26))</f>
        <v>4.5600817067499994E-2</v>
      </c>
      <c r="M1268" s="64">
        <f t="shared" si="42"/>
        <v>6.3200567067500019E-2</v>
      </c>
      <c r="N1268" s="33" t="s">
        <v>250</v>
      </c>
    </row>
    <row r="1269" spans="1:14" ht="15">
      <c r="A1269" s="12"/>
      <c r="B1269" s="33" t="s">
        <v>177</v>
      </c>
      <c r="C1269" s="92" t="s">
        <v>476</v>
      </c>
      <c r="D1269" s="33" t="s">
        <v>496</v>
      </c>
      <c r="E1269" s="34">
        <v>44586</v>
      </c>
      <c r="F1269" s="34">
        <v>44587</v>
      </c>
      <c r="G1269" s="34">
        <v>44592</v>
      </c>
      <c r="H1269" s="35">
        <v>3.5000000000000003E-2</v>
      </c>
      <c r="I1269" s="67">
        <v>8.1100000000000005E-2</v>
      </c>
      <c r="J1269" s="67">
        <v>1.9079540000000006E-2</v>
      </c>
      <c r="K1269" s="67">
        <v>6.2020459999999999E-2</v>
      </c>
      <c r="L1269" s="36">
        <f>+K1269-((K1269*0.002*0.125)+(K1269*(1-0.002)*0.26))</f>
        <v>4.5911885924199994E-2</v>
      </c>
      <c r="M1269" s="64">
        <f t="shared" si="42"/>
        <v>6.49914259242E-2</v>
      </c>
      <c r="N1269" s="33" t="s">
        <v>250</v>
      </c>
    </row>
    <row r="1270" spans="1:14" ht="15">
      <c r="A1270" s="12"/>
      <c r="B1270" s="33" t="s">
        <v>158</v>
      </c>
      <c r="C1270" s="92" t="s">
        <v>373</v>
      </c>
      <c r="D1270" s="33" t="s">
        <v>496</v>
      </c>
      <c r="E1270" s="34">
        <v>44586</v>
      </c>
      <c r="F1270" s="34">
        <v>44587</v>
      </c>
      <c r="G1270" s="34">
        <v>44592</v>
      </c>
      <c r="H1270" s="35">
        <v>0.04</v>
      </c>
      <c r="I1270" s="67">
        <v>8.2000000000000003E-2</v>
      </c>
      <c r="J1270" s="67">
        <v>0</v>
      </c>
      <c r="K1270" s="67">
        <v>8.2000000000000003E-2</v>
      </c>
      <c r="L1270" s="36">
        <f>+K1270-((K1270*0.2436*0.125)+(K1270*(1-0.2436)*0.26))</f>
        <v>6.3376652000000006E-2</v>
      </c>
      <c r="M1270" s="64">
        <f t="shared" si="42"/>
        <v>6.3376652000000006E-2</v>
      </c>
      <c r="N1270" s="33" t="s">
        <v>250</v>
      </c>
    </row>
    <row r="1271" spans="1:14" ht="15">
      <c r="A1271" s="12"/>
      <c r="B1271" s="33" t="s">
        <v>157</v>
      </c>
      <c r="C1271" s="92" t="s">
        <v>375</v>
      </c>
      <c r="D1271" s="33" t="s">
        <v>496</v>
      </c>
      <c r="E1271" s="34">
        <v>44586</v>
      </c>
      <c r="F1271" s="34">
        <v>44587</v>
      </c>
      <c r="G1271" s="34">
        <v>44592</v>
      </c>
      <c r="H1271" s="35">
        <v>0.04</v>
      </c>
      <c r="I1271" s="67">
        <v>7.2999999999999995E-2</v>
      </c>
      <c r="J1271" s="67">
        <v>0</v>
      </c>
      <c r="K1271" s="67">
        <v>7.2999999999999995E-2</v>
      </c>
      <c r="L1271" s="36">
        <f>+K1271-((K1271*0.2436*0.125)+(K1271*(1-0.2436)*0.26))</f>
        <v>5.6420677999999995E-2</v>
      </c>
      <c r="M1271" s="64">
        <f t="shared" si="42"/>
        <v>5.6420677999999995E-2</v>
      </c>
      <c r="N1271" s="33" t="s">
        <v>250</v>
      </c>
    </row>
    <row r="1272" spans="1:14" ht="15">
      <c r="A1272" s="12"/>
      <c r="B1272" s="33" t="s">
        <v>154</v>
      </c>
      <c r="C1272" s="92" t="s">
        <v>399</v>
      </c>
      <c r="D1272" s="33" t="s">
        <v>496</v>
      </c>
      <c r="E1272" s="34">
        <v>44586</v>
      </c>
      <c r="F1272" s="34">
        <v>44587</v>
      </c>
      <c r="G1272" s="34">
        <v>44592</v>
      </c>
      <c r="H1272" s="35">
        <v>5.5E-2</v>
      </c>
      <c r="I1272" s="67">
        <v>0.10489999999999999</v>
      </c>
      <c r="J1272" s="67">
        <v>0</v>
      </c>
      <c r="K1272" s="67">
        <v>0.10489999999999999</v>
      </c>
      <c r="L1272" s="36">
        <f>+K1272-((K1272*0.1248*0.125)+(K1272*(1-0.1248)*0.26))</f>
        <v>7.9393355199999988E-2</v>
      </c>
      <c r="M1272" s="64">
        <f t="shared" si="42"/>
        <v>7.9393355199999988E-2</v>
      </c>
      <c r="N1272" s="33" t="s">
        <v>250</v>
      </c>
    </row>
    <row r="1273" spans="1:14" ht="15">
      <c r="A1273" s="12"/>
      <c r="B1273" s="33" t="s">
        <v>310</v>
      </c>
      <c r="C1273" s="92" t="s">
        <v>424</v>
      </c>
      <c r="D1273" s="33" t="s">
        <v>411</v>
      </c>
      <c r="E1273" s="34">
        <v>44592</v>
      </c>
      <c r="F1273" s="34">
        <v>44593</v>
      </c>
      <c r="G1273" s="34">
        <v>44596</v>
      </c>
      <c r="H1273" s="35">
        <v>4.4999999999999998E-2</v>
      </c>
      <c r="I1273" s="67">
        <v>1.6799999999999999E-2</v>
      </c>
      <c r="J1273" s="67">
        <v>0</v>
      </c>
      <c r="K1273" s="67">
        <v>1.6799999999999999E-2</v>
      </c>
      <c r="L1273" s="36">
        <f>+K1273-((K1273*0.0312*0.125)+(K1273*(1-0.0312)*0.26))</f>
        <v>1.2502761599999999E-2</v>
      </c>
      <c r="M1273" s="64">
        <f t="shared" si="42"/>
        <v>1.2502761599999999E-2</v>
      </c>
      <c r="N1273" s="33" t="s">
        <v>251</v>
      </c>
    </row>
    <row r="1274" spans="1:14" ht="15">
      <c r="A1274" s="12"/>
      <c r="B1274" s="33" t="s">
        <v>188</v>
      </c>
      <c r="C1274" s="92" t="s">
        <v>339</v>
      </c>
      <c r="D1274" s="33" t="s">
        <v>411</v>
      </c>
      <c r="E1274" s="34">
        <v>44592</v>
      </c>
      <c r="F1274" s="34">
        <v>44593</v>
      </c>
      <c r="G1274" s="34">
        <v>44596</v>
      </c>
      <c r="H1274" s="35">
        <v>4.4999999999999998E-2</v>
      </c>
      <c r="I1274" s="67">
        <v>0.29260000000000003</v>
      </c>
      <c r="J1274" s="67">
        <v>0</v>
      </c>
      <c r="K1274" s="67">
        <v>0.29260000000000003</v>
      </c>
      <c r="L1274" s="36">
        <f>+K1274-((K1274*0.0312*0.125)+(K1274*(1-0.0312)*0.26))</f>
        <v>0.21775643120000002</v>
      </c>
      <c r="M1274" s="64">
        <f t="shared" si="42"/>
        <v>0.21775643120000002</v>
      </c>
      <c r="N1274" s="33" t="s">
        <v>251</v>
      </c>
    </row>
    <row r="1275" spans="1:14" ht="15">
      <c r="A1275" s="12"/>
      <c r="B1275" s="33" t="s">
        <v>196</v>
      </c>
      <c r="C1275" s="92" t="s">
        <v>340</v>
      </c>
      <c r="D1275" s="33" t="s">
        <v>411</v>
      </c>
      <c r="E1275" s="34">
        <v>44592</v>
      </c>
      <c r="F1275" s="34">
        <v>44593</v>
      </c>
      <c r="G1275" s="34">
        <v>44596</v>
      </c>
      <c r="H1275" s="35">
        <v>4.4999999999999998E-2</v>
      </c>
      <c r="I1275" s="67">
        <v>0.3054</v>
      </c>
      <c r="J1275" s="67">
        <v>0</v>
      </c>
      <c r="K1275" s="67">
        <v>0.3054</v>
      </c>
      <c r="L1275" s="36">
        <f>+K1275-((K1275*0.0312*0.125)+(K1275*(1-0.0312)*0.26))</f>
        <v>0.22728234480000001</v>
      </c>
      <c r="M1275" s="64">
        <f t="shared" si="42"/>
        <v>0.22728234480000001</v>
      </c>
      <c r="N1275" s="33" t="s">
        <v>251</v>
      </c>
    </row>
    <row r="1276" spans="1:14" ht="15">
      <c r="A1276" s="12"/>
      <c r="B1276" s="33" t="s">
        <v>191</v>
      </c>
      <c r="C1276" s="92" t="s">
        <v>346</v>
      </c>
      <c r="D1276" s="33" t="s">
        <v>411</v>
      </c>
      <c r="E1276" s="34">
        <v>44592</v>
      </c>
      <c r="F1276" s="34">
        <v>44593</v>
      </c>
      <c r="G1276" s="34">
        <v>44596</v>
      </c>
      <c r="H1276" s="35">
        <v>0.02</v>
      </c>
      <c r="I1276" s="67">
        <v>6.8999999999999999E-3</v>
      </c>
      <c r="J1276" s="67">
        <v>0</v>
      </c>
      <c r="K1276" s="67">
        <v>6.8999999999999999E-3</v>
      </c>
      <c r="L1276" s="36">
        <f>+K1276-((K1276*0.8038*0.125)+(K1276*(1-0.8038)*0.26))</f>
        <v>5.8547397000000001E-3</v>
      </c>
      <c r="M1276" s="64">
        <f t="shared" si="42"/>
        <v>5.8547397000000001E-3</v>
      </c>
      <c r="N1276" s="33" t="s">
        <v>251</v>
      </c>
    </row>
    <row r="1277" spans="1:14" ht="15">
      <c r="A1277" s="12"/>
      <c r="B1277" s="33" t="s">
        <v>199</v>
      </c>
      <c r="C1277" s="92" t="s">
        <v>347</v>
      </c>
      <c r="D1277" s="33" t="s">
        <v>411</v>
      </c>
      <c r="E1277" s="34">
        <v>44592</v>
      </c>
      <c r="F1277" s="34">
        <v>44593</v>
      </c>
      <c r="G1277" s="34">
        <v>44596</v>
      </c>
      <c r="H1277" s="35">
        <v>0.02</v>
      </c>
      <c r="I1277" s="67">
        <v>6.8999999999999999E-3</v>
      </c>
      <c r="J1277" s="67">
        <v>0</v>
      </c>
      <c r="K1277" s="67">
        <v>6.8999999999999999E-3</v>
      </c>
      <c r="L1277" s="36">
        <f>+K1277-((K1277*0.8038*0.125)+(K1277*(1-0.8038)*0.26))</f>
        <v>5.8547397000000001E-3</v>
      </c>
      <c r="M1277" s="64">
        <f t="shared" si="42"/>
        <v>5.8547397000000001E-3</v>
      </c>
      <c r="N1277" s="33" t="s">
        <v>251</v>
      </c>
    </row>
    <row r="1278" spans="1:14" ht="15">
      <c r="A1278" s="12"/>
      <c r="B1278" s="33" t="s">
        <v>306</v>
      </c>
      <c r="C1278" s="92" t="s">
        <v>430</v>
      </c>
      <c r="D1278" s="33" t="s">
        <v>411</v>
      </c>
      <c r="E1278" s="34">
        <v>44592</v>
      </c>
      <c r="F1278" s="34">
        <v>44593</v>
      </c>
      <c r="G1278" s="34">
        <v>44596</v>
      </c>
      <c r="H1278" s="35">
        <v>2.5000000000000001E-2</v>
      </c>
      <c r="I1278" s="67">
        <v>1.0200000000000001E-2</v>
      </c>
      <c r="J1278" s="67">
        <v>0</v>
      </c>
      <c r="K1278" s="67">
        <v>1.0200000000000001E-2</v>
      </c>
      <c r="L1278" s="36">
        <f>+K1278-((K1278*0.00001*0.125)+(K1278*(1-0.00001)*0.26))</f>
        <v>7.5480137700000005E-3</v>
      </c>
      <c r="M1278" s="64">
        <f t="shared" si="42"/>
        <v>7.5480137700000005E-3</v>
      </c>
      <c r="N1278" s="33" t="s">
        <v>251</v>
      </c>
    </row>
    <row r="1279" spans="1:14" ht="15">
      <c r="A1279" s="12"/>
      <c r="B1279" s="33" t="s">
        <v>184</v>
      </c>
      <c r="C1279" s="92" t="s">
        <v>354</v>
      </c>
      <c r="D1279" s="33" t="s">
        <v>411</v>
      </c>
      <c r="E1279" s="34">
        <v>44592</v>
      </c>
      <c r="F1279" s="34">
        <v>44593</v>
      </c>
      <c r="G1279" s="34">
        <v>44596</v>
      </c>
      <c r="H1279" s="35">
        <v>2.5000000000000001E-2</v>
      </c>
      <c r="I1279" s="67">
        <v>0.20449999999999999</v>
      </c>
      <c r="J1279" s="67">
        <v>0</v>
      </c>
      <c r="K1279" s="67">
        <v>0.20449999999999999</v>
      </c>
      <c r="L1279" s="36">
        <f>+K1279-((K1279*0.00001*0.125)+(K1279*(1-0.00001)*0.26))</f>
        <v>0.15133027607499999</v>
      </c>
      <c r="M1279" s="64">
        <f t="shared" si="42"/>
        <v>0.15133027607499999</v>
      </c>
      <c r="N1279" s="33" t="s">
        <v>251</v>
      </c>
    </row>
    <row r="1280" spans="1:14" ht="15">
      <c r="A1280" s="12"/>
      <c r="B1280" s="33" t="s">
        <v>192</v>
      </c>
      <c r="C1280" s="92" t="s">
        <v>355</v>
      </c>
      <c r="D1280" s="33" t="s">
        <v>411</v>
      </c>
      <c r="E1280" s="34">
        <v>44592</v>
      </c>
      <c r="F1280" s="34">
        <v>44593</v>
      </c>
      <c r="G1280" s="34">
        <v>44596</v>
      </c>
      <c r="H1280" s="35">
        <v>2.5000000000000001E-2</v>
      </c>
      <c r="I1280" s="67">
        <v>0.20749999999999999</v>
      </c>
      <c r="J1280" s="67">
        <v>0</v>
      </c>
      <c r="K1280" s="67">
        <v>0.20749999999999999</v>
      </c>
      <c r="L1280" s="36">
        <f>+K1280-((K1280*0.00001*0.125)+(K1280*(1-0.00001)*0.26))</f>
        <v>0.15355028012499999</v>
      </c>
      <c r="M1280" s="64">
        <f t="shared" si="42"/>
        <v>0.15355028012499999</v>
      </c>
      <c r="N1280" s="33" t="s">
        <v>251</v>
      </c>
    </row>
    <row r="1281" spans="1:14" ht="15">
      <c r="A1281" s="12"/>
      <c r="B1281" s="33" t="s">
        <v>311</v>
      </c>
      <c r="C1281" s="92" t="s">
        <v>425</v>
      </c>
      <c r="D1281" s="33" t="s">
        <v>411</v>
      </c>
      <c r="E1281" s="34">
        <v>44592</v>
      </c>
      <c r="F1281" s="34">
        <v>44593</v>
      </c>
      <c r="G1281" s="34">
        <v>44596</v>
      </c>
      <c r="H1281" s="35">
        <v>1.4999999999999999E-2</v>
      </c>
      <c r="I1281" s="67">
        <v>6.1000000000000004E-3</v>
      </c>
      <c r="J1281" s="67">
        <v>0</v>
      </c>
      <c r="K1281" s="67">
        <v>6.1000000000000004E-3</v>
      </c>
      <c r="L1281" s="36">
        <f>+K1281-((K1281*0.0000001*0.125)+(K1281*(1-0.0000001)*0.26))</f>
        <v>4.5140000823499999E-3</v>
      </c>
      <c r="M1281" s="64">
        <f t="shared" si="42"/>
        <v>4.5140000823499999E-3</v>
      </c>
      <c r="N1281" s="33" t="s">
        <v>251</v>
      </c>
    </row>
    <row r="1282" spans="1:14" ht="15">
      <c r="A1282" s="12"/>
      <c r="B1282" s="33" t="s">
        <v>189</v>
      </c>
      <c r="C1282" s="92" t="s">
        <v>356</v>
      </c>
      <c r="D1282" s="33" t="s">
        <v>411</v>
      </c>
      <c r="E1282" s="34">
        <v>44592</v>
      </c>
      <c r="F1282" s="34">
        <v>44593</v>
      </c>
      <c r="G1282" s="34">
        <v>44596</v>
      </c>
      <c r="H1282" s="35">
        <v>1.4999999999999999E-2</v>
      </c>
      <c r="I1282" s="67">
        <v>0.1114</v>
      </c>
      <c r="J1282" s="67">
        <v>0</v>
      </c>
      <c r="K1282" s="67">
        <v>0.1114</v>
      </c>
      <c r="L1282" s="36">
        <f>+K1282-((K1282*0.0000001*0.125)+(K1282*(1-0.0000001)*0.26))</f>
        <v>8.24360015039E-2</v>
      </c>
      <c r="M1282" s="64">
        <f t="shared" si="42"/>
        <v>8.24360015039E-2</v>
      </c>
      <c r="N1282" s="33" t="s">
        <v>251</v>
      </c>
    </row>
    <row r="1283" spans="1:14" ht="15">
      <c r="A1283" s="12"/>
      <c r="B1283" s="33" t="s">
        <v>197</v>
      </c>
      <c r="C1283" s="92" t="s">
        <v>357</v>
      </c>
      <c r="D1283" s="33" t="s">
        <v>411</v>
      </c>
      <c r="E1283" s="34">
        <v>44592</v>
      </c>
      <c r="F1283" s="34">
        <v>44593</v>
      </c>
      <c r="G1283" s="34">
        <v>44596</v>
      </c>
      <c r="H1283" s="35">
        <v>1.4999999999999999E-2</v>
      </c>
      <c r="I1283" s="67">
        <v>0.114</v>
      </c>
      <c r="J1283" s="67">
        <v>0</v>
      </c>
      <c r="K1283" s="67">
        <v>0.114</v>
      </c>
      <c r="L1283" s="36">
        <f>+K1283-((K1283*0.0000001*0.125)+(K1283*(1-0.0000001)*0.26))</f>
        <v>8.4360001539000001E-2</v>
      </c>
      <c r="M1283" s="64">
        <f t="shared" si="42"/>
        <v>8.4360001539000001E-2</v>
      </c>
      <c r="N1283" s="33" t="s">
        <v>251</v>
      </c>
    </row>
    <row r="1284" spans="1:14" ht="15">
      <c r="A1284" s="12"/>
      <c r="B1284" s="33" t="s">
        <v>308</v>
      </c>
      <c r="C1284" s="92" t="s">
        <v>426</v>
      </c>
      <c r="D1284" s="33" t="s">
        <v>411</v>
      </c>
      <c r="E1284" s="34">
        <v>44592</v>
      </c>
      <c r="F1284" s="34">
        <v>44593</v>
      </c>
      <c r="G1284" s="34">
        <v>44596</v>
      </c>
      <c r="H1284" s="35">
        <v>1.4999999999999999E-2</v>
      </c>
      <c r="I1284" s="67">
        <v>5.8999999999999999E-3</v>
      </c>
      <c r="J1284" s="67">
        <v>0</v>
      </c>
      <c r="K1284" s="67">
        <v>5.8999999999999999E-3</v>
      </c>
      <c r="L1284" s="36">
        <f>+K1284-((K1284*0.4288*0.125)+(K1284*(1-0.4288)*0.26))</f>
        <v>4.7075391999999994E-3</v>
      </c>
      <c r="M1284" s="64">
        <f t="shared" si="42"/>
        <v>4.7075391999999994E-3</v>
      </c>
      <c r="N1284" s="33" t="s">
        <v>251</v>
      </c>
    </row>
    <row r="1285" spans="1:14" ht="15">
      <c r="A1285" s="12"/>
      <c r="B1285" s="33" t="s">
        <v>186</v>
      </c>
      <c r="C1285" s="92" t="s">
        <v>363</v>
      </c>
      <c r="D1285" s="33" t="s">
        <v>411</v>
      </c>
      <c r="E1285" s="34">
        <v>44592</v>
      </c>
      <c r="F1285" s="34">
        <v>44593</v>
      </c>
      <c r="G1285" s="34">
        <v>44596</v>
      </c>
      <c r="H1285" s="35">
        <v>1.4999999999999999E-2</v>
      </c>
      <c r="I1285" s="67">
        <v>0.108</v>
      </c>
      <c r="J1285" s="67">
        <v>0</v>
      </c>
      <c r="K1285" s="67">
        <v>0.108</v>
      </c>
      <c r="L1285" s="36">
        <f>+K1285-((K1285*0.4288*0.125)+(K1285*(1-0.4288)*0.26))</f>
        <v>8.6171903999999994E-2</v>
      </c>
      <c r="M1285" s="64">
        <f t="shared" si="42"/>
        <v>8.6171903999999994E-2</v>
      </c>
      <c r="N1285" s="33" t="s">
        <v>251</v>
      </c>
    </row>
    <row r="1286" spans="1:14" ht="15">
      <c r="A1286" s="12"/>
      <c r="B1286" s="33" t="s">
        <v>194</v>
      </c>
      <c r="C1286" s="92" t="s">
        <v>364</v>
      </c>
      <c r="D1286" s="33" t="s">
        <v>411</v>
      </c>
      <c r="E1286" s="34">
        <v>44592</v>
      </c>
      <c r="F1286" s="34">
        <v>44593</v>
      </c>
      <c r="G1286" s="34">
        <v>44596</v>
      </c>
      <c r="H1286" s="35">
        <v>1.4999999999999999E-2</v>
      </c>
      <c r="I1286" s="67">
        <v>0.11169999999999999</v>
      </c>
      <c r="J1286" s="67">
        <v>0</v>
      </c>
      <c r="K1286" s="67">
        <v>0.11169999999999999</v>
      </c>
      <c r="L1286" s="36">
        <f>+K1286-((K1286*0.4288*0.125)+(K1286*(1-0.4288)*0.26))</f>
        <v>8.9124089599999998E-2</v>
      </c>
      <c r="M1286" s="64">
        <f t="shared" si="42"/>
        <v>8.9124089599999998E-2</v>
      </c>
      <c r="N1286" s="33" t="s">
        <v>251</v>
      </c>
    </row>
    <row r="1287" spans="1:14" ht="15">
      <c r="A1287" s="12"/>
      <c r="B1287" s="33" t="s">
        <v>307</v>
      </c>
      <c r="C1287" s="92" t="s">
        <v>420</v>
      </c>
      <c r="D1287" s="33" t="s">
        <v>411</v>
      </c>
      <c r="E1287" s="34">
        <v>44592</v>
      </c>
      <c r="F1287" s="34">
        <v>44593</v>
      </c>
      <c r="G1287" s="34">
        <v>44596</v>
      </c>
      <c r="H1287" s="35">
        <v>1.4999999999999999E-2</v>
      </c>
      <c r="I1287" s="67">
        <v>5.7000000000000002E-3</v>
      </c>
      <c r="J1287" s="67">
        <v>0</v>
      </c>
      <c r="K1287" s="67">
        <v>5.7000000000000002E-3</v>
      </c>
      <c r="L1287" s="36">
        <f>+K1287-((K1287*0.5668*0.125)+(K1287*(1-0.5668)*0.26))</f>
        <v>4.6541526000000001E-3</v>
      </c>
      <c r="M1287" s="64">
        <f t="shared" si="42"/>
        <v>4.6541526000000001E-3</v>
      </c>
      <c r="N1287" s="33" t="s">
        <v>251</v>
      </c>
    </row>
    <row r="1288" spans="1:14" ht="15">
      <c r="A1288" s="12"/>
      <c r="B1288" s="33" t="s">
        <v>185</v>
      </c>
      <c r="C1288" s="92" t="s">
        <v>366</v>
      </c>
      <c r="D1288" s="33" t="s">
        <v>411</v>
      </c>
      <c r="E1288" s="34">
        <v>44592</v>
      </c>
      <c r="F1288" s="34">
        <v>44593</v>
      </c>
      <c r="G1288" s="34">
        <v>44596</v>
      </c>
      <c r="H1288" s="35">
        <v>1.4999999999999999E-2</v>
      </c>
      <c r="I1288" s="67">
        <v>9.5200000000000007E-2</v>
      </c>
      <c r="J1288" s="67">
        <v>0</v>
      </c>
      <c r="K1288" s="67">
        <v>9.5200000000000007E-2</v>
      </c>
      <c r="L1288" s="36">
        <f>+K1288-((K1288*0.5668*0.125)+(K1288*(1-0.5668)*0.26))</f>
        <v>7.7732513599999997E-2</v>
      </c>
      <c r="M1288" s="64">
        <f t="shared" si="42"/>
        <v>7.7732513599999997E-2</v>
      </c>
      <c r="N1288" s="33" t="s">
        <v>251</v>
      </c>
    </row>
    <row r="1289" spans="1:14" ht="15">
      <c r="A1289" s="12"/>
      <c r="B1289" s="33" t="s">
        <v>193</v>
      </c>
      <c r="C1289" s="92" t="s">
        <v>367</v>
      </c>
      <c r="D1289" s="33" t="s">
        <v>411</v>
      </c>
      <c r="E1289" s="34">
        <v>44592</v>
      </c>
      <c r="F1289" s="34">
        <v>44593</v>
      </c>
      <c r="G1289" s="34">
        <v>44596</v>
      </c>
      <c r="H1289" s="35">
        <v>1.4999999999999999E-2</v>
      </c>
      <c r="I1289" s="67">
        <v>9.3399999999999997E-2</v>
      </c>
      <c r="J1289" s="67">
        <v>0</v>
      </c>
      <c r="K1289" s="67">
        <v>9.3399999999999997E-2</v>
      </c>
      <c r="L1289" s="36">
        <f>+K1289-((K1289*0.5668*0.125)+(K1289*(1-0.5668)*0.26))</f>
        <v>7.6262781199999991E-2</v>
      </c>
      <c r="M1289" s="64">
        <f t="shared" si="42"/>
        <v>7.6262781199999991E-2</v>
      </c>
      <c r="N1289" s="33" t="s">
        <v>251</v>
      </c>
    </row>
    <row r="1290" spans="1:14" ht="15">
      <c r="A1290" s="12"/>
      <c r="B1290" s="33" t="s">
        <v>309</v>
      </c>
      <c r="C1290" s="92" t="s">
        <v>427</v>
      </c>
      <c r="D1290" s="33" t="s">
        <v>411</v>
      </c>
      <c r="E1290" s="34">
        <v>44592</v>
      </c>
      <c r="F1290" s="34">
        <v>44593</v>
      </c>
      <c r="G1290" s="34">
        <v>44596</v>
      </c>
      <c r="H1290" s="35">
        <v>0.02</v>
      </c>
      <c r="I1290" s="67">
        <v>8.2000000000000007E-3</v>
      </c>
      <c r="J1290" s="67">
        <v>0</v>
      </c>
      <c r="K1290" s="67">
        <v>8.2000000000000007E-3</v>
      </c>
      <c r="L1290" s="36">
        <f>+K1290-((K1290*0.0344*0.125)+(K1290*(1-0.0344)*0.26))</f>
        <v>6.1060808000000001E-3</v>
      </c>
      <c r="M1290" s="64">
        <f t="shared" si="42"/>
        <v>6.1060808000000001E-3</v>
      </c>
      <c r="N1290" s="33" t="s">
        <v>251</v>
      </c>
    </row>
    <row r="1291" spans="1:14" ht="15">
      <c r="A1291" s="12"/>
      <c r="B1291" s="33" t="s">
        <v>187</v>
      </c>
      <c r="C1291" s="92" t="s">
        <v>368</v>
      </c>
      <c r="D1291" s="33" t="s">
        <v>411</v>
      </c>
      <c r="E1291" s="34">
        <v>44592</v>
      </c>
      <c r="F1291" s="34">
        <v>44593</v>
      </c>
      <c r="G1291" s="34">
        <v>44596</v>
      </c>
      <c r="H1291" s="35">
        <v>0.02</v>
      </c>
      <c r="I1291" s="67">
        <v>0.14419999999999999</v>
      </c>
      <c r="J1291" s="67">
        <v>0</v>
      </c>
      <c r="K1291" s="67">
        <v>0.14419999999999999</v>
      </c>
      <c r="L1291" s="36">
        <f>+K1291-((K1291*0.0344*0.125)+(K1291*(1-0.0344)*0.26))</f>
        <v>0.10737766479999999</v>
      </c>
      <c r="M1291" s="64">
        <f t="shared" si="42"/>
        <v>0.10737766479999999</v>
      </c>
      <c r="N1291" s="33" t="s">
        <v>251</v>
      </c>
    </row>
    <row r="1292" spans="1:14" ht="15">
      <c r="A1292" s="12"/>
      <c r="B1292" s="33" t="s">
        <v>195</v>
      </c>
      <c r="C1292" s="92" t="s">
        <v>369</v>
      </c>
      <c r="D1292" s="33" t="s">
        <v>411</v>
      </c>
      <c r="E1292" s="34">
        <v>44592</v>
      </c>
      <c r="F1292" s="34">
        <v>44593</v>
      </c>
      <c r="G1292" s="34">
        <v>44596</v>
      </c>
      <c r="H1292" s="35">
        <v>0.02</v>
      </c>
      <c r="I1292" s="67">
        <v>0.14960000000000001</v>
      </c>
      <c r="J1292" s="67">
        <v>0</v>
      </c>
      <c r="K1292" s="67">
        <v>0.14960000000000001</v>
      </c>
      <c r="L1292" s="36">
        <f>+K1292-((K1292*0.0344*0.125)+(K1292*(1-0.0344)*0.26))</f>
        <v>0.1113987424</v>
      </c>
      <c r="M1292" s="64">
        <f t="shared" si="42"/>
        <v>0.1113987424</v>
      </c>
      <c r="N1292" s="33" t="s">
        <v>251</v>
      </c>
    </row>
    <row r="1293" spans="1:14" ht="15">
      <c r="A1293" s="12"/>
      <c r="B1293" s="33" t="s">
        <v>312</v>
      </c>
      <c r="C1293" s="92" t="s">
        <v>428</v>
      </c>
      <c r="D1293" s="33" t="s">
        <v>411</v>
      </c>
      <c r="E1293" s="34">
        <v>44592</v>
      </c>
      <c r="F1293" s="34">
        <v>44593</v>
      </c>
      <c r="G1293" s="34">
        <v>44596</v>
      </c>
      <c r="H1293" s="35">
        <v>3.2500000000000001E-2</v>
      </c>
      <c r="I1293" s="67">
        <v>1.2500000000000001E-2</v>
      </c>
      <c r="J1293" s="67">
        <v>0</v>
      </c>
      <c r="K1293" s="67">
        <v>1.2500000000000001E-2</v>
      </c>
      <c r="L1293" s="36">
        <f>+K1293-((K1293*0.0095*0.125)+(K1293*(1-0.0095)*0.26))</f>
        <v>9.2660312500000008E-3</v>
      </c>
      <c r="M1293" s="64">
        <f t="shared" si="42"/>
        <v>9.2660312500000008E-3</v>
      </c>
      <c r="N1293" s="33" t="s">
        <v>251</v>
      </c>
    </row>
    <row r="1294" spans="1:14" ht="15">
      <c r="A1294" s="12"/>
      <c r="B1294" s="33" t="s">
        <v>190</v>
      </c>
      <c r="C1294" s="92" t="s">
        <v>370</v>
      </c>
      <c r="D1294" s="33" t="s">
        <v>411</v>
      </c>
      <c r="E1294" s="34">
        <v>44592</v>
      </c>
      <c r="F1294" s="34">
        <v>44593</v>
      </c>
      <c r="G1294" s="34">
        <v>44596</v>
      </c>
      <c r="H1294" s="35">
        <v>3.2500000000000001E-2</v>
      </c>
      <c r="I1294" s="67">
        <v>0.2374</v>
      </c>
      <c r="J1294" s="67">
        <v>0</v>
      </c>
      <c r="K1294" s="67">
        <v>0.2374</v>
      </c>
      <c r="L1294" s="36">
        <f>+K1294-((K1294*0.0095*0.125)+(K1294*(1-0.0095)*0.26))</f>
        <v>0.17598046549999999</v>
      </c>
      <c r="M1294" s="64">
        <f t="shared" si="42"/>
        <v>0.17598046549999999</v>
      </c>
      <c r="N1294" s="33" t="s">
        <v>251</v>
      </c>
    </row>
    <row r="1295" spans="1:14" ht="15">
      <c r="A1295" s="12"/>
      <c r="B1295" s="33" t="s">
        <v>198</v>
      </c>
      <c r="C1295" s="92" t="s">
        <v>371</v>
      </c>
      <c r="D1295" s="33" t="s">
        <v>411</v>
      </c>
      <c r="E1295" s="34">
        <v>44592</v>
      </c>
      <c r="F1295" s="34">
        <v>44593</v>
      </c>
      <c r="G1295" s="34">
        <v>44596</v>
      </c>
      <c r="H1295" s="35">
        <v>3.2500000000000001E-2</v>
      </c>
      <c r="I1295" s="67">
        <v>0.23849999999999999</v>
      </c>
      <c r="J1295" s="67">
        <v>0</v>
      </c>
      <c r="K1295" s="67">
        <v>0.23849999999999999</v>
      </c>
      <c r="L1295" s="36">
        <f>+K1295-((K1295*0.0095*0.125)+(K1295*(1-0.0095)*0.26))</f>
        <v>0.17679587624999998</v>
      </c>
      <c r="M1295" s="64">
        <f t="shared" si="42"/>
        <v>0.17679587624999998</v>
      </c>
      <c r="N1295" s="33" t="s">
        <v>251</v>
      </c>
    </row>
    <row r="1296" spans="1:14" ht="15">
      <c r="A1296" s="12"/>
      <c r="B1296" s="33" t="s">
        <v>513</v>
      </c>
      <c r="C1296" s="92" t="s">
        <v>515</v>
      </c>
      <c r="D1296" s="33" t="s">
        <v>411</v>
      </c>
      <c r="E1296" s="34">
        <v>44592</v>
      </c>
      <c r="F1296" s="34">
        <v>44593</v>
      </c>
      <c r="G1296" s="34">
        <v>44596</v>
      </c>
      <c r="H1296" s="35">
        <v>0</v>
      </c>
      <c r="I1296" s="67">
        <v>0</v>
      </c>
      <c r="J1296" s="67">
        <v>0</v>
      </c>
      <c r="K1296" s="67">
        <v>0</v>
      </c>
      <c r="L1296" s="36">
        <f>+K1296-((K1296*0.299*0.125)+(K1296*(1-0.299)*0.26))</f>
        <v>0</v>
      </c>
      <c r="M1296" s="64">
        <f t="shared" si="42"/>
        <v>0</v>
      </c>
      <c r="N1296" s="33" t="s">
        <v>251</v>
      </c>
    </row>
    <row r="1297" spans="1:14" ht="15">
      <c r="A1297" s="12"/>
      <c r="B1297" s="33" t="s">
        <v>514</v>
      </c>
      <c r="C1297" s="92" t="s">
        <v>516</v>
      </c>
      <c r="D1297" s="33" t="s">
        <v>411</v>
      </c>
      <c r="E1297" s="34">
        <v>44592</v>
      </c>
      <c r="F1297" s="34">
        <v>44593</v>
      </c>
      <c r="G1297" s="34">
        <v>44596</v>
      </c>
      <c r="H1297" s="35">
        <v>0</v>
      </c>
      <c r="I1297" s="67">
        <v>0</v>
      </c>
      <c r="J1297" s="67">
        <v>0</v>
      </c>
      <c r="K1297" s="67">
        <v>0</v>
      </c>
      <c r="L1297" s="36">
        <f>+K1297-((K1297*0.299*0.125)+(K1297*(1-0.299)*0.26))</f>
        <v>0</v>
      </c>
      <c r="M1297" s="64">
        <f t="shared" si="42"/>
        <v>0</v>
      </c>
      <c r="N1297" s="33" t="s">
        <v>251</v>
      </c>
    </row>
    <row r="1298" spans="1:14" ht="15">
      <c r="A1298" s="12"/>
      <c r="B1298" s="33" t="s">
        <v>313</v>
      </c>
      <c r="C1298" s="92" t="s">
        <v>429</v>
      </c>
      <c r="D1298" s="33" t="s">
        <v>411</v>
      </c>
      <c r="E1298" s="34">
        <v>44592</v>
      </c>
      <c r="F1298" s="34">
        <v>44593</v>
      </c>
      <c r="G1298" s="34">
        <v>44596</v>
      </c>
      <c r="H1298" s="35">
        <v>1.2E-2</v>
      </c>
      <c r="I1298" s="67">
        <v>5.0000000000000001E-3</v>
      </c>
      <c r="J1298" s="67">
        <v>0</v>
      </c>
      <c r="K1298" s="67">
        <v>5.0000000000000001E-3</v>
      </c>
      <c r="L1298" s="36">
        <f>+K1298-((K1298*0.1445*0.125)+(K1298*(1-0.1445)*0.26))</f>
        <v>3.7975374999999999E-3</v>
      </c>
      <c r="M1298" s="64">
        <f t="shared" si="42"/>
        <v>3.7975374999999999E-3</v>
      </c>
      <c r="N1298" s="33" t="s">
        <v>251</v>
      </c>
    </row>
    <row r="1299" spans="1:14" ht="15">
      <c r="A1299" s="12"/>
      <c r="B1299" s="33" t="s">
        <v>310</v>
      </c>
      <c r="C1299" s="92" t="s">
        <v>424</v>
      </c>
      <c r="D1299" s="33" t="s">
        <v>411</v>
      </c>
      <c r="E1299" s="34">
        <v>44620</v>
      </c>
      <c r="F1299" s="34">
        <v>44621</v>
      </c>
      <c r="G1299" s="34">
        <v>44624</v>
      </c>
      <c r="H1299" s="35">
        <v>4.4999999999999998E-2</v>
      </c>
      <c r="I1299" s="67">
        <v>1.6799999999999999E-2</v>
      </c>
      <c r="J1299" s="67">
        <v>0</v>
      </c>
      <c r="K1299" s="67">
        <v>1.6799999999999999E-2</v>
      </c>
      <c r="L1299" s="36">
        <f>+K1299-((K1299*0.0312*0.125)+(K1299*(1-0.0312)*0.26))</f>
        <v>1.2502761599999999E-2</v>
      </c>
      <c r="M1299" s="64">
        <f t="shared" si="42"/>
        <v>1.2502761599999999E-2</v>
      </c>
      <c r="N1299" s="33" t="s">
        <v>251</v>
      </c>
    </row>
    <row r="1300" spans="1:14" ht="15">
      <c r="A1300" s="12"/>
      <c r="B1300" s="33" t="s">
        <v>188</v>
      </c>
      <c r="C1300" s="92" t="s">
        <v>339</v>
      </c>
      <c r="D1300" s="33" t="s">
        <v>411</v>
      </c>
      <c r="E1300" s="34">
        <v>44620</v>
      </c>
      <c r="F1300" s="34">
        <v>44621</v>
      </c>
      <c r="G1300" s="34">
        <v>44624</v>
      </c>
      <c r="H1300" s="35">
        <v>4.4999999999999998E-2</v>
      </c>
      <c r="I1300" s="67">
        <v>0.29260000000000003</v>
      </c>
      <c r="J1300" s="67">
        <v>0</v>
      </c>
      <c r="K1300" s="67">
        <v>0.29260000000000003</v>
      </c>
      <c r="L1300" s="36">
        <f>+K1300-((K1300*0.0312*0.125)+(K1300*(1-0.0312)*0.26))</f>
        <v>0.21775643120000002</v>
      </c>
      <c r="M1300" s="64">
        <f t="shared" si="42"/>
        <v>0.21775643120000002</v>
      </c>
      <c r="N1300" s="33" t="s">
        <v>251</v>
      </c>
    </row>
    <row r="1301" spans="1:14" ht="15">
      <c r="A1301" s="12"/>
      <c r="B1301" s="33" t="s">
        <v>196</v>
      </c>
      <c r="C1301" s="92" t="s">
        <v>340</v>
      </c>
      <c r="D1301" s="33" t="s">
        <v>411</v>
      </c>
      <c r="E1301" s="34">
        <v>44620</v>
      </c>
      <c r="F1301" s="34">
        <v>44621</v>
      </c>
      <c r="G1301" s="34">
        <v>44624</v>
      </c>
      <c r="H1301" s="35">
        <v>4.4999999999999998E-2</v>
      </c>
      <c r="I1301" s="67">
        <v>0.3054</v>
      </c>
      <c r="J1301" s="67">
        <v>0</v>
      </c>
      <c r="K1301" s="67">
        <v>0.3054</v>
      </c>
      <c r="L1301" s="36">
        <f>+K1301-((K1301*0.0312*0.125)+(K1301*(1-0.0312)*0.26))</f>
        <v>0.22728234480000001</v>
      </c>
      <c r="M1301" s="64">
        <f t="shared" si="42"/>
        <v>0.22728234480000001</v>
      </c>
      <c r="N1301" s="33" t="s">
        <v>251</v>
      </c>
    </row>
    <row r="1302" spans="1:14" ht="15">
      <c r="A1302" s="12"/>
      <c r="B1302" s="33" t="s">
        <v>191</v>
      </c>
      <c r="C1302" s="92" t="s">
        <v>346</v>
      </c>
      <c r="D1302" s="33" t="s">
        <v>411</v>
      </c>
      <c r="E1302" s="34">
        <v>44620</v>
      </c>
      <c r="F1302" s="34">
        <v>44621</v>
      </c>
      <c r="G1302" s="34">
        <v>44624</v>
      </c>
      <c r="H1302" s="35">
        <v>0.02</v>
      </c>
      <c r="I1302" s="67">
        <v>6.8999999999999999E-3</v>
      </c>
      <c r="J1302" s="67">
        <v>0</v>
      </c>
      <c r="K1302" s="67">
        <v>6.8999999999999999E-3</v>
      </c>
      <c r="L1302" s="36">
        <f>+K1302-((K1302*0.8038*0.125)+(K1302*(1-0.8038)*0.26))</f>
        <v>5.8547397000000001E-3</v>
      </c>
      <c r="M1302" s="64">
        <f t="shared" si="42"/>
        <v>5.8547397000000001E-3</v>
      </c>
      <c r="N1302" s="33" t="s">
        <v>251</v>
      </c>
    </row>
    <row r="1303" spans="1:14" ht="15">
      <c r="A1303" s="12"/>
      <c r="B1303" s="33" t="s">
        <v>199</v>
      </c>
      <c r="C1303" s="92" t="s">
        <v>347</v>
      </c>
      <c r="D1303" s="33" t="s">
        <v>411</v>
      </c>
      <c r="E1303" s="34">
        <v>44620</v>
      </c>
      <c r="F1303" s="34">
        <v>44621</v>
      </c>
      <c r="G1303" s="34">
        <v>44624</v>
      </c>
      <c r="H1303" s="35">
        <v>0.02</v>
      </c>
      <c r="I1303" s="67">
        <v>6.8999999999999999E-3</v>
      </c>
      <c r="J1303" s="67">
        <v>0</v>
      </c>
      <c r="K1303" s="67">
        <v>6.8999999999999999E-3</v>
      </c>
      <c r="L1303" s="36">
        <f>+K1303-((K1303*0.8038*0.125)+(K1303*(1-0.8038)*0.26))</f>
        <v>5.8547397000000001E-3</v>
      </c>
      <c r="M1303" s="64">
        <f t="shared" si="42"/>
        <v>5.8547397000000001E-3</v>
      </c>
      <c r="N1303" s="33" t="s">
        <v>251</v>
      </c>
    </row>
    <row r="1304" spans="1:14" ht="15">
      <c r="A1304" s="12"/>
      <c r="B1304" s="33" t="s">
        <v>306</v>
      </c>
      <c r="C1304" s="92" t="s">
        <v>430</v>
      </c>
      <c r="D1304" s="33" t="s">
        <v>411</v>
      </c>
      <c r="E1304" s="34">
        <v>44620</v>
      </c>
      <c r="F1304" s="34">
        <v>44621</v>
      </c>
      <c r="G1304" s="34">
        <v>44624</v>
      </c>
      <c r="H1304" s="35">
        <v>2.5000000000000001E-2</v>
      </c>
      <c r="I1304" s="67">
        <v>1.0200000000000001E-2</v>
      </c>
      <c r="J1304" s="67">
        <v>0</v>
      </c>
      <c r="K1304" s="67">
        <v>1.0200000000000001E-2</v>
      </c>
      <c r="L1304" s="36">
        <f>+K1304-((K1304*0.00001*0.125)+(K1304*(1-0.00001)*0.26))</f>
        <v>7.5480137700000005E-3</v>
      </c>
      <c r="M1304" s="64">
        <f t="shared" si="42"/>
        <v>7.5480137700000005E-3</v>
      </c>
      <c r="N1304" s="33" t="s">
        <v>251</v>
      </c>
    </row>
    <row r="1305" spans="1:14" ht="15">
      <c r="A1305" s="12"/>
      <c r="B1305" s="33" t="s">
        <v>184</v>
      </c>
      <c r="C1305" s="92" t="s">
        <v>354</v>
      </c>
      <c r="D1305" s="33" t="s">
        <v>411</v>
      </c>
      <c r="E1305" s="34">
        <v>44620</v>
      </c>
      <c r="F1305" s="34">
        <v>44621</v>
      </c>
      <c r="G1305" s="34">
        <v>44624</v>
      </c>
      <c r="H1305" s="35">
        <v>2.5000000000000001E-2</v>
      </c>
      <c r="I1305" s="67">
        <v>0.20449999999999999</v>
      </c>
      <c r="J1305" s="67">
        <v>0</v>
      </c>
      <c r="K1305" s="67">
        <v>0.20449999999999999</v>
      </c>
      <c r="L1305" s="36">
        <f>+K1305-((K1305*0.00001*0.125)+(K1305*(1-0.00001)*0.26))</f>
        <v>0.15133027607499999</v>
      </c>
      <c r="M1305" s="64">
        <f t="shared" si="42"/>
        <v>0.15133027607499999</v>
      </c>
      <c r="N1305" s="33" t="s">
        <v>251</v>
      </c>
    </row>
    <row r="1306" spans="1:14" ht="15">
      <c r="A1306" s="12"/>
      <c r="B1306" s="33" t="s">
        <v>192</v>
      </c>
      <c r="C1306" s="92" t="s">
        <v>355</v>
      </c>
      <c r="D1306" s="33" t="s">
        <v>411</v>
      </c>
      <c r="E1306" s="34">
        <v>44620</v>
      </c>
      <c r="F1306" s="34">
        <v>44621</v>
      </c>
      <c r="G1306" s="34">
        <v>44624</v>
      </c>
      <c r="H1306" s="35">
        <v>2.5000000000000001E-2</v>
      </c>
      <c r="I1306" s="67">
        <v>0.20749999999999999</v>
      </c>
      <c r="J1306" s="67">
        <v>0</v>
      </c>
      <c r="K1306" s="67">
        <v>0.20749999999999999</v>
      </c>
      <c r="L1306" s="36">
        <f>+K1306-((K1306*0.00001*0.125)+(K1306*(1-0.00001)*0.26))</f>
        <v>0.15355028012499999</v>
      </c>
      <c r="M1306" s="64">
        <f t="shared" si="42"/>
        <v>0.15355028012499999</v>
      </c>
      <c r="N1306" s="33" t="s">
        <v>251</v>
      </c>
    </row>
    <row r="1307" spans="1:14" ht="15">
      <c r="A1307" s="12"/>
      <c r="B1307" s="33" t="s">
        <v>311</v>
      </c>
      <c r="C1307" s="92" t="s">
        <v>425</v>
      </c>
      <c r="D1307" s="33" t="s">
        <v>411</v>
      </c>
      <c r="E1307" s="34">
        <v>44620</v>
      </c>
      <c r="F1307" s="34">
        <v>44621</v>
      </c>
      <c r="G1307" s="34">
        <v>44624</v>
      </c>
      <c r="H1307" s="35">
        <v>1.4999999999999999E-2</v>
      </c>
      <c r="I1307" s="67">
        <v>6.1000000000000004E-3</v>
      </c>
      <c r="J1307" s="67">
        <v>0</v>
      </c>
      <c r="K1307" s="67">
        <v>6.1000000000000004E-3</v>
      </c>
      <c r="L1307" s="36">
        <f>+K1307-((K1307*0.0000001*0.125)+(K1307*(1-0.0000001)*0.26))</f>
        <v>4.5140000823499999E-3</v>
      </c>
      <c r="M1307" s="64">
        <f t="shared" si="42"/>
        <v>4.5140000823499999E-3</v>
      </c>
      <c r="N1307" s="33" t="s">
        <v>251</v>
      </c>
    </row>
    <row r="1308" spans="1:14" ht="15">
      <c r="A1308" s="12"/>
      <c r="B1308" s="33" t="s">
        <v>189</v>
      </c>
      <c r="C1308" s="92" t="s">
        <v>356</v>
      </c>
      <c r="D1308" s="33" t="s">
        <v>411</v>
      </c>
      <c r="E1308" s="34">
        <v>44620</v>
      </c>
      <c r="F1308" s="34">
        <v>44621</v>
      </c>
      <c r="G1308" s="34">
        <v>44624</v>
      </c>
      <c r="H1308" s="35">
        <v>1.4999999999999999E-2</v>
      </c>
      <c r="I1308" s="67">
        <v>0.1114</v>
      </c>
      <c r="J1308" s="67">
        <v>0</v>
      </c>
      <c r="K1308" s="67">
        <v>0.1114</v>
      </c>
      <c r="L1308" s="36">
        <f>+K1308-((K1308*0.0000001*0.125)+(K1308*(1-0.0000001)*0.26))</f>
        <v>8.24360015039E-2</v>
      </c>
      <c r="M1308" s="64">
        <f t="shared" si="42"/>
        <v>8.24360015039E-2</v>
      </c>
      <c r="N1308" s="33" t="s">
        <v>251</v>
      </c>
    </row>
    <row r="1309" spans="1:14" ht="15">
      <c r="A1309" s="12"/>
      <c r="B1309" s="33" t="s">
        <v>197</v>
      </c>
      <c r="C1309" s="92" t="s">
        <v>357</v>
      </c>
      <c r="D1309" s="33" t="s">
        <v>411</v>
      </c>
      <c r="E1309" s="34">
        <v>44620</v>
      </c>
      <c r="F1309" s="34">
        <v>44621</v>
      </c>
      <c r="G1309" s="34">
        <v>44624</v>
      </c>
      <c r="H1309" s="35">
        <v>1.4999999999999999E-2</v>
      </c>
      <c r="I1309" s="67">
        <v>0.114</v>
      </c>
      <c r="J1309" s="67">
        <v>0</v>
      </c>
      <c r="K1309" s="67">
        <v>0.114</v>
      </c>
      <c r="L1309" s="36">
        <f>+K1309-((K1309*0.0000001*0.125)+(K1309*(1-0.0000001)*0.26))</f>
        <v>8.4360001539000001E-2</v>
      </c>
      <c r="M1309" s="64">
        <f t="shared" si="42"/>
        <v>8.4360001539000001E-2</v>
      </c>
      <c r="N1309" s="33" t="s">
        <v>251</v>
      </c>
    </row>
    <row r="1310" spans="1:14" ht="15">
      <c r="A1310" s="12"/>
      <c r="B1310" s="33" t="s">
        <v>308</v>
      </c>
      <c r="C1310" s="92" t="s">
        <v>426</v>
      </c>
      <c r="D1310" s="33" t="s">
        <v>411</v>
      </c>
      <c r="E1310" s="34">
        <v>44620</v>
      </c>
      <c r="F1310" s="34">
        <v>44621</v>
      </c>
      <c r="G1310" s="34">
        <v>44624</v>
      </c>
      <c r="H1310" s="35">
        <v>1.4999999999999999E-2</v>
      </c>
      <c r="I1310" s="67">
        <v>5.8999999999999999E-3</v>
      </c>
      <c r="J1310" s="67">
        <v>0</v>
      </c>
      <c r="K1310" s="67">
        <v>5.8999999999999999E-3</v>
      </c>
      <c r="L1310" s="36">
        <f>+K1310-((K1310*0.4288*0.125)+(K1310*(1-0.4288)*0.26))</f>
        <v>4.7075391999999994E-3</v>
      </c>
      <c r="M1310" s="64">
        <f t="shared" si="42"/>
        <v>4.7075391999999994E-3</v>
      </c>
      <c r="N1310" s="33" t="s">
        <v>251</v>
      </c>
    </row>
    <row r="1311" spans="1:14" ht="15">
      <c r="A1311" s="12"/>
      <c r="B1311" s="33" t="s">
        <v>186</v>
      </c>
      <c r="C1311" s="92" t="s">
        <v>363</v>
      </c>
      <c r="D1311" s="33" t="s">
        <v>411</v>
      </c>
      <c r="E1311" s="34">
        <v>44620</v>
      </c>
      <c r="F1311" s="34">
        <v>44621</v>
      </c>
      <c r="G1311" s="34">
        <v>44624</v>
      </c>
      <c r="H1311" s="35">
        <v>1.4999999999999999E-2</v>
      </c>
      <c r="I1311" s="67">
        <v>0.108</v>
      </c>
      <c r="J1311" s="67">
        <v>0</v>
      </c>
      <c r="K1311" s="67">
        <v>0.108</v>
      </c>
      <c r="L1311" s="36">
        <f>+K1311-((K1311*0.4288*0.125)+(K1311*(1-0.4288)*0.26))</f>
        <v>8.6171903999999994E-2</v>
      </c>
      <c r="M1311" s="64">
        <f t="shared" si="42"/>
        <v>8.6171903999999994E-2</v>
      </c>
      <c r="N1311" s="33" t="s">
        <v>251</v>
      </c>
    </row>
    <row r="1312" spans="1:14" ht="15">
      <c r="A1312" s="12"/>
      <c r="B1312" s="33" t="s">
        <v>194</v>
      </c>
      <c r="C1312" s="92" t="s">
        <v>364</v>
      </c>
      <c r="D1312" s="33" t="s">
        <v>411</v>
      </c>
      <c r="E1312" s="34">
        <v>44620</v>
      </c>
      <c r="F1312" s="34">
        <v>44621</v>
      </c>
      <c r="G1312" s="34">
        <v>44624</v>
      </c>
      <c r="H1312" s="35">
        <v>1.4999999999999999E-2</v>
      </c>
      <c r="I1312" s="67">
        <v>0.11169999999999999</v>
      </c>
      <c r="J1312" s="67">
        <v>0</v>
      </c>
      <c r="K1312" s="67">
        <v>0.11169999999999999</v>
      </c>
      <c r="L1312" s="36">
        <f>+K1312-((K1312*0.4288*0.125)+(K1312*(1-0.4288)*0.26))</f>
        <v>8.9124089599999998E-2</v>
      </c>
      <c r="M1312" s="64">
        <f t="shared" si="42"/>
        <v>8.9124089599999998E-2</v>
      </c>
      <c r="N1312" s="33" t="s">
        <v>251</v>
      </c>
    </row>
    <row r="1313" spans="1:14" ht="15">
      <c r="A1313" s="12"/>
      <c r="B1313" s="33" t="s">
        <v>307</v>
      </c>
      <c r="C1313" s="92" t="s">
        <v>420</v>
      </c>
      <c r="D1313" s="33" t="s">
        <v>411</v>
      </c>
      <c r="E1313" s="34">
        <v>44620</v>
      </c>
      <c r="F1313" s="34">
        <v>44621</v>
      </c>
      <c r="G1313" s="34">
        <v>44624</v>
      </c>
      <c r="H1313" s="35">
        <v>1.4999999999999999E-2</v>
      </c>
      <c r="I1313" s="67">
        <v>5.7000000000000002E-3</v>
      </c>
      <c r="J1313" s="67">
        <v>0</v>
      </c>
      <c r="K1313" s="67">
        <v>5.7000000000000002E-3</v>
      </c>
      <c r="L1313" s="36">
        <f>+K1313-((K1313*0.5668*0.125)+(K1313*(1-0.5668)*0.26))</f>
        <v>4.6541526000000001E-3</v>
      </c>
      <c r="M1313" s="64">
        <f t="shared" si="42"/>
        <v>4.6541526000000001E-3</v>
      </c>
      <c r="N1313" s="33" t="s">
        <v>251</v>
      </c>
    </row>
    <row r="1314" spans="1:14" ht="15">
      <c r="A1314" s="12"/>
      <c r="B1314" s="33" t="s">
        <v>185</v>
      </c>
      <c r="C1314" s="92" t="s">
        <v>366</v>
      </c>
      <c r="D1314" s="33" t="s">
        <v>411</v>
      </c>
      <c r="E1314" s="34">
        <v>44620</v>
      </c>
      <c r="F1314" s="34">
        <v>44621</v>
      </c>
      <c r="G1314" s="34">
        <v>44624</v>
      </c>
      <c r="H1314" s="35">
        <v>1.4999999999999999E-2</v>
      </c>
      <c r="I1314" s="67">
        <v>9.5200000000000007E-2</v>
      </c>
      <c r="J1314" s="67">
        <v>0</v>
      </c>
      <c r="K1314" s="67">
        <v>9.5200000000000007E-2</v>
      </c>
      <c r="L1314" s="36">
        <f>+K1314-((K1314*0.5668*0.125)+(K1314*(1-0.5668)*0.26))</f>
        <v>7.7732513599999997E-2</v>
      </c>
      <c r="M1314" s="64">
        <f t="shared" ref="M1314:M1377" si="44">J1314+L1314</f>
        <v>7.7732513599999997E-2</v>
      </c>
      <c r="N1314" s="33" t="s">
        <v>251</v>
      </c>
    </row>
    <row r="1315" spans="1:14" ht="15">
      <c r="A1315" s="12"/>
      <c r="B1315" s="33" t="s">
        <v>193</v>
      </c>
      <c r="C1315" s="92" t="s">
        <v>367</v>
      </c>
      <c r="D1315" s="33" t="s">
        <v>411</v>
      </c>
      <c r="E1315" s="34">
        <v>44620</v>
      </c>
      <c r="F1315" s="34">
        <v>44621</v>
      </c>
      <c r="G1315" s="34">
        <v>44624</v>
      </c>
      <c r="H1315" s="35">
        <v>1.4999999999999999E-2</v>
      </c>
      <c r="I1315" s="67">
        <v>9.3399999999999997E-2</v>
      </c>
      <c r="J1315" s="67">
        <v>0</v>
      </c>
      <c r="K1315" s="67">
        <v>9.3399999999999997E-2</v>
      </c>
      <c r="L1315" s="36">
        <f>+K1315-((K1315*0.5668*0.125)+(K1315*(1-0.5668)*0.26))</f>
        <v>7.6262781199999991E-2</v>
      </c>
      <c r="M1315" s="64">
        <f t="shared" si="44"/>
        <v>7.6262781199999991E-2</v>
      </c>
      <c r="N1315" s="33" t="s">
        <v>251</v>
      </c>
    </row>
    <row r="1316" spans="1:14" ht="15">
      <c r="A1316" s="12"/>
      <c r="B1316" s="33" t="s">
        <v>309</v>
      </c>
      <c r="C1316" s="92" t="s">
        <v>427</v>
      </c>
      <c r="D1316" s="33" t="s">
        <v>411</v>
      </c>
      <c r="E1316" s="34">
        <v>44620</v>
      </c>
      <c r="F1316" s="34">
        <v>44621</v>
      </c>
      <c r="G1316" s="34">
        <v>44624</v>
      </c>
      <c r="H1316" s="35">
        <v>0.02</v>
      </c>
      <c r="I1316" s="67">
        <v>8.2000000000000007E-3</v>
      </c>
      <c r="J1316" s="67">
        <v>0</v>
      </c>
      <c r="K1316" s="67">
        <v>8.2000000000000007E-3</v>
      </c>
      <c r="L1316" s="36">
        <f>+K1316-((K1316*0.0344*0.125)+(K1316*(1-0.0344)*0.26))</f>
        <v>6.1060808000000001E-3</v>
      </c>
      <c r="M1316" s="64">
        <f t="shared" si="44"/>
        <v>6.1060808000000001E-3</v>
      </c>
      <c r="N1316" s="33" t="s">
        <v>251</v>
      </c>
    </row>
    <row r="1317" spans="1:14" ht="15">
      <c r="A1317" s="12"/>
      <c r="B1317" s="33" t="s">
        <v>187</v>
      </c>
      <c r="C1317" s="92" t="s">
        <v>368</v>
      </c>
      <c r="D1317" s="33" t="s">
        <v>411</v>
      </c>
      <c r="E1317" s="34">
        <v>44620</v>
      </c>
      <c r="F1317" s="34">
        <v>44621</v>
      </c>
      <c r="G1317" s="34">
        <v>44624</v>
      </c>
      <c r="H1317" s="35">
        <v>0.02</v>
      </c>
      <c r="I1317" s="67">
        <v>0.14419999999999999</v>
      </c>
      <c r="J1317" s="67">
        <v>0</v>
      </c>
      <c r="K1317" s="67">
        <v>0.14419999999999999</v>
      </c>
      <c r="L1317" s="36">
        <f>+K1317-((K1317*0.0344*0.125)+(K1317*(1-0.0344)*0.26))</f>
        <v>0.10737766479999999</v>
      </c>
      <c r="M1317" s="64">
        <f t="shared" si="44"/>
        <v>0.10737766479999999</v>
      </c>
      <c r="N1317" s="33" t="s">
        <v>251</v>
      </c>
    </row>
    <row r="1318" spans="1:14" ht="15">
      <c r="A1318" s="12"/>
      <c r="B1318" s="33" t="s">
        <v>195</v>
      </c>
      <c r="C1318" s="92" t="s">
        <v>369</v>
      </c>
      <c r="D1318" s="33" t="s">
        <v>411</v>
      </c>
      <c r="E1318" s="34">
        <v>44620</v>
      </c>
      <c r="F1318" s="34">
        <v>44621</v>
      </c>
      <c r="G1318" s="34">
        <v>44624</v>
      </c>
      <c r="H1318" s="35">
        <v>0.02</v>
      </c>
      <c r="I1318" s="67">
        <v>0.14960000000000001</v>
      </c>
      <c r="J1318" s="67">
        <v>0</v>
      </c>
      <c r="K1318" s="67">
        <v>0.14960000000000001</v>
      </c>
      <c r="L1318" s="36">
        <f>+K1318-((K1318*0.0344*0.125)+(K1318*(1-0.0344)*0.26))</f>
        <v>0.1113987424</v>
      </c>
      <c r="M1318" s="64">
        <f t="shared" si="44"/>
        <v>0.1113987424</v>
      </c>
      <c r="N1318" s="33" t="s">
        <v>251</v>
      </c>
    </row>
    <row r="1319" spans="1:14" ht="15">
      <c r="A1319" s="12"/>
      <c r="B1319" s="33" t="s">
        <v>312</v>
      </c>
      <c r="C1319" s="92" t="s">
        <v>428</v>
      </c>
      <c r="D1319" s="33" t="s">
        <v>411</v>
      </c>
      <c r="E1319" s="34">
        <v>44620</v>
      </c>
      <c r="F1319" s="34">
        <v>44621</v>
      </c>
      <c r="G1319" s="34">
        <v>44624</v>
      </c>
      <c r="H1319" s="35">
        <v>3.2500000000000001E-2</v>
      </c>
      <c r="I1319" s="67">
        <v>1.2500000000000001E-2</v>
      </c>
      <c r="J1319" s="67">
        <v>0</v>
      </c>
      <c r="K1319" s="67">
        <v>1.2500000000000001E-2</v>
      </c>
      <c r="L1319" s="36">
        <f>+K1319-((K1319*0.0095*0.125)+(K1319*(1-0.0095)*0.26))</f>
        <v>9.2660312500000008E-3</v>
      </c>
      <c r="M1319" s="64">
        <f t="shared" si="44"/>
        <v>9.2660312500000008E-3</v>
      </c>
      <c r="N1319" s="33" t="s">
        <v>251</v>
      </c>
    </row>
    <row r="1320" spans="1:14" ht="15">
      <c r="A1320" s="12"/>
      <c r="B1320" s="33" t="s">
        <v>190</v>
      </c>
      <c r="C1320" s="92" t="s">
        <v>370</v>
      </c>
      <c r="D1320" s="33" t="s">
        <v>411</v>
      </c>
      <c r="E1320" s="34">
        <v>44620</v>
      </c>
      <c r="F1320" s="34">
        <v>44621</v>
      </c>
      <c r="G1320" s="34">
        <v>44624</v>
      </c>
      <c r="H1320" s="35">
        <v>3.2500000000000001E-2</v>
      </c>
      <c r="I1320" s="67">
        <v>0.2374</v>
      </c>
      <c r="J1320" s="67">
        <v>0</v>
      </c>
      <c r="K1320" s="67">
        <v>0.2374</v>
      </c>
      <c r="L1320" s="36">
        <f>+K1320-((K1320*0.0095*0.125)+(K1320*(1-0.0095)*0.26))</f>
        <v>0.17598046549999999</v>
      </c>
      <c r="M1320" s="64">
        <f t="shared" si="44"/>
        <v>0.17598046549999999</v>
      </c>
      <c r="N1320" s="33" t="s">
        <v>251</v>
      </c>
    </row>
    <row r="1321" spans="1:14" ht="15">
      <c r="A1321" s="12"/>
      <c r="B1321" s="33" t="s">
        <v>198</v>
      </c>
      <c r="C1321" s="92" t="s">
        <v>371</v>
      </c>
      <c r="D1321" s="33" t="s">
        <v>411</v>
      </c>
      <c r="E1321" s="34">
        <v>44620</v>
      </c>
      <c r="F1321" s="34">
        <v>44621</v>
      </c>
      <c r="G1321" s="34">
        <v>44624</v>
      </c>
      <c r="H1321" s="35">
        <v>3.2500000000000001E-2</v>
      </c>
      <c r="I1321" s="67">
        <v>0.23849999999999999</v>
      </c>
      <c r="J1321" s="67">
        <v>0</v>
      </c>
      <c r="K1321" s="67">
        <v>0.23849999999999999</v>
      </c>
      <c r="L1321" s="36">
        <f>+K1321-((K1321*0.0095*0.125)+(K1321*(1-0.0095)*0.26))</f>
        <v>0.17679587624999998</v>
      </c>
      <c r="M1321" s="64">
        <f t="shared" si="44"/>
        <v>0.17679587624999998</v>
      </c>
      <c r="N1321" s="33" t="s">
        <v>251</v>
      </c>
    </row>
    <row r="1322" spans="1:14" ht="15">
      <c r="A1322" s="12"/>
      <c r="B1322" s="33" t="s">
        <v>513</v>
      </c>
      <c r="C1322" s="92" t="s">
        <v>515</v>
      </c>
      <c r="D1322" s="33" t="s">
        <v>411</v>
      </c>
      <c r="E1322" s="34">
        <v>44620</v>
      </c>
      <c r="F1322" s="34">
        <v>44621</v>
      </c>
      <c r="G1322" s="34">
        <v>44624</v>
      </c>
      <c r="H1322" s="35">
        <v>0</v>
      </c>
      <c r="I1322" s="67">
        <v>0</v>
      </c>
      <c r="J1322" s="67">
        <v>0</v>
      </c>
      <c r="K1322" s="67">
        <v>0</v>
      </c>
      <c r="L1322" s="36">
        <f>+K1322-((K1322*0.299*0.125)+(K1322*(1-0.299)*0.26))</f>
        <v>0</v>
      </c>
      <c r="M1322" s="64">
        <f t="shared" si="44"/>
        <v>0</v>
      </c>
      <c r="N1322" s="33" t="s">
        <v>251</v>
      </c>
    </row>
    <row r="1323" spans="1:14" ht="15">
      <c r="A1323" s="12"/>
      <c r="B1323" s="33" t="s">
        <v>514</v>
      </c>
      <c r="C1323" s="92" t="s">
        <v>516</v>
      </c>
      <c r="D1323" s="33" t="s">
        <v>411</v>
      </c>
      <c r="E1323" s="34">
        <v>44620</v>
      </c>
      <c r="F1323" s="34">
        <v>44621</v>
      </c>
      <c r="G1323" s="34">
        <v>44624</v>
      </c>
      <c r="H1323" s="35">
        <v>0</v>
      </c>
      <c r="I1323" s="67">
        <v>0</v>
      </c>
      <c r="J1323" s="67">
        <v>0</v>
      </c>
      <c r="K1323" s="67">
        <v>0</v>
      </c>
      <c r="L1323" s="36">
        <f>+K1323-((K1323*0.299*0.125)+(K1323*(1-0.299)*0.26))</f>
        <v>0</v>
      </c>
      <c r="M1323" s="64">
        <f t="shared" si="44"/>
        <v>0</v>
      </c>
      <c r="N1323" s="33" t="s">
        <v>251</v>
      </c>
    </row>
    <row r="1324" spans="1:14" ht="15">
      <c r="A1324" s="12"/>
      <c r="B1324" s="33" t="s">
        <v>313</v>
      </c>
      <c r="C1324" s="92" t="s">
        <v>429</v>
      </c>
      <c r="D1324" s="33" t="s">
        <v>411</v>
      </c>
      <c r="E1324" s="34">
        <v>44620</v>
      </c>
      <c r="F1324" s="34">
        <v>44621</v>
      </c>
      <c r="G1324" s="34">
        <v>44624</v>
      </c>
      <c r="H1324" s="35">
        <v>1.2E-2</v>
      </c>
      <c r="I1324" s="67">
        <v>5.0000000000000001E-3</v>
      </c>
      <c r="J1324" s="67">
        <v>0</v>
      </c>
      <c r="K1324" s="67">
        <v>5.0000000000000001E-3</v>
      </c>
      <c r="L1324" s="36">
        <f>+K1324-((K1324*0.1445*0.125)+(K1324*(1-0.1445)*0.26))</f>
        <v>3.7975374999999999E-3</v>
      </c>
      <c r="M1324" s="64">
        <f t="shared" si="44"/>
        <v>3.7975374999999999E-3</v>
      </c>
      <c r="N1324" s="33" t="s">
        <v>251</v>
      </c>
    </row>
    <row r="1325" spans="1:14" ht="15">
      <c r="A1325" s="12"/>
      <c r="B1325" s="33" t="s">
        <v>174</v>
      </c>
      <c r="C1325" s="92" t="s">
        <v>382</v>
      </c>
      <c r="D1325" s="33" t="s">
        <v>410</v>
      </c>
      <c r="E1325" s="34">
        <v>44650</v>
      </c>
      <c r="F1325" s="34">
        <v>44651</v>
      </c>
      <c r="G1325" s="34">
        <v>44656</v>
      </c>
      <c r="H1325" s="35"/>
      <c r="I1325" s="67">
        <v>3.0027000000000002E-2</v>
      </c>
      <c r="J1325" s="67">
        <v>0</v>
      </c>
      <c r="K1325" s="67">
        <v>3.0027189999999999E-2</v>
      </c>
      <c r="L1325" s="36">
        <f>+K1325-((K1325*0.0164*0.125)+(K1325*(1-0.0164)*0.26))</f>
        <v>2.2286600798659999E-2</v>
      </c>
      <c r="M1325" s="64">
        <f t="shared" si="44"/>
        <v>2.2286600798659999E-2</v>
      </c>
      <c r="N1325" s="33" t="s">
        <v>247</v>
      </c>
    </row>
    <row r="1326" spans="1:14" ht="15">
      <c r="A1326" s="12"/>
      <c r="B1326" s="33" t="s">
        <v>176</v>
      </c>
      <c r="C1326" s="92" t="s">
        <v>397</v>
      </c>
      <c r="D1326" s="33" t="s">
        <v>410</v>
      </c>
      <c r="E1326" s="34">
        <v>44650</v>
      </c>
      <c r="F1326" s="34">
        <v>44651</v>
      </c>
      <c r="G1326" s="34">
        <v>44656</v>
      </c>
      <c r="H1326" s="35"/>
      <c r="I1326" s="67">
        <v>2.8004999999999999E-2</v>
      </c>
      <c r="J1326" s="67">
        <v>0</v>
      </c>
      <c r="K1326" s="67">
        <v>2.8004999999999999E-2</v>
      </c>
      <c r="L1326" s="36">
        <f>+K1326-((K1326*0.1726*0.125)+(K1326*(1-0.1726)*0.26))</f>
        <v>2.1376244504999999E-2</v>
      </c>
      <c r="M1326" s="64">
        <f t="shared" si="44"/>
        <v>2.1376244504999999E-2</v>
      </c>
      <c r="N1326" s="33" t="s">
        <v>247</v>
      </c>
    </row>
    <row r="1327" spans="1:14" ht="15">
      <c r="A1327" s="12"/>
      <c r="B1327" s="33" t="s">
        <v>175</v>
      </c>
      <c r="C1327" s="92" t="s">
        <v>465</v>
      </c>
      <c r="D1327" s="33" t="s">
        <v>410</v>
      </c>
      <c r="E1327" s="34">
        <v>44650</v>
      </c>
      <c r="F1327" s="34">
        <v>44651</v>
      </c>
      <c r="G1327" s="34">
        <v>44656</v>
      </c>
      <c r="H1327" s="35"/>
      <c r="I1327" s="67">
        <v>5.3726999999999997E-2</v>
      </c>
      <c r="J1327" s="67">
        <v>0</v>
      </c>
      <c r="K1327" s="67">
        <v>5.3726580000000003E-2</v>
      </c>
      <c r="L1327" s="36">
        <f>+K1327-((K1327*0.1127*0.125)+(K1327*(1-0.1127)*0.26))</f>
        <v>4.0575092251410004E-2</v>
      </c>
      <c r="M1327" s="64">
        <f t="shared" si="44"/>
        <v>4.0575092251410004E-2</v>
      </c>
      <c r="N1327" s="33" t="s">
        <v>247</v>
      </c>
    </row>
    <row r="1328" spans="1:14" ht="15">
      <c r="A1328" s="12"/>
      <c r="B1328" s="33" t="s">
        <v>310</v>
      </c>
      <c r="C1328" s="92" t="s">
        <v>424</v>
      </c>
      <c r="D1328" s="33" t="s">
        <v>411</v>
      </c>
      <c r="E1328" s="34">
        <v>44651</v>
      </c>
      <c r="F1328" s="34">
        <v>44652</v>
      </c>
      <c r="G1328" s="34">
        <v>44657</v>
      </c>
      <c r="H1328" s="35">
        <v>4.4999999999999998E-2</v>
      </c>
      <c r="I1328" s="67">
        <v>1.6799999999999999E-2</v>
      </c>
      <c r="J1328" s="67">
        <v>0</v>
      </c>
      <c r="K1328" s="67">
        <v>1.6799999999999999E-2</v>
      </c>
      <c r="L1328" s="36">
        <f>+K1328-((K1328*0.0312*0.125)+(K1328*(1-0.0312)*0.26))</f>
        <v>1.2502761599999999E-2</v>
      </c>
      <c r="M1328" s="64">
        <f t="shared" si="44"/>
        <v>1.2502761599999999E-2</v>
      </c>
      <c r="N1328" s="33" t="s">
        <v>251</v>
      </c>
    </row>
    <row r="1329" spans="1:14" ht="15">
      <c r="A1329" s="12"/>
      <c r="B1329" s="33" t="s">
        <v>188</v>
      </c>
      <c r="C1329" s="92" t="s">
        <v>339</v>
      </c>
      <c r="D1329" s="33" t="s">
        <v>411</v>
      </c>
      <c r="E1329" s="34">
        <v>44651</v>
      </c>
      <c r="F1329" s="34">
        <v>44652</v>
      </c>
      <c r="G1329" s="34">
        <v>44657</v>
      </c>
      <c r="H1329" s="35">
        <v>4.4999999999999998E-2</v>
      </c>
      <c r="I1329" s="67">
        <v>0.29260000000000003</v>
      </c>
      <c r="J1329" s="67">
        <v>0</v>
      </c>
      <c r="K1329" s="67">
        <v>0.29260000000000003</v>
      </c>
      <c r="L1329" s="36">
        <f>+K1329-((K1329*0.0312*0.125)+(K1329*(1-0.0312)*0.26))</f>
        <v>0.21775643120000002</v>
      </c>
      <c r="M1329" s="64">
        <f t="shared" si="44"/>
        <v>0.21775643120000002</v>
      </c>
      <c r="N1329" s="33" t="s">
        <v>251</v>
      </c>
    </row>
    <row r="1330" spans="1:14" ht="15">
      <c r="A1330" s="12"/>
      <c r="B1330" s="33" t="s">
        <v>196</v>
      </c>
      <c r="C1330" s="92" t="s">
        <v>340</v>
      </c>
      <c r="D1330" s="33" t="s">
        <v>411</v>
      </c>
      <c r="E1330" s="34">
        <v>44651</v>
      </c>
      <c r="F1330" s="34">
        <v>44652</v>
      </c>
      <c r="G1330" s="34">
        <v>44657</v>
      </c>
      <c r="H1330" s="35">
        <v>4.4999999999999998E-2</v>
      </c>
      <c r="I1330" s="67">
        <v>0.3054</v>
      </c>
      <c r="J1330" s="67">
        <v>0</v>
      </c>
      <c r="K1330" s="67">
        <v>0.3054</v>
      </c>
      <c r="L1330" s="36">
        <f>+K1330-((K1330*0.0312*0.125)+(K1330*(1-0.0312)*0.26))</f>
        <v>0.22728234480000001</v>
      </c>
      <c r="M1330" s="64">
        <f t="shared" si="44"/>
        <v>0.22728234480000001</v>
      </c>
      <c r="N1330" s="33" t="s">
        <v>251</v>
      </c>
    </row>
    <row r="1331" spans="1:14" ht="15">
      <c r="A1331" s="12"/>
      <c r="B1331" s="33" t="s">
        <v>191</v>
      </c>
      <c r="C1331" s="92" t="s">
        <v>346</v>
      </c>
      <c r="D1331" s="33" t="s">
        <v>411</v>
      </c>
      <c r="E1331" s="34">
        <v>44651</v>
      </c>
      <c r="F1331" s="34">
        <v>44652</v>
      </c>
      <c r="G1331" s="34">
        <v>44657</v>
      </c>
      <c r="H1331" s="35">
        <v>0.02</v>
      </c>
      <c r="I1331" s="67">
        <v>6.8999999999999999E-3</v>
      </c>
      <c r="J1331" s="67">
        <v>0</v>
      </c>
      <c r="K1331" s="67">
        <v>6.8999999999999999E-3</v>
      </c>
      <c r="L1331" s="36">
        <f>+K1331-((K1331*0.8038*0.125)+(K1331*(1-0.8038)*0.26))</f>
        <v>5.8547397000000001E-3</v>
      </c>
      <c r="M1331" s="64">
        <f t="shared" si="44"/>
        <v>5.8547397000000001E-3</v>
      </c>
      <c r="N1331" s="33" t="s">
        <v>251</v>
      </c>
    </row>
    <row r="1332" spans="1:14" ht="15">
      <c r="A1332" s="12"/>
      <c r="B1332" s="33" t="s">
        <v>199</v>
      </c>
      <c r="C1332" s="92" t="s">
        <v>347</v>
      </c>
      <c r="D1332" s="33" t="s">
        <v>411</v>
      </c>
      <c r="E1332" s="34">
        <v>44651</v>
      </c>
      <c r="F1332" s="34">
        <v>44652</v>
      </c>
      <c r="G1332" s="34">
        <v>44657</v>
      </c>
      <c r="H1332" s="35">
        <v>0.02</v>
      </c>
      <c r="I1332" s="67">
        <v>6.8999999999999999E-3</v>
      </c>
      <c r="J1332" s="67">
        <v>0</v>
      </c>
      <c r="K1332" s="67">
        <v>6.8999999999999999E-3</v>
      </c>
      <c r="L1332" s="36">
        <f>+K1332-((K1332*0.8038*0.125)+(K1332*(1-0.8038)*0.26))</f>
        <v>5.8547397000000001E-3</v>
      </c>
      <c r="M1332" s="64">
        <f t="shared" si="44"/>
        <v>5.8547397000000001E-3</v>
      </c>
      <c r="N1332" s="33" t="s">
        <v>251</v>
      </c>
    </row>
    <row r="1333" spans="1:14" ht="15">
      <c r="A1333" s="12"/>
      <c r="B1333" s="33" t="s">
        <v>306</v>
      </c>
      <c r="C1333" s="92" t="s">
        <v>430</v>
      </c>
      <c r="D1333" s="33" t="s">
        <v>411</v>
      </c>
      <c r="E1333" s="34">
        <v>44651</v>
      </c>
      <c r="F1333" s="34">
        <v>44652</v>
      </c>
      <c r="G1333" s="34">
        <v>44657</v>
      </c>
      <c r="H1333" s="35">
        <v>2.5000000000000001E-2</v>
      </c>
      <c r="I1333" s="67">
        <v>1.0200000000000001E-2</v>
      </c>
      <c r="J1333" s="67">
        <v>0</v>
      </c>
      <c r="K1333" s="67">
        <v>1.0200000000000001E-2</v>
      </c>
      <c r="L1333" s="36">
        <f>+K1333-((K1333*0.00001*0.125)+(K1333*(1-0.00001)*0.26))</f>
        <v>7.5480137700000005E-3</v>
      </c>
      <c r="M1333" s="64">
        <f t="shared" si="44"/>
        <v>7.5480137700000005E-3</v>
      </c>
      <c r="N1333" s="33" t="s">
        <v>251</v>
      </c>
    </row>
    <row r="1334" spans="1:14" ht="15">
      <c r="A1334" s="12"/>
      <c r="B1334" s="33" t="s">
        <v>184</v>
      </c>
      <c r="C1334" s="92" t="s">
        <v>354</v>
      </c>
      <c r="D1334" s="33" t="s">
        <v>411</v>
      </c>
      <c r="E1334" s="34">
        <v>44651</v>
      </c>
      <c r="F1334" s="34">
        <v>44652</v>
      </c>
      <c r="G1334" s="34">
        <v>44657</v>
      </c>
      <c r="H1334" s="35">
        <v>2.5000000000000001E-2</v>
      </c>
      <c r="I1334" s="67">
        <v>0.20449999999999999</v>
      </c>
      <c r="J1334" s="67">
        <v>0</v>
      </c>
      <c r="K1334" s="67">
        <v>0.20449999999999999</v>
      </c>
      <c r="L1334" s="36">
        <f>+K1334-((K1334*0.00001*0.125)+(K1334*(1-0.00001)*0.26))</f>
        <v>0.15133027607499999</v>
      </c>
      <c r="M1334" s="64">
        <f t="shared" si="44"/>
        <v>0.15133027607499999</v>
      </c>
      <c r="N1334" s="33" t="s">
        <v>251</v>
      </c>
    </row>
    <row r="1335" spans="1:14" ht="15">
      <c r="A1335" s="12"/>
      <c r="B1335" s="33" t="s">
        <v>192</v>
      </c>
      <c r="C1335" s="92" t="s">
        <v>355</v>
      </c>
      <c r="D1335" s="33" t="s">
        <v>411</v>
      </c>
      <c r="E1335" s="34">
        <v>44651</v>
      </c>
      <c r="F1335" s="34">
        <v>44652</v>
      </c>
      <c r="G1335" s="34">
        <v>44657</v>
      </c>
      <c r="H1335" s="35">
        <v>2.5000000000000001E-2</v>
      </c>
      <c r="I1335" s="67">
        <v>0.20749999999999999</v>
      </c>
      <c r="J1335" s="67">
        <v>0</v>
      </c>
      <c r="K1335" s="67">
        <v>0.20749999999999999</v>
      </c>
      <c r="L1335" s="36">
        <f>+K1335-((K1335*0.00001*0.125)+(K1335*(1-0.00001)*0.26))</f>
        <v>0.15355028012499999</v>
      </c>
      <c r="M1335" s="64">
        <f t="shared" si="44"/>
        <v>0.15355028012499999</v>
      </c>
      <c r="N1335" s="33" t="s">
        <v>251</v>
      </c>
    </row>
    <row r="1336" spans="1:14" ht="15">
      <c r="A1336" s="12"/>
      <c r="B1336" s="33" t="s">
        <v>311</v>
      </c>
      <c r="C1336" s="92" t="s">
        <v>425</v>
      </c>
      <c r="D1336" s="33" t="s">
        <v>411</v>
      </c>
      <c r="E1336" s="34">
        <v>44651</v>
      </c>
      <c r="F1336" s="34">
        <v>44652</v>
      </c>
      <c r="G1336" s="34">
        <v>44657</v>
      </c>
      <c r="H1336" s="35">
        <v>1.4999999999999999E-2</v>
      </c>
      <c r="I1336" s="67">
        <v>6.1000000000000004E-3</v>
      </c>
      <c r="J1336" s="67">
        <v>0</v>
      </c>
      <c r="K1336" s="67">
        <v>6.1000000000000004E-3</v>
      </c>
      <c r="L1336" s="36">
        <f>+K1336-((K1336*0.0000001*0.125)+(K1336*(1-0.0000001)*0.26))</f>
        <v>4.5140000823499999E-3</v>
      </c>
      <c r="M1336" s="64">
        <f t="shared" si="44"/>
        <v>4.5140000823499999E-3</v>
      </c>
      <c r="N1336" s="33" t="s">
        <v>251</v>
      </c>
    </row>
    <row r="1337" spans="1:14" ht="15">
      <c r="A1337" s="12"/>
      <c r="B1337" s="33" t="s">
        <v>189</v>
      </c>
      <c r="C1337" s="92" t="s">
        <v>356</v>
      </c>
      <c r="D1337" s="33" t="s">
        <v>411</v>
      </c>
      <c r="E1337" s="34">
        <v>44651</v>
      </c>
      <c r="F1337" s="34">
        <v>44652</v>
      </c>
      <c r="G1337" s="34">
        <v>44657</v>
      </c>
      <c r="H1337" s="35">
        <v>1.4999999999999999E-2</v>
      </c>
      <c r="I1337" s="67">
        <v>0.1114</v>
      </c>
      <c r="J1337" s="67">
        <v>0</v>
      </c>
      <c r="K1337" s="67">
        <v>0.1114</v>
      </c>
      <c r="L1337" s="36">
        <f>+K1337-((K1337*0.0000001*0.125)+(K1337*(1-0.0000001)*0.26))</f>
        <v>8.24360015039E-2</v>
      </c>
      <c r="M1337" s="64">
        <f t="shared" si="44"/>
        <v>8.24360015039E-2</v>
      </c>
      <c r="N1337" s="33" t="s">
        <v>251</v>
      </c>
    </row>
    <row r="1338" spans="1:14" ht="15">
      <c r="A1338" s="12"/>
      <c r="B1338" s="33" t="s">
        <v>197</v>
      </c>
      <c r="C1338" s="92" t="s">
        <v>357</v>
      </c>
      <c r="D1338" s="33" t="s">
        <v>411</v>
      </c>
      <c r="E1338" s="34">
        <v>44651</v>
      </c>
      <c r="F1338" s="34">
        <v>44652</v>
      </c>
      <c r="G1338" s="34">
        <v>44657</v>
      </c>
      <c r="H1338" s="35">
        <v>1.4999999999999999E-2</v>
      </c>
      <c r="I1338" s="67">
        <v>0.114</v>
      </c>
      <c r="J1338" s="67">
        <v>0</v>
      </c>
      <c r="K1338" s="67">
        <v>0.114</v>
      </c>
      <c r="L1338" s="36">
        <f>+K1338-((K1338*0.0000001*0.125)+(K1338*(1-0.0000001)*0.26))</f>
        <v>8.4360001539000001E-2</v>
      </c>
      <c r="M1338" s="64">
        <f t="shared" si="44"/>
        <v>8.4360001539000001E-2</v>
      </c>
      <c r="N1338" s="33" t="s">
        <v>251</v>
      </c>
    </row>
    <row r="1339" spans="1:14" ht="15">
      <c r="A1339" s="12"/>
      <c r="B1339" s="33" t="s">
        <v>308</v>
      </c>
      <c r="C1339" s="92" t="s">
        <v>426</v>
      </c>
      <c r="D1339" s="33" t="s">
        <v>411</v>
      </c>
      <c r="E1339" s="34">
        <v>44651</v>
      </c>
      <c r="F1339" s="34">
        <v>44652</v>
      </c>
      <c r="G1339" s="34">
        <v>44657</v>
      </c>
      <c r="H1339" s="35">
        <v>1.4999999999999999E-2</v>
      </c>
      <c r="I1339" s="67">
        <v>5.8999999999999999E-3</v>
      </c>
      <c r="J1339" s="67">
        <v>0</v>
      </c>
      <c r="K1339" s="67">
        <v>5.8999999999999999E-3</v>
      </c>
      <c r="L1339" s="36">
        <f>+K1339-((K1339*0.4288*0.125)+(K1339*(1-0.4288)*0.26))</f>
        <v>4.7075391999999994E-3</v>
      </c>
      <c r="M1339" s="64">
        <f t="shared" si="44"/>
        <v>4.7075391999999994E-3</v>
      </c>
      <c r="N1339" s="33" t="s">
        <v>251</v>
      </c>
    </row>
    <row r="1340" spans="1:14" ht="15">
      <c r="A1340" s="12"/>
      <c r="B1340" s="33" t="s">
        <v>186</v>
      </c>
      <c r="C1340" s="92" t="s">
        <v>363</v>
      </c>
      <c r="D1340" s="33" t="s">
        <v>411</v>
      </c>
      <c r="E1340" s="34">
        <v>44651</v>
      </c>
      <c r="F1340" s="34">
        <v>44652</v>
      </c>
      <c r="G1340" s="34">
        <v>44657</v>
      </c>
      <c r="H1340" s="35">
        <v>1.4999999999999999E-2</v>
      </c>
      <c r="I1340" s="67">
        <v>0.108</v>
      </c>
      <c r="J1340" s="67">
        <v>0</v>
      </c>
      <c r="K1340" s="67">
        <v>0.108</v>
      </c>
      <c r="L1340" s="36">
        <f>+K1340-((K1340*0.4288*0.125)+(K1340*(1-0.4288)*0.26))</f>
        <v>8.6171903999999994E-2</v>
      </c>
      <c r="M1340" s="64">
        <f t="shared" si="44"/>
        <v>8.6171903999999994E-2</v>
      </c>
      <c r="N1340" s="33" t="s">
        <v>251</v>
      </c>
    </row>
    <row r="1341" spans="1:14" ht="15">
      <c r="A1341" s="12"/>
      <c r="B1341" s="33" t="s">
        <v>194</v>
      </c>
      <c r="C1341" s="92" t="s">
        <v>364</v>
      </c>
      <c r="D1341" s="33" t="s">
        <v>411</v>
      </c>
      <c r="E1341" s="34">
        <v>44651</v>
      </c>
      <c r="F1341" s="34">
        <v>44652</v>
      </c>
      <c r="G1341" s="34">
        <v>44657</v>
      </c>
      <c r="H1341" s="35">
        <v>1.4999999999999999E-2</v>
      </c>
      <c r="I1341" s="67">
        <v>0.11169999999999999</v>
      </c>
      <c r="J1341" s="67">
        <v>0</v>
      </c>
      <c r="K1341" s="67">
        <v>0.11169999999999999</v>
      </c>
      <c r="L1341" s="36">
        <f>+K1341-((K1341*0.4288*0.125)+(K1341*(1-0.4288)*0.26))</f>
        <v>8.9124089599999998E-2</v>
      </c>
      <c r="M1341" s="64">
        <f t="shared" si="44"/>
        <v>8.9124089599999998E-2</v>
      </c>
      <c r="N1341" s="33" t="s">
        <v>251</v>
      </c>
    </row>
    <row r="1342" spans="1:14" ht="15">
      <c r="A1342" s="12"/>
      <c r="B1342" s="33" t="s">
        <v>307</v>
      </c>
      <c r="C1342" s="92" t="s">
        <v>420</v>
      </c>
      <c r="D1342" s="33" t="s">
        <v>411</v>
      </c>
      <c r="E1342" s="34">
        <v>44651</v>
      </c>
      <c r="F1342" s="34">
        <v>44652</v>
      </c>
      <c r="G1342" s="34">
        <v>44657</v>
      </c>
      <c r="H1342" s="35">
        <v>1.4999999999999999E-2</v>
      </c>
      <c r="I1342" s="67">
        <v>5.7000000000000002E-3</v>
      </c>
      <c r="J1342" s="67">
        <v>0</v>
      </c>
      <c r="K1342" s="67">
        <v>5.7000000000000002E-3</v>
      </c>
      <c r="L1342" s="36">
        <f>+K1342-((K1342*0.5668*0.125)+(K1342*(1-0.5668)*0.26))</f>
        <v>4.6541526000000001E-3</v>
      </c>
      <c r="M1342" s="64">
        <f t="shared" si="44"/>
        <v>4.6541526000000001E-3</v>
      </c>
      <c r="N1342" s="33" t="s">
        <v>251</v>
      </c>
    </row>
    <row r="1343" spans="1:14" ht="15">
      <c r="A1343" s="12"/>
      <c r="B1343" s="33" t="s">
        <v>185</v>
      </c>
      <c r="C1343" s="92" t="s">
        <v>366</v>
      </c>
      <c r="D1343" s="33" t="s">
        <v>411</v>
      </c>
      <c r="E1343" s="34">
        <v>44651</v>
      </c>
      <c r="F1343" s="34">
        <v>44652</v>
      </c>
      <c r="G1343" s="34">
        <v>44657</v>
      </c>
      <c r="H1343" s="35">
        <v>1.4999999999999999E-2</v>
      </c>
      <c r="I1343" s="67">
        <v>9.5200000000000007E-2</v>
      </c>
      <c r="J1343" s="67">
        <v>0</v>
      </c>
      <c r="K1343" s="67">
        <v>9.5200000000000007E-2</v>
      </c>
      <c r="L1343" s="36">
        <f>+K1343-((K1343*0.5668*0.125)+(K1343*(1-0.5668)*0.26))</f>
        <v>7.7732513599999997E-2</v>
      </c>
      <c r="M1343" s="64">
        <f t="shared" si="44"/>
        <v>7.7732513599999997E-2</v>
      </c>
      <c r="N1343" s="33" t="s">
        <v>251</v>
      </c>
    </row>
    <row r="1344" spans="1:14" ht="15">
      <c r="A1344" s="12"/>
      <c r="B1344" s="33" t="s">
        <v>193</v>
      </c>
      <c r="C1344" s="92" t="s">
        <v>367</v>
      </c>
      <c r="D1344" s="33" t="s">
        <v>411</v>
      </c>
      <c r="E1344" s="34">
        <v>44651</v>
      </c>
      <c r="F1344" s="34">
        <v>44652</v>
      </c>
      <c r="G1344" s="34">
        <v>44657</v>
      </c>
      <c r="H1344" s="35">
        <v>1.4999999999999999E-2</v>
      </c>
      <c r="I1344" s="67">
        <v>9.3399999999999997E-2</v>
      </c>
      <c r="J1344" s="67">
        <v>0</v>
      </c>
      <c r="K1344" s="67">
        <v>9.3399999999999997E-2</v>
      </c>
      <c r="L1344" s="36">
        <f>+K1344-((K1344*0.5668*0.125)+(K1344*(1-0.5668)*0.26))</f>
        <v>7.6262781199999991E-2</v>
      </c>
      <c r="M1344" s="64">
        <f t="shared" si="44"/>
        <v>7.6262781199999991E-2</v>
      </c>
      <c r="N1344" s="33" t="s">
        <v>251</v>
      </c>
    </row>
    <row r="1345" spans="1:14" ht="15">
      <c r="A1345" s="12"/>
      <c r="B1345" s="33" t="s">
        <v>309</v>
      </c>
      <c r="C1345" s="92" t="s">
        <v>427</v>
      </c>
      <c r="D1345" s="33" t="s">
        <v>411</v>
      </c>
      <c r="E1345" s="34">
        <v>44651</v>
      </c>
      <c r="F1345" s="34">
        <v>44652</v>
      </c>
      <c r="G1345" s="34">
        <v>44657</v>
      </c>
      <c r="H1345" s="35">
        <v>0.02</v>
      </c>
      <c r="I1345" s="67">
        <v>8.2000000000000007E-3</v>
      </c>
      <c r="J1345" s="67">
        <v>0</v>
      </c>
      <c r="K1345" s="67">
        <v>8.2000000000000007E-3</v>
      </c>
      <c r="L1345" s="36">
        <f>+K1345-((K1345*0.0344*0.125)+(K1345*(1-0.0344)*0.26))</f>
        <v>6.1060808000000001E-3</v>
      </c>
      <c r="M1345" s="64">
        <f t="shared" si="44"/>
        <v>6.1060808000000001E-3</v>
      </c>
      <c r="N1345" s="33" t="s">
        <v>251</v>
      </c>
    </row>
    <row r="1346" spans="1:14" ht="15">
      <c r="A1346" s="12"/>
      <c r="B1346" s="33" t="s">
        <v>187</v>
      </c>
      <c r="C1346" s="92" t="s">
        <v>368</v>
      </c>
      <c r="D1346" s="33" t="s">
        <v>411</v>
      </c>
      <c r="E1346" s="34">
        <v>44651</v>
      </c>
      <c r="F1346" s="34">
        <v>44652</v>
      </c>
      <c r="G1346" s="34">
        <v>44657</v>
      </c>
      <c r="H1346" s="35">
        <v>0.02</v>
      </c>
      <c r="I1346" s="67">
        <v>0.14419999999999999</v>
      </c>
      <c r="J1346" s="67">
        <v>0</v>
      </c>
      <c r="K1346" s="67">
        <v>0.14419999999999999</v>
      </c>
      <c r="L1346" s="36">
        <f>+K1346-((K1346*0.0344*0.125)+(K1346*(1-0.0344)*0.26))</f>
        <v>0.10737766479999999</v>
      </c>
      <c r="M1346" s="64">
        <f t="shared" si="44"/>
        <v>0.10737766479999999</v>
      </c>
      <c r="N1346" s="33" t="s">
        <v>251</v>
      </c>
    </row>
    <row r="1347" spans="1:14" ht="15">
      <c r="A1347" s="12"/>
      <c r="B1347" s="33" t="s">
        <v>195</v>
      </c>
      <c r="C1347" s="92" t="s">
        <v>369</v>
      </c>
      <c r="D1347" s="33" t="s">
        <v>411</v>
      </c>
      <c r="E1347" s="34">
        <v>44651</v>
      </c>
      <c r="F1347" s="34">
        <v>44652</v>
      </c>
      <c r="G1347" s="34">
        <v>44657</v>
      </c>
      <c r="H1347" s="35">
        <v>0.02</v>
      </c>
      <c r="I1347" s="67">
        <v>0.14960000000000001</v>
      </c>
      <c r="J1347" s="67">
        <v>0</v>
      </c>
      <c r="K1347" s="67">
        <v>0.14960000000000001</v>
      </c>
      <c r="L1347" s="36">
        <f>+K1347-((K1347*0.0344*0.125)+(K1347*(1-0.0344)*0.26))</f>
        <v>0.1113987424</v>
      </c>
      <c r="M1347" s="64">
        <f t="shared" si="44"/>
        <v>0.1113987424</v>
      </c>
      <c r="N1347" s="33" t="s">
        <v>251</v>
      </c>
    </row>
    <row r="1348" spans="1:14" ht="15">
      <c r="A1348" s="12"/>
      <c r="B1348" s="33" t="s">
        <v>312</v>
      </c>
      <c r="C1348" s="92" t="s">
        <v>428</v>
      </c>
      <c r="D1348" s="33" t="s">
        <v>411</v>
      </c>
      <c r="E1348" s="34">
        <v>44651</v>
      </c>
      <c r="F1348" s="34">
        <v>44652</v>
      </c>
      <c r="G1348" s="34">
        <v>44657</v>
      </c>
      <c r="H1348" s="35">
        <v>3.2500000000000001E-2</v>
      </c>
      <c r="I1348" s="67">
        <v>1.2500000000000001E-2</v>
      </c>
      <c r="J1348" s="67">
        <v>0</v>
      </c>
      <c r="K1348" s="67">
        <v>1.2500000000000001E-2</v>
      </c>
      <c r="L1348" s="36">
        <f>+K1348-((K1348*0.0095*0.125)+(K1348*(1-0.0095)*0.26))</f>
        <v>9.2660312500000008E-3</v>
      </c>
      <c r="M1348" s="64">
        <f t="shared" si="44"/>
        <v>9.2660312500000008E-3</v>
      </c>
      <c r="N1348" s="33" t="s">
        <v>251</v>
      </c>
    </row>
    <row r="1349" spans="1:14" ht="15">
      <c r="A1349" s="12"/>
      <c r="B1349" s="33" t="s">
        <v>190</v>
      </c>
      <c r="C1349" s="92" t="s">
        <v>370</v>
      </c>
      <c r="D1349" s="33" t="s">
        <v>411</v>
      </c>
      <c r="E1349" s="34">
        <v>44651</v>
      </c>
      <c r="F1349" s="34">
        <v>44652</v>
      </c>
      <c r="G1349" s="34">
        <v>44657</v>
      </c>
      <c r="H1349" s="35">
        <v>3.2500000000000001E-2</v>
      </c>
      <c r="I1349" s="67">
        <v>0.2374</v>
      </c>
      <c r="J1349" s="67">
        <v>0</v>
      </c>
      <c r="K1349" s="67">
        <v>0.2374</v>
      </c>
      <c r="L1349" s="36">
        <f>+K1349-((K1349*0.0095*0.125)+(K1349*(1-0.0095)*0.26))</f>
        <v>0.17598046549999999</v>
      </c>
      <c r="M1349" s="64">
        <f t="shared" si="44"/>
        <v>0.17598046549999999</v>
      </c>
      <c r="N1349" s="33" t="s">
        <v>251</v>
      </c>
    </row>
    <row r="1350" spans="1:14" ht="15">
      <c r="A1350" s="12"/>
      <c r="B1350" s="33" t="s">
        <v>198</v>
      </c>
      <c r="C1350" s="92" t="s">
        <v>371</v>
      </c>
      <c r="D1350" s="33" t="s">
        <v>411</v>
      </c>
      <c r="E1350" s="34">
        <v>44651</v>
      </c>
      <c r="F1350" s="34">
        <v>44652</v>
      </c>
      <c r="G1350" s="34">
        <v>44657</v>
      </c>
      <c r="H1350" s="35">
        <v>3.2500000000000001E-2</v>
      </c>
      <c r="I1350" s="67">
        <v>0.23849999999999999</v>
      </c>
      <c r="J1350" s="67">
        <v>0</v>
      </c>
      <c r="K1350" s="67">
        <v>0.23849999999999999</v>
      </c>
      <c r="L1350" s="36">
        <f>+K1350-((K1350*0.0095*0.125)+(K1350*(1-0.0095)*0.26))</f>
        <v>0.17679587624999998</v>
      </c>
      <c r="M1350" s="64">
        <f t="shared" si="44"/>
        <v>0.17679587624999998</v>
      </c>
      <c r="N1350" s="33" t="s">
        <v>251</v>
      </c>
    </row>
    <row r="1351" spans="1:14" ht="15">
      <c r="A1351" s="12"/>
      <c r="B1351" s="33" t="s">
        <v>513</v>
      </c>
      <c r="C1351" s="92" t="s">
        <v>515</v>
      </c>
      <c r="D1351" s="33" t="s">
        <v>411</v>
      </c>
      <c r="E1351" s="34">
        <v>44651</v>
      </c>
      <c r="F1351" s="34">
        <v>44652</v>
      </c>
      <c r="G1351" s="34">
        <v>44657</v>
      </c>
      <c r="H1351" s="35">
        <v>0</v>
      </c>
      <c r="I1351" s="67">
        <v>0</v>
      </c>
      <c r="J1351" s="67">
        <v>0</v>
      </c>
      <c r="K1351" s="67">
        <v>0</v>
      </c>
      <c r="L1351" s="36">
        <f>+K1351-((K1351*0.299*0.125)+(K1351*(1-0.299)*0.26))</f>
        <v>0</v>
      </c>
      <c r="M1351" s="64">
        <f t="shared" si="44"/>
        <v>0</v>
      </c>
      <c r="N1351" s="33" t="s">
        <v>251</v>
      </c>
    </row>
    <row r="1352" spans="1:14" ht="15">
      <c r="A1352" s="12"/>
      <c r="B1352" s="33" t="s">
        <v>514</v>
      </c>
      <c r="C1352" s="92" t="s">
        <v>516</v>
      </c>
      <c r="D1352" s="33" t="s">
        <v>411</v>
      </c>
      <c r="E1352" s="34">
        <v>44651</v>
      </c>
      <c r="F1352" s="34">
        <v>44652</v>
      </c>
      <c r="G1352" s="34">
        <v>44657</v>
      </c>
      <c r="H1352" s="35">
        <v>0</v>
      </c>
      <c r="I1352" s="67">
        <v>0</v>
      </c>
      <c r="J1352" s="67">
        <v>0</v>
      </c>
      <c r="K1352" s="67">
        <v>0</v>
      </c>
      <c r="L1352" s="36">
        <f>+K1352-((K1352*0.299*0.125)+(K1352*(1-0.299)*0.26))</f>
        <v>0</v>
      </c>
      <c r="M1352" s="64">
        <f t="shared" si="44"/>
        <v>0</v>
      </c>
      <c r="N1352" s="33" t="s">
        <v>251</v>
      </c>
    </row>
    <row r="1353" spans="1:14" ht="15">
      <c r="A1353" s="12"/>
      <c r="B1353" s="33" t="s">
        <v>313</v>
      </c>
      <c r="C1353" s="92" t="s">
        <v>429</v>
      </c>
      <c r="D1353" s="33" t="s">
        <v>411</v>
      </c>
      <c r="E1353" s="34">
        <v>44651</v>
      </c>
      <c r="F1353" s="34">
        <v>44652</v>
      </c>
      <c r="G1353" s="34">
        <v>44657</v>
      </c>
      <c r="H1353" s="35">
        <v>1.2E-2</v>
      </c>
      <c r="I1353" s="67">
        <v>5.0000000000000001E-3</v>
      </c>
      <c r="J1353" s="67">
        <v>0</v>
      </c>
      <c r="K1353" s="67">
        <v>5.0000000000000001E-3</v>
      </c>
      <c r="L1353" s="36">
        <f>+K1353-((K1353*0.1445*0.125)+(K1353*(1-0.1445)*0.26))</f>
        <v>3.7975374999999999E-3</v>
      </c>
      <c r="M1353" s="64">
        <f t="shared" si="44"/>
        <v>3.7975374999999999E-3</v>
      </c>
      <c r="N1353" s="33" t="s">
        <v>251</v>
      </c>
    </row>
    <row r="1354" spans="1:14" ht="15">
      <c r="A1354" s="12"/>
      <c r="B1354" s="33" t="s">
        <v>298</v>
      </c>
      <c r="C1354" s="92" t="s">
        <v>403</v>
      </c>
      <c r="D1354" s="33" t="s">
        <v>410</v>
      </c>
      <c r="E1354" s="34">
        <v>44651</v>
      </c>
      <c r="F1354" s="34">
        <v>44652</v>
      </c>
      <c r="G1354" s="34">
        <v>44657</v>
      </c>
      <c r="H1354" s="35">
        <v>4.4999999999999998E-2</v>
      </c>
      <c r="I1354" s="67">
        <v>4.8899999999999999E-2</v>
      </c>
      <c r="J1354" s="67">
        <v>0</v>
      </c>
      <c r="K1354" s="67">
        <v>4.8899999999999999E-2</v>
      </c>
      <c r="L1354" s="36">
        <f>+K1354-((K1354*0.4427*0.125)+(K1354*(1-0.4427)*0.26))</f>
        <v>3.9108484050000003E-2</v>
      </c>
      <c r="M1354" s="64">
        <f t="shared" si="44"/>
        <v>3.9108484050000003E-2</v>
      </c>
      <c r="N1354" s="33" t="s">
        <v>248</v>
      </c>
    </row>
    <row r="1355" spans="1:14" ht="15">
      <c r="A1355" s="12"/>
      <c r="B1355" s="33" t="s">
        <v>181</v>
      </c>
      <c r="C1355" s="92" t="s">
        <v>335</v>
      </c>
      <c r="D1355" s="33" t="s">
        <v>410</v>
      </c>
      <c r="E1355" s="34">
        <v>44651</v>
      </c>
      <c r="F1355" s="34">
        <v>44652</v>
      </c>
      <c r="G1355" s="34">
        <v>44657</v>
      </c>
      <c r="H1355" s="35">
        <v>4.4999999999999998E-2</v>
      </c>
      <c r="I1355" s="67">
        <v>0.87180000000000002</v>
      </c>
      <c r="J1355" s="67">
        <v>0</v>
      </c>
      <c r="K1355" s="67">
        <v>0.87180000000000002</v>
      </c>
      <c r="L1355" s="36">
        <f>+K1355-((K1355*0.4427*0.125)+(K1355*(1-0.4427)*0.26))</f>
        <v>0.69723469110000003</v>
      </c>
      <c r="M1355" s="64">
        <f t="shared" si="44"/>
        <v>0.69723469110000003</v>
      </c>
      <c r="N1355" s="33" t="s">
        <v>248</v>
      </c>
    </row>
    <row r="1356" spans="1:14" ht="15">
      <c r="A1356" s="12"/>
      <c r="B1356" s="33" t="s">
        <v>201</v>
      </c>
      <c r="C1356" s="92" t="s">
        <v>336</v>
      </c>
      <c r="D1356" s="33" t="s">
        <v>410</v>
      </c>
      <c r="E1356" s="34">
        <v>44651</v>
      </c>
      <c r="F1356" s="34">
        <v>44652</v>
      </c>
      <c r="G1356" s="34">
        <v>44657</v>
      </c>
      <c r="H1356" s="35">
        <v>4.4999999999999998E-2</v>
      </c>
      <c r="I1356" s="67">
        <v>0.88749999999999996</v>
      </c>
      <c r="J1356" s="67">
        <v>0</v>
      </c>
      <c r="K1356" s="67">
        <v>0.88749999999999996</v>
      </c>
      <c r="L1356" s="36">
        <f>+K1356-((K1356*0.4427*0.125)+(K1356*(1-0.4427)*0.26))</f>
        <v>0.70979099374999999</v>
      </c>
      <c r="M1356" s="64">
        <f t="shared" si="44"/>
        <v>0.70979099374999999</v>
      </c>
      <c r="N1356" s="33" t="s">
        <v>248</v>
      </c>
    </row>
    <row r="1357" spans="1:14" ht="15">
      <c r="A1357" s="12"/>
      <c r="B1357" s="33" t="s">
        <v>138</v>
      </c>
      <c r="C1357" s="92" t="s">
        <v>337</v>
      </c>
      <c r="D1357" s="33" t="s">
        <v>410</v>
      </c>
      <c r="E1357" s="34">
        <v>44651</v>
      </c>
      <c r="F1357" s="34">
        <v>44652</v>
      </c>
      <c r="G1357" s="34">
        <v>44657</v>
      </c>
      <c r="H1357" s="35">
        <v>0.05</v>
      </c>
      <c r="I1357" s="67">
        <v>7.1099999999999997E-2</v>
      </c>
      <c r="J1357" s="67">
        <v>0</v>
      </c>
      <c r="K1357" s="67">
        <v>7.1099999999999997E-2</v>
      </c>
      <c r="L1357" s="36">
        <f>+K1357-((K1357*0.2774*0.125)+(K1357*(1-0.2774)*0.26))</f>
        <v>5.5276623900000002E-2</v>
      </c>
      <c r="M1357" s="64">
        <f t="shared" si="44"/>
        <v>5.5276623900000002E-2</v>
      </c>
      <c r="N1357" s="33" t="s">
        <v>248</v>
      </c>
    </row>
    <row r="1358" spans="1:14" ht="15">
      <c r="A1358" s="12"/>
      <c r="B1358" s="33" t="s">
        <v>160</v>
      </c>
      <c r="C1358" s="92" t="s">
        <v>338</v>
      </c>
      <c r="D1358" s="33" t="s">
        <v>410</v>
      </c>
      <c r="E1358" s="34">
        <v>44651</v>
      </c>
      <c r="F1358" s="34">
        <v>44652</v>
      </c>
      <c r="G1358" s="34">
        <v>44657</v>
      </c>
      <c r="H1358" s="35">
        <v>0.05</v>
      </c>
      <c r="I1358" s="67">
        <v>7.0099999999999996E-2</v>
      </c>
      <c r="J1358" s="67">
        <v>0</v>
      </c>
      <c r="K1358" s="67">
        <v>7.0099999999999996E-2</v>
      </c>
      <c r="L1358" s="36">
        <f>+K1358-((K1358*0.2774*0.125)+(K1358*(1-0.2774)*0.26))</f>
        <v>5.4499174899999996E-2</v>
      </c>
      <c r="M1358" s="64">
        <f t="shared" si="44"/>
        <v>5.4499174899999996E-2</v>
      </c>
      <c r="N1358" s="33" t="s">
        <v>248</v>
      </c>
    </row>
    <row r="1359" spans="1:14" ht="15">
      <c r="A1359" s="12"/>
      <c r="B1359" s="33" t="s">
        <v>300</v>
      </c>
      <c r="C1359" s="92" t="s">
        <v>404</v>
      </c>
      <c r="D1359" s="33" t="s">
        <v>410</v>
      </c>
      <c r="E1359" s="34">
        <v>44651</v>
      </c>
      <c r="F1359" s="34">
        <v>44652</v>
      </c>
      <c r="G1359" s="34">
        <v>44657</v>
      </c>
      <c r="H1359" s="35">
        <v>0.05</v>
      </c>
      <c r="I1359" s="67">
        <v>5.4899999999999997E-2</v>
      </c>
      <c r="J1359" s="67">
        <v>0</v>
      </c>
      <c r="K1359" s="67">
        <v>5.4899999999999997E-2</v>
      </c>
      <c r="L1359" s="36">
        <f>+K1359-((K1359*0.2774*0.125)+(K1359*(1-0.2774)*0.26))</f>
        <v>4.2681950099999998E-2</v>
      </c>
      <c r="M1359" s="64">
        <f t="shared" si="44"/>
        <v>4.2681950099999998E-2</v>
      </c>
      <c r="N1359" s="33" t="s">
        <v>248</v>
      </c>
    </row>
    <row r="1360" spans="1:14" ht="15">
      <c r="A1360" s="12"/>
      <c r="B1360" s="33" t="s">
        <v>142</v>
      </c>
      <c r="C1360" s="92" t="s">
        <v>341</v>
      </c>
      <c r="D1360" s="33" t="s">
        <v>410</v>
      </c>
      <c r="E1360" s="34">
        <v>44651</v>
      </c>
      <c r="F1360" s="34">
        <v>44652</v>
      </c>
      <c r="G1360" s="34">
        <v>44657</v>
      </c>
      <c r="H1360" s="35">
        <v>5.2499999999999998E-2</v>
      </c>
      <c r="I1360" s="67">
        <v>7.6600000000000001E-2</v>
      </c>
      <c r="J1360" s="67">
        <v>0</v>
      </c>
      <c r="K1360" s="67">
        <v>7.6600000000000001E-2</v>
      </c>
      <c r="L1360" s="36">
        <f>+K1360-((K1360*0.0694*0.125)+(K1360*(1-0.0694)*0.26))</f>
        <v>5.7401665400000003E-2</v>
      </c>
      <c r="M1360" s="64">
        <f t="shared" si="44"/>
        <v>5.7401665400000003E-2</v>
      </c>
      <c r="N1360" s="33" t="s">
        <v>248</v>
      </c>
    </row>
    <row r="1361" spans="1:14" ht="15">
      <c r="A1361" s="12"/>
      <c r="B1361" s="33" t="s">
        <v>159</v>
      </c>
      <c r="C1361" s="92" t="s">
        <v>342</v>
      </c>
      <c r="D1361" s="33" t="s">
        <v>410</v>
      </c>
      <c r="E1361" s="34">
        <v>44651</v>
      </c>
      <c r="F1361" s="34">
        <v>44652</v>
      </c>
      <c r="G1361" s="34">
        <v>44657</v>
      </c>
      <c r="H1361" s="35">
        <v>5.2499999999999998E-2</v>
      </c>
      <c r="I1361" s="67">
        <v>7.5700000000000003E-2</v>
      </c>
      <c r="J1361" s="67">
        <v>0</v>
      </c>
      <c r="K1361" s="67">
        <v>7.5700000000000003E-2</v>
      </c>
      <c r="L1361" s="36">
        <f>+K1361-((K1361*0.0694*0.125)+(K1361*(1-0.0694)*0.26))</f>
        <v>5.6727233299999999E-2</v>
      </c>
      <c r="M1361" s="64">
        <f t="shared" si="44"/>
        <v>5.6727233299999999E-2</v>
      </c>
      <c r="N1361" s="33" t="s">
        <v>248</v>
      </c>
    </row>
    <row r="1362" spans="1:14" ht="15">
      <c r="A1362" s="12"/>
      <c r="B1362" s="33" t="s">
        <v>507</v>
      </c>
      <c r="C1362" s="92" t="s">
        <v>508</v>
      </c>
      <c r="D1362" s="33" t="s">
        <v>410</v>
      </c>
      <c r="E1362" s="34">
        <v>44651</v>
      </c>
      <c r="F1362" s="34">
        <v>44652</v>
      </c>
      <c r="G1362" s="34">
        <v>44657</v>
      </c>
      <c r="H1362" s="35">
        <v>5.2499999999999998E-2</v>
      </c>
      <c r="I1362" s="67">
        <v>6.0499999999999998E-2</v>
      </c>
      <c r="J1362" s="67">
        <v>0</v>
      </c>
      <c r="K1362" s="67">
        <v>6.0499999999999998E-2</v>
      </c>
      <c r="L1362" s="36">
        <f>+K1362-((K1362*0.0694*0.125)+(K1362*(1-0.0694)*0.26))</f>
        <v>4.5336824499999998E-2</v>
      </c>
      <c r="M1362" s="64">
        <f t="shared" si="44"/>
        <v>4.5336824499999998E-2</v>
      </c>
      <c r="N1362" s="33" t="s">
        <v>248</v>
      </c>
    </row>
    <row r="1363" spans="1:14" ht="15">
      <c r="A1363" s="12"/>
      <c r="B1363" s="33" t="s">
        <v>139</v>
      </c>
      <c r="C1363" s="92" t="s">
        <v>344</v>
      </c>
      <c r="D1363" s="33" t="s">
        <v>410</v>
      </c>
      <c r="E1363" s="34">
        <v>44651</v>
      </c>
      <c r="F1363" s="34">
        <v>44652</v>
      </c>
      <c r="G1363" s="34">
        <v>44657</v>
      </c>
      <c r="H1363" s="35">
        <v>0.02</v>
      </c>
      <c r="I1363" s="67">
        <v>2.0400000000000001E-2</v>
      </c>
      <c r="J1363" s="67">
        <v>0</v>
      </c>
      <c r="K1363" s="67">
        <v>2.0400000000000001E-2</v>
      </c>
      <c r="L1363" s="36">
        <f>+K1363-((K1363*0.8038*0.125)+(K1363*(1-0.8038)*0.26))</f>
        <v>1.7309665200000001E-2</v>
      </c>
      <c r="M1363" s="64">
        <f t="shared" si="44"/>
        <v>1.7309665200000001E-2</v>
      </c>
      <c r="N1363" s="33" t="s">
        <v>248</v>
      </c>
    </row>
    <row r="1364" spans="1:14" ht="15">
      <c r="A1364" s="12"/>
      <c r="B1364" s="33" t="s">
        <v>161</v>
      </c>
      <c r="C1364" s="92" t="s">
        <v>345</v>
      </c>
      <c r="D1364" s="33" t="s">
        <v>410</v>
      </c>
      <c r="E1364" s="34">
        <v>44651</v>
      </c>
      <c r="F1364" s="34">
        <v>44652</v>
      </c>
      <c r="G1364" s="34">
        <v>44657</v>
      </c>
      <c r="H1364" s="35">
        <v>0.02</v>
      </c>
      <c r="I1364" s="67">
        <v>2.0199999999999999E-2</v>
      </c>
      <c r="J1364" s="67">
        <v>0</v>
      </c>
      <c r="K1364" s="67">
        <v>2.0199999999999999E-2</v>
      </c>
      <c r="L1364" s="36">
        <f>+K1364-((K1364*0.8038*0.125)+(K1364*(1-0.8038)*0.26))</f>
        <v>1.7139962599999999E-2</v>
      </c>
      <c r="M1364" s="64">
        <f t="shared" si="44"/>
        <v>1.7139962599999999E-2</v>
      </c>
      <c r="N1364" s="33" t="s">
        <v>248</v>
      </c>
    </row>
    <row r="1365" spans="1:14" ht="15">
      <c r="A1365" s="12"/>
      <c r="B1365" s="33" t="s">
        <v>141</v>
      </c>
      <c r="C1365" s="92" t="s">
        <v>348</v>
      </c>
      <c r="D1365" s="33" t="s">
        <v>410</v>
      </c>
      <c r="E1365" s="34">
        <v>44651</v>
      </c>
      <c r="F1365" s="34">
        <v>44652</v>
      </c>
      <c r="G1365" s="34">
        <v>44657</v>
      </c>
      <c r="H1365" s="35">
        <v>0.04</v>
      </c>
      <c r="I1365" s="67">
        <v>4.3799999999999999E-2</v>
      </c>
      <c r="J1365" s="67">
        <v>0</v>
      </c>
      <c r="K1365" s="67">
        <v>4.3799999999999999E-2</v>
      </c>
      <c r="L1365" s="36">
        <f>+K1365-((K1365*0.0806*0.125)+(K1365*(1-0.0806)*0.26))</f>
        <v>3.2888587800000001E-2</v>
      </c>
      <c r="M1365" s="64">
        <f t="shared" si="44"/>
        <v>3.2888587800000001E-2</v>
      </c>
      <c r="N1365" s="33" t="s">
        <v>248</v>
      </c>
    </row>
    <row r="1366" spans="1:14" ht="15">
      <c r="A1366" s="12"/>
      <c r="B1366" s="33" t="s">
        <v>140</v>
      </c>
      <c r="C1366" s="92" t="s">
        <v>349</v>
      </c>
      <c r="D1366" s="33" t="s">
        <v>410</v>
      </c>
      <c r="E1366" s="34">
        <v>44651</v>
      </c>
      <c r="F1366" s="34">
        <v>44652</v>
      </c>
      <c r="G1366" s="34">
        <v>44657</v>
      </c>
      <c r="H1366" s="35">
        <v>0.04</v>
      </c>
      <c r="I1366" s="67">
        <v>4.87E-2</v>
      </c>
      <c r="J1366" s="67">
        <v>0</v>
      </c>
      <c r="K1366" s="67">
        <v>4.87E-2</v>
      </c>
      <c r="L1366" s="36">
        <f>+K1366-((K1366*0.0806*0.125)+(K1366*(1-0.0806)*0.26))</f>
        <v>3.6567904700000001E-2</v>
      </c>
      <c r="M1366" s="64">
        <f t="shared" si="44"/>
        <v>3.6567904700000001E-2</v>
      </c>
      <c r="N1366" s="33" t="s">
        <v>248</v>
      </c>
    </row>
    <row r="1367" spans="1:14" ht="15">
      <c r="A1367" s="12"/>
      <c r="B1367" s="33" t="s">
        <v>162</v>
      </c>
      <c r="C1367" s="92" t="s">
        <v>350</v>
      </c>
      <c r="D1367" s="33" t="s">
        <v>410</v>
      </c>
      <c r="E1367" s="34">
        <v>44651</v>
      </c>
      <c r="F1367" s="34">
        <v>44652</v>
      </c>
      <c r="G1367" s="34">
        <v>44657</v>
      </c>
      <c r="H1367" s="35">
        <v>0.04</v>
      </c>
      <c r="I1367" s="67">
        <v>4.8000000000000001E-2</v>
      </c>
      <c r="J1367" s="67">
        <v>0</v>
      </c>
      <c r="K1367" s="67">
        <v>4.8000000000000001E-2</v>
      </c>
      <c r="L1367" s="36">
        <f>+K1367-((K1367*0.0806*0.125)+(K1367*(1-0.0806)*0.26))</f>
        <v>3.6042287999999999E-2</v>
      </c>
      <c r="M1367" s="64">
        <f t="shared" si="44"/>
        <v>3.6042287999999999E-2</v>
      </c>
      <c r="N1367" s="33" t="s">
        <v>248</v>
      </c>
    </row>
    <row r="1368" spans="1:14" ht="15">
      <c r="A1368" s="12"/>
      <c r="B1368" s="33" t="s">
        <v>302</v>
      </c>
      <c r="C1368" s="92" t="s">
        <v>405</v>
      </c>
      <c r="D1368" s="33" t="s">
        <v>410</v>
      </c>
      <c r="E1368" s="34">
        <v>44651</v>
      </c>
      <c r="F1368" s="34">
        <v>44652</v>
      </c>
      <c r="G1368" s="34">
        <v>44657</v>
      </c>
      <c r="H1368" s="35">
        <v>0.04</v>
      </c>
      <c r="I1368" s="67">
        <v>4.5499999999999999E-2</v>
      </c>
      <c r="J1368" s="67">
        <v>0</v>
      </c>
      <c r="K1368" s="67">
        <v>4.5499999999999999E-2</v>
      </c>
      <c r="L1368" s="36">
        <f>+K1368-((K1368*0.0806*0.125)+(K1368*(1-0.0806)*0.26))</f>
        <v>3.4165085499999998E-2</v>
      </c>
      <c r="M1368" s="64">
        <f t="shared" si="44"/>
        <v>3.4165085499999998E-2</v>
      </c>
      <c r="N1368" s="33" t="s">
        <v>248</v>
      </c>
    </row>
    <row r="1369" spans="1:14" ht="15">
      <c r="A1369" s="12"/>
      <c r="B1369" s="33" t="s">
        <v>303</v>
      </c>
      <c r="C1369" s="92" t="s">
        <v>406</v>
      </c>
      <c r="D1369" s="33" t="s">
        <v>410</v>
      </c>
      <c r="E1369" s="34">
        <v>44651</v>
      </c>
      <c r="F1369" s="34">
        <v>44652</v>
      </c>
      <c r="G1369" s="34">
        <v>44657</v>
      </c>
      <c r="H1369" s="35">
        <v>0.04</v>
      </c>
      <c r="I1369" s="67">
        <v>4.5499999999999999E-2</v>
      </c>
      <c r="J1369" s="67">
        <v>0</v>
      </c>
      <c r="K1369" s="67">
        <v>4.5499999999999999E-2</v>
      </c>
      <c r="L1369" s="36">
        <f>+K1369-((K1369*0.0806*0.125)+(K1369*(1-0.0806)*0.26))</f>
        <v>3.4165085499999998E-2</v>
      </c>
      <c r="M1369" s="64">
        <f t="shared" si="44"/>
        <v>3.4165085499999998E-2</v>
      </c>
      <c r="N1369" s="33" t="s">
        <v>248</v>
      </c>
    </row>
    <row r="1370" spans="1:14" ht="15">
      <c r="A1370" s="12"/>
      <c r="B1370" s="33" t="s">
        <v>143</v>
      </c>
      <c r="C1370" s="92" t="s">
        <v>351</v>
      </c>
      <c r="D1370" s="33" t="s">
        <v>410</v>
      </c>
      <c r="E1370" s="34">
        <v>44651</v>
      </c>
      <c r="F1370" s="34">
        <v>44652</v>
      </c>
      <c r="G1370" s="34">
        <v>44657</v>
      </c>
      <c r="H1370" s="35">
        <v>4.0000000000000001E-3</v>
      </c>
      <c r="I1370" s="67">
        <v>5.1000000000000004E-3</v>
      </c>
      <c r="J1370" s="67">
        <v>0</v>
      </c>
      <c r="K1370" s="67">
        <v>5.1000000000000004E-3</v>
      </c>
      <c r="L1370" s="36">
        <f>+K1370-((K1370*0.4594*0.125)+(K1370*(1-0.4594)*0.26))</f>
        <v>4.0902969000000001E-3</v>
      </c>
      <c r="M1370" s="64">
        <f t="shared" si="44"/>
        <v>4.0902969000000001E-3</v>
      </c>
      <c r="N1370" s="33" t="s">
        <v>248</v>
      </c>
    </row>
    <row r="1371" spans="1:14" ht="15">
      <c r="A1371" s="12"/>
      <c r="B1371" s="33" t="s">
        <v>145</v>
      </c>
      <c r="C1371" s="92" t="s">
        <v>352</v>
      </c>
      <c r="D1371" s="33" t="s">
        <v>410</v>
      </c>
      <c r="E1371" s="34">
        <v>44651</v>
      </c>
      <c r="F1371" s="34">
        <v>44652</v>
      </c>
      <c r="G1371" s="34">
        <v>44657</v>
      </c>
      <c r="H1371" s="35">
        <v>4.4999999999999997E-3</v>
      </c>
      <c r="I1371" s="67">
        <v>5.7000000000000002E-3</v>
      </c>
      <c r="J1371" s="67">
        <v>0</v>
      </c>
      <c r="K1371" s="67">
        <v>5.7000000000000002E-3</v>
      </c>
      <c r="L1371" s="36">
        <f>+K1371-((K1371*0.017*0.125)+(K1371*(1-0.017)*0.26))</f>
        <v>4.2310815E-3</v>
      </c>
      <c r="M1371" s="64">
        <f t="shared" si="44"/>
        <v>4.2310815E-3</v>
      </c>
      <c r="N1371" s="33" t="s">
        <v>248</v>
      </c>
    </row>
    <row r="1372" spans="1:14" ht="15">
      <c r="A1372" s="12"/>
      <c r="B1372" s="33" t="s">
        <v>144</v>
      </c>
      <c r="C1372" s="92" t="s">
        <v>353</v>
      </c>
      <c r="D1372" s="33" t="s">
        <v>410</v>
      </c>
      <c r="E1372" s="34">
        <v>44651</v>
      </c>
      <c r="F1372" s="34">
        <v>44652</v>
      </c>
      <c r="G1372" s="34">
        <v>44657</v>
      </c>
      <c r="H1372" s="35">
        <v>2E-3</v>
      </c>
      <c r="I1372" s="67">
        <v>2.5000000000000001E-3</v>
      </c>
      <c r="J1372" s="67">
        <v>0</v>
      </c>
      <c r="K1372" s="67">
        <v>2.5000000000000001E-3</v>
      </c>
      <c r="L1372" s="36">
        <f>+K1372-((K1372*0.8388*0.125)+(K1372*(1-0.8388)*0.26))</f>
        <v>2.1330950000000002E-3</v>
      </c>
      <c r="M1372" s="64">
        <f t="shared" si="44"/>
        <v>2.1330950000000002E-3</v>
      </c>
      <c r="N1372" s="33" t="s">
        <v>248</v>
      </c>
    </row>
    <row r="1373" spans="1:14" ht="15">
      <c r="A1373" s="12"/>
      <c r="B1373" s="33" t="s">
        <v>148</v>
      </c>
      <c r="C1373" s="92" t="s">
        <v>362</v>
      </c>
      <c r="D1373" s="33" t="s">
        <v>410</v>
      </c>
      <c r="E1373" s="34">
        <v>44651</v>
      </c>
      <c r="F1373" s="34">
        <v>44652</v>
      </c>
      <c r="G1373" s="34">
        <v>44657</v>
      </c>
      <c r="H1373" s="35">
        <v>1.4999999999999999E-2</v>
      </c>
      <c r="I1373" s="67">
        <v>1.9400000000000001E-2</v>
      </c>
      <c r="J1373" s="67">
        <v>0</v>
      </c>
      <c r="K1373" s="67">
        <v>1.9400000000000001E-2</v>
      </c>
      <c r="L1373" s="36">
        <f>+K1373-((K1373*0.4288*0.125)+(K1373*(1-0.4288)*0.26))</f>
        <v>1.5479027200000002E-2</v>
      </c>
      <c r="M1373" s="64">
        <f t="shared" si="44"/>
        <v>1.5479027200000002E-2</v>
      </c>
      <c r="N1373" s="33" t="s">
        <v>248</v>
      </c>
    </row>
    <row r="1374" spans="1:14" ht="15">
      <c r="A1374" s="12"/>
      <c r="B1374" s="33" t="s">
        <v>200</v>
      </c>
      <c r="C1374" s="92" t="s">
        <v>365</v>
      </c>
      <c r="D1374" s="33" t="s">
        <v>410</v>
      </c>
      <c r="E1374" s="34">
        <v>44651</v>
      </c>
      <c r="F1374" s="34">
        <v>44652</v>
      </c>
      <c r="G1374" s="34">
        <v>44657</v>
      </c>
      <c r="H1374" s="35">
        <v>1.4999999999999999E-2</v>
      </c>
      <c r="I1374" s="67">
        <v>0.3528</v>
      </c>
      <c r="J1374" s="67">
        <v>0</v>
      </c>
      <c r="K1374" s="67">
        <v>0.3528</v>
      </c>
      <c r="L1374" s="36">
        <f>+K1374-((K1374*0.4288*0.125)+(K1374*(1-0.4288)*0.26))</f>
        <v>0.28149488639999998</v>
      </c>
      <c r="M1374" s="64">
        <f t="shared" si="44"/>
        <v>0.28149488639999998</v>
      </c>
      <c r="N1374" s="33" t="s">
        <v>248</v>
      </c>
    </row>
    <row r="1375" spans="1:14" ht="15">
      <c r="A1375" s="12"/>
      <c r="B1375" s="33" t="s">
        <v>173</v>
      </c>
      <c r="C1375" s="92" t="s">
        <v>372</v>
      </c>
      <c r="D1375" s="33" t="s">
        <v>410</v>
      </c>
      <c r="E1375" s="34">
        <v>44651</v>
      </c>
      <c r="F1375" s="34">
        <v>44652</v>
      </c>
      <c r="G1375" s="34">
        <v>44657</v>
      </c>
      <c r="H1375" s="35">
        <v>0.01</v>
      </c>
      <c r="I1375" s="67">
        <v>1.41E-2</v>
      </c>
      <c r="J1375" s="67">
        <v>0</v>
      </c>
      <c r="K1375" s="67">
        <v>1.41E-2</v>
      </c>
      <c r="L1375" s="36">
        <f>+K1375-((K1375*0.2723*0.125)+(K1375*(1-0.2723)*0.26))</f>
        <v>1.0952323050000001E-2</v>
      </c>
      <c r="M1375" s="64">
        <f t="shared" si="44"/>
        <v>1.0952323050000001E-2</v>
      </c>
      <c r="N1375" s="33" t="s">
        <v>248</v>
      </c>
    </row>
    <row r="1376" spans="1:14" ht="15">
      <c r="A1376" s="12"/>
      <c r="B1376" s="33" t="s">
        <v>150</v>
      </c>
      <c r="C1376" s="92" t="s">
        <v>377</v>
      </c>
      <c r="D1376" s="33" t="s">
        <v>410</v>
      </c>
      <c r="E1376" s="34">
        <v>44651</v>
      </c>
      <c r="F1376" s="34">
        <v>44652</v>
      </c>
      <c r="G1376" s="34">
        <v>44657</v>
      </c>
      <c r="H1376" s="35">
        <v>2.75E-2</v>
      </c>
      <c r="I1376" s="67">
        <v>3.9E-2</v>
      </c>
      <c r="J1376" s="67">
        <v>0</v>
      </c>
      <c r="K1376" s="67">
        <v>3.9E-2</v>
      </c>
      <c r="L1376" s="36">
        <f>+K1376-((K1376*0.00000001*0.125)+(K1376*(1-0.000000001)*0.26))</f>
        <v>2.885999996139E-2</v>
      </c>
      <c r="M1376" s="64">
        <f t="shared" si="44"/>
        <v>2.885999996139E-2</v>
      </c>
      <c r="N1376" s="33" t="s">
        <v>248</v>
      </c>
    </row>
    <row r="1377" spans="1:14" ht="15">
      <c r="A1377" s="12"/>
      <c r="B1377" s="33" t="s">
        <v>510</v>
      </c>
      <c r="C1377" s="92" t="s">
        <v>509</v>
      </c>
      <c r="D1377" s="33" t="s">
        <v>410</v>
      </c>
      <c r="E1377" s="34">
        <v>44651</v>
      </c>
      <c r="F1377" s="34">
        <v>44652</v>
      </c>
      <c r="G1377" s="34">
        <v>44657</v>
      </c>
      <c r="H1377" s="35">
        <v>2.75E-2</v>
      </c>
      <c r="I1377" s="67">
        <v>3.4599999999999999E-2</v>
      </c>
      <c r="J1377" s="67">
        <v>0</v>
      </c>
      <c r="K1377" s="67">
        <v>3.4599999999999999E-2</v>
      </c>
      <c r="L1377" s="36">
        <f>+K1377-((K1377*0.00000001*0.125)+(K1377*(1-0.000000001)*0.26))</f>
        <v>2.5603999965745999E-2</v>
      </c>
      <c r="M1377" s="64">
        <f t="shared" si="44"/>
        <v>2.5603999965745999E-2</v>
      </c>
      <c r="N1377" s="33" t="s">
        <v>248</v>
      </c>
    </row>
    <row r="1378" spans="1:14" ht="15">
      <c r="A1378" s="12"/>
      <c r="B1378" s="33" t="s">
        <v>441</v>
      </c>
      <c r="C1378" s="92" t="s">
        <v>444</v>
      </c>
      <c r="D1378" s="33" t="s">
        <v>410</v>
      </c>
      <c r="E1378" s="34">
        <v>44651</v>
      </c>
      <c r="F1378" s="34">
        <v>44652</v>
      </c>
      <c r="G1378" s="34">
        <v>44657</v>
      </c>
      <c r="H1378" s="35">
        <v>1.4999999999999999E-2</v>
      </c>
      <c r="I1378" s="67">
        <v>1.7399999999999999E-2</v>
      </c>
      <c r="J1378" s="67">
        <v>0</v>
      </c>
      <c r="K1378" s="67">
        <v>1.7399999999999999E-2</v>
      </c>
      <c r="L1378" s="36">
        <f>+K1378-((K1378*0.291*0.125)+(K1378*(1-0.291)*0.26))</f>
        <v>1.3559558999999999E-2</v>
      </c>
      <c r="M1378" s="64">
        <f t="shared" ref="M1378:M1441" si="45">J1378+L1378</f>
        <v>1.3559558999999999E-2</v>
      </c>
      <c r="N1378" s="33" t="s">
        <v>248</v>
      </c>
    </row>
    <row r="1379" spans="1:14" ht="15">
      <c r="A1379" s="12"/>
      <c r="B1379" s="33" t="s">
        <v>440</v>
      </c>
      <c r="C1379" s="92" t="s">
        <v>443</v>
      </c>
      <c r="D1379" s="33" t="s">
        <v>410</v>
      </c>
      <c r="E1379" s="34">
        <v>44651</v>
      </c>
      <c r="F1379" s="34">
        <v>44652</v>
      </c>
      <c r="G1379" s="34">
        <v>44657</v>
      </c>
      <c r="H1379" s="35">
        <v>1.4999999999999999E-2</v>
      </c>
      <c r="I1379" s="67">
        <v>0.35659999999999997</v>
      </c>
      <c r="J1379" s="67">
        <v>0</v>
      </c>
      <c r="K1379" s="67">
        <v>0.35659999999999997</v>
      </c>
      <c r="L1379" s="36">
        <f>+K1379-((K1379*0.291*0.125)+(K1379*(1-0.291)*0.26))</f>
        <v>0.27789303099999996</v>
      </c>
      <c r="M1379" s="64">
        <f t="shared" si="45"/>
        <v>0.27789303099999996</v>
      </c>
      <c r="N1379" s="33" t="s">
        <v>248</v>
      </c>
    </row>
    <row r="1380" spans="1:14" ht="15">
      <c r="A1380" s="12"/>
      <c r="B1380" s="33" t="s">
        <v>299</v>
      </c>
      <c r="C1380" s="92" t="s">
        <v>517</v>
      </c>
      <c r="D1380" s="33" t="s">
        <v>410</v>
      </c>
      <c r="E1380" s="34">
        <v>44651</v>
      </c>
      <c r="F1380" s="34">
        <v>44652</v>
      </c>
      <c r="G1380" s="34">
        <v>44657</v>
      </c>
      <c r="H1380" s="35">
        <v>1.2E-2</v>
      </c>
      <c r="I1380" s="67">
        <v>1.4999999999999999E-2</v>
      </c>
      <c r="J1380" s="67">
        <v>0</v>
      </c>
      <c r="K1380" s="67">
        <v>1.4999999999999999E-2</v>
      </c>
      <c r="L1380" s="36">
        <f>+K1380-((K1380*0.2917*0.125)+(K1380*(1-0.2917)*0.26))</f>
        <v>1.1690692499999999E-2</v>
      </c>
      <c r="M1380" s="64">
        <f t="shared" si="45"/>
        <v>1.1690692499999999E-2</v>
      </c>
      <c r="N1380" s="33" t="s">
        <v>248</v>
      </c>
    </row>
    <row r="1381" spans="1:14" ht="15">
      <c r="A1381" s="12"/>
      <c r="B1381" s="33" t="s">
        <v>182</v>
      </c>
      <c r="C1381" s="92" t="s">
        <v>477</v>
      </c>
      <c r="D1381" s="33" t="s">
        <v>410</v>
      </c>
      <c r="E1381" s="34">
        <v>44651</v>
      </c>
      <c r="F1381" s="34">
        <v>44652</v>
      </c>
      <c r="G1381" s="34">
        <v>44657</v>
      </c>
      <c r="H1381" s="35">
        <v>1.2E-2</v>
      </c>
      <c r="I1381" s="67">
        <v>0.29210000000000003</v>
      </c>
      <c r="J1381" s="67">
        <v>0</v>
      </c>
      <c r="K1381" s="67">
        <v>0.29210000000000003</v>
      </c>
      <c r="L1381" s="36">
        <f>+K1381-((K1381*0.2917*0.125)+(K1381*(1-0.2917)*0.26))</f>
        <v>0.22765675195000001</v>
      </c>
      <c r="M1381" s="64">
        <f t="shared" si="45"/>
        <v>0.22765675195000001</v>
      </c>
      <c r="N1381" s="33" t="s">
        <v>248</v>
      </c>
    </row>
    <row r="1382" spans="1:14" ht="15">
      <c r="A1382" s="12"/>
      <c r="B1382" s="33" t="s">
        <v>202</v>
      </c>
      <c r="C1382" s="92" t="s">
        <v>478</v>
      </c>
      <c r="D1382" s="33" t="s">
        <v>410</v>
      </c>
      <c r="E1382" s="34">
        <v>44651</v>
      </c>
      <c r="F1382" s="34">
        <v>44652</v>
      </c>
      <c r="G1382" s="34">
        <v>44657</v>
      </c>
      <c r="H1382" s="35">
        <v>1.2E-2</v>
      </c>
      <c r="I1382" s="67">
        <v>0.29670000000000002</v>
      </c>
      <c r="J1382" s="67">
        <v>0</v>
      </c>
      <c r="K1382" s="67">
        <v>0.29670000000000002</v>
      </c>
      <c r="L1382" s="36">
        <f>+K1382-((K1382*0.2917*0.125)+(K1382*(1-0.2917)*0.26))</f>
        <v>0.23124189765000003</v>
      </c>
      <c r="M1382" s="64">
        <f t="shared" si="45"/>
        <v>0.23124189765000003</v>
      </c>
      <c r="N1382" s="33" t="s">
        <v>248</v>
      </c>
    </row>
    <row r="1383" spans="1:14" ht="15">
      <c r="A1383" s="12"/>
      <c r="B1383" s="33" t="s">
        <v>146</v>
      </c>
      <c r="C1383" s="92" t="s">
        <v>380</v>
      </c>
      <c r="D1383" s="33" t="s">
        <v>410</v>
      </c>
      <c r="E1383" s="34">
        <v>44651</v>
      </c>
      <c r="F1383" s="34">
        <v>44652</v>
      </c>
      <c r="G1383" s="34">
        <v>44657</v>
      </c>
      <c r="H1383" s="35">
        <v>0.03</v>
      </c>
      <c r="I1383" s="67">
        <v>4.5400000000000003E-2</v>
      </c>
      <c r="J1383" s="67">
        <v>0</v>
      </c>
      <c r="K1383" s="67">
        <v>4.5400000000000003E-2</v>
      </c>
      <c r="L1383" s="36">
        <f>+K1383-((K1383*0.0164*0.125)+(K1383*(1-0.0164)*0.26))</f>
        <v>3.3696515600000004E-2</v>
      </c>
      <c r="M1383" s="64">
        <f t="shared" si="45"/>
        <v>3.3696515600000004E-2</v>
      </c>
      <c r="N1383" s="33" t="s">
        <v>248</v>
      </c>
    </row>
    <row r="1384" spans="1:14" ht="15">
      <c r="A1384" s="12"/>
      <c r="B1384" s="33" t="s">
        <v>163</v>
      </c>
      <c r="C1384" s="92" t="s">
        <v>381</v>
      </c>
      <c r="D1384" s="33" t="s">
        <v>410</v>
      </c>
      <c r="E1384" s="34">
        <v>44651</v>
      </c>
      <c r="F1384" s="34">
        <v>44652</v>
      </c>
      <c r="G1384" s="34">
        <v>44657</v>
      </c>
      <c r="H1384" s="35">
        <v>0.03</v>
      </c>
      <c r="I1384" s="67">
        <v>4.0599999999999997E-2</v>
      </c>
      <c r="J1384" s="67">
        <v>0</v>
      </c>
      <c r="K1384" s="67">
        <v>4.0599999999999997E-2</v>
      </c>
      <c r="L1384" s="36">
        <f>+K1384-((K1384*0.0164*0.125)+(K1384*(1-0.0164)*0.26))</f>
        <v>3.0133888399999996E-2</v>
      </c>
      <c r="M1384" s="64">
        <f t="shared" si="45"/>
        <v>3.0133888399999996E-2</v>
      </c>
      <c r="N1384" s="33" t="s">
        <v>248</v>
      </c>
    </row>
    <row r="1385" spans="1:14" ht="15">
      <c r="A1385" s="12"/>
      <c r="B1385" s="33" t="s">
        <v>151</v>
      </c>
      <c r="C1385" s="92" t="s">
        <v>383</v>
      </c>
      <c r="D1385" s="33" t="s">
        <v>410</v>
      </c>
      <c r="E1385" s="34">
        <v>44651</v>
      </c>
      <c r="F1385" s="34">
        <v>44652</v>
      </c>
      <c r="G1385" s="34">
        <v>44657</v>
      </c>
      <c r="H1385" s="35">
        <v>2.5000000000000001E-2</v>
      </c>
      <c r="I1385" s="67">
        <v>3.0300000000000001E-2</v>
      </c>
      <c r="J1385" s="67">
        <v>0</v>
      </c>
      <c r="K1385" s="67">
        <v>3.0300000000000001E-2</v>
      </c>
      <c r="L1385" s="36">
        <f>+K1385-((K1385*0.0566*0.125)+(K1385*(1-0.0566)*0.26))</f>
        <v>2.2653522299999999E-2</v>
      </c>
      <c r="M1385" s="64">
        <f t="shared" si="45"/>
        <v>2.2653522299999999E-2</v>
      </c>
      <c r="N1385" s="33" t="s">
        <v>248</v>
      </c>
    </row>
    <row r="1386" spans="1:14" ht="15">
      <c r="A1386" s="12"/>
      <c r="B1386" s="33" t="s">
        <v>166</v>
      </c>
      <c r="C1386" s="92" t="s">
        <v>384</v>
      </c>
      <c r="D1386" s="33" t="s">
        <v>410</v>
      </c>
      <c r="E1386" s="34">
        <v>44651</v>
      </c>
      <c r="F1386" s="34">
        <v>44652</v>
      </c>
      <c r="G1386" s="34">
        <v>44657</v>
      </c>
      <c r="H1386" s="35">
        <v>2.5000000000000001E-2</v>
      </c>
      <c r="I1386" s="67">
        <v>0.03</v>
      </c>
      <c r="J1386" s="67">
        <v>0</v>
      </c>
      <c r="K1386" s="67">
        <v>0.03</v>
      </c>
      <c r="L1386" s="36">
        <f>+K1386-((K1386*0.0566*0.125)+(K1386*(1-0.0566)*0.26))</f>
        <v>2.2429229999999998E-2</v>
      </c>
      <c r="M1386" s="64">
        <f t="shared" si="45"/>
        <v>2.2429229999999998E-2</v>
      </c>
      <c r="N1386" s="33" t="s">
        <v>248</v>
      </c>
    </row>
    <row r="1387" spans="1:14" ht="15">
      <c r="A1387" s="12"/>
      <c r="B1387" s="33" t="s">
        <v>149</v>
      </c>
      <c r="C1387" s="92" t="s">
        <v>386</v>
      </c>
      <c r="D1387" s="33" t="s">
        <v>410</v>
      </c>
      <c r="E1387" s="34">
        <v>44651</v>
      </c>
      <c r="F1387" s="34">
        <v>44652</v>
      </c>
      <c r="G1387" s="34">
        <v>44657</v>
      </c>
      <c r="H1387" s="35">
        <v>3.2500000000000001E-2</v>
      </c>
      <c r="I1387" s="67">
        <v>4.7300000000000002E-2</v>
      </c>
      <c r="J1387" s="67">
        <v>0</v>
      </c>
      <c r="K1387" s="67">
        <v>4.7300000000000002E-2</v>
      </c>
      <c r="L1387" s="36">
        <f>+K1387-((K1387*0.0586*0.125)+(K1387*(1-0.0586)*0.26))</f>
        <v>3.5376190299999999E-2</v>
      </c>
      <c r="M1387" s="64">
        <f t="shared" si="45"/>
        <v>3.5376190299999999E-2</v>
      </c>
      <c r="N1387" s="33" t="s">
        <v>248</v>
      </c>
    </row>
    <row r="1388" spans="1:14" ht="15">
      <c r="A1388" s="12"/>
      <c r="B1388" s="33" t="s">
        <v>165</v>
      </c>
      <c r="C1388" s="92" t="s">
        <v>387</v>
      </c>
      <c r="D1388" s="33" t="s">
        <v>410</v>
      </c>
      <c r="E1388" s="34">
        <v>44651</v>
      </c>
      <c r="F1388" s="34">
        <v>44652</v>
      </c>
      <c r="G1388" s="34">
        <v>44657</v>
      </c>
      <c r="H1388" s="35">
        <v>3.2500000000000001E-2</v>
      </c>
      <c r="I1388" s="67">
        <v>4.41E-2</v>
      </c>
      <c r="J1388" s="67">
        <v>0</v>
      </c>
      <c r="K1388" s="67">
        <v>4.41E-2</v>
      </c>
      <c r="L1388" s="36">
        <f>+K1388-((K1388*0.0586*0.125)+(K1388*(1-0.0586)*0.26))</f>
        <v>3.2982875099999996E-2</v>
      </c>
      <c r="M1388" s="64">
        <f t="shared" si="45"/>
        <v>3.2982875099999996E-2</v>
      </c>
      <c r="N1388" s="33" t="s">
        <v>248</v>
      </c>
    </row>
    <row r="1389" spans="1:14" ht="15">
      <c r="A1389" s="12"/>
      <c r="B1389" s="33" t="s">
        <v>153</v>
      </c>
      <c r="C1389" s="92" t="s">
        <v>394</v>
      </c>
      <c r="D1389" s="33" t="s">
        <v>410</v>
      </c>
      <c r="E1389" s="34">
        <v>44651</v>
      </c>
      <c r="F1389" s="34">
        <v>44652</v>
      </c>
      <c r="G1389" s="34">
        <v>44657</v>
      </c>
      <c r="H1389" s="35">
        <v>1.6E-2</v>
      </c>
      <c r="I1389" s="67">
        <v>1.9599999999999999E-2</v>
      </c>
      <c r="J1389" s="67">
        <v>0</v>
      </c>
      <c r="K1389" s="67">
        <v>1.9599999999999999E-2</v>
      </c>
      <c r="L1389" s="36">
        <f>+K1389-((K1389*0.1726*0.125)+(K1389*(1-0.1726)*0.26))</f>
        <v>1.49606996E-2</v>
      </c>
      <c r="M1389" s="64">
        <f t="shared" si="45"/>
        <v>1.49606996E-2</v>
      </c>
      <c r="N1389" s="33" t="s">
        <v>248</v>
      </c>
    </row>
    <row r="1390" spans="1:14" ht="15">
      <c r="A1390" s="12"/>
      <c r="B1390" s="33" t="s">
        <v>152</v>
      </c>
      <c r="C1390" s="92" t="s">
        <v>395</v>
      </c>
      <c r="D1390" s="33" t="s">
        <v>410</v>
      </c>
      <c r="E1390" s="34">
        <v>44651</v>
      </c>
      <c r="F1390" s="34">
        <v>44652</v>
      </c>
      <c r="G1390" s="34">
        <v>44657</v>
      </c>
      <c r="H1390" s="35">
        <v>1.6E-2</v>
      </c>
      <c r="I1390" s="67">
        <v>2.6800000000000001E-2</v>
      </c>
      <c r="J1390" s="67">
        <v>0</v>
      </c>
      <c r="K1390" s="67">
        <v>2.6800000000000001E-2</v>
      </c>
      <c r="L1390" s="36">
        <f>+K1390-((K1390*0.1726*0.125)+(K1390*(1-0.1726)*0.26))</f>
        <v>2.04564668E-2</v>
      </c>
      <c r="M1390" s="64">
        <f t="shared" si="45"/>
        <v>2.04564668E-2</v>
      </c>
      <c r="N1390" s="33" t="s">
        <v>248</v>
      </c>
    </row>
    <row r="1391" spans="1:14" ht="15">
      <c r="A1391" s="12"/>
      <c r="B1391" s="33" t="s">
        <v>167</v>
      </c>
      <c r="C1391" s="92" t="s">
        <v>396</v>
      </c>
      <c r="D1391" s="33" t="s">
        <v>410</v>
      </c>
      <c r="E1391" s="34">
        <v>44651</v>
      </c>
      <c r="F1391" s="34">
        <v>44652</v>
      </c>
      <c r="G1391" s="34">
        <v>44657</v>
      </c>
      <c r="H1391" s="35">
        <v>1.6E-2</v>
      </c>
      <c r="I1391" s="67">
        <v>2.5499999999999998E-2</v>
      </c>
      <c r="J1391" s="67">
        <v>0</v>
      </c>
      <c r="K1391" s="67">
        <v>2.5499999999999998E-2</v>
      </c>
      <c r="L1391" s="36">
        <f>+K1391-((K1391*0.1726*0.125)+(K1391*(1-0.1726)*0.26))</f>
        <v>1.94641755E-2</v>
      </c>
      <c r="M1391" s="64">
        <f t="shared" si="45"/>
        <v>1.94641755E-2</v>
      </c>
      <c r="N1391" s="33" t="s">
        <v>248</v>
      </c>
    </row>
    <row r="1392" spans="1:14" ht="15">
      <c r="A1392" s="12"/>
      <c r="B1392" s="33" t="s">
        <v>301</v>
      </c>
      <c r="C1392" s="92" t="s">
        <v>407</v>
      </c>
      <c r="D1392" s="33" t="s">
        <v>410</v>
      </c>
      <c r="E1392" s="34">
        <v>44651</v>
      </c>
      <c r="F1392" s="34">
        <v>44652</v>
      </c>
      <c r="G1392" s="34">
        <v>44657</v>
      </c>
      <c r="H1392" s="35">
        <v>1.6E-2</v>
      </c>
      <c r="I1392" s="67">
        <v>2.01E-2</v>
      </c>
      <c r="J1392" s="67">
        <v>0</v>
      </c>
      <c r="K1392" s="67">
        <v>2.01E-2</v>
      </c>
      <c r="L1392" s="36">
        <f>+K1392-((K1392*0.1726*0.125)+(K1392*(1-0.1726)*0.26))</f>
        <v>1.5342350099999999E-2</v>
      </c>
      <c r="M1392" s="64">
        <f t="shared" si="45"/>
        <v>1.5342350099999999E-2</v>
      </c>
      <c r="N1392" s="33" t="s">
        <v>248</v>
      </c>
    </row>
    <row r="1393" spans="1:14" ht="15">
      <c r="A1393" s="12"/>
      <c r="B1393" s="33" t="s">
        <v>304</v>
      </c>
      <c r="C1393" s="92" t="s">
        <v>408</v>
      </c>
      <c r="D1393" s="33" t="s">
        <v>410</v>
      </c>
      <c r="E1393" s="34">
        <v>44651</v>
      </c>
      <c r="F1393" s="34">
        <v>44652</v>
      </c>
      <c r="G1393" s="34">
        <v>44657</v>
      </c>
      <c r="H1393" s="35">
        <v>1.2E-2</v>
      </c>
      <c r="I1393" s="67">
        <v>1.4800000000000001E-2</v>
      </c>
      <c r="J1393" s="67">
        <v>0</v>
      </c>
      <c r="K1393" s="67">
        <v>1.4800000000000001E-2</v>
      </c>
      <c r="L1393" s="36">
        <f>+K1393-((K1393*0.1445*0.125)+(K1393*(1-0.1445)*0.26))</f>
        <v>1.1240711E-2</v>
      </c>
      <c r="M1393" s="64">
        <f t="shared" si="45"/>
        <v>1.1240711E-2</v>
      </c>
      <c r="N1393" s="33" t="s">
        <v>248</v>
      </c>
    </row>
    <row r="1394" spans="1:14" ht="15">
      <c r="A1394" s="12"/>
      <c r="B1394" s="33" t="s">
        <v>183</v>
      </c>
      <c r="C1394" s="92" t="s">
        <v>398</v>
      </c>
      <c r="D1394" s="33" t="s">
        <v>410</v>
      </c>
      <c r="E1394" s="34">
        <v>44651</v>
      </c>
      <c r="F1394" s="34">
        <v>44652</v>
      </c>
      <c r="G1394" s="34">
        <v>44657</v>
      </c>
      <c r="H1394" s="35">
        <v>1.2E-2</v>
      </c>
      <c r="I1394" s="67">
        <v>1.4800000000000001E-2</v>
      </c>
      <c r="J1394" s="67">
        <v>0</v>
      </c>
      <c r="K1394" s="67">
        <v>1.4800000000000001E-2</v>
      </c>
      <c r="L1394" s="36">
        <f>+K1394-((K1394*0.1445*0.125)+(K1394*(1-0.1445)*0.26))</f>
        <v>1.1240711E-2</v>
      </c>
      <c r="M1394" s="64">
        <f t="shared" si="45"/>
        <v>1.1240711E-2</v>
      </c>
      <c r="N1394" s="33" t="s">
        <v>248</v>
      </c>
    </row>
    <row r="1395" spans="1:14" ht="15">
      <c r="A1395" s="12"/>
      <c r="B1395" s="33" t="s">
        <v>305</v>
      </c>
      <c r="C1395" s="92" t="s">
        <v>409</v>
      </c>
      <c r="D1395" s="33" t="s">
        <v>410</v>
      </c>
      <c r="E1395" s="34">
        <v>44651</v>
      </c>
      <c r="F1395" s="34">
        <v>44652</v>
      </c>
      <c r="G1395" s="34">
        <v>44657</v>
      </c>
      <c r="H1395" s="35">
        <v>1.2E-2</v>
      </c>
      <c r="I1395" s="67">
        <v>1.49E-2</v>
      </c>
      <c r="J1395" s="67">
        <v>0</v>
      </c>
      <c r="K1395" s="67">
        <v>1.49E-2</v>
      </c>
      <c r="L1395" s="36">
        <f>+K1395-((K1395*0.1445*0.125)+(K1395*(1-0.1445)*0.26))</f>
        <v>1.131666175E-2</v>
      </c>
      <c r="M1395" s="64">
        <f t="shared" si="45"/>
        <v>1.131666175E-2</v>
      </c>
      <c r="N1395" s="33" t="s">
        <v>248</v>
      </c>
    </row>
    <row r="1396" spans="1:14" ht="15">
      <c r="A1396" s="12"/>
      <c r="B1396" s="33" t="s">
        <v>147</v>
      </c>
      <c r="C1396" s="92" t="s">
        <v>466</v>
      </c>
      <c r="D1396" s="33" t="s">
        <v>410</v>
      </c>
      <c r="E1396" s="34">
        <v>44651</v>
      </c>
      <c r="F1396" s="34">
        <v>44652</v>
      </c>
      <c r="G1396" s="34">
        <v>44657</v>
      </c>
      <c r="H1396" s="35">
        <v>0.03</v>
      </c>
      <c r="I1396" s="67">
        <v>3.9699999999999999E-2</v>
      </c>
      <c r="J1396" s="67">
        <v>0</v>
      </c>
      <c r="K1396" s="67">
        <v>3.9699999999999999E-2</v>
      </c>
      <c r="L1396" s="36">
        <f>+K1396-((K1396*0.1127*0.125)+(K1396*(1-0.1127)*0.26))</f>
        <v>2.9982015649999999E-2</v>
      </c>
      <c r="M1396" s="64">
        <f t="shared" si="45"/>
        <v>2.9982015649999999E-2</v>
      </c>
      <c r="N1396" s="33" t="s">
        <v>248</v>
      </c>
    </row>
    <row r="1397" spans="1:14" ht="15">
      <c r="A1397" s="12"/>
      <c r="B1397" s="33" t="s">
        <v>164</v>
      </c>
      <c r="C1397" s="92" t="s">
        <v>467</v>
      </c>
      <c r="D1397" s="33" t="s">
        <v>410</v>
      </c>
      <c r="E1397" s="34">
        <v>44651</v>
      </c>
      <c r="F1397" s="34">
        <v>44652</v>
      </c>
      <c r="G1397" s="34">
        <v>44657</v>
      </c>
      <c r="H1397" s="35">
        <v>0.03</v>
      </c>
      <c r="I1397" s="67">
        <v>3.7100000000000001E-2</v>
      </c>
      <c r="J1397" s="67">
        <v>0</v>
      </c>
      <c r="K1397" s="67">
        <v>3.7100000000000001E-2</v>
      </c>
      <c r="L1397" s="36">
        <f>+K1397-((K1397*0.1127*0.125)+(K1397*(1-0.1127)*0.26))</f>
        <v>2.8018457949999999E-2</v>
      </c>
      <c r="M1397" s="64">
        <f t="shared" si="45"/>
        <v>2.8018457949999999E-2</v>
      </c>
      <c r="N1397" s="33" t="s">
        <v>248</v>
      </c>
    </row>
    <row r="1398" spans="1:14" ht="15">
      <c r="A1398" s="12"/>
      <c r="B1398" s="33" t="s">
        <v>132</v>
      </c>
      <c r="C1398" s="92" t="s">
        <v>358</v>
      </c>
      <c r="D1398" s="33" t="s">
        <v>410</v>
      </c>
      <c r="E1398" s="34">
        <v>44676</v>
      </c>
      <c r="F1398" s="34">
        <v>44677</v>
      </c>
      <c r="G1398" s="34">
        <v>44680</v>
      </c>
      <c r="H1398" s="35">
        <v>0.03</v>
      </c>
      <c r="I1398" s="67">
        <v>3.8100000000000002E-2</v>
      </c>
      <c r="J1398" s="67">
        <v>0</v>
      </c>
      <c r="K1398" s="67">
        <v>3.8100000000000002E-2</v>
      </c>
      <c r="L1398" s="36">
        <f>+K1398-((K1398*0.2659*0.125)+(K1398*(1-0.2659)*0.26))</f>
        <v>2.956165665E-2</v>
      </c>
      <c r="M1398" s="64">
        <f t="shared" si="45"/>
        <v>2.956165665E-2</v>
      </c>
      <c r="N1398" s="33" t="s">
        <v>249</v>
      </c>
    </row>
    <row r="1399" spans="1:14" ht="15">
      <c r="A1399" s="12"/>
      <c r="B1399" s="33" t="s">
        <v>227</v>
      </c>
      <c r="C1399" s="92" t="s">
        <v>359</v>
      </c>
      <c r="D1399" s="33" t="s">
        <v>410</v>
      </c>
      <c r="E1399" s="34">
        <v>44676</v>
      </c>
      <c r="F1399" s="34">
        <v>44677</v>
      </c>
      <c r="G1399" s="34">
        <v>44680</v>
      </c>
      <c r="H1399" s="35">
        <v>0.03</v>
      </c>
      <c r="I1399" s="67">
        <v>3.7699999999999997E-2</v>
      </c>
      <c r="J1399" s="67">
        <v>0</v>
      </c>
      <c r="K1399" s="67">
        <v>3.7699999999999997E-2</v>
      </c>
      <c r="L1399" s="36">
        <f>+K1399-((K1399*0.2659*0.125)+(K1399*(1-0.2659)*0.26))</f>
        <v>2.9251298049999999E-2</v>
      </c>
      <c r="M1399" s="64">
        <f t="shared" si="45"/>
        <v>2.9251298049999999E-2</v>
      </c>
      <c r="N1399" s="33" t="s">
        <v>249</v>
      </c>
    </row>
    <row r="1400" spans="1:14" ht="15">
      <c r="A1400" s="12"/>
      <c r="B1400" s="33" t="s">
        <v>133</v>
      </c>
      <c r="C1400" s="92" t="s">
        <v>474</v>
      </c>
      <c r="D1400" s="33" t="s">
        <v>410</v>
      </c>
      <c r="E1400" s="34">
        <v>44676</v>
      </c>
      <c r="F1400" s="34">
        <v>44677</v>
      </c>
      <c r="G1400" s="34">
        <v>44680</v>
      </c>
      <c r="H1400" s="35">
        <v>3.5000000000000003E-2</v>
      </c>
      <c r="I1400" s="67">
        <v>4.3299999999999998E-2</v>
      </c>
      <c r="J1400" s="67">
        <v>0</v>
      </c>
      <c r="K1400" s="67">
        <v>4.3299999999999998E-2</v>
      </c>
      <c r="L1400" s="36">
        <f>+K1400-((K1400*0.002*0.125)+(K1400*(1-0.002)*0.26))</f>
        <v>3.2053690999999995E-2</v>
      </c>
      <c r="M1400" s="64">
        <f t="shared" si="45"/>
        <v>3.2053690999999995E-2</v>
      </c>
      <c r="N1400" s="33" t="s">
        <v>249</v>
      </c>
    </row>
    <row r="1401" spans="1:14" ht="15">
      <c r="A1401" s="12"/>
      <c r="B1401" s="33" t="s">
        <v>134</v>
      </c>
      <c r="C1401" s="92" t="s">
        <v>374</v>
      </c>
      <c r="D1401" s="33" t="s">
        <v>410</v>
      </c>
      <c r="E1401" s="34">
        <v>44676</v>
      </c>
      <c r="F1401" s="34">
        <v>44677</v>
      </c>
      <c r="G1401" s="34">
        <v>44680</v>
      </c>
      <c r="H1401" s="35">
        <v>0.04</v>
      </c>
      <c r="I1401" s="67">
        <v>5.3499999999999999E-2</v>
      </c>
      <c r="J1401" s="67">
        <v>0</v>
      </c>
      <c r="K1401" s="67">
        <v>5.3499999999999999E-2</v>
      </c>
      <c r="L1401" s="36">
        <f>+K1401-((K1401*0.2436*0.125)+(K1401*(1-0.2436)*0.26))</f>
        <v>4.1349400999999994E-2</v>
      </c>
      <c r="M1401" s="64">
        <f t="shared" si="45"/>
        <v>4.1349400999999994E-2</v>
      </c>
      <c r="N1401" s="33" t="s">
        <v>249</v>
      </c>
    </row>
    <row r="1402" spans="1:14" ht="15">
      <c r="A1402" s="12"/>
      <c r="B1402" s="33" t="s">
        <v>168</v>
      </c>
      <c r="C1402" s="92" t="s">
        <v>376</v>
      </c>
      <c r="D1402" s="33" t="s">
        <v>410</v>
      </c>
      <c r="E1402" s="34">
        <v>44676</v>
      </c>
      <c r="F1402" s="34">
        <v>44677</v>
      </c>
      <c r="G1402" s="34">
        <v>44680</v>
      </c>
      <c r="H1402" s="35">
        <v>0.04</v>
      </c>
      <c r="I1402" s="67">
        <v>4.5499999999999999E-2</v>
      </c>
      <c r="J1402" s="67">
        <v>0</v>
      </c>
      <c r="K1402" s="67">
        <v>4.5499999999999999E-2</v>
      </c>
      <c r="L1402" s="36">
        <f>+K1402-((K1402*0.2436*0.125)+(K1402*(1-0.2436)*0.26))</f>
        <v>3.5166312999999998E-2</v>
      </c>
      <c r="M1402" s="64">
        <f t="shared" si="45"/>
        <v>3.5166312999999998E-2</v>
      </c>
      <c r="N1402" s="33" t="s">
        <v>249</v>
      </c>
    </row>
    <row r="1403" spans="1:14" ht="15">
      <c r="A1403" s="12"/>
      <c r="B1403" s="33" t="s">
        <v>136</v>
      </c>
      <c r="C1403" s="92" t="s">
        <v>388</v>
      </c>
      <c r="D1403" s="33" t="s">
        <v>410</v>
      </c>
      <c r="E1403" s="34">
        <v>44676</v>
      </c>
      <c r="F1403" s="34">
        <v>44677</v>
      </c>
      <c r="G1403" s="34">
        <v>44680</v>
      </c>
      <c r="H1403" s="35">
        <v>0.03</v>
      </c>
      <c r="I1403" s="67">
        <v>3.8100000000000002E-2</v>
      </c>
      <c r="J1403" s="67">
        <v>0</v>
      </c>
      <c r="K1403" s="67">
        <v>3.8100000000000002E-2</v>
      </c>
      <c r="L1403" s="36">
        <f t="shared" ref="L1403:L1408" si="46">+K1403-((K1403*0.0473*0.125)+(K1403*(1-0.0473)*0.26))</f>
        <v>2.8437287550000002E-2</v>
      </c>
      <c r="M1403" s="64">
        <f t="shared" si="45"/>
        <v>2.8437287550000002E-2</v>
      </c>
      <c r="N1403" s="33" t="s">
        <v>249</v>
      </c>
    </row>
    <row r="1404" spans="1:14" ht="15">
      <c r="A1404" s="12"/>
      <c r="B1404" s="33" t="s">
        <v>137</v>
      </c>
      <c r="C1404" s="92" t="s">
        <v>389</v>
      </c>
      <c r="D1404" s="33" t="s">
        <v>410</v>
      </c>
      <c r="E1404" s="34">
        <v>44676</v>
      </c>
      <c r="F1404" s="34">
        <v>44677</v>
      </c>
      <c r="G1404" s="34">
        <v>44680</v>
      </c>
      <c r="H1404" s="35">
        <v>3.7499999999999999E-2</v>
      </c>
      <c r="I1404" s="67">
        <v>5.0200000000000002E-2</v>
      </c>
      <c r="J1404" s="67">
        <v>0</v>
      </c>
      <c r="K1404" s="67">
        <v>5.0200000000000002E-2</v>
      </c>
      <c r="L1404" s="36">
        <f t="shared" si="46"/>
        <v>3.7468552100000004E-2</v>
      </c>
      <c r="M1404" s="64">
        <f t="shared" si="45"/>
        <v>3.7468552100000004E-2</v>
      </c>
      <c r="N1404" s="33" t="s">
        <v>249</v>
      </c>
    </row>
    <row r="1405" spans="1:14" ht="15">
      <c r="A1405" s="12"/>
      <c r="B1405" s="33" t="s">
        <v>135</v>
      </c>
      <c r="C1405" s="92" t="s">
        <v>390</v>
      </c>
      <c r="D1405" s="33" t="s">
        <v>410</v>
      </c>
      <c r="E1405" s="34">
        <v>44676</v>
      </c>
      <c r="F1405" s="34">
        <v>44677</v>
      </c>
      <c r="G1405" s="34">
        <v>44680</v>
      </c>
      <c r="H1405" s="35">
        <v>4.4999999999999998E-2</v>
      </c>
      <c r="I1405" s="67">
        <v>5.8700000000000002E-2</v>
      </c>
      <c r="J1405" s="67">
        <v>0</v>
      </c>
      <c r="K1405" s="67">
        <v>5.8700000000000002E-2</v>
      </c>
      <c r="L1405" s="36">
        <f t="shared" si="46"/>
        <v>4.3812828849999999E-2</v>
      </c>
      <c r="M1405" s="64">
        <f t="shared" si="45"/>
        <v>4.3812828849999999E-2</v>
      </c>
      <c r="N1405" s="33" t="s">
        <v>249</v>
      </c>
    </row>
    <row r="1406" spans="1:14" ht="15">
      <c r="A1406" s="12"/>
      <c r="B1406" s="33" t="s">
        <v>170</v>
      </c>
      <c r="C1406" s="92" t="s">
        <v>391</v>
      </c>
      <c r="D1406" s="33" t="s">
        <v>410</v>
      </c>
      <c r="E1406" s="34">
        <v>44676</v>
      </c>
      <c r="F1406" s="34">
        <v>44677</v>
      </c>
      <c r="G1406" s="34">
        <v>44680</v>
      </c>
      <c r="H1406" s="35">
        <v>0.03</v>
      </c>
      <c r="I1406" s="67">
        <v>3.73E-2</v>
      </c>
      <c r="J1406" s="67">
        <v>0</v>
      </c>
      <c r="K1406" s="67">
        <v>3.73E-2</v>
      </c>
      <c r="L1406" s="36">
        <f t="shared" si="46"/>
        <v>2.7840179149999998E-2</v>
      </c>
      <c r="M1406" s="64">
        <f t="shared" si="45"/>
        <v>2.7840179149999998E-2</v>
      </c>
      <c r="N1406" s="33" t="s">
        <v>249</v>
      </c>
    </row>
    <row r="1407" spans="1:14" ht="15">
      <c r="A1407" s="12"/>
      <c r="B1407" s="33" t="s">
        <v>171</v>
      </c>
      <c r="C1407" s="92" t="s">
        <v>392</v>
      </c>
      <c r="D1407" s="33" t="s">
        <v>410</v>
      </c>
      <c r="E1407" s="34">
        <v>44676</v>
      </c>
      <c r="F1407" s="34">
        <v>44677</v>
      </c>
      <c r="G1407" s="34">
        <v>44680</v>
      </c>
      <c r="H1407" s="35">
        <v>3.7499999999999999E-2</v>
      </c>
      <c r="I1407" s="67">
        <v>4.8599999999999997E-2</v>
      </c>
      <c r="J1407" s="67">
        <v>0</v>
      </c>
      <c r="K1407" s="67">
        <v>4.8599999999999997E-2</v>
      </c>
      <c r="L1407" s="36">
        <f t="shared" si="46"/>
        <v>3.6274335300000002E-2</v>
      </c>
      <c r="M1407" s="64">
        <f t="shared" si="45"/>
        <v>3.6274335300000002E-2</v>
      </c>
      <c r="N1407" s="33" t="s">
        <v>249</v>
      </c>
    </row>
    <row r="1408" spans="1:14" ht="15">
      <c r="A1408" s="12"/>
      <c r="B1408" s="33" t="s">
        <v>172</v>
      </c>
      <c r="C1408" s="92" t="s">
        <v>393</v>
      </c>
      <c r="D1408" s="33" t="s">
        <v>410</v>
      </c>
      <c r="E1408" s="34">
        <v>44676</v>
      </c>
      <c r="F1408" s="34">
        <v>44677</v>
      </c>
      <c r="G1408" s="34">
        <v>44680</v>
      </c>
      <c r="H1408" s="35">
        <v>4.4999999999999998E-2</v>
      </c>
      <c r="I1408" s="67">
        <v>5.7200000000000001E-2</v>
      </c>
      <c r="J1408" s="67">
        <v>0</v>
      </c>
      <c r="K1408" s="67">
        <v>5.7200000000000001E-2</v>
      </c>
      <c r="L1408" s="36">
        <f t="shared" si="46"/>
        <v>4.2693250600000003E-2</v>
      </c>
      <c r="M1408" s="64">
        <f t="shared" si="45"/>
        <v>4.2693250600000003E-2</v>
      </c>
      <c r="N1408" s="33" t="s">
        <v>249</v>
      </c>
    </row>
    <row r="1409" spans="1:14" ht="15">
      <c r="A1409" s="12"/>
      <c r="B1409" s="33" t="s">
        <v>169</v>
      </c>
      <c r="C1409" s="92" t="s">
        <v>400</v>
      </c>
      <c r="D1409" s="33" t="s">
        <v>410</v>
      </c>
      <c r="E1409" s="34">
        <v>44676</v>
      </c>
      <c r="F1409" s="34">
        <v>44677</v>
      </c>
      <c r="G1409" s="34">
        <v>44680</v>
      </c>
      <c r="H1409" s="35">
        <v>5.5E-2</v>
      </c>
      <c r="I1409" s="67">
        <v>6.25E-2</v>
      </c>
      <c r="J1409" s="67">
        <v>0</v>
      </c>
      <c r="K1409" s="67">
        <v>6.25E-2</v>
      </c>
      <c r="L1409" s="36">
        <f>+K1409-((K1409*0.1248*0.125)+(K1409*(1-0.1248)*0.26))</f>
        <v>4.7302999999999998E-2</v>
      </c>
      <c r="M1409" s="64">
        <f t="shared" si="45"/>
        <v>4.7302999999999998E-2</v>
      </c>
      <c r="N1409" s="33" t="s">
        <v>249</v>
      </c>
    </row>
    <row r="1410" spans="1:14" ht="15">
      <c r="A1410" s="12"/>
      <c r="B1410" s="33" t="s">
        <v>310</v>
      </c>
      <c r="C1410" s="92" t="s">
        <v>424</v>
      </c>
      <c r="D1410" s="33" t="s">
        <v>411</v>
      </c>
      <c r="E1410" s="34">
        <v>44680</v>
      </c>
      <c r="F1410" s="34">
        <v>44683</v>
      </c>
      <c r="G1410" s="34">
        <v>44686</v>
      </c>
      <c r="H1410" s="35">
        <v>4.4999999999999998E-2</v>
      </c>
      <c r="I1410" s="67">
        <v>1.6799999999999999E-2</v>
      </c>
      <c r="J1410" s="67">
        <v>0</v>
      </c>
      <c r="K1410" s="67">
        <v>1.6799999999999999E-2</v>
      </c>
      <c r="L1410" s="36">
        <f>+K1410-((K1410*0.0312*0.125)+(K1410*(1-0.0312)*0.26))</f>
        <v>1.2502761599999999E-2</v>
      </c>
      <c r="M1410" s="64">
        <f t="shared" si="45"/>
        <v>1.2502761599999999E-2</v>
      </c>
      <c r="N1410" s="33" t="s">
        <v>251</v>
      </c>
    </row>
    <row r="1411" spans="1:14" ht="15">
      <c r="A1411" s="12"/>
      <c r="B1411" s="33" t="s">
        <v>188</v>
      </c>
      <c r="C1411" s="92" t="s">
        <v>339</v>
      </c>
      <c r="D1411" s="33" t="s">
        <v>411</v>
      </c>
      <c r="E1411" s="34">
        <v>44680</v>
      </c>
      <c r="F1411" s="34">
        <v>44683</v>
      </c>
      <c r="G1411" s="34">
        <v>44686</v>
      </c>
      <c r="H1411" s="35">
        <v>4.4999999999999998E-2</v>
      </c>
      <c r="I1411" s="67">
        <v>0.29260000000000003</v>
      </c>
      <c r="J1411" s="67">
        <v>0</v>
      </c>
      <c r="K1411" s="67">
        <v>0.29260000000000003</v>
      </c>
      <c r="L1411" s="36">
        <f>+K1411-((K1411*0.0312*0.125)+(K1411*(1-0.0312)*0.26))</f>
        <v>0.21775643120000002</v>
      </c>
      <c r="M1411" s="64">
        <f t="shared" si="45"/>
        <v>0.21775643120000002</v>
      </c>
      <c r="N1411" s="33" t="s">
        <v>251</v>
      </c>
    </row>
    <row r="1412" spans="1:14" ht="15">
      <c r="A1412" s="12"/>
      <c r="B1412" s="33" t="s">
        <v>196</v>
      </c>
      <c r="C1412" s="92" t="s">
        <v>340</v>
      </c>
      <c r="D1412" s="33" t="s">
        <v>411</v>
      </c>
      <c r="E1412" s="34">
        <v>44680</v>
      </c>
      <c r="F1412" s="34">
        <v>44683</v>
      </c>
      <c r="G1412" s="34">
        <v>44686</v>
      </c>
      <c r="H1412" s="35">
        <v>4.4999999999999998E-2</v>
      </c>
      <c r="I1412" s="67">
        <v>0.3054</v>
      </c>
      <c r="J1412" s="67">
        <v>0</v>
      </c>
      <c r="K1412" s="67">
        <v>0.3054</v>
      </c>
      <c r="L1412" s="36">
        <f>+K1412-((K1412*0.0312*0.125)+(K1412*(1-0.0312)*0.26))</f>
        <v>0.22728234480000001</v>
      </c>
      <c r="M1412" s="64">
        <f t="shared" si="45"/>
        <v>0.22728234480000001</v>
      </c>
      <c r="N1412" s="33" t="s">
        <v>251</v>
      </c>
    </row>
    <row r="1413" spans="1:14" ht="15">
      <c r="A1413" s="12"/>
      <c r="B1413" s="33" t="s">
        <v>191</v>
      </c>
      <c r="C1413" s="92" t="s">
        <v>346</v>
      </c>
      <c r="D1413" s="33" t="s">
        <v>411</v>
      </c>
      <c r="E1413" s="34">
        <v>44680</v>
      </c>
      <c r="F1413" s="34">
        <v>44683</v>
      </c>
      <c r="G1413" s="34">
        <v>44686</v>
      </c>
      <c r="H1413" s="35">
        <v>0.02</v>
      </c>
      <c r="I1413" s="67">
        <v>6.8999999999999999E-3</v>
      </c>
      <c r="J1413" s="67">
        <v>0</v>
      </c>
      <c r="K1413" s="67">
        <v>6.8999999999999999E-3</v>
      </c>
      <c r="L1413" s="36">
        <f>+K1413-((K1413*0.8038*0.125)+(K1413*(1-0.8038)*0.26))</f>
        <v>5.8547397000000001E-3</v>
      </c>
      <c r="M1413" s="64">
        <f t="shared" si="45"/>
        <v>5.8547397000000001E-3</v>
      </c>
      <c r="N1413" s="33" t="s">
        <v>251</v>
      </c>
    </row>
    <row r="1414" spans="1:14" ht="15">
      <c r="A1414" s="12"/>
      <c r="B1414" s="33" t="s">
        <v>199</v>
      </c>
      <c r="C1414" s="92" t="s">
        <v>347</v>
      </c>
      <c r="D1414" s="33" t="s">
        <v>411</v>
      </c>
      <c r="E1414" s="34">
        <v>44680</v>
      </c>
      <c r="F1414" s="34">
        <v>44683</v>
      </c>
      <c r="G1414" s="34">
        <v>44686</v>
      </c>
      <c r="H1414" s="35">
        <v>0.02</v>
      </c>
      <c r="I1414" s="67">
        <v>6.8999999999999999E-3</v>
      </c>
      <c r="J1414" s="67">
        <v>0</v>
      </c>
      <c r="K1414" s="67">
        <v>6.8999999999999999E-3</v>
      </c>
      <c r="L1414" s="36">
        <f>+K1414-((K1414*0.8038*0.125)+(K1414*(1-0.8038)*0.26))</f>
        <v>5.8547397000000001E-3</v>
      </c>
      <c r="M1414" s="64">
        <f t="shared" si="45"/>
        <v>5.8547397000000001E-3</v>
      </c>
      <c r="N1414" s="33" t="s">
        <v>251</v>
      </c>
    </row>
    <row r="1415" spans="1:14" ht="15">
      <c r="A1415" s="12"/>
      <c r="B1415" s="33" t="s">
        <v>306</v>
      </c>
      <c r="C1415" s="92" t="s">
        <v>430</v>
      </c>
      <c r="D1415" s="33" t="s">
        <v>411</v>
      </c>
      <c r="E1415" s="34">
        <v>44680</v>
      </c>
      <c r="F1415" s="34">
        <v>44683</v>
      </c>
      <c r="G1415" s="34">
        <v>44686</v>
      </c>
      <c r="H1415" s="35">
        <v>2.5000000000000001E-2</v>
      </c>
      <c r="I1415" s="67">
        <v>1.0200000000000001E-2</v>
      </c>
      <c r="J1415" s="67">
        <v>0</v>
      </c>
      <c r="K1415" s="67">
        <v>1.0200000000000001E-2</v>
      </c>
      <c r="L1415" s="36">
        <f>+K1415-((K1415*0.00001*0.125)+(K1415*(1-0.00001)*0.26))</f>
        <v>7.5480137700000005E-3</v>
      </c>
      <c r="M1415" s="64">
        <f t="shared" si="45"/>
        <v>7.5480137700000005E-3</v>
      </c>
      <c r="N1415" s="33" t="s">
        <v>251</v>
      </c>
    </row>
    <row r="1416" spans="1:14" ht="15">
      <c r="A1416" s="12"/>
      <c r="B1416" s="33" t="s">
        <v>184</v>
      </c>
      <c r="C1416" s="92" t="s">
        <v>354</v>
      </c>
      <c r="D1416" s="33" t="s">
        <v>411</v>
      </c>
      <c r="E1416" s="34">
        <v>44680</v>
      </c>
      <c r="F1416" s="34">
        <v>44683</v>
      </c>
      <c r="G1416" s="34">
        <v>44686</v>
      </c>
      <c r="H1416" s="35">
        <v>2.5000000000000001E-2</v>
      </c>
      <c r="I1416" s="67">
        <v>0.20449999999999999</v>
      </c>
      <c r="J1416" s="67">
        <v>0</v>
      </c>
      <c r="K1416" s="67">
        <v>0.20449999999999999</v>
      </c>
      <c r="L1416" s="36">
        <f>+K1416-((K1416*0.00001*0.125)+(K1416*(1-0.00001)*0.26))</f>
        <v>0.15133027607499999</v>
      </c>
      <c r="M1416" s="64">
        <f t="shared" si="45"/>
        <v>0.15133027607499999</v>
      </c>
      <c r="N1416" s="33" t="s">
        <v>251</v>
      </c>
    </row>
    <row r="1417" spans="1:14" ht="15">
      <c r="A1417" s="12"/>
      <c r="B1417" s="33" t="s">
        <v>192</v>
      </c>
      <c r="C1417" s="92" t="s">
        <v>355</v>
      </c>
      <c r="D1417" s="33" t="s">
        <v>411</v>
      </c>
      <c r="E1417" s="34">
        <v>44680</v>
      </c>
      <c r="F1417" s="34">
        <v>44683</v>
      </c>
      <c r="G1417" s="34">
        <v>44686</v>
      </c>
      <c r="H1417" s="35">
        <v>2.5000000000000001E-2</v>
      </c>
      <c r="I1417" s="67">
        <v>0.20749999999999999</v>
      </c>
      <c r="J1417" s="67">
        <v>0</v>
      </c>
      <c r="K1417" s="67">
        <v>0.20749999999999999</v>
      </c>
      <c r="L1417" s="36">
        <f>+K1417-((K1417*0.00001*0.125)+(K1417*(1-0.00001)*0.26))</f>
        <v>0.15355028012499999</v>
      </c>
      <c r="M1417" s="64">
        <f t="shared" si="45"/>
        <v>0.15355028012499999</v>
      </c>
      <c r="N1417" s="33" t="s">
        <v>251</v>
      </c>
    </row>
    <row r="1418" spans="1:14" ht="15">
      <c r="A1418" s="12"/>
      <c r="B1418" s="33" t="s">
        <v>311</v>
      </c>
      <c r="C1418" s="92" t="s">
        <v>425</v>
      </c>
      <c r="D1418" s="33" t="s">
        <v>411</v>
      </c>
      <c r="E1418" s="34">
        <v>44680</v>
      </c>
      <c r="F1418" s="34">
        <v>44683</v>
      </c>
      <c r="G1418" s="34">
        <v>44686</v>
      </c>
      <c r="H1418" s="35">
        <v>1.4999999999999999E-2</v>
      </c>
      <c r="I1418" s="67">
        <v>6.1000000000000004E-3</v>
      </c>
      <c r="J1418" s="67">
        <v>0</v>
      </c>
      <c r="K1418" s="67">
        <v>6.1000000000000004E-3</v>
      </c>
      <c r="L1418" s="36">
        <f>+K1418-((K1418*0.0000001*0.125)+(K1418*(1-0.0000001)*0.26))</f>
        <v>4.5140000823499999E-3</v>
      </c>
      <c r="M1418" s="64">
        <f t="shared" si="45"/>
        <v>4.5140000823499999E-3</v>
      </c>
      <c r="N1418" s="33" t="s">
        <v>251</v>
      </c>
    </row>
    <row r="1419" spans="1:14" ht="15">
      <c r="A1419" s="12"/>
      <c r="B1419" s="33" t="s">
        <v>189</v>
      </c>
      <c r="C1419" s="92" t="s">
        <v>356</v>
      </c>
      <c r="D1419" s="33" t="s">
        <v>411</v>
      </c>
      <c r="E1419" s="34">
        <v>44680</v>
      </c>
      <c r="F1419" s="34">
        <v>44683</v>
      </c>
      <c r="G1419" s="34">
        <v>44686</v>
      </c>
      <c r="H1419" s="35">
        <v>1.4999999999999999E-2</v>
      </c>
      <c r="I1419" s="67">
        <v>0.1114</v>
      </c>
      <c r="J1419" s="67">
        <v>0</v>
      </c>
      <c r="K1419" s="67">
        <v>0.1114</v>
      </c>
      <c r="L1419" s="36">
        <f>+K1419-((K1419*0.0000001*0.125)+(K1419*(1-0.0000001)*0.26))</f>
        <v>8.24360015039E-2</v>
      </c>
      <c r="M1419" s="64">
        <f t="shared" si="45"/>
        <v>8.24360015039E-2</v>
      </c>
      <c r="N1419" s="33" t="s">
        <v>251</v>
      </c>
    </row>
    <row r="1420" spans="1:14" ht="15">
      <c r="A1420" s="12"/>
      <c r="B1420" s="33" t="s">
        <v>197</v>
      </c>
      <c r="C1420" s="92" t="s">
        <v>357</v>
      </c>
      <c r="D1420" s="33" t="s">
        <v>411</v>
      </c>
      <c r="E1420" s="34">
        <v>44680</v>
      </c>
      <c r="F1420" s="34">
        <v>44683</v>
      </c>
      <c r="G1420" s="34">
        <v>44686</v>
      </c>
      <c r="H1420" s="35">
        <v>1.4999999999999999E-2</v>
      </c>
      <c r="I1420" s="67">
        <v>0.114</v>
      </c>
      <c r="J1420" s="67">
        <v>0</v>
      </c>
      <c r="K1420" s="67">
        <v>0.114</v>
      </c>
      <c r="L1420" s="36">
        <f>+K1420-((K1420*0.0000001*0.125)+(K1420*(1-0.0000001)*0.26))</f>
        <v>8.4360001539000001E-2</v>
      </c>
      <c r="M1420" s="64">
        <f t="shared" si="45"/>
        <v>8.4360001539000001E-2</v>
      </c>
      <c r="N1420" s="33" t="s">
        <v>251</v>
      </c>
    </row>
    <row r="1421" spans="1:14" ht="15">
      <c r="A1421" s="12"/>
      <c r="B1421" s="33" t="s">
        <v>308</v>
      </c>
      <c r="C1421" s="92" t="s">
        <v>426</v>
      </c>
      <c r="D1421" s="33" t="s">
        <v>411</v>
      </c>
      <c r="E1421" s="34">
        <v>44680</v>
      </c>
      <c r="F1421" s="34">
        <v>44683</v>
      </c>
      <c r="G1421" s="34">
        <v>44686</v>
      </c>
      <c r="H1421" s="35">
        <v>1.4999999999999999E-2</v>
      </c>
      <c r="I1421" s="67">
        <v>5.8999999999999999E-3</v>
      </c>
      <c r="J1421" s="67">
        <v>0</v>
      </c>
      <c r="K1421" s="67">
        <v>5.8999999999999999E-3</v>
      </c>
      <c r="L1421" s="36">
        <f>+K1421-((K1421*0.4288*0.125)+(K1421*(1-0.4288)*0.26))</f>
        <v>4.7075391999999994E-3</v>
      </c>
      <c r="M1421" s="64">
        <f t="shared" si="45"/>
        <v>4.7075391999999994E-3</v>
      </c>
      <c r="N1421" s="33" t="s">
        <v>251</v>
      </c>
    </row>
    <row r="1422" spans="1:14" ht="15">
      <c r="A1422" s="12"/>
      <c r="B1422" s="33" t="s">
        <v>186</v>
      </c>
      <c r="C1422" s="92" t="s">
        <v>363</v>
      </c>
      <c r="D1422" s="33" t="s">
        <v>411</v>
      </c>
      <c r="E1422" s="34">
        <v>44680</v>
      </c>
      <c r="F1422" s="34">
        <v>44683</v>
      </c>
      <c r="G1422" s="34">
        <v>44686</v>
      </c>
      <c r="H1422" s="35">
        <v>1.4999999999999999E-2</v>
      </c>
      <c r="I1422" s="67">
        <v>0.108</v>
      </c>
      <c r="J1422" s="67">
        <v>0</v>
      </c>
      <c r="K1422" s="67">
        <v>0.108</v>
      </c>
      <c r="L1422" s="36">
        <f>+K1422-((K1422*0.4288*0.125)+(K1422*(1-0.4288)*0.26))</f>
        <v>8.6171903999999994E-2</v>
      </c>
      <c r="M1422" s="64">
        <f t="shared" si="45"/>
        <v>8.6171903999999994E-2</v>
      </c>
      <c r="N1422" s="33" t="s">
        <v>251</v>
      </c>
    </row>
    <row r="1423" spans="1:14" ht="15">
      <c r="A1423" s="12"/>
      <c r="B1423" s="33" t="s">
        <v>194</v>
      </c>
      <c r="C1423" s="92" t="s">
        <v>364</v>
      </c>
      <c r="D1423" s="33" t="s">
        <v>411</v>
      </c>
      <c r="E1423" s="34">
        <v>44680</v>
      </c>
      <c r="F1423" s="34">
        <v>44683</v>
      </c>
      <c r="G1423" s="34">
        <v>44686</v>
      </c>
      <c r="H1423" s="35">
        <v>1.4999999999999999E-2</v>
      </c>
      <c r="I1423" s="67">
        <v>0.11169999999999999</v>
      </c>
      <c r="J1423" s="67">
        <v>0</v>
      </c>
      <c r="K1423" s="67">
        <v>0.11169999999999999</v>
      </c>
      <c r="L1423" s="36">
        <f>+K1423-((K1423*0.4288*0.125)+(K1423*(1-0.4288)*0.26))</f>
        <v>8.9124089599999998E-2</v>
      </c>
      <c r="M1423" s="64">
        <f t="shared" si="45"/>
        <v>8.9124089599999998E-2</v>
      </c>
      <c r="N1423" s="33" t="s">
        <v>251</v>
      </c>
    </row>
    <row r="1424" spans="1:14" ht="15">
      <c r="A1424" s="12"/>
      <c r="B1424" s="33" t="s">
        <v>307</v>
      </c>
      <c r="C1424" s="92" t="s">
        <v>420</v>
      </c>
      <c r="D1424" s="33" t="s">
        <v>411</v>
      </c>
      <c r="E1424" s="34">
        <v>44680</v>
      </c>
      <c r="F1424" s="34">
        <v>44683</v>
      </c>
      <c r="G1424" s="34">
        <v>44686</v>
      </c>
      <c r="H1424" s="35">
        <v>1.4999999999999999E-2</v>
      </c>
      <c r="I1424" s="67">
        <v>5.7000000000000002E-3</v>
      </c>
      <c r="J1424" s="67">
        <v>0</v>
      </c>
      <c r="K1424" s="67">
        <v>5.7000000000000002E-3</v>
      </c>
      <c r="L1424" s="36">
        <f>+K1424-((K1424*0.5668*0.125)+(K1424*(1-0.5668)*0.26))</f>
        <v>4.6541526000000001E-3</v>
      </c>
      <c r="M1424" s="64">
        <f t="shared" si="45"/>
        <v>4.6541526000000001E-3</v>
      </c>
      <c r="N1424" s="33" t="s">
        <v>251</v>
      </c>
    </row>
    <row r="1425" spans="1:14" ht="15">
      <c r="A1425" s="12"/>
      <c r="B1425" s="33" t="s">
        <v>185</v>
      </c>
      <c r="C1425" s="92" t="s">
        <v>366</v>
      </c>
      <c r="D1425" s="33" t="s">
        <v>411</v>
      </c>
      <c r="E1425" s="34">
        <v>44680</v>
      </c>
      <c r="F1425" s="34">
        <v>44683</v>
      </c>
      <c r="G1425" s="34">
        <v>44686</v>
      </c>
      <c r="H1425" s="35">
        <v>1.4999999999999999E-2</v>
      </c>
      <c r="I1425" s="67">
        <v>9.5200000000000007E-2</v>
      </c>
      <c r="J1425" s="67">
        <v>0</v>
      </c>
      <c r="K1425" s="67">
        <v>9.5200000000000007E-2</v>
      </c>
      <c r="L1425" s="36">
        <f>+K1425-((K1425*0.5668*0.125)+(K1425*(1-0.5668)*0.26))</f>
        <v>7.7732513599999997E-2</v>
      </c>
      <c r="M1425" s="64">
        <f t="shared" si="45"/>
        <v>7.7732513599999997E-2</v>
      </c>
      <c r="N1425" s="33" t="s">
        <v>251</v>
      </c>
    </row>
    <row r="1426" spans="1:14" ht="15">
      <c r="A1426" s="12"/>
      <c r="B1426" s="33" t="s">
        <v>193</v>
      </c>
      <c r="C1426" s="92" t="s">
        <v>367</v>
      </c>
      <c r="D1426" s="33" t="s">
        <v>411</v>
      </c>
      <c r="E1426" s="34">
        <v>44680</v>
      </c>
      <c r="F1426" s="34">
        <v>44683</v>
      </c>
      <c r="G1426" s="34">
        <v>44686</v>
      </c>
      <c r="H1426" s="35">
        <v>1.4999999999999999E-2</v>
      </c>
      <c r="I1426" s="67">
        <v>9.3399999999999997E-2</v>
      </c>
      <c r="J1426" s="67">
        <v>0</v>
      </c>
      <c r="K1426" s="67">
        <v>9.3399999999999997E-2</v>
      </c>
      <c r="L1426" s="36">
        <f>+K1426-((K1426*0.5668*0.125)+(K1426*(1-0.5668)*0.26))</f>
        <v>7.6262781199999991E-2</v>
      </c>
      <c r="M1426" s="64">
        <f t="shared" si="45"/>
        <v>7.6262781199999991E-2</v>
      </c>
      <c r="N1426" s="33" t="s">
        <v>251</v>
      </c>
    </row>
    <row r="1427" spans="1:14" ht="15">
      <c r="A1427" s="12"/>
      <c r="B1427" s="33" t="s">
        <v>309</v>
      </c>
      <c r="C1427" s="92" t="s">
        <v>427</v>
      </c>
      <c r="D1427" s="33" t="s">
        <v>411</v>
      </c>
      <c r="E1427" s="34">
        <v>44680</v>
      </c>
      <c r="F1427" s="34">
        <v>44683</v>
      </c>
      <c r="G1427" s="34">
        <v>44686</v>
      </c>
      <c r="H1427" s="35">
        <v>0.02</v>
      </c>
      <c r="I1427" s="67">
        <v>8.2000000000000007E-3</v>
      </c>
      <c r="J1427" s="67">
        <v>0</v>
      </c>
      <c r="K1427" s="67">
        <v>8.2000000000000007E-3</v>
      </c>
      <c r="L1427" s="36">
        <f>+K1427-((K1427*0.0344*0.125)+(K1427*(1-0.0344)*0.26))</f>
        <v>6.1060808000000001E-3</v>
      </c>
      <c r="M1427" s="64">
        <f t="shared" si="45"/>
        <v>6.1060808000000001E-3</v>
      </c>
      <c r="N1427" s="33" t="s">
        <v>251</v>
      </c>
    </row>
    <row r="1428" spans="1:14" ht="15">
      <c r="A1428" s="12"/>
      <c r="B1428" s="33" t="s">
        <v>187</v>
      </c>
      <c r="C1428" s="92" t="s">
        <v>368</v>
      </c>
      <c r="D1428" s="33" t="s">
        <v>411</v>
      </c>
      <c r="E1428" s="34">
        <v>44680</v>
      </c>
      <c r="F1428" s="34">
        <v>44683</v>
      </c>
      <c r="G1428" s="34">
        <v>44686</v>
      </c>
      <c r="H1428" s="35">
        <v>0.02</v>
      </c>
      <c r="I1428" s="67">
        <v>0.14419999999999999</v>
      </c>
      <c r="J1428" s="67">
        <v>0</v>
      </c>
      <c r="K1428" s="67">
        <v>0.14419999999999999</v>
      </c>
      <c r="L1428" s="36">
        <f>+K1428-((K1428*0.0344*0.125)+(K1428*(1-0.0344)*0.26))</f>
        <v>0.10737766479999999</v>
      </c>
      <c r="M1428" s="64">
        <f t="shared" si="45"/>
        <v>0.10737766479999999</v>
      </c>
      <c r="N1428" s="33" t="s">
        <v>251</v>
      </c>
    </row>
    <row r="1429" spans="1:14" ht="15">
      <c r="A1429" s="12"/>
      <c r="B1429" s="33" t="s">
        <v>195</v>
      </c>
      <c r="C1429" s="92" t="s">
        <v>369</v>
      </c>
      <c r="D1429" s="33" t="s">
        <v>411</v>
      </c>
      <c r="E1429" s="34">
        <v>44680</v>
      </c>
      <c r="F1429" s="34">
        <v>44683</v>
      </c>
      <c r="G1429" s="34">
        <v>44686</v>
      </c>
      <c r="H1429" s="35">
        <v>0.02</v>
      </c>
      <c r="I1429" s="67">
        <v>0.14960000000000001</v>
      </c>
      <c r="J1429" s="67">
        <v>0</v>
      </c>
      <c r="K1429" s="67">
        <v>0.14960000000000001</v>
      </c>
      <c r="L1429" s="36">
        <f>+K1429-((K1429*0.0344*0.125)+(K1429*(1-0.0344)*0.26))</f>
        <v>0.1113987424</v>
      </c>
      <c r="M1429" s="64">
        <f t="shared" si="45"/>
        <v>0.1113987424</v>
      </c>
      <c r="N1429" s="33" t="s">
        <v>251</v>
      </c>
    </row>
    <row r="1430" spans="1:14" ht="15">
      <c r="A1430" s="12"/>
      <c r="B1430" s="33" t="s">
        <v>312</v>
      </c>
      <c r="C1430" s="92" t="s">
        <v>428</v>
      </c>
      <c r="D1430" s="33" t="s">
        <v>411</v>
      </c>
      <c r="E1430" s="34">
        <v>44680</v>
      </c>
      <c r="F1430" s="34">
        <v>44683</v>
      </c>
      <c r="G1430" s="34">
        <v>44686</v>
      </c>
      <c r="H1430" s="35">
        <v>3.2500000000000001E-2</v>
      </c>
      <c r="I1430" s="67">
        <v>1.2500000000000001E-2</v>
      </c>
      <c r="J1430" s="67">
        <v>0</v>
      </c>
      <c r="K1430" s="67">
        <v>1.2500000000000001E-2</v>
      </c>
      <c r="L1430" s="36">
        <f>+K1430-((K1430*0.0095*0.125)+(K1430*(1-0.0095)*0.26))</f>
        <v>9.2660312500000008E-3</v>
      </c>
      <c r="M1430" s="64">
        <f t="shared" si="45"/>
        <v>9.2660312500000008E-3</v>
      </c>
      <c r="N1430" s="33" t="s">
        <v>251</v>
      </c>
    </row>
    <row r="1431" spans="1:14" ht="15">
      <c r="A1431" s="12"/>
      <c r="B1431" s="33" t="s">
        <v>190</v>
      </c>
      <c r="C1431" s="92" t="s">
        <v>370</v>
      </c>
      <c r="D1431" s="33" t="s">
        <v>411</v>
      </c>
      <c r="E1431" s="34">
        <v>44680</v>
      </c>
      <c r="F1431" s="34">
        <v>44683</v>
      </c>
      <c r="G1431" s="34">
        <v>44686</v>
      </c>
      <c r="H1431" s="35">
        <v>3.2500000000000001E-2</v>
      </c>
      <c r="I1431" s="67">
        <v>0.2374</v>
      </c>
      <c r="J1431" s="67">
        <v>0</v>
      </c>
      <c r="K1431" s="67">
        <v>0.2374</v>
      </c>
      <c r="L1431" s="36">
        <f>+K1431-((K1431*0.0095*0.125)+(K1431*(1-0.0095)*0.26))</f>
        <v>0.17598046549999999</v>
      </c>
      <c r="M1431" s="64">
        <f t="shared" si="45"/>
        <v>0.17598046549999999</v>
      </c>
      <c r="N1431" s="33" t="s">
        <v>251</v>
      </c>
    </row>
    <row r="1432" spans="1:14" ht="15">
      <c r="A1432" s="12"/>
      <c r="B1432" s="33" t="s">
        <v>198</v>
      </c>
      <c r="C1432" s="92" t="s">
        <v>371</v>
      </c>
      <c r="D1432" s="33" t="s">
        <v>411</v>
      </c>
      <c r="E1432" s="34">
        <v>44680</v>
      </c>
      <c r="F1432" s="34">
        <v>44683</v>
      </c>
      <c r="G1432" s="34">
        <v>44686</v>
      </c>
      <c r="H1432" s="35">
        <v>3.2500000000000001E-2</v>
      </c>
      <c r="I1432" s="67">
        <v>0.23849999999999999</v>
      </c>
      <c r="J1432" s="67">
        <v>0</v>
      </c>
      <c r="K1432" s="67">
        <v>0.23849999999999999</v>
      </c>
      <c r="L1432" s="36">
        <f>+K1432-((K1432*0.0095*0.125)+(K1432*(1-0.0095)*0.26))</f>
        <v>0.17679587624999998</v>
      </c>
      <c r="M1432" s="64">
        <f t="shared" si="45"/>
        <v>0.17679587624999998</v>
      </c>
      <c r="N1432" s="33" t="s">
        <v>251</v>
      </c>
    </row>
    <row r="1433" spans="1:14" ht="15">
      <c r="A1433" s="12"/>
      <c r="B1433" s="33" t="s">
        <v>513</v>
      </c>
      <c r="C1433" s="92" t="s">
        <v>515</v>
      </c>
      <c r="D1433" s="33" t="s">
        <v>411</v>
      </c>
      <c r="E1433" s="34">
        <v>44680</v>
      </c>
      <c r="F1433" s="34">
        <v>44683</v>
      </c>
      <c r="G1433" s="34">
        <v>44686</v>
      </c>
      <c r="H1433" s="35">
        <v>0</v>
      </c>
      <c r="I1433" s="67">
        <v>0</v>
      </c>
      <c r="J1433" s="67">
        <v>0</v>
      </c>
      <c r="K1433" s="67">
        <v>0</v>
      </c>
      <c r="L1433" s="36">
        <f>+K1433-((K1433*0.299*0.125)+(K1433*(1-0.299)*0.26))</f>
        <v>0</v>
      </c>
      <c r="M1433" s="64">
        <f t="shared" si="45"/>
        <v>0</v>
      </c>
      <c r="N1433" s="33" t="s">
        <v>251</v>
      </c>
    </row>
    <row r="1434" spans="1:14" ht="15">
      <c r="A1434" s="12"/>
      <c r="B1434" s="33" t="s">
        <v>514</v>
      </c>
      <c r="C1434" s="92" t="s">
        <v>516</v>
      </c>
      <c r="D1434" s="33" t="s">
        <v>411</v>
      </c>
      <c r="E1434" s="34">
        <v>44680</v>
      </c>
      <c r="F1434" s="34">
        <v>44683</v>
      </c>
      <c r="G1434" s="34">
        <v>44686</v>
      </c>
      <c r="H1434" s="35">
        <v>0</v>
      </c>
      <c r="I1434" s="67">
        <v>0</v>
      </c>
      <c r="J1434" s="67">
        <v>0</v>
      </c>
      <c r="K1434" s="67">
        <v>0</v>
      </c>
      <c r="L1434" s="36">
        <f>+K1434-((K1434*0.299*0.125)+(K1434*(1-0.299)*0.26))</f>
        <v>0</v>
      </c>
      <c r="M1434" s="64">
        <f t="shared" si="45"/>
        <v>0</v>
      </c>
      <c r="N1434" s="33" t="s">
        <v>251</v>
      </c>
    </row>
    <row r="1435" spans="1:14" ht="15">
      <c r="A1435" s="12"/>
      <c r="B1435" s="33" t="s">
        <v>313</v>
      </c>
      <c r="C1435" s="92" t="s">
        <v>429</v>
      </c>
      <c r="D1435" s="33" t="s">
        <v>411</v>
      </c>
      <c r="E1435" s="34">
        <v>44680</v>
      </c>
      <c r="F1435" s="34">
        <v>44683</v>
      </c>
      <c r="G1435" s="34">
        <v>44686</v>
      </c>
      <c r="H1435" s="35">
        <v>1.2E-2</v>
      </c>
      <c r="I1435" s="67">
        <v>5.0000000000000001E-3</v>
      </c>
      <c r="J1435" s="67">
        <v>0</v>
      </c>
      <c r="K1435" s="67">
        <v>5.0000000000000001E-3</v>
      </c>
      <c r="L1435" s="36">
        <f>+K1435-((K1435*0.1445*0.125)+(K1435*(1-0.1445)*0.26))</f>
        <v>3.7975374999999999E-3</v>
      </c>
      <c r="M1435" s="64">
        <f t="shared" si="45"/>
        <v>3.7975374999999999E-3</v>
      </c>
      <c r="N1435" s="33" t="s">
        <v>251</v>
      </c>
    </row>
    <row r="1436" spans="1:14" ht="15">
      <c r="A1436" s="12"/>
      <c r="B1436" s="33" t="s">
        <v>310</v>
      </c>
      <c r="C1436" s="92" t="s">
        <v>424</v>
      </c>
      <c r="D1436" s="33" t="s">
        <v>411</v>
      </c>
      <c r="E1436" s="34">
        <v>44712</v>
      </c>
      <c r="F1436" s="34">
        <v>44713</v>
      </c>
      <c r="G1436" s="34">
        <v>44719</v>
      </c>
      <c r="H1436" s="35">
        <v>4.4999999999999998E-2</v>
      </c>
      <c r="I1436" s="67">
        <v>1.6799999999999999E-2</v>
      </c>
      <c r="J1436" s="67">
        <v>0</v>
      </c>
      <c r="K1436" s="67">
        <v>1.6799999999999999E-2</v>
      </c>
      <c r="L1436" s="36">
        <f>+K1436-((K1436*0.0312*0.125)+(K1436*(1-0.0312)*0.26))</f>
        <v>1.2502761599999999E-2</v>
      </c>
      <c r="M1436" s="64">
        <f t="shared" si="45"/>
        <v>1.2502761599999999E-2</v>
      </c>
      <c r="N1436" s="33" t="s">
        <v>251</v>
      </c>
    </row>
    <row r="1437" spans="1:14" ht="15">
      <c r="A1437" s="12"/>
      <c r="B1437" s="33" t="s">
        <v>188</v>
      </c>
      <c r="C1437" s="92" t="s">
        <v>339</v>
      </c>
      <c r="D1437" s="33" t="s">
        <v>411</v>
      </c>
      <c r="E1437" s="34">
        <v>44712</v>
      </c>
      <c r="F1437" s="34">
        <v>44713</v>
      </c>
      <c r="G1437" s="34">
        <v>44719</v>
      </c>
      <c r="H1437" s="35">
        <v>4.4999999999999998E-2</v>
      </c>
      <c r="I1437" s="67">
        <v>0.29260000000000003</v>
      </c>
      <c r="J1437" s="67">
        <v>0</v>
      </c>
      <c r="K1437" s="67">
        <v>0.29260000000000003</v>
      </c>
      <c r="L1437" s="36">
        <f>+K1437-((K1437*0.0312*0.125)+(K1437*(1-0.0312)*0.26))</f>
        <v>0.21775643120000002</v>
      </c>
      <c r="M1437" s="64">
        <f t="shared" si="45"/>
        <v>0.21775643120000002</v>
      </c>
      <c r="N1437" s="33" t="s">
        <v>251</v>
      </c>
    </row>
    <row r="1438" spans="1:14" ht="15">
      <c r="A1438" s="12"/>
      <c r="B1438" s="33" t="s">
        <v>196</v>
      </c>
      <c r="C1438" s="92" t="s">
        <v>340</v>
      </c>
      <c r="D1438" s="33" t="s">
        <v>411</v>
      </c>
      <c r="E1438" s="34">
        <v>44712</v>
      </c>
      <c r="F1438" s="34">
        <v>44713</v>
      </c>
      <c r="G1438" s="34">
        <v>44719</v>
      </c>
      <c r="H1438" s="35">
        <v>4.4999999999999998E-2</v>
      </c>
      <c r="I1438" s="67">
        <v>0.3054</v>
      </c>
      <c r="J1438" s="67">
        <v>0</v>
      </c>
      <c r="K1438" s="67">
        <v>0.3054</v>
      </c>
      <c r="L1438" s="36">
        <f>+K1438-((K1438*0.0312*0.125)+(K1438*(1-0.0312)*0.26))</f>
        <v>0.22728234480000001</v>
      </c>
      <c r="M1438" s="64">
        <f t="shared" si="45"/>
        <v>0.22728234480000001</v>
      </c>
      <c r="N1438" s="33" t="s">
        <v>251</v>
      </c>
    </row>
    <row r="1439" spans="1:14" ht="15">
      <c r="A1439" s="12"/>
      <c r="B1439" s="33" t="s">
        <v>191</v>
      </c>
      <c r="C1439" s="92" t="s">
        <v>346</v>
      </c>
      <c r="D1439" s="33" t="s">
        <v>411</v>
      </c>
      <c r="E1439" s="34">
        <v>44712</v>
      </c>
      <c r="F1439" s="34">
        <v>44713</v>
      </c>
      <c r="G1439" s="34">
        <v>44719</v>
      </c>
      <c r="H1439" s="35">
        <v>0.02</v>
      </c>
      <c r="I1439" s="67">
        <v>6.8999999999999999E-3</v>
      </c>
      <c r="J1439" s="67">
        <v>0</v>
      </c>
      <c r="K1439" s="67">
        <v>6.8999999999999999E-3</v>
      </c>
      <c r="L1439" s="36">
        <f>+K1439-((K1439*0.8038*0.125)+(K1439*(1-0.8038)*0.26))</f>
        <v>5.8547397000000001E-3</v>
      </c>
      <c r="M1439" s="64">
        <f t="shared" si="45"/>
        <v>5.8547397000000001E-3</v>
      </c>
      <c r="N1439" s="33" t="s">
        <v>251</v>
      </c>
    </row>
    <row r="1440" spans="1:14" ht="15">
      <c r="A1440" s="12"/>
      <c r="B1440" s="33" t="s">
        <v>199</v>
      </c>
      <c r="C1440" s="92" t="s">
        <v>347</v>
      </c>
      <c r="D1440" s="33" t="s">
        <v>411</v>
      </c>
      <c r="E1440" s="34">
        <v>44712</v>
      </c>
      <c r="F1440" s="34">
        <v>44713</v>
      </c>
      <c r="G1440" s="34">
        <v>44719</v>
      </c>
      <c r="H1440" s="35">
        <v>0.02</v>
      </c>
      <c r="I1440" s="67">
        <v>6.8999999999999999E-3</v>
      </c>
      <c r="J1440" s="67">
        <v>0</v>
      </c>
      <c r="K1440" s="67">
        <v>6.8999999999999999E-3</v>
      </c>
      <c r="L1440" s="36">
        <f>+K1440-((K1440*0.8038*0.125)+(K1440*(1-0.8038)*0.26))</f>
        <v>5.8547397000000001E-3</v>
      </c>
      <c r="M1440" s="64">
        <f t="shared" si="45"/>
        <v>5.8547397000000001E-3</v>
      </c>
      <c r="N1440" s="33" t="s">
        <v>251</v>
      </c>
    </row>
    <row r="1441" spans="1:14" ht="15">
      <c r="A1441" s="12"/>
      <c r="B1441" s="33" t="s">
        <v>306</v>
      </c>
      <c r="C1441" s="92" t="s">
        <v>430</v>
      </c>
      <c r="D1441" s="33" t="s">
        <v>411</v>
      </c>
      <c r="E1441" s="34">
        <v>44712</v>
      </c>
      <c r="F1441" s="34">
        <v>44713</v>
      </c>
      <c r="G1441" s="34">
        <v>44719</v>
      </c>
      <c r="H1441" s="35">
        <v>2.5000000000000001E-2</v>
      </c>
      <c r="I1441" s="67">
        <v>1.0200000000000001E-2</v>
      </c>
      <c r="J1441" s="67">
        <v>0</v>
      </c>
      <c r="K1441" s="67">
        <v>1.0200000000000001E-2</v>
      </c>
      <c r="L1441" s="36">
        <f>+K1441-((K1441*0.00001*0.125)+(K1441*(1-0.00001)*0.26))</f>
        <v>7.5480137700000005E-3</v>
      </c>
      <c r="M1441" s="64">
        <f t="shared" si="45"/>
        <v>7.5480137700000005E-3</v>
      </c>
      <c r="N1441" s="33" t="s">
        <v>251</v>
      </c>
    </row>
    <row r="1442" spans="1:14" ht="15">
      <c r="A1442" s="12"/>
      <c r="B1442" s="33" t="s">
        <v>184</v>
      </c>
      <c r="C1442" s="92" t="s">
        <v>354</v>
      </c>
      <c r="D1442" s="33" t="s">
        <v>411</v>
      </c>
      <c r="E1442" s="34">
        <v>44712</v>
      </c>
      <c r="F1442" s="34">
        <v>44713</v>
      </c>
      <c r="G1442" s="34">
        <v>44719</v>
      </c>
      <c r="H1442" s="35">
        <v>2.5000000000000001E-2</v>
      </c>
      <c r="I1442" s="67">
        <v>0.20449999999999999</v>
      </c>
      <c r="J1442" s="67">
        <v>0</v>
      </c>
      <c r="K1442" s="67">
        <v>0.20449999999999999</v>
      </c>
      <c r="L1442" s="36">
        <f>+K1442-((K1442*0.00001*0.125)+(K1442*(1-0.00001)*0.26))</f>
        <v>0.15133027607499999</v>
      </c>
      <c r="M1442" s="64">
        <f t="shared" ref="M1442:M1461" si="47">J1442+L1442</f>
        <v>0.15133027607499999</v>
      </c>
      <c r="N1442" s="33" t="s">
        <v>251</v>
      </c>
    </row>
    <row r="1443" spans="1:14" ht="15">
      <c r="A1443" s="12"/>
      <c r="B1443" s="33" t="s">
        <v>192</v>
      </c>
      <c r="C1443" s="92" t="s">
        <v>355</v>
      </c>
      <c r="D1443" s="33" t="s">
        <v>411</v>
      </c>
      <c r="E1443" s="34">
        <v>44712</v>
      </c>
      <c r="F1443" s="34">
        <v>44713</v>
      </c>
      <c r="G1443" s="34">
        <v>44719</v>
      </c>
      <c r="H1443" s="35">
        <v>2.5000000000000001E-2</v>
      </c>
      <c r="I1443" s="67">
        <v>0.20749999999999999</v>
      </c>
      <c r="J1443" s="67">
        <v>0</v>
      </c>
      <c r="K1443" s="67">
        <v>0.20749999999999999</v>
      </c>
      <c r="L1443" s="36">
        <f>+K1443-((K1443*0.00001*0.125)+(K1443*(1-0.00001)*0.26))</f>
        <v>0.15355028012499999</v>
      </c>
      <c r="M1443" s="64">
        <f t="shared" si="47"/>
        <v>0.15355028012499999</v>
      </c>
      <c r="N1443" s="33" t="s">
        <v>251</v>
      </c>
    </row>
    <row r="1444" spans="1:14" ht="15">
      <c r="A1444" s="12"/>
      <c r="B1444" s="33" t="s">
        <v>311</v>
      </c>
      <c r="C1444" s="92" t="s">
        <v>425</v>
      </c>
      <c r="D1444" s="33" t="s">
        <v>411</v>
      </c>
      <c r="E1444" s="34">
        <v>44712</v>
      </c>
      <c r="F1444" s="34">
        <v>44713</v>
      </c>
      <c r="G1444" s="34">
        <v>44719</v>
      </c>
      <c r="H1444" s="35">
        <v>1.4999999999999999E-2</v>
      </c>
      <c r="I1444" s="67">
        <v>6.1000000000000004E-3</v>
      </c>
      <c r="J1444" s="67">
        <v>0</v>
      </c>
      <c r="K1444" s="67">
        <v>6.1000000000000004E-3</v>
      </c>
      <c r="L1444" s="36">
        <f>+K1444-((K1444*0.0000001*0.125)+(K1444*(1-0.0000001)*0.26))</f>
        <v>4.5140000823499999E-3</v>
      </c>
      <c r="M1444" s="64">
        <f t="shared" si="47"/>
        <v>4.5140000823499999E-3</v>
      </c>
      <c r="N1444" s="33" t="s">
        <v>251</v>
      </c>
    </row>
    <row r="1445" spans="1:14" ht="15">
      <c r="A1445" s="12"/>
      <c r="B1445" s="33" t="s">
        <v>189</v>
      </c>
      <c r="C1445" s="92" t="s">
        <v>356</v>
      </c>
      <c r="D1445" s="33" t="s">
        <v>411</v>
      </c>
      <c r="E1445" s="34">
        <v>44712</v>
      </c>
      <c r="F1445" s="34">
        <v>44713</v>
      </c>
      <c r="G1445" s="34">
        <v>44719</v>
      </c>
      <c r="H1445" s="35">
        <v>1.4999999999999999E-2</v>
      </c>
      <c r="I1445" s="67">
        <v>0.1114</v>
      </c>
      <c r="J1445" s="67">
        <v>0</v>
      </c>
      <c r="K1445" s="67">
        <v>0.1114</v>
      </c>
      <c r="L1445" s="36">
        <f>+K1445-((K1445*0.0000001*0.125)+(K1445*(1-0.0000001)*0.26))</f>
        <v>8.24360015039E-2</v>
      </c>
      <c r="M1445" s="64">
        <f t="shared" si="47"/>
        <v>8.24360015039E-2</v>
      </c>
      <c r="N1445" s="33" t="s">
        <v>251</v>
      </c>
    </row>
    <row r="1446" spans="1:14" ht="15">
      <c r="A1446" s="12"/>
      <c r="B1446" s="33" t="s">
        <v>197</v>
      </c>
      <c r="C1446" s="92" t="s">
        <v>357</v>
      </c>
      <c r="D1446" s="33" t="s">
        <v>411</v>
      </c>
      <c r="E1446" s="34">
        <v>44712</v>
      </c>
      <c r="F1446" s="34">
        <v>44713</v>
      </c>
      <c r="G1446" s="34">
        <v>44719</v>
      </c>
      <c r="H1446" s="35">
        <v>1.4999999999999999E-2</v>
      </c>
      <c r="I1446" s="67">
        <v>0.114</v>
      </c>
      <c r="J1446" s="67">
        <v>0</v>
      </c>
      <c r="K1446" s="67">
        <v>0.114</v>
      </c>
      <c r="L1446" s="36">
        <f>+K1446-((K1446*0.0000001*0.125)+(K1446*(1-0.0000001)*0.26))</f>
        <v>8.4360001539000001E-2</v>
      </c>
      <c r="M1446" s="64">
        <f t="shared" si="47"/>
        <v>8.4360001539000001E-2</v>
      </c>
      <c r="N1446" s="33" t="s">
        <v>251</v>
      </c>
    </row>
    <row r="1447" spans="1:14" ht="15">
      <c r="A1447" s="12"/>
      <c r="B1447" s="33" t="s">
        <v>308</v>
      </c>
      <c r="C1447" s="92" t="s">
        <v>426</v>
      </c>
      <c r="D1447" s="33" t="s">
        <v>411</v>
      </c>
      <c r="E1447" s="34">
        <v>44712</v>
      </c>
      <c r="F1447" s="34">
        <v>44713</v>
      </c>
      <c r="G1447" s="34">
        <v>44719</v>
      </c>
      <c r="H1447" s="35">
        <v>1.4999999999999999E-2</v>
      </c>
      <c r="I1447" s="67">
        <v>5.8999999999999999E-3</v>
      </c>
      <c r="J1447" s="67">
        <v>0</v>
      </c>
      <c r="K1447" s="67">
        <v>5.8999999999999999E-3</v>
      </c>
      <c r="L1447" s="36">
        <f>+K1447-((K1447*0.4288*0.125)+(K1447*(1-0.4288)*0.26))</f>
        <v>4.7075391999999994E-3</v>
      </c>
      <c r="M1447" s="64">
        <f t="shared" si="47"/>
        <v>4.7075391999999994E-3</v>
      </c>
      <c r="N1447" s="33" t="s">
        <v>251</v>
      </c>
    </row>
    <row r="1448" spans="1:14" ht="15">
      <c r="A1448" s="12"/>
      <c r="B1448" s="33" t="s">
        <v>186</v>
      </c>
      <c r="C1448" s="92" t="s">
        <v>363</v>
      </c>
      <c r="D1448" s="33" t="s">
        <v>411</v>
      </c>
      <c r="E1448" s="34">
        <v>44712</v>
      </c>
      <c r="F1448" s="34">
        <v>44713</v>
      </c>
      <c r="G1448" s="34">
        <v>44719</v>
      </c>
      <c r="H1448" s="35">
        <v>1.4999999999999999E-2</v>
      </c>
      <c r="I1448" s="67">
        <v>0.108</v>
      </c>
      <c r="J1448" s="67">
        <v>0</v>
      </c>
      <c r="K1448" s="67">
        <v>0.108</v>
      </c>
      <c r="L1448" s="36">
        <f>+K1448-((K1448*0.4288*0.125)+(K1448*(1-0.4288)*0.26))</f>
        <v>8.6171903999999994E-2</v>
      </c>
      <c r="M1448" s="64">
        <f t="shared" si="47"/>
        <v>8.6171903999999994E-2</v>
      </c>
      <c r="N1448" s="33" t="s">
        <v>251</v>
      </c>
    </row>
    <row r="1449" spans="1:14" ht="15">
      <c r="A1449" s="12"/>
      <c r="B1449" s="33" t="s">
        <v>194</v>
      </c>
      <c r="C1449" s="92" t="s">
        <v>364</v>
      </c>
      <c r="D1449" s="33" t="s">
        <v>411</v>
      </c>
      <c r="E1449" s="34">
        <v>44712</v>
      </c>
      <c r="F1449" s="34">
        <v>44713</v>
      </c>
      <c r="G1449" s="34">
        <v>44719</v>
      </c>
      <c r="H1449" s="35">
        <v>1.4999999999999999E-2</v>
      </c>
      <c r="I1449" s="67">
        <v>0.11169999999999999</v>
      </c>
      <c r="J1449" s="67">
        <v>0</v>
      </c>
      <c r="K1449" s="67">
        <v>0.11169999999999999</v>
      </c>
      <c r="L1449" s="36">
        <f>+K1449-((K1449*0.4288*0.125)+(K1449*(1-0.4288)*0.26))</f>
        <v>8.9124089599999998E-2</v>
      </c>
      <c r="M1449" s="64">
        <f t="shared" si="47"/>
        <v>8.9124089599999998E-2</v>
      </c>
      <c r="N1449" s="33" t="s">
        <v>251</v>
      </c>
    </row>
    <row r="1450" spans="1:14" ht="15">
      <c r="A1450" s="12"/>
      <c r="B1450" s="33" t="s">
        <v>307</v>
      </c>
      <c r="C1450" s="92" t="s">
        <v>420</v>
      </c>
      <c r="D1450" s="33" t="s">
        <v>411</v>
      </c>
      <c r="E1450" s="34">
        <v>44712</v>
      </c>
      <c r="F1450" s="34">
        <v>44713</v>
      </c>
      <c r="G1450" s="34">
        <v>44719</v>
      </c>
      <c r="H1450" s="35">
        <v>1.4999999999999999E-2</v>
      </c>
      <c r="I1450" s="67">
        <v>5.7000000000000002E-3</v>
      </c>
      <c r="J1450" s="67">
        <v>0</v>
      </c>
      <c r="K1450" s="67">
        <v>5.7000000000000002E-3</v>
      </c>
      <c r="L1450" s="36">
        <f>+K1450-((K1450*0.5668*0.125)+(K1450*(1-0.5668)*0.26))</f>
        <v>4.6541526000000001E-3</v>
      </c>
      <c r="M1450" s="64">
        <f t="shared" si="47"/>
        <v>4.6541526000000001E-3</v>
      </c>
      <c r="N1450" s="33" t="s">
        <v>251</v>
      </c>
    </row>
    <row r="1451" spans="1:14" ht="15">
      <c r="A1451" s="12"/>
      <c r="B1451" s="33" t="s">
        <v>185</v>
      </c>
      <c r="C1451" s="92" t="s">
        <v>366</v>
      </c>
      <c r="D1451" s="33" t="s">
        <v>411</v>
      </c>
      <c r="E1451" s="34">
        <v>44712</v>
      </c>
      <c r="F1451" s="34">
        <v>44713</v>
      </c>
      <c r="G1451" s="34">
        <v>44719</v>
      </c>
      <c r="H1451" s="35">
        <v>1.4999999999999999E-2</v>
      </c>
      <c r="I1451" s="67">
        <v>9.5200000000000007E-2</v>
      </c>
      <c r="J1451" s="67">
        <v>0</v>
      </c>
      <c r="K1451" s="67">
        <v>9.5200000000000007E-2</v>
      </c>
      <c r="L1451" s="36">
        <f>+K1451-((K1451*0.5668*0.125)+(K1451*(1-0.5668)*0.26))</f>
        <v>7.7732513599999997E-2</v>
      </c>
      <c r="M1451" s="64">
        <f t="shared" si="47"/>
        <v>7.7732513599999997E-2</v>
      </c>
      <c r="N1451" s="33" t="s">
        <v>251</v>
      </c>
    </row>
    <row r="1452" spans="1:14" ht="15">
      <c r="A1452" s="12"/>
      <c r="B1452" s="33" t="s">
        <v>193</v>
      </c>
      <c r="C1452" s="92" t="s">
        <v>367</v>
      </c>
      <c r="D1452" s="33" t="s">
        <v>411</v>
      </c>
      <c r="E1452" s="34">
        <v>44712</v>
      </c>
      <c r="F1452" s="34">
        <v>44713</v>
      </c>
      <c r="G1452" s="34">
        <v>44719</v>
      </c>
      <c r="H1452" s="35">
        <v>1.4999999999999999E-2</v>
      </c>
      <c r="I1452" s="67">
        <v>9.3399999999999997E-2</v>
      </c>
      <c r="J1452" s="67">
        <v>0</v>
      </c>
      <c r="K1452" s="67">
        <v>9.3399999999999997E-2</v>
      </c>
      <c r="L1452" s="36">
        <f>+K1452-((K1452*0.5668*0.125)+(K1452*(1-0.5668)*0.26))</f>
        <v>7.6262781199999991E-2</v>
      </c>
      <c r="M1452" s="64">
        <f t="shared" si="47"/>
        <v>7.6262781199999991E-2</v>
      </c>
      <c r="N1452" s="33" t="s">
        <v>251</v>
      </c>
    </row>
    <row r="1453" spans="1:14" ht="15">
      <c r="A1453" s="12"/>
      <c r="B1453" s="33" t="s">
        <v>309</v>
      </c>
      <c r="C1453" s="92" t="s">
        <v>427</v>
      </c>
      <c r="D1453" s="33" t="s">
        <v>411</v>
      </c>
      <c r="E1453" s="34">
        <v>44712</v>
      </c>
      <c r="F1453" s="34">
        <v>44713</v>
      </c>
      <c r="G1453" s="34">
        <v>44719</v>
      </c>
      <c r="H1453" s="35">
        <v>0.02</v>
      </c>
      <c r="I1453" s="67">
        <v>8.2000000000000007E-3</v>
      </c>
      <c r="J1453" s="67">
        <v>0</v>
      </c>
      <c r="K1453" s="67">
        <v>8.2000000000000007E-3</v>
      </c>
      <c r="L1453" s="36">
        <f>+K1453-((K1453*0.0344*0.125)+(K1453*(1-0.0344)*0.26))</f>
        <v>6.1060808000000001E-3</v>
      </c>
      <c r="M1453" s="64">
        <f t="shared" si="47"/>
        <v>6.1060808000000001E-3</v>
      </c>
      <c r="N1453" s="33" t="s">
        <v>251</v>
      </c>
    </row>
    <row r="1454" spans="1:14" ht="15">
      <c r="A1454" s="12"/>
      <c r="B1454" s="33" t="s">
        <v>187</v>
      </c>
      <c r="C1454" s="92" t="s">
        <v>368</v>
      </c>
      <c r="D1454" s="33" t="s">
        <v>411</v>
      </c>
      <c r="E1454" s="34">
        <v>44712</v>
      </c>
      <c r="F1454" s="34">
        <v>44713</v>
      </c>
      <c r="G1454" s="34">
        <v>44719</v>
      </c>
      <c r="H1454" s="35">
        <v>0.02</v>
      </c>
      <c r="I1454" s="67">
        <v>0.14419999999999999</v>
      </c>
      <c r="J1454" s="67">
        <v>0</v>
      </c>
      <c r="K1454" s="67">
        <v>0.14419999999999999</v>
      </c>
      <c r="L1454" s="36">
        <f>+K1454-((K1454*0.0344*0.125)+(K1454*(1-0.0344)*0.26))</f>
        <v>0.10737766479999999</v>
      </c>
      <c r="M1454" s="64">
        <f t="shared" si="47"/>
        <v>0.10737766479999999</v>
      </c>
      <c r="N1454" s="33" t="s">
        <v>251</v>
      </c>
    </row>
    <row r="1455" spans="1:14" ht="15">
      <c r="A1455" s="12"/>
      <c r="B1455" s="33" t="s">
        <v>195</v>
      </c>
      <c r="C1455" s="92" t="s">
        <v>369</v>
      </c>
      <c r="D1455" s="33" t="s">
        <v>411</v>
      </c>
      <c r="E1455" s="34">
        <v>44712</v>
      </c>
      <c r="F1455" s="34">
        <v>44713</v>
      </c>
      <c r="G1455" s="34">
        <v>44719</v>
      </c>
      <c r="H1455" s="35">
        <v>0.02</v>
      </c>
      <c r="I1455" s="67">
        <v>0.14960000000000001</v>
      </c>
      <c r="J1455" s="67">
        <v>0</v>
      </c>
      <c r="K1455" s="67">
        <v>0.14960000000000001</v>
      </c>
      <c r="L1455" s="36">
        <f>+K1455-((K1455*0.0344*0.125)+(K1455*(1-0.0344)*0.26))</f>
        <v>0.1113987424</v>
      </c>
      <c r="M1455" s="64">
        <f t="shared" si="47"/>
        <v>0.1113987424</v>
      </c>
      <c r="N1455" s="33" t="s">
        <v>251</v>
      </c>
    </row>
    <row r="1456" spans="1:14" ht="15">
      <c r="A1456" s="12"/>
      <c r="B1456" s="33" t="s">
        <v>312</v>
      </c>
      <c r="C1456" s="92" t="s">
        <v>428</v>
      </c>
      <c r="D1456" s="33" t="s">
        <v>411</v>
      </c>
      <c r="E1456" s="34">
        <v>44712</v>
      </c>
      <c r="F1456" s="34">
        <v>44713</v>
      </c>
      <c r="G1456" s="34">
        <v>44719</v>
      </c>
      <c r="H1456" s="35">
        <v>3.2500000000000001E-2</v>
      </c>
      <c r="I1456" s="67">
        <v>1.2500000000000001E-2</v>
      </c>
      <c r="J1456" s="67">
        <v>0</v>
      </c>
      <c r="K1456" s="67">
        <v>1.2500000000000001E-2</v>
      </c>
      <c r="L1456" s="36">
        <f>+K1456-((K1456*0.0095*0.125)+(K1456*(1-0.0095)*0.26))</f>
        <v>9.2660312500000008E-3</v>
      </c>
      <c r="M1456" s="64">
        <f t="shared" si="47"/>
        <v>9.2660312500000008E-3</v>
      </c>
      <c r="N1456" s="33" t="s">
        <v>251</v>
      </c>
    </row>
    <row r="1457" spans="1:14" ht="15">
      <c r="A1457" s="12"/>
      <c r="B1457" s="33" t="s">
        <v>190</v>
      </c>
      <c r="C1457" s="92" t="s">
        <v>370</v>
      </c>
      <c r="D1457" s="33" t="s">
        <v>411</v>
      </c>
      <c r="E1457" s="34">
        <v>44712</v>
      </c>
      <c r="F1457" s="34">
        <v>44713</v>
      </c>
      <c r="G1457" s="34">
        <v>44719</v>
      </c>
      <c r="H1457" s="35">
        <v>3.2500000000000001E-2</v>
      </c>
      <c r="I1457" s="67">
        <v>0.2374</v>
      </c>
      <c r="J1457" s="67">
        <v>0</v>
      </c>
      <c r="K1457" s="67">
        <v>0.2374</v>
      </c>
      <c r="L1457" s="36">
        <f>+K1457-((K1457*0.0095*0.125)+(K1457*(1-0.0095)*0.26))</f>
        <v>0.17598046549999999</v>
      </c>
      <c r="M1457" s="64">
        <f t="shared" si="47"/>
        <v>0.17598046549999999</v>
      </c>
      <c r="N1457" s="33" t="s">
        <v>251</v>
      </c>
    </row>
    <row r="1458" spans="1:14" ht="15">
      <c r="A1458" s="12"/>
      <c r="B1458" s="33" t="s">
        <v>198</v>
      </c>
      <c r="C1458" s="92" t="s">
        <v>371</v>
      </c>
      <c r="D1458" s="33" t="s">
        <v>411</v>
      </c>
      <c r="E1458" s="34">
        <v>44712</v>
      </c>
      <c r="F1458" s="34">
        <v>44713</v>
      </c>
      <c r="G1458" s="34">
        <v>44719</v>
      </c>
      <c r="H1458" s="35">
        <v>3.2500000000000001E-2</v>
      </c>
      <c r="I1458" s="67">
        <v>0.23849999999999999</v>
      </c>
      <c r="J1458" s="67">
        <v>0</v>
      </c>
      <c r="K1458" s="67">
        <v>0.23849999999999999</v>
      </c>
      <c r="L1458" s="36">
        <f>+K1458-((K1458*0.0095*0.125)+(K1458*(1-0.0095)*0.26))</f>
        <v>0.17679587624999998</v>
      </c>
      <c r="M1458" s="64">
        <f t="shared" si="47"/>
        <v>0.17679587624999998</v>
      </c>
      <c r="N1458" s="33" t="s">
        <v>251</v>
      </c>
    </row>
    <row r="1459" spans="1:14" ht="15">
      <c r="A1459" s="12"/>
      <c r="B1459" s="33" t="s">
        <v>513</v>
      </c>
      <c r="C1459" s="92" t="s">
        <v>515</v>
      </c>
      <c r="D1459" s="33" t="s">
        <v>411</v>
      </c>
      <c r="E1459" s="34">
        <v>44712</v>
      </c>
      <c r="F1459" s="34">
        <v>44713</v>
      </c>
      <c r="G1459" s="34">
        <v>44719</v>
      </c>
      <c r="H1459" s="35">
        <v>0</v>
      </c>
      <c r="I1459" s="67">
        <v>0</v>
      </c>
      <c r="J1459" s="67">
        <v>0</v>
      </c>
      <c r="K1459" s="67">
        <v>0</v>
      </c>
      <c r="L1459" s="36">
        <f>+K1459-((K1459*0.299*0.125)+(K1459*(1-0.299)*0.26))</f>
        <v>0</v>
      </c>
      <c r="M1459" s="64">
        <f t="shared" si="47"/>
        <v>0</v>
      </c>
      <c r="N1459" s="33" t="s">
        <v>251</v>
      </c>
    </row>
    <row r="1460" spans="1:14" ht="15">
      <c r="A1460" s="12"/>
      <c r="B1460" s="33" t="s">
        <v>514</v>
      </c>
      <c r="C1460" s="92" t="s">
        <v>516</v>
      </c>
      <c r="D1460" s="33" t="s">
        <v>411</v>
      </c>
      <c r="E1460" s="34">
        <v>44712</v>
      </c>
      <c r="F1460" s="34">
        <v>44713</v>
      </c>
      <c r="G1460" s="34">
        <v>44719</v>
      </c>
      <c r="H1460" s="35">
        <v>0</v>
      </c>
      <c r="I1460" s="67">
        <v>0</v>
      </c>
      <c r="J1460" s="67">
        <v>0</v>
      </c>
      <c r="K1460" s="67">
        <v>0</v>
      </c>
      <c r="L1460" s="36">
        <f>+K1460-((K1460*0.299*0.125)+(K1460*(1-0.299)*0.26))</f>
        <v>0</v>
      </c>
      <c r="M1460" s="64">
        <f t="shared" si="47"/>
        <v>0</v>
      </c>
      <c r="N1460" s="33" t="s">
        <v>251</v>
      </c>
    </row>
    <row r="1461" spans="1:14" ht="15">
      <c r="A1461" s="12"/>
      <c r="B1461" s="33" t="s">
        <v>313</v>
      </c>
      <c r="C1461" s="92" t="s">
        <v>429</v>
      </c>
      <c r="D1461" s="33" t="s">
        <v>411</v>
      </c>
      <c r="E1461" s="34">
        <v>44712</v>
      </c>
      <c r="F1461" s="34">
        <v>44713</v>
      </c>
      <c r="G1461" s="34">
        <v>44719</v>
      </c>
      <c r="H1461" s="35">
        <v>1.2E-2</v>
      </c>
      <c r="I1461" s="67">
        <v>5.0000000000000001E-3</v>
      </c>
      <c r="J1461" s="67">
        <v>0</v>
      </c>
      <c r="K1461" s="67">
        <v>5.0000000000000001E-3</v>
      </c>
      <c r="L1461" s="36">
        <f>+K1461-((K1461*0.1445*0.125)+(K1461*(1-0.1445)*0.26))</f>
        <v>3.7975374999999999E-3</v>
      </c>
      <c r="M1461" s="64">
        <f t="shared" si="47"/>
        <v>3.7975374999999999E-3</v>
      </c>
      <c r="N1461" s="33" t="s">
        <v>251</v>
      </c>
    </row>
    <row r="1462" spans="1:14" ht="15">
      <c r="A1462" s="12"/>
      <c r="B1462" s="33" t="s">
        <v>174</v>
      </c>
      <c r="C1462" s="92" t="s">
        <v>382</v>
      </c>
      <c r="D1462" s="33" t="s">
        <v>410</v>
      </c>
      <c r="E1462" s="34">
        <v>44741</v>
      </c>
      <c r="F1462" s="34">
        <v>44742</v>
      </c>
      <c r="G1462" s="34">
        <v>44747</v>
      </c>
      <c r="H1462" s="35"/>
      <c r="I1462" s="67">
        <v>3.2842999999999997E-2</v>
      </c>
      <c r="J1462" s="67">
        <v>0</v>
      </c>
      <c r="K1462" s="67">
        <v>3.2842999999999997E-2</v>
      </c>
      <c r="L1462" s="36">
        <v>2.4376534401999994E-2</v>
      </c>
      <c r="M1462" s="64">
        <v>2.4376534401999994E-2</v>
      </c>
      <c r="N1462" s="33" t="s">
        <v>247</v>
      </c>
    </row>
    <row r="1463" spans="1:14" ht="15">
      <c r="A1463" s="12"/>
      <c r="B1463" s="33" t="s">
        <v>176</v>
      </c>
      <c r="C1463" s="92" t="s">
        <v>397</v>
      </c>
      <c r="D1463" s="33" t="s">
        <v>410</v>
      </c>
      <c r="E1463" s="34">
        <v>44741</v>
      </c>
      <c r="F1463" s="34">
        <v>44742</v>
      </c>
      <c r="G1463" s="34">
        <v>44747</v>
      </c>
      <c r="H1463" s="35"/>
      <c r="I1463" s="67">
        <v>4.2693000000000002E-2</v>
      </c>
      <c r="J1463" s="67">
        <v>0</v>
      </c>
      <c r="K1463" s="67">
        <v>4.2693000000000002E-2</v>
      </c>
      <c r="L1463" s="36">
        <v>3.2587609593E-2</v>
      </c>
      <c r="M1463" s="64">
        <v>3.2587609593E-2</v>
      </c>
      <c r="N1463" s="33" t="s">
        <v>247</v>
      </c>
    </row>
    <row r="1464" spans="1:14" ht="15">
      <c r="A1464" s="12"/>
      <c r="B1464" s="33" t="s">
        <v>175</v>
      </c>
      <c r="C1464" s="92" t="s">
        <v>465</v>
      </c>
      <c r="D1464" s="33" t="s">
        <v>410</v>
      </c>
      <c r="E1464" s="34">
        <v>44741</v>
      </c>
      <c r="F1464" s="34">
        <v>44742</v>
      </c>
      <c r="G1464" s="34">
        <v>44747</v>
      </c>
      <c r="H1464" s="35"/>
      <c r="I1464" s="67">
        <v>8.3476999999999996E-2</v>
      </c>
      <c r="J1464" s="67">
        <v>0</v>
      </c>
      <c r="K1464" s="67">
        <v>8.3476999999999996E-2</v>
      </c>
      <c r="L1464" s="36">
        <v>6.3043040816500001E-2</v>
      </c>
      <c r="M1464" s="64">
        <v>6.3043040816500001E-2</v>
      </c>
      <c r="N1464" s="33" t="s">
        <v>247</v>
      </c>
    </row>
    <row r="1465" spans="1:14" ht="15">
      <c r="A1465" s="12"/>
      <c r="B1465" s="33" t="s">
        <v>310</v>
      </c>
      <c r="C1465" s="92" t="s">
        <v>424</v>
      </c>
      <c r="D1465" s="33" t="s">
        <v>411</v>
      </c>
      <c r="E1465" s="34">
        <v>44742</v>
      </c>
      <c r="F1465" s="34">
        <v>44743</v>
      </c>
      <c r="G1465" s="34">
        <v>44748</v>
      </c>
      <c r="H1465" s="35">
        <v>4.4999999999999998E-2</v>
      </c>
      <c r="I1465" s="67">
        <v>1.6799999999999999E-2</v>
      </c>
      <c r="J1465" s="67">
        <v>0</v>
      </c>
      <c r="K1465" s="67">
        <v>1.6799999999999999E-2</v>
      </c>
      <c r="L1465" s="36">
        <f>+K1465-((K1465*0.0312*0.125)+(K1465*(1-0.0312)*0.26))</f>
        <v>1.2502761599999999E-2</v>
      </c>
      <c r="M1465" s="64">
        <f t="shared" ref="M1465:M1528" si="48">J1465+L1465</f>
        <v>1.2502761599999999E-2</v>
      </c>
      <c r="N1465" s="33" t="s">
        <v>251</v>
      </c>
    </row>
    <row r="1466" spans="1:14" ht="15">
      <c r="A1466" s="12"/>
      <c r="B1466" s="33" t="s">
        <v>188</v>
      </c>
      <c r="C1466" s="92" t="s">
        <v>339</v>
      </c>
      <c r="D1466" s="33" t="s">
        <v>411</v>
      </c>
      <c r="E1466" s="34">
        <v>44742</v>
      </c>
      <c r="F1466" s="34">
        <v>44743</v>
      </c>
      <c r="G1466" s="34">
        <v>44748</v>
      </c>
      <c r="H1466" s="35">
        <v>4.4999999999999998E-2</v>
      </c>
      <c r="I1466" s="67">
        <v>0.29260000000000003</v>
      </c>
      <c r="J1466" s="67">
        <v>0</v>
      </c>
      <c r="K1466" s="67">
        <v>0.29260000000000003</v>
      </c>
      <c r="L1466" s="36">
        <f>+K1466-((K1466*0.0312*0.125)+(K1466*(1-0.0312)*0.26))</f>
        <v>0.21775643120000002</v>
      </c>
      <c r="M1466" s="64">
        <f t="shared" si="48"/>
        <v>0.21775643120000002</v>
      </c>
      <c r="N1466" s="33" t="s">
        <v>251</v>
      </c>
    </row>
    <row r="1467" spans="1:14" ht="15">
      <c r="A1467" s="12"/>
      <c r="B1467" s="33" t="s">
        <v>196</v>
      </c>
      <c r="C1467" s="92" t="s">
        <v>340</v>
      </c>
      <c r="D1467" s="33" t="s">
        <v>411</v>
      </c>
      <c r="E1467" s="34">
        <v>44742</v>
      </c>
      <c r="F1467" s="34">
        <v>44743</v>
      </c>
      <c r="G1467" s="34">
        <v>44748</v>
      </c>
      <c r="H1467" s="35">
        <v>4.4999999999999998E-2</v>
      </c>
      <c r="I1467" s="67">
        <v>0.3054</v>
      </c>
      <c r="J1467" s="67">
        <v>0</v>
      </c>
      <c r="K1467" s="67">
        <v>0.3054</v>
      </c>
      <c r="L1467" s="36">
        <f>+K1467-((K1467*0.0312*0.125)+(K1467*(1-0.0312)*0.26))</f>
        <v>0.22728234480000001</v>
      </c>
      <c r="M1467" s="64">
        <f t="shared" si="48"/>
        <v>0.22728234480000001</v>
      </c>
      <c r="N1467" s="33" t="s">
        <v>251</v>
      </c>
    </row>
    <row r="1468" spans="1:14" ht="15">
      <c r="A1468" s="12"/>
      <c r="B1468" s="33" t="s">
        <v>191</v>
      </c>
      <c r="C1468" s="92" t="s">
        <v>346</v>
      </c>
      <c r="D1468" s="33" t="s">
        <v>411</v>
      </c>
      <c r="E1468" s="34">
        <v>44742</v>
      </c>
      <c r="F1468" s="34">
        <v>44743</v>
      </c>
      <c r="G1468" s="34">
        <v>44748</v>
      </c>
      <c r="H1468" s="35">
        <v>0.02</v>
      </c>
      <c r="I1468" s="67">
        <v>6.8999999999999999E-3</v>
      </c>
      <c r="J1468" s="67">
        <v>0</v>
      </c>
      <c r="K1468" s="67">
        <v>6.8999999999999999E-3</v>
      </c>
      <c r="L1468" s="36">
        <f>+K1468-((K1468*0.8038*0.125)+(K1468*(1-0.8038)*0.26))</f>
        <v>5.8547397000000001E-3</v>
      </c>
      <c r="M1468" s="64">
        <f t="shared" si="48"/>
        <v>5.8547397000000001E-3</v>
      </c>
      <c r="N1468" s="33" t="s">
        <v>251</v>
      </c>
    </row>
    <row r="1469" spans="1:14" ht="15">
      <c r="A1469" s="12"/>
      <c r="B1469" s="33" t="s">
        <v>199</v>
      </c>
      <c r="C1469" s="92" t="s">
        <v>347</v>
      </c>
      <c r="D1469" s="33" t="s">
        <v>411</v>
      </c>
      <c r="E1469" s="34">
        <v>44742</v>
      </c>
      <c r="F1469" s="34">
        <v>44743</v>
      </c>
      <c r="G1469" s="34">
        <v>44748</v>
      </c>
      <c r="H1469" s="35">
        <v>0.02</v>
      </c>
      <c r="I1469" s="67">
        <v>6.8999999999999999E-3</v>
      </c>
      <c r="J1469" s="67">
        <v>0</v>
      </c>
      <c r="K1469" s="67">
        <v>6.8999999999999999E-3</v>
      </c>
      <c r="L1469" s="36">
        <f>+K1469-((K1469*0.8038*0.125)+(K1469*(1-0.8038)*0.26))</f>
        <v>5.8547397000000001E-3</v>
      </c>
      <c r="M1469" s="64">
        <f t="shared" si="48"/>
        <v>5.8547397000000001E-3</v>
      </c>
      <c r="N1469" s="33" t="s">
        <v>251</v>
      </c>
    </row>
    <row r="1470" spans="1:14" ht="15">
      <c r="A1470" s="12"/>
      <c r="B1470" s="33" t="s">
        <v>306</v>
      </c>
      <c r="C1470" s="92" t="s">
        <v>430</v>
      </c>
      <c r="D1470" s="33" t="s">
        <v>411</v>
      </c>
      <c r="E1470" s="34">
        <v>44742</v>
      </c>
      <c r="F1470" s="34">
        <v>44743</v>
      </c>
      <c r="G1470" s="34">
        <v>44748</v>
      </c>
      <c r="H1470" s="35">
        <v>2.5000000000000001E-2</v>
      </c>
      <c r="I1470" s="67">
        <v>1.0200000000000001E-2</v>
      </c>
      <c r="J1470" s="67">
        <v>0</v>
      </c>
      <c r="K1470" s="67">
        <v>1.0200000000000001E-2</v>
      </c>
      <c r="L1470" s="36">
        <f>+K1470-((K1470*0.00001*0.125)+(K1470*(1-0.00001)*0.26))</f>
        <v>7.5480137700000005E-3</v>
      </c>
      <c r="M1470" s="64">
        <f t="shared" si="48"/>
        <v>7.5480137700000005E-3</v>
      </c>
      <c r="N1470" s="33" t="s">
        <v>251</v>
      </c>
    </row>
    <row r="1471" spans="1:14" ht="15">
      <c r="A1471" s="12"/>
      <c r="B1471" s="33" t="s">
        <v>184</v>
      </c>
      <c r="C1471" s="92" t="s">
        <v>354</v>
      </c>
      <c r="D1471" s="33" t="s">
        <v>411</v>
      </c>
      <c r="E1471" s="34">
        <v>44742</v>
      </c>
      <c r="F1471" s="34">
        <v>44743</v>
      </c>
      <c r="G1471" s="34">
        <v>44748</v>
      </c>
      <c r="H1471" s="35">
        <v>2.5000000000000001E-2</v>
      </c>
      <c r="I1471" s="67">
        <v>0.20449999999999999</v>
      </c>
      <c r="J1471" s="67">
        <v>0</v>
      </c>
      <c r="K1471" s="67">
        <v>0.20449999999999999</v>
      </c>
      <c r="L1471" s="36">
        <f>+K1471-((K1471*0.00001*0.125)+(K1471*(1-0.00001)*0.26))</f>
        <v>0.15133027607499999</v>
      </c>
      <c r="M1471" s="64">
        <f t="shared" si="48"/>
        <v>0.15133027607499999</v>
      </c>
      <c r="N1471" s="33" t="s">
        <v>251</v>
      </c>
    </row>
    <row r="1472" spans="1:14" ht="15">
      <c r="A1472" s="12"/>
      <c r="B1472" s="33" t="s">
        <v>192</v>
      </c>
      <c r="C1472" s="92" t="s">
        <v>355</v>
      </c>
      <c r="D1472" s="33" t="s">
        <v>411</v>
      </c>
      <c r="E1472" s="34">
        <v>44742</v>
      </c>
      <c r="F1472" s="34">
        <v>44743</v>
      </c>
      <c r="G1472" s="34">
        <v>44748</v>
      </c>
      <c r="H1472" s="35">
        <v>2.5000000000000001E-2</v>
      </c>
      <c r="I1472" s="67">
        <v>0.20749999999999999</v>
      </c>
      <c r="J1472" s="67">
        <v>0</v>
      </c>
      <c r="K1472" s="67">
        <v>0.20749999999999999</v>
      </c>
      <c r="L1472" s="36">
        <f>+K1472-((K1472*0.00001*0.125)+(K1472*(1-0.00001)*0.26))</f>
        <v>0.15355028012499999</v>
      </c>
      <c r="M1472" s="64">
        <f t="shared" si="48"/>
        <v>0.15355028012499999</v>
      </c>
      <c r="N1472" s="33" t="s">
        <v>251</v>
      </c>
    </row>
    <row r="1473" spans="1:14" ht="15">
      <c r="A1473" s="12"/>
      <c r="B1473" s="33" t="s">
        <v>311</v>
      </c>
      <c r="C1473" s="92" t="s">
        <v>425</v>
      </c>
      <c r="D1473" s="33" t="s">
        <v>411</v>
      </c>
      <c r="E1473" s="34">
        <v>44742</v>
      </c>
      <c r="F1473" s="34">
        <v>44743</v>
      </c>
      <c r="G1473" s="34">
        <v>44748</v>
      </c>
      <c r="H1473" s="35">
        <v>1.4999999999999999E-2</v>
      </c>
      <c r="I1473" s="67">
        <v>6.1000000000000004E-3</v>
      </c>
      <c r="J1473" s="67">
        <v>0</v>
      </c>
      <c r="K1473" s="67">
        <v>6.1000000000000004E-3</v>
      </c>
      <c r="L1473" s="36">
        <f>+K1473-((K1473*0.0000001*0.125)+(K1473*(1-0.0000001)*0.26))</f>
        <v>4.5140000823499999E-3</v>
      </c>
      <c r="M1473" s="64">
        <f t="shared" si="48"/>
        <v>4.5140000823499999E-3</v>
      </c>
      <c r="N1473" s="33" t="s">
        <v>251</v>
      </c>
    </row>
    <row r="1474" spans="1:14" ht="15">
      <c r="A1474" s="12"/>
      <c r="B1474" s="33" t="s">
        <v>189</v>
      </c>
      <c r="C1474" s="92" t="s">
        <v>356</v>
      </c>
      <c r="D1474" s="33" t="s">
        <v>411</v>
      </c>
      <c r="E1474" s="34">
        <v>44742</v>
      </c>
      <c r="F1474" s="34">
        <v>44743</v>
      </c>
      <c r="G1474" s="34">
        <v>44748</v>
      </c>
      <c r="H1474" s="35">
        <v>1.4999999999999999E-2</v>
      </c>
      <c r="I1474" s="67">
        <v>0.1114</v>
      </c>
      <c r="J1474" s="67">
        <v>0</v>
      </c>
      <c r="K1474" s="67">
        <v>0.1114</v>
      </c>
      <c r="L1474" s="36">
        <f>+K1474-((K1474*0.0000001*0.125)+(K1474*(1-0.0000001)*0.26))</f>
        <v>8.24360015039E-2</v>
      </c>
      <c r="M1474" s="64">
        <f t="shared" si="48"/>
        <v>8.24360015039E-2</v>
      </c>
      <c r="N1474" s="33" t="s">
        <v>251</v>
      </c>
    </row>
    <row r="1475" spans="1:14" ht="15">
      <c r="A1475" s="12"/>
      <c r="B1475" s="33" t="s">
        <v>197</v>
      </c>
      <c r="C1475" s="92" t="s">
        <v>357</v>
      </c>
      <c r="D1475" s="33" t="s">
        <v>411</v>
      </c>
      <c r="E1475" s="34">
        <v>44742</v>
      </c>
      <c r="F1475" s="34">
        <v>44743</v>
      </c>
      <c r="G1475" s="34">
        <v>44748</v>
      </c>
      <c r="H1475" s="35">
        <v>1.4999999999999999E-2</v>
      </c>
      <c r="I1475" s="67">
        <v>0.114</v>
      </c>
      <c r="J1475" s="67">
        <v>0</v>
      </c>
      <c r="K1475" s="67">
        <v>0.114</v>
      </c>
      <c r="L1475" s="36">
        <f>+K1475-((K1475*0.0000001*0.125)+(K1475*(1-0.0000001)*0.26))</f>
        <v>8.4360001539000001E-2</v>
      </c>
      <c r="M1475" s="64">
        <f t="shared" si="48"/>
        <v>8.4360001539000001E-2</v>
      </c>
      <c r="N1475" s="33" t="s">
        <v>251</v>
      </c>
    </row>
    <row r="1476" spans="1:14" ht="15">
      <c r="A1476" s="12"/>
      <c r="B1476" s="33" t="s">
        <v>308</v>
      </c>
      <c r="C1476" s="92" t="s">
        <v>426</v>
      </c>
      <c r="D1476" s="33" t="s">
        <v>411</v>
      </c>
      <c r="E1476" s="34">
        <v>44742</v>
      </c>
      <c r="F1476" s="34">
        <v>44743</v>
      </c>
      <c r="G1476" s="34">
        <v>44748</v>
      </c>
      <c r="H1476" s="35">
        <v>1.4999999999999999E-2</v>
      </c>
      <c r="I1476" s="67">
        <v>5.8999999999999999E-3</v>
      </c>
      <c r="J1476" s="67">
        <v>0</v>
      </c>
      <c r="K1476" s="67">
        <v>5.8999999999999999E-3</v>
      </c>
      <c r="L1476" s="36">
        <f>+K1476-((K1476*0.4288*0.125)+(K1476*(1-0.4288)*0.26))</f>
        <v>4.7075391999999994E-3</v>
      </c>
      <c r="M1476" s="64">
        <f t="shared" si="48"/>
        <v>4.7075391999999994E-3</v>
      </c>
      <c r="N1476" s="33" t="s">
        <v>251</v>
      </c>
    </row>
    <row r="1477" spans="1:14" ht="15">
      <c r="A1477" s="12"/>
      <c r="B1477" s="33" t="s">
        <v>186</v>
      </c>
      <c r="C1477" s="92" t="s">
        <v>363</v>
      </c>
      <c r="D1477" s="33" t="s">
        <v>411</v>
      </c>
      <c r="E1477" s="34">
        <v>44742</v>
      </c>
      <c r="F1477" s="34">
        <v>44743</v>
      </c>
      <c r="G1477" s="34">
        <v>44748</v>
      </c>
      <c r="H1477" s="35">
        <v>1.4999999999999999E-2</v>
      </c>
      <c r="I1477" s="67">
        <v>0.108</v>
      </c>
      <c r="J1477" s="67">
        <v>0</v>
      </c>
      <c r="K1477" s="67">
        <v>0.108</v>
      </c>
      <c r="L1477" s="36">
        <f>+K1477-((K1477*0.4288*0.125)+(K1477*(1-0.4288)*0.26))</f>
        <v>8.6171903999999994E-2</v>
      </c>
      <c r="M1477" s="64">
        <f t="shared" si="48"/>
        <v>8.6171903999999994E-2</v>
      </c>
      <c r="N1477" s="33" t="s">
        <v>251</v>
      </c>
    </row>
    <row r="1478" spans="1:14" ht="15">
      <c r="A1478" s="12"/>
      <c r="B1478" s="33" t="s">
        <v>194</v>
      </c>
      <c r="C1478" s="92" t="s">
        <v>364</v>
      </c>
      <c r="D1478" s="33" t="s">
        <v>411</v>
      </c>
      <c r="E1478" s="34">
        <v>44742</v>
      </c>
      <c r="F1478" s="34">
        <v>44743</v>
      </c>
      <c r="G1478" s="34">
        <v>44748</v>
      </c>
      <c r="H1478" s="35">
        <v>1.4999999999999999E-2</v>
      </c>
      <c r="I1478" s="67">
        <v>0.11169999999999999</v>
      </c>
      <c r="J1478" s="67">
        <v>0</v>
      </c>
      <c r="K1478" s="67">
        <v>0.11169999999999999</v>
      </c>
      <c r="L1478" s="36">
        <f>+K1478-((K1478*0.4288*0.125)+(K1478*(1-0.4288)*0.26))</f>
        <v>8.9124089599999998E-2</v>
      </c>
      <c r="M1478" s="64">
        <f t="shared" si="48"/>
        <v>8.9124089599999998E-2</v>
      </c>
      <c r="N1478" s="33" t="s">
        <v>251</v>
      </c>
    </row>
    <row r="1479" spans="1:14" ht="15">
      <c r="A1479" s="12"/>
      <c r="B1479" s="33" t="s">
        <v>307</v>
      </c>
      <c r="C1479" s="92" t="s">
        <v>420</v>
      </c>
      <c r="D1479" s="33" t="s">
        <v>411</v>
      </c>
      <c r="E1479" s="34">
        <v>44742</v>
      </c>
      <c r="F1479" s="34">
        <v>44743</v>
      </c>
      <c r="G1479" s="34">
        <v>44748</v>
      </c>
      <c r="H1479" s="35">
        <v>1.4999999999999999E-2</v>
      </c>
      <c r="I1479" s="67">
        <v>5.7000000000000002E-3</v>
      </c>
      <c r="J1479" s="67">
        <v>0</v>
      </c>
      <c r="K1479" s="67">
        <v>5.7000000000000002E-3</v>
      </c>
      <c r="L1479" s="36">
        <f>+K1479-((K1479*0.5668*0.125)+(K1479*(1-0.5668)*0.26))</f>
        <v>4.6541526000000001E-3</v>
      </c>
      <c r="M1479" s="64">
        <f t="shared" si="48"/>
        <v>4.6541526000000001E-3</v>
      </c>
      <c r="N1479" s="33" t="s">
        <v>251</v>
      </c>
    </row>
    <row r="1480" spans="1:14" ht="15">
      <c r="A1480" s="12"/>
      <c r="B1480" s="33" t="s">
        <v>185</v>
      </c>
      <c r="C1480" s="92" t="s">
        <v>366</v>
      </c>
      <c r="D1480" s="33" t="s">
        <v>411</v>
      </c>
      <c r="E1480" s="34">
        <v>44742</v>
      </c>
      <c r="F1480" s="34">
        <v>44743</v>
      </c>
      <c r="G1480" s="34">
        <v>44748</v>
      </c>
      <c r="H1480" s="35">
        <v>1.4999999999999999E-2</v>
      </c>
      <c r="I1480" s="67">
        <v>9.5200000000000007E-2</v>
      </c>
      <c r="J1480" s="67">
        <v>0</v>
      </c>
      <c r="K1480" s="67">
        <v>9.5200000000000007E-2</v>
      </c>
      <c r="L1480" s="36">
        <f>+K1480-((K1480*0.5668*0.125)+(K1480*(1-0.5668)*0.26))</f>
        <v>7.7732513599999997E-2</v>
      </c>
      <c r="M1480" s="64">
        <f t="shared" si="48"/>
        <v>7.7732513599999997E-2</v>
      </c>
      <c r="N1480" s="33" t="s">
        <v>251</v>
      </c>
    </row>
    <row r="1481" spans="1:14" ht="15">
      <c r="A1481" s="12"/>
      <c r="B1481" s="33" t="s">
        <v>193</v>
      </c>
      <c r="C1481" s="92" t="s">
        <v>367</v>
      </c>
      <c r="D1481" s="33" t="s">
        <v>411</v>
      </c>
      <c r="E1481" s="34">
        <v>44742</v>
      </c>
      <c r="F1481" s="34">
        <v>44743</v>
      </c>
      <c r="G1481" s="34">
        <v>44748</v>
      </c>
      <c r="H1481" s="35">
        <v>1.4999999999999999E-2</v>
      </c>
      <c r="I1481" s="67">
        <v>9.3399999999999997E-2</v>
      </c>
      <c r="J1481" s="67">
        <v>0</v>
      </c>
      <c r="K1481" s="67">
        <v>9.3399999999999997E-2</v>
      </c>
      <c r="L1481" s="36">
        <f>+K1481-((K1481*0.5668*0.125)+(K1481*(1-0.5668)*0.26))</f>
        <v>7.6262781199999991E-2</v>
      </c>
      <c r="M1481" s="64">
        <f t="shared" si="48"/>
        <v>7.6262781199999991E-2</v>
      </c>
      <c r="N1481" s="33" t="s">
        <v>251</v>
      </c>
    </row>
    <row r="1482" spans="1:14" ht="15">
      <c r="A1482" s="12"/>
      <c r="B1482" s="33" t="s">
        <v>309</v>
      </c>
      <c r="C1482" s="92" t="s">
        <v>427</v>
      </c>
      <c r="D1482" s="33" t="s">
        <v>411</v>
      </c>
      <c r="E1482" s="34">
        <v>44742</v>
      </c>
      <c r="F1482" s="34">
        <v>44743</v>
      </c>
      <c r="G1482" s="34">
        <v>44748</v>
      </c>
      <c r="H1482" s="35">
        <v>0.02</v>
      </c>
      <c r="I1482" s="67">
        <v>8.2000000000000007E-3</v>
      </c>
      <c r="J1482" s="67">
        <v>0</v>
      </c>
      <c r="K1482" s="67">
        <v>8.2000000000000007E-3</v>
      </c>
      <c r="L1482" s="36">
        <f>+K1482-((K1482*0.0344*0.125)+(K1482*(1-0.0344)*0.26))</f>
        <v>6.1060808000000001E-3</v>
      </c>
      <c r="M1482" s="64">
        <f t="shared" si="48"/>
        <v>6.1060808000000001E-3</v>
      </c>
      <c r="N1482" s="33" t="s">
        <v>251</v>
      </c>
    </row>
    <row r="1483" spans="1:14" ht="15">
      <c r="A1483" s="12"/>
      <c r="B1483" s="33" t="s">
        <v>187</v>
      </c>
      <c r="C1483" s="92" t="s">
        <v>368</v>
      </c>
      <c r="D1483" s="33" t="s">
        <v>411</v>
      </c>
      <c r="E1483" s="34">
        <v>44742</v>
      </c>
      <c r="F1483" s="34">
        <v>44743</v>
      </c>
      <c r="G1483" s="34">
        <v>44748</v>
      </c>
      <c r="H1483" s="35">
        <v>0.02</v>
      </c>
      <c r="I1483" s="67">
        <v>0.14419999999999999</v>
      </c>
      <c r="J1483" s="67">
        <v>0</v>
      </c>
      <c r="K1483" s="67">
        <v>0.14419999999999999</v>
      </c>
      <c r="L1483" s="36">
        <f>+K1483-((K1483*0.0344*0.125)+(K1483*(1-0.0344)*0.26))</f>
        <v>0.10737766479999999</v>
      </c>
      <c r="M1483" s="64">
        <f t="shared" si="48"/>
        <v>0.10737766479999999</v>
      </c>
      <c r="N1483" s="33" t="s">
        <v>251</v>
      </c>
    </row>
    <row r="1484" spans="1:14" ht="15">
      <c r="A1484" s="12"/>
      <c r="B1484" s="33" t="s">
        <v>195</v>
      </c>
      <c r="C1484" s="92" t="s">
        <v>369</v>
      </c>
      <c r="D1484" s="33" t="s">
        <v>411</v>
      </c>
      <c r="E1484" s="34">
        <v>44742</v>
      </c>
      <c r="F1484" s="34">
        <v>44743</v>
      </c>
      <c r="G1484" s="34">
        <v>44748</v>
      </c>
      <c r="H1484" s="35">
        <v>0.02</v>
      </c>
      <c r="I1484" s="67">
        <v>0.14960000000000001</v>
      </c>
      <c r="J1484" s="67">
        <v>0</v>
      </c>
      <c r="K1484" s="67">
        <v>0.14960000000000001</v>
      </c>
      <c r="L1484" s="36">
        <f>+K1484-((K1484*0.0344*0.125)+(K1484*(1-0.0344)*0.26))</f>
        <v>0.1113987424</v>
      </c>
      <c r="M1484" s="64">
        <f t="shared" si="48"/>
        <v>0.1113987424</v>
      </c>
      <c r="N1484" s="33" t="s">
        <v>251</v>
      </c>
    </row>
    <row r="1485" spans="1:14" ht="15">
      <c r="A1485" s="12"/>
      <c r="B1485" s="33" t="s">
        <v>312</v>
      </c>
      <c r="C1485" s="92" t="s">
        <v>428</v>
      </c>
      <c r="D1485" s="33" t="s">
        <v>411</v>
      </c>
      <c r="E1485" s="34">
        <v>44742</v>
      </c>
      <c r="F1485" s="34">
        <v>44743</v>
      </c>
      <c r="G1485" s="34">
        <v>44748</v>
      </c>
      <c r="H1485" s="35">
        <v>3.2500000000000001E-2</v>
      </c>
      <c r="I1485" s="67">
        <v>1.2500000000000001E-2</v>
      </c>
      <c r="J1485" s="67">
        <v>0</v>
      </c>
      <c r="K1485" s="67">
        <v>1.2500000000000001E-2</v>
      </c>
      <c r="L1485" s="36">
        <f>+K1485-((K1485*0.0095*0.125)+(K1485*(1-0.0095)*0.26))</f>
        <v>9.2660312500000008E-3</v>
      </c>
      <c r="M1485" s="64">
        <f t="shared" si="48"/>
        <v>9.2660312500000008E-3</v>
      </c>
      <c r="N1485" s="33" t="s">
        <v>251</v>
      </c>
    </row>
    <row r="1486" spans="1:14" ht="15">
      <c r="A1486" s="12"/>
      <c r="B1486" s="33" t="s">
        <v>190</v>
      </c>
      <c r="C1486" s="92" t="s">
        <v>370</v>
      </c>
      <c r="D1486" s="33" t="s">
        <v>411</v>
      </c>
      <c r="E1486" s="34">
        <v>44742</v>
      </c>
      <c r="F1486" s="34">
        <v>44743</v>
      </c>
      <c r="G1486" s="34">
        <v>44748</v>
      </c>
      <c r="H1486" s="35">
        <v>3.2500000000000001E-2</v>
      </c>
      <c r="I1486" s="67">
        <v>0.2374</v>
      </c>
      <c r="J1486" s="67">
        <v>0</v>
      </c>
      <c r="K1486" s="67">
        <v>0.2374</v>
      </c>
      <c r="L1486" s="36">
        <f>+K1486-((K1486*0.0095*0.125)+(K1486*(1-0.0095)*0.26))</f>
        <v>0.17598046549999999</v>
      </c>
      <c r="M1486" s="64">
        <f t="shared" si="48"/>
        <v>0.17598046549999999</v>
      </c>
      <c r="N1486" s="33" t="s">
        <v>251</v>
      </c>
    </row>
    <row r="1487" spans="1:14" ht="15">
      <c r="A1487" s="12"/>
      <c r="B1487" s="33" t="s">
        <v>198</v>
      </c>
      <c r="C1487" s="92" t="s">
        <v>371</v>
      </c>
      <c r="D1487" s="33" t="s">
        <v>411</v>
      </c>
      <c r="E1487" s="34">
        <v>44742</v>
      </c>
      <c r="F1487" s="34">
        <v>44743</v>
      </c>
      <c r="G1487" s="34">
        <v>44748</v>
      </c>
      <c r="H1487" s="35">
        <v>3.2500000000000001E-2</v>
      </c>
      <c r="I1487" s="67">
        <v>0.23849999999999999</v>
      </c>
      <c r="J1487" s="67">
        <v>0</v>
      </c>
      <c r="K1487" s="67">
        <v>0.23849999999999999</v>
      </c>
      <c r="L1487" s="36">
        <f>+K1487-((K1487*0.0095*0.125)+(K1487*(1-0.0095)*0.26))</f>
        <v>0.17679587624999998</v>
      </c>
      <c r="M1487" s="64">
        <f t="shared" si="48"/>
        <v>0.17679587624999998</v>
      </c>
      <c r="N1487" s="33" t="s">
        <v>251</v>
      </c>
    </row>
    <row r="1488" spans="1:14" ht="15">
      <c r="A1488" s="12"/>
      <c r="B1488" s="33" t="s">
        <v>513</v>
      </c>
      <c r="C1488" s="92" t="s">
        <v>515</v>
      </c>
      <c r="D1488" s="33" t="s">
        <v>411</v>
      </c>
      <c r="E1488" s="34">
        <v>44742</v>
      </c>
      <c r="F1488" s="34">
        <v>44743</v>
      </c>
      <c r="G1488" s="34">
        <v>44748</v>
      </c>
      <c r="H1488" s="35">
        <v>0</v>
      </c>
      <c r="I1488" s="67">
        <v>0</v>
      </c>
      <c r="J1488" s="67">
        <v>0</v>
      </c>
      <c r="K1488" s="67">
        <v>0</v>
      </c>
      <c r="L1488" s="36">
        <f>+K1488-((K1488*0.299*0.125)+(K1488*(1-0.299)*0.26))</f>
        <v>0</v>
      </c>
      <c r="M1488" s="64">
        <f t="shared" si="48"/>
        <v>0</v>
      </c>
      <c r="N1488" s="33" t="s">
        <v>251</v>
      </c>
    </row>
    <row r="1489" spans="1:14" ht="15">
      <c r="A1489" s="12"/>
      <c r="B1489" s="33" t="s">
        <v>514</v>
      </c>
      <c r="C1489" s="92" t="s">
        <v>516</v>
      </c>
      <c r="D1489" s="33" t="s">
        <v>411</v>
      </c>
      <c r="E1489" s="34">
        <v>44742</v>
      </c>
      <c r="F1489" s="34">
        <v>44743</v>
      </c>
      <c r="G1489" s="34">
        <v>44748</v>
      </c>
      <c r="H1489" s="35">
        <v>0</v>
      </c>
      <c r="I1489" s="67">
        <v>0</v>
      </c>
      <c r="J1489" s="67">
        <v>0</v>
      </c>
      <c r="K1489" s="67">
        <v>0</v>
      </c>
      <c r="L1489" s="36">
        <f>+K1489-((K1489*0.299*0.125)+(K1489*(1-0.299)*0.26))</f>
        <v>0</v>
      </c>
      <c r="M1489" s="64">
        <f t="shared" si="48"/>
        <v>0</v>
      </c>
      <c r="N1489" s="33" t="s">
        <v>251</v>
      </c>
    </row>
    <row r="1490" spans="1:14" ht="15">
      <c r="A1490" s="12"/>
      <c r="B1490" s="33" t="s">
        <v>313</v>
      </c>
      <c r="C1490" s="92" t="s">
        <v>429</v>
      </c>
      <c r="D1490" s="33" t="s">
        <v>411</v>
      </c>
      <c r="E1490" s="34">
        <v>44742</v>
      </c>
      <c r="F1490" s="34">
        <v>44743</v>
      </c>
      <c r="G1490" s="34">
        <v>44748</v>
      </c>
      <c r="H1490" s="35">
        <v>1.2E-2</v>
      </c>
      <c r="I1490" s="67">
        <v>5.0000000000000001E-3</v>
      </c>
      <c r="J1490" s="67">
        <v>0</v>
      </c>
      <c r="K1490" s="67">
        <v>5.0000000000000001E-3</v>
      </c>
      <c r="L1490" s="36">
        <f>+K1490-((K1490*0.1445*0.125)+(K1490*(1-0.1445)*0.26))</f>
        <v>3.7975374999999999E-3</v>
      </c>
      <c r="M1490" s="64">
        <f t="shared" si="48"/>
        <v>3.7975374999999999E-3</v>
      </c>
      <c r="N1490" s="33" t="s">
        <v>251</v>
      </c>
    </row>
    <row r="1491" spans="1:14" ht="15">
      <c r="A1491" s="12"/>
      <c r="B1491" s="33" t="s">
        <v>298</v>
      </c>
      <c r="C1491" s="92" t="s">
        <v>403</v>
      </c>
      <c r="D1491" s="33" t="s">
        <v>410</v>
      </c>
      <c r="E1491" s="34">
        <v>44742</v>
      </c>
      <c r="F1491" s="34">
        <v>44743</v>
      </c>
      <c r="G1491" s="34">
        <v>44748</v>
      </c>
      <c r="H1491" s="35">
        <v>4.4999999999999998E-2</v>
      </c>
      <c r="I1491" s="67">
        <v>4.8899999999999999E-2</v>
      </c>
      <c r="J1491" s="67">
        <v>0</v>
      </c>
      <c r="K1491" s="67">
        <v>4.8899999999999999E-2</v>
      </c>
      <c r="L1491" s="36">
        <f>+K1491-((K1491*0.4427*0.125)+(K1491*(1-0.4427)*0.26))</f>
        <v>3.9108484050000003E-2</v>
      </c>
      <c r="M1491" s="64">
        <f t="shared" si="48"/>
        <v>3.9108484050000003E-2</v>
      </c>
      <c r="N1491" s="33" t="s">
        <v>248</v>
      </c>
    </row>
    <row r="1492" spans="1:14" ht="15">
      <c r="A1492" s="12"/>
      <c r="B1492" s="33" t="s">
        <v>181</v>
      </c>
      <c r="C1492" s="92" t="s">
        <v>335</v>
      </c>
      <c r="D1492" s="33" t="s">
        <v>410</v>
      </c>
      <c r="E1492" s="34">
        <v>44742</v>
      </c>
      <c r="F1492" s="34">
        <v>44743</v>
      </c>
      <c r="G1492" s="34">
        <v>44748</v>
      </c>
      <c r="H1492" s="35">
        <v>4.4999999999999998E-2</v>
      </c>
      <c r="I1492" s="67">
        <v>0.87180000000000002</v>
      </c>
      <c r="J1492" s="67">
        <v>0</v>
      </c>
      <c r="K1492" s="67">
        <v>0.87180000000000002</v>
      </c>
      <c r="L1492" s="36">
        <f>+K1492-((K1492*0.4427*0.125)+(K1492*(1-0.4427)*0.26))</f>
        <v>0.69723469110000003</v>
      </c>
      <c r="M1492" s="64">
        <f t="shared" si="48"/>
        <v>0.69723469110000003</v>
      </c>
      <c r="N1492" s="33" t="s">
        <v>248</v>
      </c>
    </row>
    <row r="1493" spans="1:14" ht="15">
      <c r="A1493" s="12"/>
      <c r="B1493" s="33" t="s">
        <v>201</v>
      </c>
      <c r="C1493" s="92" t="s">
        <v>336</v>
      </c>
      <c r="D1493" s="33" t="s">
        <v>410</v>
      </c>
      <c r="E1493" s="34">
        <v>44742</v>
      </c>
      <c r="F1493" s="34">
        <v>44743</v>
      </c>
      <c r="G1493" s="34">
        <v>44748</v>
      </c>
      <c r="H1493" s="35">
        <v>4.4999999999999998E-2</v>
      </c>
      <c r="I1493" s="67">
        <v>0.88749999999999996</v>
      </c>
      <c r="J1493" s="67">
        <v>0</v>
      </c>
      <c r="K1493" s="67">
        <v>0.88749999999999996</v>
      </c>
      <c r="L1493" s="36">
        <f>+K1493-((K1493*0.4427*0.125)+(K1493*(1-0.4427)*0.26))</f>
        <v>0.70979099374999999</v>
      </c>
      <c r="M1493" s="64">
        <f t="shared" si="48"/>
        <v>0.70979099374999999</v>
      </c>
      <c r="N1493" s="33" t="s">
        <v>248</v>
      </c>
    </row>
    <row r="1494" spans="1:14" ht="15">
      <c r="A1494" s="12"/>
      <c r="B1494" s="33" t="s">
        <v>138</v>
      </c>
      <c r="C1494" s="92" t="s">
        <v>337</v>
      </c>
      <c r="D1494" s="33" t="s">
        <v>410</v>
      </c>
      <c r="E1494" s="34">
        <v>44742</v>
      </c>
      <c r="F1494" s="34">
        <v>44743</v>
      </c>
      <c r="G1494" s="34">
        <v>44748</v>
      </c>
      <c r="H1494" s="35">
        <v>0.05</v>
      </c>
      <c r="I1494" s="67">
        <v>7.1099999999999997E-2</v>
      </c>
      <c r="J1494" s="67">
        <v>0</v>
      </c>
      <c r="K1494" s="67">
        <v>7.1099999999999997E-2</v>
      </c>
      <c r="L1494" s="36">
        <f>+K1494-((K1494*0.2774*0.125)+(K1494*(1-0.2774)*0.26))</f>
        <v>5.5276623900000002E-2</v>
      </c>
      <c r="M1494" s="64">
        <f t="shared" si="48"/>
        <v>5.5276623900000002E-2</v>
      </c>
      <c r="N1494" s="33" t="s">
        <v>248</v>
      </c>
    </row>
    <row r="1495" spans="1:14" ht="15">
      <c r="A1495" s="12"/>
      <c r="B1495" s="33" t="s">
        <v>160</v>
      </c>
      <c r="C1495" s="92" t="s">
        <v>338</v>
      </c>
      <c r="D1495" s="33" t="s">
        <v>410</v>
      </c>
      <c r="E1495" s="34">
        <v>44742</v>
      </c>
      <c r="F1495" s="34">
        <v>44743</v>
      </c>
      <c r="G1495" s="34">
        <v>44748</v>
      </c>
      <c r="H1495" s="35">
        <v>0.05</v>
      </c>
      <c r="I1495" s="67">
        <v>7.0099999999999996E-2</v>
      </c>
      <c r="J1495" s="67">
        <v>0</v>
      </c>
      <c r="K1495" s="67">
        <v>7.0099999999999996E-2</v>
      </c>
      <c r="L1495" s="36">
        <f>+K1495-((K1495*0.2774*0.125)+(K1495*(1-0.2774)*0.26))</f>
        <v>5.4499174899999996E-2</v>
      </c>
      <c r="M1495" s="64">
        <f t="shared" si="48"/>
        <v>5.4499174899999996E-2</v>
      </c>
      <c r="N1495" s="33" t="s">
        <v>248</v>
      </c>
    </row>
    <row r="1496" spans="1:14" ht="15">
      <c r="A1496" s="12"/>
      <c r="B1496" s="33" t="s">
        <v>300</v>
      </c>
      <c r="C1496" s="92" t="s">
        <v>404</v>
      </c>
      <c r="D1496" s="33" t="s">
        <v>410</v>
      </c>
      <c r="E1496" s="34">
        <v>44742</v>
      </c>
      <c r="F1496" s="34">
        <v>44743</v>
      </c>
      <c r="G1496" s="34">
        <v>44748</v>
      </c>
      <c r="H1496" s="35">
        <v>0.05</v>
      </c>
      <c r="I1496" s="67">
        <v>5.4899999999999997E-2</v>
      </c>
      <c r="J1496" s="67">
        <v>0</v>
      </c>
      <c r="K1496" s="67">
        <v>5.4899999999999997E-2</v>
      </c>
      <c r="L1496" s="36">
        <f>+K1496-((K1496*0.2774*0.125)+(K1496*(1-0.2774)*0.26))</f>
        <v>4.2681950099999998E-2</v>
      </c>
      <c r="M1496" s="64">
        <f t="shared" si="48"/>
        <v>4.2681950099999998E-2</v>
      </c>
      <c r="N1496" s="33" t="s">
        <v>248</v>
      </c>
    </row>
    <row r="1497" spans="1:14" ht="15">
      <c r="A1497" s="12"/>
      <c r="B1497" s="33" t="s">
        <v>142</v>
      </c>
      <c r="C1497" s="92" t="s">
        <v>341</v>
      </c>
      <c r="D1497" s="33" t="s">
        <v>410</v>
      </c>
      <c r="E1497" s="34">
        <v>44742</v>
      </c>
      <c r="F1497" s="34">
        <v>44743</v>
      </c>
      <c r="G1497" s="34">
        <v>44748</v>
      </c>
      <c r="H1497" s="35">
        <v>5.2499999999999998E-2</v>
      </c>
      <c r="I1497" s="67">
        <v>7.6600000000000001E-2</v>
      </c>
      <c r="J1497" s="67">
        <v>0</v>
      </c>
      <c r="K1497" s="67">
        <v>7.6600000000000001E-2</v>
      </c>
      <c r="L1497" s="36">
        <f>+K1497-((K1497*0.0694*0.125)+(K1497*(1-0.0694)*0.26))</f>
        <v>5.7401665400000003E-2</v>
      </c>
      <c r="M1497" s="64">
        <f t="shared" si="48"/>
        <v>5.7401665400000003E-2</v>
      </c>
      <c r="N1497" s="33" t="s">
        <v>248</v>
      </c>
    </row>
    <row r="1498" spans="1:14" ht="15">
      <c r="A1498" s="12"/>
      <c r="B1498" s="33" t="s">
        <v>159</v>
      </c>
      <c r="C1498" s="92" t="s">
        <v>342</v>
      </c>
      <c r="D1498" s="33" t="s">
        <v>410</v>
      </c>
      <c r="E1498" s="34">
        <v>44742</v>
      </c>
      <c r="F1498" s="34">
        <v>44743</v>
      </c>
      <c r="G1498" s="34">
        <v>44748</v>
      </c>
      <c r="H1498" s="35">
        <v>5.2499999999999998E-2</v>
      </c>
      <c r="I1498" s="67">
        <v>7.5700000000000003E-2</v>
      </c>
      <c r="J1498" s="67">
        <v>0</v>
      </c>
      <c r="K1498" s="67">
        <v>7.5700000000000003E-2</v>
      </c>
      <c r="L1498" s="36">
        <f>+K1498-((K1498*0.0694*0.125)+(K1498*(1-0.0694)*0.26))</f>
        <v>5.6727233299999999E-2</v>
      </c>
      <c r="M1498" s="64">
        <f t="shared" si="48"/>
        <v>5.6727233299999999E-2</v>
      </c>
      <c r="N1498" s="33" t="s">
        <v>248</v>
      </c>
    </row>
    <row r="1499" spans="1:14" ht="15">
      <c r="A1499" s="12"/>
      <c r="B1499" s="33" t="s">
        <v>507</v>
      </c>
      <c r="C1499" s="92" t="s">
        <v>508</v>
      </c>
      <c r="D1499" s="33" t="s">
        <v>410</v>
      </c>
      <c r="E1499" s="34">
        <v>44742</v>
      </c>
      <c r="F1499" s="34">
        <v>44743</v>
      </c>
      <c r="G1499" s="34">
        <v>44748</v>
      </c>
      <c r="H1499" s="35">
        <v>5.2499999999999998E-2</v>
      </c>
      <c r="I1499" s="67">
        <v>6.0499999999999998E-2</v>
      </c>
      <c r="J1499" s="67">
        <v>0</v>
      </c>
      <c r="K1499" s="67">
        <v>6.0499999999999998E-2</v>
      </c>
      <c r="L1499" s="36">
        <f>+K1499-((K1499*0.0694*0.125)+(K1499*(1-0.0694)*0.26))</f>
        <v>4.5336824499999998E-2</v>
      </c>
      <c r="M1499" s="64">
        <f t="shared" si="48"/>
        <v>4.5336824499999998E-2</v>
      </c>
      <c r="N1499" s="33" t="s">
        <v>248</v>
      </c>
    </row>
    <row r="1500" spans="1:14" ht="15">
      <c r="A1500" s="12"/>
      <c r="B1500" s="33" t="s">
        <v>139</v>
      </c>
      <c r="C1500" s="92" t="s">
        <v>344</v>
      </c>
      <c r="D1500" s="33" t="s">
        <v>410</v>
      </c>
      <c r="E1500" s="34">
        <v>44742</v>
      </c>
      <c r="F1500" s="34">
        <v>44743</v>
      </c>
      <c r="G1500" s="34">
        <v>44748</v>
      </c>
      <c r="H1500" s="35">
        <v>0.02</v>
      </c>
      <c r="I1500" s="67">
        <v>2.0400000000000001E-2</v>
      </c>
      <c r="J1500" s="67">
        <v>0</v>
      </c>
      <c r="K1500" s="67">
        <v>2.0400000000000001E-2</v>
      </c>
      <c r="L1500" s="36">
        <f>+K1500-((K1500*0.8038*0.125)+(K1500*(1-0.8038)*0.26))</f>
        <v>1.7309665200000001E-2</v>
      </c>
      <c r="M1500" s="64">
        <f t="shared" si="48"/>
        <v>1.7309665200000001E-2</v>
      </c>
      <c r="N1500" s="33" t="s">
        <v>248</v>
      </c>
    </row>
    <row r="1501" spans="1:14" ht="15">
      <c r="A1501" s="12"/>
      <c r="B1501" s="33" t="s">
        <v>161</v>
      </c>
      <c r="C1501" s="92" t="s">
        <v>345</v>
      </c>
      <c r="D1501" s="33" t="s">
        <v>410</v>
      </c>
      <c r="E1501" s="34">
        <v>44742</v>
      </c>
      <c r="F1501" s="34">
        <v>44743</v>
      </c>
      <c r="G1501" s="34">
        <v>44748</v>
      </c>
      <c r="H1501" s="35">
        <v>0.02</v>
      </c>
      <c r="I1501" s="67">
        <v>2.0199999999999999E-2</v>
      </c>
      <c r="J1501" s="67">
        <v>0</v>
      </c>
      <c r="K1501" s="67">
        <v>2.0199999999999999E-2</v>
      </c>
      <c r="L1501" s="36">
        <f>+K1501-((K1501*0.8038*0.125)+(K1501*(1-0.8038)*0.26))</f>
        <v>1.7139962599999999E-2</v>
      </c>
      <c r="M1501" s="64">
        <f t="shared" si="48"/>
        <v>1.7139962599999999E-2</v>
      </c>
      <c r="N1501" s="33" t="s">
        <v>248</v>
      </c>
    </row>
    <row r="1502" spans="1:14" ht="15">
      <c r="A1502" s="12"/>
      <c r="B1502" s="33" t="s">
        <v>141</v>
      </c>
      <c r="C1502" s="92" t="s">
        <v>348</v>
      </c>
      <c r="D1502" s="33" t="s">
        <v>410</v>
      </c>
      <c r="E1502" s="34">
        <v>44742</v>
      </c>
      <c r="F1502" s="34">
        <v>44743</v>
      </c>
      <c r="G1502" s="34">
        <v>44748</v>
      </c>
      <c r="H1502" s="35">
        <v>0.04</v>
      </c>
      <c r="I1502" s="67">
        <v>4.3799999999999999E-2</v>
      </c>
      <c r="J1502" s="67">
        <v>0</v>
      </c>
      <c r="K1502" s="67">
        <v>4.3799999999999999E-2</v>
      </c>
      <c r="L1502" s="36">
        <f>+K1502-((K1502*0.0806*0.125)+(K1502*(1-0.0806)*0.26))</f>
        <v>3.2888587800000001E-2</v>
      </c>
      <c r="M1502" s="64">
        <f t="shared" si="48"/>
        <v>3.2888587800000001E-2</v>
      </c>
      <c r="N1502" s="33" t="s">
        <v>248</v>
      </c>
    </row>
    <row r="1503" spans="1:14" ht="15">
      <c r="A1503" s="12"/>
      <c r="B1503" s="33" t="s">
        <v>140</v>
      </c>
      <c r="C1503" s="92" t="s">
        <v>349</v>
      </c>
      <c r="D1503" s="33" t="s">
        <v>410</v>
      </c>
      <c r="E1503" s="34">
        <v>44742</v>
      </c>
      <c r="F1503" s="34">
        <v>44743</v>
      </c>
      <c r="G1503" s="34">
        <v>44748</v>
      </c>
      <c r="H1503" s="35">
        <v>0.04</v>
      </c>
      <c r="I1503" s="67">
        <v>4.87E-2</v>
      </c>
      <c r="J1503" s="67">
        <v>0</v>
      </c>
      <c r="K1503" s="67">
        <v>4.87E-2</v>
      </c>
      <c r="L1503" s="36">
        <f>+K1503-((K1503*0.0806*0.125)+(K1503*(1-0.0806)*0.26))</f>
        <v>3.6567904700000001E-2</v>
      </c>
      <c r="M1503" s="64">
        <f t="shared" si="48"/>
        <v>3.6567904700000001E-2</v>
      </c>
      <c r="N1503" s="33" t="s">
        <v>248</v>
      </c>
    </row>
    <row r="1504" spans="1:14" ht="15">
      <c r="A1504" s="12"/>
      <c r="B1504" s="33" t="s">
        <v>162</v>
      </c>
      <c r="C1504" s="92" t="s">
        <v>350</v>
      </c>
      <c r="D1504" s="33" t="s">
        <v>410</v>
      </c>
      <c r="E1504" s="34">
        <v>44742</v>
      </c>
      <c r="F1504" s="34">
        <v>44743</v>
      </c>
      <c r="G1504" s="34">
        <v>44748</v>
      </c>
      <c r="H1504" s="35">
        <v>0.04</v>
      </c>
      <c r="I1504" s="67">
        <v>4.8000000000000001E-2</v>
      </c>
      <c r="J1504" s="67">
        <v>0</v>
      </c>
      <c r="K1504" s="67">
        <v>4.8000000000000001E-2</v>
      </c>
      <c r="L1504" s="36">
        <f>+K1504-((K1504*0.0806*0.125)+(K1504*(1-0.0806)*0.26))</f>
        <v>3.6042287999999999E-2</v>
      </c>
      <c r="M1504" s="64">
        <f t="shared" si="48"/>
        <v>3.6042287999999999E-2</v>
      </c>
      <c r="N1504" s="33" t="s">
        <v>248</v>
      </c>
    </row>
    <row r="1505" spans="1:14" ht="15">
      <c r="A1505" s="12"/>
      <c r="B1505" s="33" t="s">
        <v>302</v>
      </c>
      <c r="C1505" s="92" t="s">
        <v>405</v>
      </c>
      <c r="D1505" s="33" t="s">
        <v>410</v>
      </c>
      <c r="E1505" s="34">
        <v>44742</v>
      </c>
      <c r="F1505" s="34">
        <v>44743</v>
      </c>
      <c r="G1505" s="34">
        <v>44748</v>
      </c>
      <c r="H1505" s="35">
        <v>0.04</v>
      </c>
      <c r="I1505" s="67">
        <v>4.5499999999999999E-2</v>
      </c>
      <c r="J1505" s="67">
        <v>0</v>
      </c>
      <c r="K1505" s="67">
        <v>4.5499999999999999E-2</v>
      </c>
      <c r="L1505" s="36">
        <f>+K1505-((K1505*0.0806*0.125)+(K1505*(1-0.0806)*0.26))</f>
        <v>3.4165085499999998E-2</v>
      </c>
      <c r="M1505" s="64">
        <f t="shared" si="48"/>
        <v>3.4165085499999998E-2</v>
      </c>
      <c r="N1505" s="33" t="s">
        <v>248</v>
      </c>
    </row>
    <row r="1506" spans="1:14" ht="15">
      <c r="A1506" s="12"/>
      <c r="B1506" s="33" t="s">
        <v>303</v>
      </c>
      <c r="C1506" s="92" t="s">
        <v>406</v>
      </c>
      <c r="D1506" s="33" t="s">
        <v>410</v>
      </c>
      <c r="E1506" s="34">
        <v>44742</v>
      </c>
      <c r="F1506" s="34">
        <v>44743</v>
      </c>
      <c r="G1506" s="34">
        <v>44748</v>
      </c>
      <c r="H1506" s="35">
        <v>0.04</v>
      </c>
      <c r="I1506" s="67">
        <v>4.5499999999999999E-2</v>
      </c>
      <c r="J1506" s="67">
        <v>0</v>
      </c>
      <c r="K1506" s="67">
        <v>4.5499999999999999E-2</v>
      </c>
      <c r="L1506" s="36">
        <f>+K1506-((K1506*0.0806*0.125)+(K1506*(1-0.0806)*0.26))</f>
        <v>3.4165085499999998E-2</v>
      </c>
      <c r="M1506" s="64">
        <f t="shared" si="48"/>
        <v>3.4165085499999998E-2</v>
      </c>
      <c r="N1506" s="33" t="s">
        <v>248</v>
      </c>
    </row>
    <row r="1507" spans="1:14" ht="15">
      <c r="A1507" s="12"/>
      <c r="B1507" s="33" t="s">
        <v>143</v>
      </c>
      <c r="C1507" s="92" t="s">
        <v>351</v>
      </c>
      <c r="D1507" s="33" t="s">
        <v>410</v>
      </c>
      <c r="E1507" s="34">
        <v>44742</v>
      </c>
      <c r="F1507" s="34">
        <v>44743</v>
      </c>
      <c r="G1507" s="34">
        <v>44748</v>
      </c>
      <c r="H1507" s="35">
        <v>4.0000000000000001E-3</v>
      </c>
      <c r="I1507" s="67">
        <v>5.1000000000000004E-3</v>
      </c>
      <c r="J1507" s="67">
        <v>0</v>
      </c>
      <c r="K1507" s="67">
        <v>5.1000000000000004E-3</v>
      </c>
      <c r="L1507" s="36">
        <f>+K1507-((K1507*0.4594*0.125)+(K1507*(1-0.4594)*0.26))</f>
        <v>4.0902969000000001E-3</v>
      </c>
      <c r="M1507" s="64">
        <f t="shared" si="48"/>
        <v>4.0902969000000001E-3</v>
      </c>
      <c r="N1507" s="33" t="s">
        <v>248</v>
      </c>
    </row>
    <row r="1508" spans="1:14" ht="15">
      <c r="A1508" s="12"/>
      <c r="B1508" s="33" t="s">
        <v>145</v>
      </c>
      <c r="C1508" s="92" t="s">
        <v>352</v>
      </c>
      <c r="D1508" s="33" t="s">
        <v>410</v>
      </c>
      <c r="E1508" s="34">
        <v>44742</v>
      </c>
      <c r="F1508" s="34">
        <v>44743</v>
      </c>
      <c r="G1508" s="34">
        <v>44748</v>
      </c>
      <c r="H1508" s="35">
        <v>4.4999999999999997E-3</v>
      </c>
      <c r="I1508" s="67">
        <v>5.7000000000000002E-3</v>
      </c>
      <c r="J1508" s="67">
        <v>0</v>
      </c>
      <c r="K1508" s="67">
        <v>5.7000000000000002E-3</v>
      </c>
      <c r="L1508" s="36">
        <f>+K1508-((K1508*0.017*0.125)+(K1508*(1-0.017)*0.26))</f>
        <v>4.2310815E-3</v>
      </c>
      <c r="M1508" s="64">
        <f t="shared" si="48"/>
        <v>4.2310815E-3</v>
      </c>
      <c r="N1508" s="33" t="s">
        <v>248</v>
      </c>
    </row>
    <row r="1509" spans="1:14" ht="15">
      <c r="A1509" s="12"/>
      <c r="B1509" s="33" t="s">
        <v>144</v>
      </c>
      <c r="C1509" s="92" t="s">
        <v>353</v>
      </c>
      <c r="D1509" s="33" t="s">
        <v>410</v>
      </c>
      <c r="E1509" s="34">
        <v>44742</v>
      </c>
      <c r="F1509" s="34">
        <v>44743</v>
      </c>
      <c r="G1509" s="34">
        <v>44748</v>
      </c>
      <c r="H1509" s="35">
        <v>2E-3</v>
      </c>
      <c r="I1509" s="67">
        <v>2.5000000000000001E-3</v>
      </c>
      <c r="J1509" s="67">
        <v>0</v>
      </c>
      <c r="K1509" s="67">
        <v>2.5000000000000001E-3</v>
      </c>
      <c r="L1509" s="36">
        <f>+K1509-((K1509*0.8388*0.125)+(K1509*(1-0.8388)*0.26))</f>
        <v>2.1330950000000002E-3</v>
      </c>
      <c r="M1509" s="64">
        <f t="shared" si="48"/>
        <v>2.1330950000000002E-3</v>
      </c>
      <c r="N1509" s="33" t="s">
        <v>248</v>
      </c>
    </row>
    <row r="1510" spans="1:14" ht="15">
      <c r="A1510" s="12"/>
      <c r="B1510" s="33" t="s">
        <v>148</v>
      </c>
      <c r="C1510" s="92" t="s">
        <v>362</v>
      </c>
      <c r="D1510" s="33" t="s">
        <v>410</v>
      </c>
      <c r="E1510" s="34">
        <v>44742</v>
      </c>
      <c r="F1510" s="34">
        <v>44743</v>
      </c>
      <c r="G1510" s="34">
        <v>44748</v>
      </c>
      <c r="H1510" s="35">
        <v>1.4999999999999999E-2</v>
      </c>
      <c r="I1510" s="67">
        <v>1.9400000000000001E-2</v>
      </c>
      <c r="J1510" s="67">
        <v>0</v>
      </c>
      <c r="K1510" s="67">
        <v>1.9400000000000001E-2</v>
      </c>
      <c r="L1510" s="36">
        <f>+K1510-((K1510*0.4288*0.125)+(K1510*(1-0.4288)*0.26))</f>
        <v>1.5479027200000002E-2</v>
      </c>
      <c r="M1510" s="64">
        <f t="shared" si="48"/>
        <v>1.5479027200000002E-2</v>
      </c>
      <c r="N1510" s="33" t="s">
        <v>248</v>
      </c>
    </row>
    <row r="1511" spans="1:14" ht="15">
      <c r="A1511" s="12"/>
      <c r="B1511" s="33" t="s">
        <v>200</v>
      </c>
      <c r="C1511" s="92" t="s">
        <v>365</v>
      </c>
      <c r="D1511" s="33" t="s">
        <v>410</v>
      </c>
      <c r="E1511" s="34">
        <v>44742</v>
      </c>
      <c r="F1511" s="34">
        <v>44743</v>
      </c>
      <c r="G1511" s="34">
        <v>44748</v>
      </c>
      <c r="H1511" s="35">
        <v>1.4999999999999999E-2</v>
      </c>
      <c r="I1511" s="67">
        <v>0.3528</v>
      </c>
      <c r="J1511" s="67">
        <v>0</v>
      </c>
      <c r="K1511" s="67">
        <v>0.3528</v>
      </c>
      <c r="L1511" s="36">
        <f>+K1511-((K1511*0.4288*0.125)+(K1511*(1-0.4288)*0.26))</f>
        <v>0.28149488639999998</v>
      </c>
      <c r="M1511" s="64">
        <f t="shared" si="48"/>
        <v>0.28149488639999998</v>
      </c>
      <c r="N1511" s="33" t="s">
        <v>248</v>
      </c>
    </row>
    <row r="1512" spans="1:14" ht="15">
      <c r="A1512" s="12"/>
      <c r="B1512" s="33" t="s">
        <v>173</v>
      </c>
      <c r="C1512" s="92" t="s">
        <v>372</v>
      </c>
      <c r="D1512" s="33" t="s">
        <v>410</v>
      </c>
      <c r="E1512" s="34">
        <v>44742</v>
      </c>
      <c r="F1512" s="34">
        <v>44743</v>
      </c>
      <c r="G1512" s="34">
        <v>44748</v>
      </c>
      <c r="H1512" s="35">
        <v>0.01</v>
      </c>
      <c r="I1512" s="67">
        <v>1.41E-2</v>
      </c>
      <c r="J1512" s="67">
        <v>0</v>
      </c>
      <c r="K1512" s="67">
        <v>1.41E-2</v>
      </c>
      <c r="L1512" s="36">
        <f>+K1512-((K1512*0.2723*0.125)+(K1512*(1-0.2723)*0.26))</f>
        <v>1.0952323050000001E-2</v>
      </c>
      <c r="M1512" s="64">
        <f t="shared" si="48"/>
        <v>1.0952323050000001E-2</v>
      </c>
      <c r="N1512" s="33" t="s">
        <v>248</v>
      </c>
    </row>
    <row r="1513" spans="1:14" ht="15">
      <c r="A1513" s="12"/>
      <c r="B1513" s="33" t="s">
        <v>150</v>
      </c>
      <c r="C1513" s="92" t="s">
        <v>377</v>
      </c>
      <c r="D1513" s="33" t="s">
        <v>410</v>
      </c>
      <c r="E1513" s="34">
        <v>44742</v>
      </c>
      <c r="F1513" s="34">
        <v>44743</v>
      </c>
      <c r="G1513" s="34">
        <v>44748</v>
      </c>
      <c r="H1513" s="35">
        <v>2.75E-2</v>
      </c>
      <c r="I1513" s="67">
        <v>3.9E-2</v>
      </c>
      <c r="J1513" s="67">
        <v>0</v>
      </c>
      <c r="K1513" s="67">
        <v>3.9E-2</v>
      </c>
      <c r="L1513" s="36">
        <f>+K1513-((K1513*0.00000001*0.125)+(K1513*(1-0.000000001)*0.26))</f>
        <v>2.885999996139E-2</v>
      </c>
      <c r="M1513" s="64">
        <f t="shared" si="48"/>
        <v>2.885999996139E-2</v>
      </c>
      <c r="N1513" s="33" t="s">
        <v>248</v>
      </c>
    </row>
    <row r="1514" spans="1:14" ht="15">
      <c r="A1514" s="12"/>
      <c r="B1514" s="33" t="s">
        <v>510</v>
      </c>
      <c r="C1514" s="92" t="s">
        <v>509</v>
      </c>
      <c r="D1514" s="33" t="s">
        <v>410</v>
      </c>
      <c r="E1514" s="34">
        <v>44742</v>
      </c>
      <c r="F1514" s="34">
        <v>44743</v>
      </c>
      <c r="G1514" s="34">
        <v>44748</v>
      </c>
      <c r="H1514" s="35">
        <v>2.75E-2</v>
      </c>
      <c r="I1514" s="67">
        <v>3.4599999999999999E-2</v>
      </c>
      <c r="J1514" s="67">
        <v>0</v>
      </c>
      <c r="K1514" s="67">
        <v>3.4599999999999999E-2</v>
      </c>
      <c r="L1514" s="36">
        <f>+K1514-((K1514*0.00000001*0.125)+(K1514*(1-0.000000001)*0.26))</f>
        <v>2.5603999965745999E-2</v>
      </c>
      <c r="M1514" s="64">
        <f t="shared" si="48"/>
        <v>2.5603999965745999E-2</v>
      </c>
      <c r="N1514" s="33" t="s">
        <v>248</v>
      </c>
    </row>
    <row r="1515" spans="1:14" ht="15">
      <c r="A1515" s="12"/>
      <c r="B1515" s="33" t="s">
        <v>441</v>
      </c>
      <c r="C1515" s="92" t="s">
        <v>444</v>
      </c>
      <c r="D1515" s="33" t="s">
        <v>410</v>
      </c>
      <c r="E1515" s="34">
        <v>44742</v>
      </c>
      <c r="F1515" s="34">
        <v>44743</v>
      </c>
      <c r="G1515" s="34">
        <v>44748</v>
      </c>
      <c r="H1515" s="35">
        <v>1.4999999999999999E-2</v>
      </c>
      <c r="I1515" s="67">
        <v>1.7399999999999999E-2</v>
      </c>
      <c r="J1515" s="67">
        <v>0</v>
      </c>
      <c r="K1515" s="67">
        <v>1.7399999999999999E-2</v>
      </c>
      <c r="L1515" s="36">
        <f>+K1515-((K1515*0.291*0.125)+(K1515*(1-0.291)*0.26))</f>
        <v>1.3559558999999999E-2</v>
      </c>
      <c r="M1515" s="64">
        <f t="shared" si="48"/>
        <v>1.3559558999999999E-2</v>
      </c>
      <c r="N1515" s="33" t="s">
        <v>248</v>
      </c>
    </row>
    <row r="1516" spans="1:14" ht="15">
      <c r="A1516" s="12"/>
      <c r="B1516" s="33" t="s">
        <v>440</v>
      </c>
      <c r="C1516" s="92" t="s">
        <v>443</v>
      </c>
      <c r="D1516" s="33" t="s">
        <v>410</v>
      </c>
      <c r="E1516" s="34">
        <v>44742</v>
      </c>
      <c r="F1516" s="34">
        <v>44743</v>
      </c>
      <c r="G1516" s="34">
        <v>44748</v>
      </c>
      <c r="H1516" s="35">
        <v>1.4999999999999999E-2</v>
      </c>
      <c r="I1516" s="67">
        <v>0.35659999999999997</v>
      </c>
      <c r="J1516" s="67">
        <v>0</v>
      </c>
      <c r="K1516" s="67">
        <v>0.35659999999999997</v>
      </c>
      <c r="L1516" s="36">
        <f>+K1516-((K1516*0.291*0.125)+(K1516*(1-0.291)*0.26))</f>
        <v>0.27789303099999996</v>
      </c>
      <c r="M1516" s="64">
        <f t="shared" si="48"/>
        <v>0.27789303099999996</v>
      </c>
      <c r="N1516" s="33" t="s">
        <v>248</v>
      </c>
    </row>
    <row r="1517" spans="1:14" ht="15">
      <c r="A1517" s="12"/>
      <c r="B1517" s="33" t="s">
        <v>299</v>
      </c>
      <c r="C1517" s="92" t="s">
        <v>517</v>
      </c>
      <c r="D1517" s="33" t="s">
        <v>410</v>
      </c>
      <c r="E1517" s="34">
        <v>44742</v>
      </c>
      <c r="F1517" s="34">
        <v>44743</v>
      </c>
      <c r="G1517" s="34">
        <v>44748</v>
      </c>
      <c r="H1517" s="35">
        <v>1.2E-2</v>
      </c>
      <c r="I1517" s="67">
        <v>1.4999999999999999E-2</v>
      </c>
      <c r="J1517" s="67">
        <v>0</v>
      </c>
      <c r="K1517" s="67">
        <v>1.4999999999999999E-2</v>
      </c>
      <c r="L1517" s="36">
        <f>+K1517-((K1517*0.2917*0.125)+(K1517*(1-0.2917)*0.26))</f>
        <v>1.1690692499999999E-2</v>
      </c>
      <c r="M1517" s="64">
        <f t="shared" si="48"/>
        <v>1.1690692499999999E-2</v>
      </c>
      <c r="N1517" s="33" t="s">
        <v>248</v>
      </c>
    </row>
    <row r="1518" spans="1:14" ht="15">
      <c r="A1518" s="12"/>
      <c r="B1518" s="33" t="s">
        <v>182</v>
      </c>
      <c r="C1518" s="92" t="s">
        <v>477</v>
      </c>
      <c r="D1518" s="33" t="s">
        <v>410</v>
      </c>
      <c r="E1518" s="34">
        <v>44742</v>
      </c>
      <c r="F1518" s="34">
        <v>44743</v>
      </c>
      <c r="G1518" s="34">
        <v>44748</v>
      </c>
      <c r="H1518" s="35">
        <v>1.2E-2</v>
      </c>
      <c r="I1518" s="67">
        <v>0.29210000000000003</v>
      </c>
      <c r="J1518" s="67">
        <v>0</v>
      </c>
      <c r="K1518" s="67">
        <v>0.29210000000000003</v>
      </c>
      <c r="L1518" s="36">
        <f>+K1518-((K1518*0.2917*0.125)+(K1518*(1-0.2917)*0.26))</f>
        <v>0.22765675195000001</v>
      </c>
      <c r="M1518" s="64">
        <f t="shared" si="48"/>
        <v>0.22765675195000001</v>
      </c>
      <c r="N1518" s="33" t="s">
        <v>248</v>
      </c>
    </row>
    <row r="1519" spans="1:14" ht="15">
      <c r="A1519" s="12"/>
      <c r="B1519" s="33" t="s">
        <v>202</v>
      </c>
      <c r="C1519" s="92" t="s">
        <v>478</v>
      </c>
      <c r="D1519" s="33" t="s">
        <v>410</v>
      </c>
      <c r="E1519" s="34">
        <v>44742</v>
      </c>
      <c r="F1519" s="34">
        <v>44743</v>
      </c>
      <c r="G1519" s="34">
        <v>44748</v>
      </c>
      <c r="H1519" s="35">
        <v>1.2E-2</v>
      </c>
      <c r="I1519" s="67">
        <v>0.29670000000000002</v>
      </c>
      <c r="J1519" s="67">
        <v>0</v>
      </c>
      <c r="K1519" s="67">
        <v>0.29670000000000002</v>
      </c>
      <c r="L1519" s="36">
        <f>+K1519-((K1519*0.2917*0.125)+(K1519*(1-0.2917)*0.26))</f>
        <v>0.23124189765000003</v>
      </c>
      <c r="M1519" s="64">
        <f t="shared" si="48"/>
        <v>0.23124189765000003</v>
      </c>
      <c r="N1519" s="33" t="s">
        <v>248</v>
      </c>
    </row>
    <row r="1520" spans="1:14" ht="15">
      <c r="A1520" s="12"/>
      <c r="B1520" s="33" t="s">
        <v>146</v>
      </c>
      <c r="C1520" s="92" t="s">
        <v>380</v>
      </c>
      <c r="D1520" s="33" t="s">
        <v>410</v>
      </c>
      <c r="E1520" s="34">
        <v>44742</v>
      </c>
      <c r="F1520" s="34">
        <v>44743</v>
      </c>
      <c r="G1520" s="34">
        <v>44748</v>
      </c>
      <c r="H1520" s="35">
        <v>0.03</v>
      </c>
      <c r="I1520" s="67">
        <v>4.5400000000000003E-2</v>
      </c>
      <c r="J1520" s="67">
        <v>0</v>
      </c>
      <c r="K1520" s="67">
        <v>4.5400000000000003E-2</v>
      </c>
      <c r="L1520" s="36">
        <f>+K1520-((K1520*0.0164*0.125)+(K1520*(1-0.0164)*0.26))</f>
        <v>3.3696515600000004E-2</v>
      </c>
      <c r="M1520" s="64">
        <f t="shared" si="48"/>
        <v>3.3696515600000004E-2</v>
      </c>
      <c r="N1520" s="33" t="s">
        <v>248</v>
      </c>
    </row>
    <row r="1521" spans="1:14" ht="15">
      <c r="A1521" s="12"/>
      <c r="B1521" s="33" t="s">
        <v>163</v>
      </c>
      <c r="C1521" s="92" t="s">
        <v>381</v>
      </c>
      <c r="D1521" s="33" t="s">
        <v>410</v>
      </c>
      <c r="E1521" s="34">
        <v>44742</v>
      </c>
      <c r="F1521" s="34">
        <v>44743</v>
      </c>
      <c r="G1521" s="34">
        <v>44748</v>
      </c>
      <c r="H1521" s="35">
        <v>0.03</v>
      </c>
      <c r="I1521" s="67">
        <v>4.0599999999999997E-2</v>
      </c>
      <c r="J1521" s="67">
        <v>0</v>
      </c>
      <c r="K1521" s="67">
        <v>4.0599999999999997E-2</v>
      </c>
      <c r="L1521" s="36">
        <f>+K1521-((K1521*0.0164*0.125)+(K1521*(1-0.0164)*0.26))</f>
        <v>3.0133888399999996E-2</v>
      </c>
      <c r="M1521" s="64">
        <f t="shared" si="48"/>
        <v>3.0133888399999996E-2</v>
      </c>
      <c r="N1521" s="33" t="s">
        <v>248</v>
      </c>
    </row>
    <row r="1522" spans="1:14" ht="15">
      <c r="A1522" s="12"/>
      <c r="B1522" s="33" t="s">
        <v>151</v>
      </c>
      <c r="C1522" s="92" t="s">
        <v>383</v>
      </c>
      <c r="D1522" s="33" t="s">
        <v>410</v>
      </c>
      <c r="E1522" s="34">
        <v>44742</v>
      </c>
      <c r="F1522" s="34">
        <v>44743</v>
      </c>
      <c r="G1522" s="34">
        <v>44748</v>
      </c>
      <c r="H1522" s="35">
        <v>2.5000000000000001E-2</v>
      </c>
      <c r="I1522" s="67">
        <v>3.0300000000000001E-2</v>
      </c>
      <c r="J1522" s="67">
        <v>0</v>
      </c>
      <c r="K1522" s="67">
        <v>3.0300000000000001E-2</v>
      </c>
      <c r="L1522" s="36">
        <f>+K1522-((K1522*0.0566*0.125)+(K1522*(1-0.0566)*0.26))</f>
        <v>2.2653522299999999E-2</v>
      </c>
      <c r="M1522" s="64">
        <f t="shared" si="48"/>
        <v>2.2653522299999999E-2</v>
      </c>
      <c r="N1522" s="33" t="s">
        <v>248</v>
      </c>
    </row>
    <row r="1523" spans="1:14" ht="15">
      <c r="A1523" s="12"/>
      <c r="B1523" s="33" t="s">
        <v>166</v>
      </c>
      <c r="C1523" s="92" t="s">
        <v>384</v>
      </c>
      <c r="D1523" s="33" t="s">
        <v>410</v>
      </c>
      <c r="E1523" s="34">
        <v>44742</v>
      </c>
      <c r="F1523" s="34">
        <v>44743</v>
      </c>
      <c r="G1523" s="34">
        <v>44748</v>
      </c>
      <c r="H1523" s="35">
        <v>2.5000000000000001E-2</v>
      </c>
      <c r="I1523" s="67">
        <v>0.03</v>
      </c>
      <c r="J1523" s="67">
        <v>0</v>
      </c>
      <c r="K1523" s="67">
        <v>0.03</v>
      </c>
      <c r="L1523" s="36">
        <f>+K1523-((K1523*0.0566*0.125)+(K1523*(1-0.0566)*0.26))</f>
        <v>2.2429229999999998E-2</v>
      </c>
      <c r="M1523" s="64">
        <f t="shared" si="48"/>
        <v>2.2429229999999998E-2</v>
      </c>
      <c r="N1523" s="33" t="s">
        <v>248</v>
      </c>
    </row>
    <row r="1524" spans="1:14" ht="15">
      <c r="A1524" s="12"/>
      <c r="B1524" s="33" t="s">
        <v>149</v>
      </c>
      <c r="C1524" s="92" t="s">
        <v>386</v>
      </c>
      <c r="D1524" s="33" t="s">
        <v>410</v>
      </c>
      <c r="E1524" s="34">
        <v>44742</v>
      </c>
      <c r="F1524" s="34">
        <v>44743</v>
      </c>
      <c r="G1524" s="34">
        <v>44748</v>
      </c>
      <c r="H1524" s="35">
        <v>3.2500000000000001E-2</v>
      </c>
      <c r="I1524" s="67">
        <v>4.7300000000000002E-2</v>
      </c>
      <c r="J1524" s="67">
        <v>0</v>
      </c>
      <c r="K1524" s="67">
        <v>4.7300000000000002E-2</v>
      </c>
      <c r="L1524" s="36">
        <f>+K1524-((K1524*0.0586*0.125)+(K1524*(1-0.0586)*0.26))</f>
        <v>3.5376190299999999E-2</v>
      </c>
      <c r="M1524" s="64">
        <f t="shared" si="48"/>
        <v>3.5376190299999999E-2</v>
      </c>
      <c r="N1524" s="33" t="s">
        <v>248</v>
      </c>
    </row>
    <row r="1525" spans="1:14" ht="15">
      <c r="A1525" s="12"/>
      <c r="B1525" s="33" t="s">
        <v>165</v>
      </c>
      <c r="C1525" s="92" t="s">
        <v>387</v>
      </c>
      <c r="D1525" s="33" t="s">
        <v>410</v>
      </c>
      <c r="E1525" s="34">
        <v>44742</v>
      </c>
      <c r="F1525" s="34">
        <v>44743</v>
      </c>
      <c r="G1525" s="34">
        <v>44748</v>
      </c>
      <c r="H1525" s="35">
        <v>3.2500000000000001E-2</v>
      </c>
      <c r="I1525" s="67">
        <v>4.41E-2</v>
      </c>
      <c r="J1525" s="67">
        <v>0</v>
      </c>
      <c r="K1525" s="67">
        <v>4.41E-2</v>
      </c>
      <c r="L1525" s="36">
        <f>+K1525-((K1525*0.0586*0.125)+(K1525*(1-0.0586)*0.26))</f>
        <v>3.2982875099999996E-2</v>
      </c>
      <c r="M1525" s="64">
        <f t="shared" si="48"/>
        <v>3.2982875099999996E-2</v>
      </c>
      <c r="N1525" s="33" t="s">
        <v>248</v>
      </c>
    </row>
    <row r="1526" spans="1:14" ht="15">
      <c r="A1526" s="12"/>
      <c r="B1526" s="33" t="s">
        <v>153</v>
      </c>
      <c r="C1526" s="92" t="s">
        <v>394</v>
      </c>
      <c r="D1526" s="33" t="s">
        <v>410</v>
      </c>
      <c r="E1526" s="34">
        <v>44742</v>
      </c>
      <c r="F1526" s="34">
        <v>44743</v>
      </c>
      <c r="G1526" s="34">
        <v>44748</v>
      </c>
      <c r="H1526" s="35">
        <v>1.6E-2</v>
      </c>
      <c r="I1526" s="67">
        <v>1.9599999999999999E-2</v>
      </c>
      <c r="J1526" s="67">
        <v>0</v>
      </c>
      <c r="K1526" s="67">
        <v>1.9599999999999999E-2</v>
      </c>
      <c r="L1526" s="36">
        <f>+K1526-((K1526*0.1726*0.125)+(K1526*(1-0.1726)*0.26))</f>
        <v>1.49606996E-2</v>
      </c>
      <c r="M1526" s="64">
        <f t="shared" si="48"/>
        <v>1.49606996E-2</v>
      </c>
      <c r="N1526" s="33" t="s">
        <v>248</v>
      </c>
    </row>
    <row r="1527" spans="1:14" ht="15">
      <c r="A1527" s="12"/>
      <c r="B1527" s="33" t="s">
        <v>152</v>
      </c>
      <c r="C1527" s="92" t="s">
        <v>395</v>
      </c>
      <c r="D1527" s="33" t="s">
        <v>410</v>
      </c>
      <c r="E1527" s="34">
        <v>44742</v>
      </c>
      <c r="F1527" s="34">
        <v>44743</v>
      </c>
      <c r="G1527" s="34">
        <v>44748</v>
      </c>
      <c r="H1527" s="35">
        <v>1.6E-2</v>
      </c>
      <c r="I1527" s="67">
        <v>2.6800000000000001E-2</v>
      </c>
      <c r="J1527" s="67">
        <v>0</v>
      </c>
      <c r="K1527" s="67">
        <v>2.6800000000000001E-2</v>
      </c>
      <c r="L1527" s="36">
        <f>+K1527-((K1527*0.1726*0.125)+(K1527*(1-0.1726)*0.26))</f>
        <v>2.04564668E-2</v>
      </c>
      <c r="M1527" s="64">
        <f t="shared" si="48"/>
        <v>2.04564668E-2</v>
      </c>
      <c r="N1527" s="33" t="s">
        <v>248</v>
      </c>
    </row>
    <row r="1528" spans="1:14" ht="15">
      <c r="A1528" s="12"/>
      <c r="B1528" s="33" t="s">
        <v>167</v>
      </c>
      <c r="C1528" s="92" t="s">
        <v>396</v>
      </c>
      <c r="D1528" s="33" t="s">
        <v>410</v>
      </c>
      <c r="E1528" s="34">
        <v>44742</v>
      </c>
      <c r="F1528" s="34">
        <v>44743</v>
      </c>
      <c r="G1528" s="34">
        <v>44748</v>
      </c>
      <c r="H1528" s="35">
        <v>1.6E-2</v>
      </c>
      <c r="I1528" s="67">
        <v>2.5499999999999998E-2</v>
      </c>
      <c r="J1528" s="67">
        <v>0</v>
      </c>
      <c r="K1528" s="67">
        <v>2.5499999999999998E-2</v>
      </c>
      <c r="L1528" s="36">
        <f>+K1528-((K1528*0.1726*0.125)+(K1528*(1-0.1726)*0.26))</f>
        <v>1.94641755E-2</v>
      </c>
      <c r="M1528" s="64">
        <f t="shared" si="48"/>
        <v>1.94641755E-2</v>
      </c>
      <c r="N1528" s="33" t="s">
        <v>248</v>
      </c>
    </row>
    <row r="1529" spans="1:14" ht="15">
      <c r="A1529" s="12"/>
      <c r="B1529" s="33" t="s">
        <v>301</v>
      </c>
      <c r="C1529" s="92" t="s">
        <v>407</v>
      </c>
      <c r="D1529" s="33" t="s">
        <v>410</v>
      </c>
      <c r="E1529" s="34">
        <v>44742</v>
      </c>
      <c r="F1529" s="34">
        <v>44743</v>
      </c>
      <c r="G1529" s="34">
        <v>44748</v>
      </c>
      <c r="H1529" s="35">
        <v>1.6E-2</v>
      </c>
      <c r="I1529" s="67">
        <v>2.01E-2</v>
      </c>
      <c r="J1529" s="67">
        <v>0</v>
      </c>
      <c r="K1529" s="67">
        <v>2.01E-2</v>
      </c>
      <c r="L1529" s="36">
        <f>+K1529-((K1529*0.1726*0.125)+(K1529*(1-0.1726)*0.26))</f>
        <v>1.5342350099999999E-2</v>
      </c>
      <c r="M1529" s="64">
        <f t="shared" ref="M1529:M1592" si="49">J1529+L1529</f>
        <v>1.5342350099999999E-2</v>
      </c>
      <c r="N1529" s="33" t="s">
        <v>248</v>
      </c>
    </row>
    <row r="1530" spans="1:14" ht="15">
      <c r="A1530" s="12"/>
      <c r="B1530" s="33" t="s">
        <v>304</v>
      </c>
      <c r="C1530" s="92" t="s">
        <v>408</v>
      </c>
      <c r="D1530" s="33" t="s">
        <v>410</v>
      </c>
      <c r="E1530" s="34">
        <v>44742</v>
      </c>
      <c r="F1530" s="34">
        <v>44743</v>
      </c>
      <c r="G1530" s="34">
        <v>44748</v>
      </c>
      <c r="H1530" s="35">
        <v>1.2E-2</v>
      </c>
      <c r="I1530" s="67">
        <v>1.4800000000000001E-2</v>
      </c>
      <c r="J1530" s="67">
        <v>0</v>
      </c>
      <c r="K1530" s="67">
        <v>1.4800000000000001E-2</v>
      </c>
      <c r="L1530" s="36">
        <f>+K1530-((K1530*0.1445*0.125)+(K1530*(1-0.1445)*0.26))</f>
        <v>1.1240711E-2</v>
      </c>
      <c r="M1530" s="64">
        <f t="shared" si="49"/>
        <v>1.1240711E-2</v>
      </c>
      <c r="N1530" s="33" t="s">
        <v>248</v>
      </c>
    </row>
    <row r="1531" spans="1:14" ht="15">
      <c r="A1531" s="12"/>
      <c r="B1531" s="33" t="s">
        <v>183</v>
      </c>
      <c r="C1531" s="92" t="s">
        <v>398</v>
      </c>
      <c r="D1531" s="33" t="s">
        <v>410</v>
      </c>
      <c r="E1531" s="34">
        <v>44742</v>
      </c>
      <c r="F1531" s="34">
        <v>44743</v>
      </c>
      <c r="G1531" s="34">
        <v>44748</v>
      </c>
      <c r="H1531" s="35">
        <v>1.2E-2</v>
      </c>
      <c r="I1531" s="67">
        <v>1.4800000000000001E-2</v>
      </c>
      <c r="J1531" s="67">
        <v>0</v>
      </c>
      <c r="K1531" s="67">
        <v>1.4800000000000001E-2</v>
      </c>
      <c r="L1531" s="36">
        <f>+K1531-((K1531*0.1445*0.125)+(K1531*(1-0.1445)*0.26))</f>
        <v>1.1240711E-2</v>
      </c>
      <c r="M1531" s="64">
        <f t="shared" si="49"/>
        <v>1.1240711E-2</v>
      </c>
      <c r="N1531" s="33" t="s">
        <v>248</v>
      </c>
    </row>
    <row r="1532" spans="1:14" ht="15">
      <c r="A1532" s="12"/>
      <c r="B1532" s="33" t="s">
        <v>305</v>
      </c>
      <c r="C1532" s="92" t="s">
        <v>409</v>
      </c>
      <c r="D1532" s="33" t="s">
        <v>410</v>
      </c>
      <c r="E1532" s="34">
        <v>44742</v>
      </c>
      <c r="F1532" s="34">
        <v>44743</v>
      </c>
      <c r="G1532" s="34">
        <v>44748</v>
      </c>
      <c r="H1532" s="35">
        <v>1.2E-2</v>
      </c>
      <c r="I1532" s="67">
        <v>1.49E-2</v>
      </c>
      <c r="J1532" s="67">
        <v>0</v>
      </c>
      <c r="K1532" s="67">
        <v>1.49E-2</v>
      </c>
      <c r="L1532" s="36">
        <f>+K1532-((K1532*0.1445*0.125)+(K1532*(1-0.1445)*0.26))</f>
        <v>1.131666175E-2</v>
      </c>
      <c r="M1532" s="64">
        <f t="shared" si="49"/>
        <v>1.131666175E-2</v>
      </c>
      <c r="N1532" s="33" t="s">
        <v>248</v>
      </c>
    </row>
    <row r="1533" spans="1:14" ht="15">
      <c r="A1533" s="12"/>
      <c r="B1533" s="33" t="s">
        <v>147</v>
      </c>
      <c r="C1533" s="92" t="s">
        <v>466</v>
      </c>
      <c r="D1533" s="33" t="s">
        <v>410</v>
      </c>
      <c r="E1533" s="34">
        <v>44742</v>
      </c>
      <c r="F1533" s="34">
        <v>44743</v>
      </c>
      <c r="G1533" s="34">
        <v>44748</v>
      </c>
      <c r="H1533" s="35">
        <v>0.03</v>
      </c>
      <c r="I1533" s="67">
        <v>3.9699999999999999E-2</v>
      </c>
      <c r="J1533" s="67">
        <v>0</v>
      </c>
      <c r="K1533" s="67">
        <v>3.9699999999999999E-2</v>
      </c>
      <c r="L1533" s="36">
        <f>+K1533-((K1533*0.1127*0.125)+(K1533*(1-0.1127)*0.26))</f>
        <v>2.9982015649999999E-2</v>
      </c>
      <c r="M1533" s="64">
        <f t="shared" si="49"/>
        <v>2.9982015649999999E-2</v>
      </c>
      <c r="N1533" s="33" t="s">
        <v>248</v>
      </c>
    </row>
    <row r="1534" spans="1:14" ht="15">
      <c r="A1534" s="12"/>
      <c r="B1534" s="33" t="s">
        <v>164</v>
      </c>
      <c r="C1534" s="92" t="s">
        <v>467</v>
      </c>
      <c r="D1534" s="33" t="s">
        <v>410</v>
      </c>
      <c r="E1534" s="34">
        <v>44742</v>
      </c>
      <c r="F1534" s="34">
        <v>44743</v>
      </c>
      <c r="G1534" s="34">
        <v>44748</v>
      </c>
      <c r="H1534" s="35">
        <v>0.03</v>
      </c>
      <c r="I1534" s="67">
        <v>3.7100000000000001E-2</v>
      </c>
      <c r="J1534" s="67">
        <v>0</v>
      </c>
      <c r="K1534" s="67">
        <v>3.7100000000000001E-2</v>
      </c>
      <c r="L1534" s="36">
        <f>+K1534-((K1534*0.1127*0.125)+(K1534*(1-0.1127)*0.26))</f>
        <v>2.8018457949999999E-2</v>
      </c>
      <c r="M1534" s="64">
        <f t="shared" si="49"/>
        <v>2.8018457949999999E-2</v>
      </c>
      <c r="N1534" s="33" t="s">
        <v>248</v>
      </c>
    </row>
    <row r="1535" spans="1:14" ht="15">
      <c r="A1535" s="12"/>
      <c r="B1535" s="33" t="s">
        <v>132</v>
      </c>
      <c r="C1535" s="92" t="s">
        <v>358</v>
      </c>
      <c r="D1535" s="33" t="s">
        <v>410</v>
      </c>
      <c r="E1535" s="34">
        <v>44767</v>
      </c>
      <c r="F1535" s="34">
        <v>44768</v>
      </c>
      <c r="G1535" s="34">
        <v>44771</v>
      </c>
      <c r="H1535" s="35">
        <v>0.03</v>
      </c>
      <c r="I1535" s="67">
        <v>3.8100000000000002E-2</v>
      </c>
      <c r="J1535" s="67">
        <v>0</v>
      </c>
      <c r="K1535" s="67">
        <v>3.8100000000000002E-2</v>
      </c>
      <c r="L1535" s="36">
        <f>+K1535-((K1535*0.258*0.125)+(K1535*(1-0.258)*0.26))</f>
        <v>2.9521023E-2</v>
      </c>
      <c r="M1535" s="64">
        <f t="shared" si="49"/>
        <v>2.9521023E-2</v>
      </c>
      <c r="N1535" s="33" t="s">
        <v>249</v>
      </c>
    </row>
    <row r="1536" spans="1:14" ht="15">
      <c r="A1536" s="12"/>
      <c r="B1536" s="33" t="s">
        <v>227</v>
      </c>
      <c r="C1536" s="92" t="s">
        <v>359</v>
      </c>
      <c r="D1536" s="33" t="s">
        <v>410</v>
      </c>
      <c r="E1536" s="34">
        <v>44767</v>
      </c>
      <c r="F1536" s="34">
        <v>44768</v>
      </c>
      <c r="G1536" s="34">
        <v>44771</v>
      </c>
      <c r="H1536" s="35">
        <v>0.03</v>
      </c>
      <c r="I1536" s="67">
        <v>3.7699999999999997E-2</v>
      </c>
      <c r="J1536" s="67">
        <v>0</v>
      </c>
      <c r="K1536" s="67">
        <v>3.7699999999999997E-2</v>
      </c>
      <c r="L1536" s="36">
        <f>+K1536-((K1536*0.258*0.125)+(K1536*(1-0.258)*0.26))</f>
        <v>2.9211090999999998E-2</v>
      </c>
      <c r="M1536" s="64">
        <f t="shared" si="49"/>
        <v>2.9211090999999998E-2</v>
      </c>
      <c r="N1536" s="33" t="s">
        <v>249</v>
      </c>
    </row>
    <row r="1537" spans="1:14" ht="15">
      <c r="A1537" s="12"/>
      <c r="B1537" s="33" t="s">
        <v>133</v>
      </c>
      <c r="C1537" s="92" t="s">
        <v>474</v>
      </c>
      <c r="D1537" s="33" t="s">
        <v>410</v>
      </c>
      <c r="E1537" s="34">
        <v>44767</v>
      </c>
      <c r="F1537" s="34">
        <v>44768</v>
      </c>
      <c r="G1537" s="34">
        <v>44771</v>
      </c>
      <c r="H1537" s="35">
        <v>3.5000000000000003E-2</v>
      </c>
      <c r="I1537" s="67">
        <v>4.3299999999999998E-2</v>
      </c>
      <c r="J1537" s="67">
        <v>0</v>
      </c>
      <c r="K1537" s="67">
        <v>4.3299999999999998E-2</v>
      </c>
      <c r="L1537" s="36">
        <f>+K1537-((K1537*0.004*0.125)+(K1537*(1-0.004)*0.26))</f>
        <v>3.2065381999999996E-2</v>
      </c>
      <c r="M1537" s="64">
        <f t="shared" si="49"/>
        <v>3.2065381999999996E-2</v>
      </c>
      <c r="N1537" s="33" t="s">
        <v>249</v>
      </c>
    </row>
    <row r="1538" spans="1:14" ht="15">
      <c r="A1538" s="12"/>
      <c r="B1538" s="33" t="s">
        <v>134</v>
      </c>
      <c r="C1538" s="92" t="s">
        <v>374</v>
      </c>
      <c r="D1538" s="33" t="s">
        <v>410</v>
      </c>
      <c r="E1538" s="34">
        <v>44767</v>
      </c>
      <c r="F1538" s="34">
        <v>44768</v>
      </c>
      <c r="G1538" s="34">
        <v>44771</v>
      </c>
      <c r="H1538" s="35">
        <v>0.04</v>
      </c>
      <c r="I1538" s="67">
        <v>5.3499999999999999E-2</v>
      </c>
      <c r="J1538" s="67">
        <v>0</v>
      </c>
      <c r="K1538" s="67">
        <v>5.3499999999999999E-2</v>
      </c>
      <c r="L1538" s="36">
        <f>+K1538-((K1538*0.243*0.125)+(K1538*(1-0.243)*0.26))</f>
        <v>4.1345067499999999E-2</v>
      </c>
      <c r="M1538" s="64">
        <f t="shared" si="49"/>
        <v>4.1345067499999999E-2</v>
      </c>
      <c r="N1538" s="33" t="s">
        <v>249</v>
      </c>
    </row>
    <row r="1539" spans="1:14" ht="15">
      <c r="A1539" s="12"/>
      <c r="B1539" s="33" t="s">
        <v>168</v>
      </c>
      <c r="C1539" s="92" t="s">
        <v>376</v>
      </c>
      <c r="D1539" s="33" t="s">
        <v>410</v>
      </c>
      <c r="E1539" s="34">
        <v>44767</v>
      </c>
      <c r="F1539" s="34">
        <v>44768</v>
      </c>
      <c r="G1539" s="34">
        <v>44771</v>
      </c>
      <c r="H1539" s="35">
        <v>0.04</v>
      </c>
      <c r="I1539" s="67">
        <v>4.5499999999999999E-2</v>
      </c>
      <c r="J1539" s="67">
        <v>0</v>
      </c>
      <c r="K1539" s="67">
        <v>4.5499999999999999E-2</v>
      </c>
      <c r="L1539" s="36">
        <f>+K1539-((K1539*0.243*0.125)+(K1539*(1-0.243)*0.26))</f>
        <v>3.5162627500000002E-2</v>
      </c>
      <c r="M1539" s="64">
        <f t="shared" si="49"/>
        <v>3.5162627500000002E-2</v>
      </c>
      <c r="N1539" s="33" t="s">
        <v>249</v>
      </c>
    </row>
    <row r="1540" spans="1:14" ht="15">
      <c r="A1540" s="12"/>
      <c r="B1540" s="33" t="s">
        <v>136</v>
      </c>
      <c r="C1540" s="92" t="s">
        <v>388</v>
      </c>
      <c r="D1540" s="33" t="s">
        <v>410</v>
      </c>
      <c r="E1540" s="34">
        <v>44767</v>
      </c>
      <c r="F1540" s="34">
        <v>44768</v>
      </c>
      <c r="G1540" s="34">
        <v>44771</v>
      </c>
      <c r="H1540" s="35">
        <v>0.03</v>
      </c>
      <c r="I1540" s="67">
        <v>3.8100000000000002E-2</v>
      </c>
      <c r="J1540" s="67">
        <v>0</v>
      </c>
      <c r="K1540" s="67">
        <v>3.8100000000000002E-2</v>
      </c>
      <c r="L1540" s="36">
        <f t="shared" ref="L1540:L1545" si="50">+K1540-((K1540*0.0415*0.125)+(K1540*(1-0.0415)*0.26))</f>
        <v>2.8407455249999998E-2</v>
      </c>
      <c r="M1540" s="64">
        <f t="shared" si="49"/>
        <v>2.8407455249999998E-2</v>
      </c>
      <c r="N1540" s="33" t="s">
        <v>249</v>
      </c>
    </row>
    <row r="1541" spans="1:14" ht="15">
      <c r="A1541" s="12"/>
      <c r="B1541" s="33" t="s">
        <v>137</v>
      </c>
      <c r="C1541" s="92" t="s">
        <v>389</v>
      </c>
      <c r="D1541" s="33" t="s">
        <v>410</v>
      </c>
      <c r="E1541" s="34">
        <v>44767</v>
      </c>
      <c r="F1541" s="34">
        <v>44768</v>
      </c>
      <c r="G1541" s="34">
        <v>44771</v>
      </c>
      <c r="H1541" s="35">
        <v>3.7499999999999999E-2</v>
      </c>
      <c r="I1541" s="67">
        <v>5.0200000000000002E-2</v>
      </c>
      <c r="J1541" s="67">
        <v>0</v>
      </c>
      <c r="K1541" s="67">
        <v>5.0200000000000002E-2</v>
      </c>
      <c r="L1541" s="36">
        <f t="shared" si="50"/>
        <v>3.74292455E-2</v>
      </c>
      <c r="M1541" s="64">
        <f t="shared" si="49"/>
        <v>3.74292455E-2</v>
      </c>
      <c r="N1541" s="33" t="s">
        <v>249</v>
      </c>
    </row>
    <row r="1542" spans="1:14" ht="15">
      <c r="A1542" s="12"/>
      <c r="B1542" s="33" t="s">
        <v>135</v>
      </c>
      <c r="C1542" s="92" t="s">
        <v>390</v>
      </c>
      <c r="D1542" s="33" t="s">
        <v>410</v>
      </c>
      <c r="E1542" s="34">
        <v>44767</v>
      </c>
      <c r="F1542" s="34">
        <v>44768</v>
      </c>
      <c r="G1542" s="34">
        <v>44771</v>
      </c>
      <c r="H1542" s="35">
        <v>4.4999999999999998E-2</v>
      </c>
      <c r="I1542" s="67">
        <v>5.8700000000000002E-2</v>
      </c>
      <c r="J1542" s="67">
        <v>0</v>
      </c>
      <c r="K1542" s="67">
        <v>5.8700000000000002E-2</v>
      </c>
      <c r="L1542" s="36">
        <f t="shared" si="50"/>
        <v>4.3766866750000001E-2</v>
      </c>
      <c r="M1542" s="64">
        <f t="shared" si="49"/>
        <v>4.3766866750000001E-2</v>
      </c>
      <c r="N1542" s="33" t="s">
        <v>249</v>
      </c>
    </row>
    <row r="1543" spans="1:14" ht="15">
      <c r="A1543" s="12"/>
      <c r="B1543" s="33" t="s">
        <v>170</v>
      </c>
      <c r="C1543" s="92" t="s">
        <v>391</v>
      </c>
      <c r="D1543" s="33" t="s">
        <v>410</v>
      </c>
      <c r="E1543" s="34">
        <v>44767</v>
      </c>
      <c r="F1543" s="34">
        <v>44768</v>
      </c>
      <c r="G1543" s="34">
        <v>44771</v>
      </c>
      <c r="H1543" s="35">
        <v>0.03</v>
      </c>
      <c r="I1543" s="67">
        <v>3.73E-2</v>
      </c>
      <c r="J1543" s="67">
        <v>0</v>
      </c>
      <c r="K1543" s="67">
        <v>3.73E-2</v>
      </c>
      <c r="L1543" s="36">
        <f t="shared" si="50"/>
        <v>2.7810973249999999E-2</v>
      </c>
      <c r="M1543" s="64">
        <f t="shared" si="49"/>
        <v>2.7810973249999999E-2</v>
      </c>
      <c r="N1543" s="33" t="s">
        <v>249</v>
      </c>
    </row>
    <row r="1544" spans="1:14" ht="15">
      <c r="A1544" s="12"/>
      <c r="B1544" s="33" t="s">
        <v>171</v>
      </c>
      <c r="C1544" s="92" t="s">
        <v>392</v>
      </c>
      <c r="D1544" s="33" t="s">
        <v>410</v>
      </c>
      <c r="E1544" s="34">
        <v>44767</v>
      </c>
      <c r="F1544" s="34">
        <v>44768</v>
      </c>
      <c r="G1544" s="34">
        <v>44771</v>
      </c>
      <c r="H1544" s="35">
        <v>3.7499999999999999E-2</v>
      </c>
      <c r="I1544" s="67">
        <v>4.8599999999999997E-2</v>
      </c>
      <c r="J1544" s="67">
        <v>0</v>
      </c>
      <c r="K1544" s="67">
        <v>4.8599999999999997E-2</v>
      </c>
      <c r="L1544" s="36">
        <f t="shared" si="50"/>
        <v>3.6236281499999995E-2</v>
      </c>
      <c r="M1544" s="64">
        <f t="shared" si="49"/>
        <v>3.6236281499999995E-2</v>
      </c>
      <c r="N1544" s="33" t="s">
        <v>249</v>
      </c>
    </row>
    <row r="1545" spans="1:14" ht="15">
      <c r="A1545" s="12"/>
      <c r="B1545" s="33" t="s">
        <v>172</v>
      </c>
      <c r="C1545" s="92" t="s">
        <v>393</v>
      </c>
      <c r="D1545" s="33" t="s">
        <v>410</v>
      </c>
      <c r="E1545" s="34">
        <v>44767</v>
      </c>
      <c r="F1545" s="34">
        <v>44768</v>
      </c>
      <c r="G1545" s="34">
        <v>44771</v>
      </c>
      <c r="H1545" s="35">
        <v>4.4999999999999998E-2</v>
      </c>
      <c r="I1545" s="67">
        <v>5.7200000000000001E-2</v>
      </c>
      <c r="J1545" s="67">
        <v>0</v>
      </c>
      <c r="K1545" s="67">
        <v>5.7200000000000001E-2</v>
      </c>
      <c r="L1545" s="36">
        <f t="shared" si="50"/>
        <v>4.2648462999999998E-2</v>
      </c>
      <c r="M1545" s="64">
        <f t="shared" si="49"/>
        <v>4.2648462999999998E-2</v>
      </c>
      <c r="N1545" s="33" t="s">
        <v>249</v>
      </c>
    </row>
    <row r="1546" spans="1:14" ht="15">
      <c r="A1546" s="12"/>
      <c r="B1546" s="33" t="s">
        <v>169</v>
      </c>
      <c r="C1546" s="92" t="s">
        <v>400</v>
      </c>
      <c r="D1546" s="33" t="s">
        <v>410</v>
      </c>
      <c r="E1546" s="34">
        <v>44767</v>
      </c>
      <c r="F1546" s="34">
        <v>44768</v>
      </c>
      <c r="G1546" s="34">
        <v>44771</v>
      </c>
      <c r="H1546" s="35">
        <v>5.5E-2</v>
      </c>
      <c r="I1546" s="67">
        <v>6.25E-2</v>
      </c>
      <c r="J1546" s="67">
        <v>0</v>
      </c>
      <c r="K1546" s="67">
        <v>6.25E-2</v>
      </c>
      <c r="L1546" s="36">
        <f>+K1546-((K1546*0.1205*0.125)+(K1546*(1-0.1205)*0.26))</f>
        <v>4.7266718749999999E-2</v>
      </c>
      <c r="M1546" s="64">
        <f t="shared" si="49"/>
        <v>4.7266718749999999E-2</v>
      </c>
      <c r="N1546" s="33" t="s">
        <v>249</v>
      </c>
    </row>
    <row r="1547" spans="1:14" ht="15">
      <c r="A1547" s="12"/>
      <c r="B1547" s="33" t="s">
        <v>156</v>
      </c>
      <c r="C1547" s="92" t="s">
        <v>473</v>
      </c>
      <c r="D1547" s="33" t="s">
        <v>496</v>
      </c>
      <c r="E1547" s="34">
        <v>44767</v>
      </c>
      <c r="F1547" s="34">
        <v>44768</v>
      </c>
      <c r="G1547" s="34">
        <v>44771</v>
      </c>
      <c r="H1547" s="35">
        <v>3.5000000000000003E-2</v>
      </c>
      <c r="I1547" s="67">
        <v>9.4200000000000006E-2</v>
      </c>
      <c r="J1547" s="67">
        <v>0</v>
      </c>
      <c r="K1547" s="67">
        <v>9.4200000000000006E-2</v>
      </c>
      <c r="L1547" s="36">
        <f>+K1547-((K1547*0.0000001*0.125)+(K1547*(1-0.0000001)*0.26))</f>
        <v>6.9708001271700001E-2</v>
      </c>
      <c r="M1547" s="64">
        <f t="shared" si="49"/>
        <v>6.9708001271700001E-2</v>
      </c>
      <c r="N1547" s="33" t="s">
        <v>250</v>
      </c>
    </row>
    <row r="1548" spans="1:14" ht="15">
      <c r="A1548" s="12"/>
      <c r="B1548" s="33" t="s">
        <v>178</v>
      </c>
      <c r="C1548" s="92" t="s">
        <v>472</v>
      </c>
      <c r="D1548" s="33" t="s">
        <v>496</v>
      </c>
      <c r="E1548" s="34">
        <v>44767</v>
      </c>
      <c r="F1548" s="34">
        <v>44768</v>
      </c>
      <c r="G1548" s="34">
        <v>44771</v>
      </c>
      <c r="H1548" s="35">
        <v>3.5000000000000003E-2</v>
      </c>
      <c r="I1548" s="67">
        <v>8.1600000000000006E-2</v>
      </c>
      <c r="J1548" s="67">
        <v>0</v>
      </c>
      <c r="K1548" s="67">
        <v>8.1600000000000006E-2</v>
      </c>
      <c r="L1548" s="36">
        <f>+K1548-((K1548*0.0000001*0.125)+(K1548*(1-0.0000001)*0.26))</f>
        <v>6.0384001101599999E-2</v>
      </c>
      <c r="M1548" s="64">
        <f t="shared" si="49"/>
        <v>6.0384001101599999E-2</v>
      </c>
      <c r="N1548" s="33" t="s">
        <v>250</v>
      </c>
    </row>
    <row r="1549" spans="1:14" ht="15">
      <c r="A1549" s="12"/>
      <c r="B1549" s="33" t="s">
        <v>155</v>
      </c>
      <c r="C1549" s="92" t="s">
        <v>475</v>
      </c>
      <c r="D1549" s="33" t="s">
        <v>496</v>
      </c>
      <c r="E1549" s="34">
        <v>44767</v>
      </c>
      <c r="F1549" s="34">
        <v>44768</v>
      </c>
      <c r="G1549" s="34">
        <v>44771</v>
      </c>
      <c r="H1549" s="35">
        <v>3.5000000000000003E-2</v>
      </c>
      <c r="I1549" s="67">
        <v>9.74E-2</v>
      </c>
      <c r="J1549" s="67">
        <v>0</v>
      </c>
      <c r="K1549" s="67">
        <v>9.74E-2</v>
      </c>
      <c r="L1549" s="36">
        <f>+K1549-((K1549*0.004*0.125)+(K1549*(1-0.004)*0.26))</f>
        <v>7.2128596000000003E-2</v>
      </c>
      <c r="M1549" s="64">
        <f t="shared" si="49"/>
        <v>7.2128596000000003E-2</v>
      </c>
      <c r="N1549" s="33" t="s">
        <v>250</v>
      </c>
    </row>
    <row r="1550" spans="1:14" ht="15">
      <c r="A1550" s="12"/>
      <c r="B1550" s="33" t="s">
        <v>177</v>
      </c>
      <c r="C1550" s="92" t="s">
        <v>476</v>
      </c>
      <c r="D1550" s="33" t="s">
        <v>496</v>
      </c>
      <c r="E1550" s="34">
        <v>44767</v>
      </c>
      <c r="F1550" s="34">
        <v>44768</v>
      </c>
      <c r="G1550" s="34">
        <v>44771</v>
      </c>
      <c r="H1550" s="35">
        <v>3.5000000000000003E-2</v>
      </c>
      <c r="I1550" s="67">
        <v>9.9400000000000002E-2</v>
      </c>
      <c r="J1550" s="67">
        <v>0</v>
      </c>
      <c r="K1550" s="67">
        <v>9.9400000000000002E-2</v>
      </c>
      <c r="L1550" s="36">
        <f>+K1550-((K1550*0.004*0.125)+(K1550*(1-0.004)*0.26))</f>
        <v>7.3609675999999999E-2</v>
      </c>
      <c r="M1550" s="64">
        <f t="shared" si="49"/>
        <v>7.3609675999999999E-2</v>
      </c>
      <c r="N1550" s="33" t="s">
        <v>250</v>
      </c>
    </row>
    <row r="1551" spans="1:14" ht="15">
      <c r="A1551" s="12"/>
      <c r="B1551" s="33" t="s">
        <v>158</v>
      </c>
      <c r="C1551" s="92" t="s">
        <v>373</v>
      </c>
      <c r="D1551" s="33" t="s">
        <v>496</v>
      </c>
      <c r="E1551" s="34">
        <v>44767</v>
      </c>
      <c r="F1551" s="34">
        <v>44768</v>
      </c>
      <c r="G1551" s="34">
        <v>44771</v>
      </c>
      <c r="H1551" s="35">
        <v>0.04</v>
      </c>
      <c r="I1551" s="67">
        <v>8.3500000000000005E-2</v>
      </c>
      <c r="J1551" s="67">
        <v>0</v>
      </c>
      <c r="K1551" s="67">
        <v>8.3500000000000005E-2</v>
      </c>
      <c r="L1551" s="36">
        <f>+K1551-((K1551*0.243*0.125)+(K1551*(1-0.243)*0.26))</f>
        <v>6.4529217500000013E-2</v>
      </c>
      <c r="M1551" s="64">
        <f t="shared" si="49"/>
        <v>6.4529217500000013E-2</v>
      </c>
      <c r="N1551" s="33" t="s">
        <v>250</v>
      </c>
    </row>
    <row r="1552" spans="1:14" ht="15">
      <c r="A1552" s="12"/>
      <c r="B1552" s="33" t="s">
        <v>157</v>
      </c>
      <c r="C1552" s="92" t="s">
        <v>375</v>
      </c>
      <c r="D1552" s="33" t="s">
        <v>496</v>
      </c>
      <c r="E1552" s="34">
        <v>44767</v>
      </c>
      <c r="F1552" s="34">
        <v>44768</v>
      </c>
      <c r="G1552" s="34">
        <v>44771</v>
      </c>
      <c r="H1552" s="35">
        <v>0.04</v>
      </c>
      <c r="I1552" s="67">
        <v>8.0600000000000005E-2</v>
      </c>
      <c r="J1552" s="67">
        <v>0</v>
      </c>
      <c r="K1552" s="67">
        <v>8.0600000000000005E-2</v>
      </c>
      <c r="L1552" s="36">
        <f>+K1552-((K1552*0.243*0.125)+(K1552*(1-0.243)*0.26))</f>
        <v>6.2288083000000001E-2</v>
      </c>
      <c r="M1552" s="64">
        <f t="shared" si="49"/>
        <v>6.2288083000000001E-2</v>
      </c>
      <c r="N1552" s="33" t="s">
        <v>250</v>
      </c>
    </row>
    <row r="1553" spans="1:14" ht="15">
      <c r="A1553" s="12"/>
      <c r="B1553" s="33" t="s">
        <v>154</v>
      </c>
      <c r="C1553" s="92" t="s">
        <v>399</v>
      </c>
      <c r="D1553" s="33" t="s">
        <v>496</v>
      </c>
      <c r="E1553" s="34">
        <v>44767</v>
      </c>
      <c r="F1553" s="34">
        <v>44768</v>
      </c>
      <c r="G1553" s="34">
        <v>44771</v>
      </c>
      <c r="H1553" s="35">
        <v>5.5E-2</v>
      </c>
      <c r="I1553" s="67">
        <v>0.1113</v>
      </c>
      <c r="J1553" s="67">
        <v>0</v>
      </c>
      <c r="K1553" s="67">
        <v>0.1113</v>
      </c>
      <c r="L1553" s="36">
        <f>+K1553-((K1553*0.1205*0.125)+(K1553*(1-0.1205)*0.26))</f>
        <v>8.4172572750000008E-2</v>
      </c>
      <c r="M1553" s="64">
        <f t="shared" si="49"/>
        <v>8.4172572750000008E-2</v>
      </c>
      <c r="N1553" s="33" t="s">
        <v>250</v>
      </c>
    </row>
    <row r="1554" spans="1:14" ht="15">
      <c r="A1554" s="12"/>
      <c r="B1554" s="33" t="s">
        <v>310</v>
      </c>
      <c r="C1554" s="92" t="s">
        <v>424</v>
      </c>
      <c r="D1554" s="33" t="s">
        <v>411</v>
      </c>
      <c r="E1554" s="34">
        <v>44771</v>
      </c>
      <c r="F1554" s="34">
        <v>44774</v>
      </c>
      <c r="G1554" s="34">
        <v>44777</v>
      </c>
      <c r="H1554" s="35">
        <v>4.4999999999999998E-2</v>
      </c>
      <c r="I1554" s="67">
        <v>1.6799999999999999E-2</v>
      </c>
      <c r="J1554" s="67">
        <v>8.0834486104410536E-3</v>
      </c>
      <c r="K1554" s="67">
        <v>8.7165513895589453E-3</v>
      </c>
      <c r="L1554" s="36">
        <f>+K1554-((K1554*0.027*0.125)+(K1554*(1-0.027)*0.26))</f>
        <v>6.4820198580885623E-3</v>
      </c>
      <c r="M1554" s="64">
        <f t="shared" si="49"/>
        <v>1.4565468468529616E-2</v>
      </c>
      <c r="N1554" s="33" t="s">
        <v>251</v>
      </c>
    </row>
    <row r="1555" spans="1:14" ht="15">
      <c r="A1555" s="12"/>
      <c r="B1555" s="33" t="s">
        <v>188</v>
      </c>
      <c r="C1555" s="92" t="s">
        <v>339</v>
      </c>
      <c r="D1555" s="33" t="s">
        <v>411</v>
      </c>
      <c r="E1555" s="34">
        <v>44771</v>
      </c>
      <c r="F1555" s="34">
        <v>44774</v>
      </c>
      <c r="G1555" s="34">
        <v>44777</v>
      </c>
      <c r="H1555" s="35">
        <v>4.4999999999999998E-2</v>
      </c>
      <c r="I1555" s="67">
        <v>0.29260000000000003</v>
      </c>
      <c r="J1555" s="67">
        <v>0.14714361754798169</v>
      </c>
      <c r="K1555" s="67">
        <v>0.14545638245201833</v>
      </c>
      <c r="L1555" s="36">
        <f>+K1555-((K1555*0.027*0.125)+(K1555*(1-0.027)*0.26))</f>
        <v>0.10816791152853117</v>
      </c>
      <c r="M1555" s="64">
        <f t="shared" si="49"/>
        <v>0.25531152907651289</v>
      </c>
      <c r="N1555" s="33" t="s">
        <v>251</v>
      </c>
    </row>
    <row r="1556" spans="1:14" ht="15">
      <c r="A1556" s="12"/>
      <c r="B1556" s="33" t="s">
        <v>196</v>
      </c>
      <c r="C1556" s="92" t="s">
        <v>340</v>
      </c>
      <c r="D1556" s="33" t="s">
        <v>411</v>
      </c>
      <c r="E1556" s="34">
        <v>44771</v>
      </c>
      <c r="F1556" s="34">
        <v>44774</v>
      </c>
      <c r="G1556" s="34">
        <v>44777</v>
      </c>
      <c r="H1556" s="35">
        <v>4.4999999999999998E-2</v>
      </c>
      <c r="I1556" s="67">
        <v>0.3054</v>
      </c>
      <c r="J1556" s="67">
        <v>0.13332123453213138</v>
      </c>
      <c r="K1556" s="67">
        <v>0.17207876546786863</v>
      </c>
      <c r="L1556" s="36">
        <f>+K1556-((K1556*0.027*0.125)+(K1556*(1-0.027)*0.26))</f>
        <v>0.12796551354635316</v>
      </c>
      <c r="M1556" s="64">
        <f t="shared" si="49"/>
        <v>0.26128674807848451</v>
      </c>
      <c r="N1556" s="33" t="s">
        <v>251</v>
      </c>
    </row>
    <row r="1557" spans="1:14" ht="15">
      <c r="A1557" s="12"/>
      <c r="B1557" s="33" t="s">
        <v>191</v>
      </c>
      <c r="C1557" s="92" t="s">
        <v>346</v>
      </c>
      <c r="D1557" s="33" t="s">
        <v>411</v>
      </c>
      <c r="E1557" s="34">
        <v>44771</v>
      </c>
      <c r="F1557" s="34">
        <v>44774</v>
      </c>
      <c r="G1557" s="34">
        <v>44777</v>
      </c>
      <c r="H1557" s="35">
        <v>0.02</v>
      </c>
      <c r="I1557" s="67">
        <v>6.8999999999999999E-3</v>
      </c>
      <c r="J1557" s="67">
        <v>0</v>
      </c>
      <c r="K1557" s="67">
        <v>6.8999999999999999E-3</v>
      </c>
      <c r="L1557" s="36">
        <f>+K1557-((K1557*0.837*0.125)+(K1557*(1-0.837)*0.26))</f>
        <v>5.8856654999999997E-3</v>
      </c>
      <c r="M1557" s="64">
        <f t="shared" si="49"/>
        <v>5.8856654999999997E-3</v>
      </c>
      <c r="N1557" s="33" t="s">
        <v>251</v>
      </c>
    </row>
    <row r="1558" spans="1:14" ht="15">
      <c r="A1558" s="12"/>
      <c r="B1558" s="33" t="s">
        <v>199</v>
      </c>
      <c r="C1558" s="92" t="s">
        <v>347</v>
      </c>
      <c r="D1558" s="33" t="s">
        <v>411</v>
      </c>
      <c r="E1558" s="34">
        <v>44771</v>
      </c>
      <c r="F1558" s="34">
        <v>44774</v>
      </c>
      <c r="G1558" s="34">
        <v>44777</v>
      </c>
      <c r="H1558" s="35">
        <v>0.02</v>
      </c>
      <c r="I1558" s="67">
        <v>6.8999999999999999E-3</v>
      </c>
      <c r="J1558" s="67">
        <v>0</v>
      </c>
      <c r="K1558" s="67">
        <v>6.8999999999999999E-3</v>
      </c>
      <c r="L1558" s="36">
        <f>+K1558-((K1558*0.837*0.125)+(K1558*(1-0.837)*0.26))</f>
        <v>5.8856654999999997E-3</v>
      </c>
      <c r="M1558" s="64">
        <f t="shared" si="49"/>
        <v>5.8856654999999997E-3</v>
      </c>
      <c r="N1558" s="33" t="s">
        <v>251</v>
      </c>
    </row>
    <row r="1559" spans="1:14" ht="15">
      <c r="A1559" s="12"/>
      <c r="B1559" s="33" t="s">
        <v>306</v>
      </c>
      <c r="C1559" s="92" t="s">
        <v>430</v>
      </c>
      <c r="D1559" s="33" t="s">
        <v>411</v>
      </c>
      <c r="E1559" s="34">
        <v>44771</v>
      </c>
      <c r="F1559" s="34">
        <v>44774</v>
      </c>
      <c r="G1559" s="34">
        <v>44777</v>
      </c>
      <c r="H1559" s="35">
        <v>2.5000000000000001E-2</v>
      </c>
      <c r="I1559" s="67">
        <v>1.0200000000000001E-2</v>
      </c>
      <c r="J1559" s="67">
        <v>3.1468059114362775E-3</v>
      </c>
      <c r="K1559" s="67">
        <v>7.0531940885637228E-3</v>
      </c>
      <c r="L1559" s="36">
        <f>+K1559-((K1559*0.00001*0.125)+(K1559*(1-0.00001)*0.26))</f>
        <v>5.2193731473491739E-3</v>
      </c>
      <c r="M1559" s="64">
        <f t="shared" si="49"/>
        <v>8.3661790587854518E-3</v>
      </c>
      <c r="N1559" s="33" t="s">
        <v>251</v>
      </c>
    </row>
    <row r="1560" spans="1:14" ht="15">
      <c r="A1560" s="12"/>
      <c r="B1560" s="33" t="s">
        <v>184</v>
      </c>
      <c r="C1560" s="92" t="s">
        <v>354</v>
      </c>
      <c r="D1560" s="33" t="s">
        <v>411</v>
      </c>
      <c r="E1560" s="34">
        <v>44771</v>
      </c>
      <c r="F1560" s="34">
        <v>44774</v>
      </c>
      <c r="G1560" s="34">
        <v>44777</v>
      </c>
      <c r="H1560" s="35">
        <v>2.5000000000000001E-2</v>
      </c>
      <c r="I1560" s="67">
        <v>0.20449999999999999</v>
      </c>
      <c r="J1560" s="67">
        <v>7.2265690032649946E-2</v>
      </c>
      <c r="K1560" s="67">
        <v>0.13223430996735006</v>
      </c>
      <c r="L1560" s="36">
        <f>+K1560-((K1560*0.00001*0.125)+(K1560*(1-0.00001)*0.26))</f>
        <v>9.7853567892157489E-2</v>
      </c>
      <c r="M1560" s="64">
        <f t="shared" si="49"/>
        <v>0.17011925792480742</v>
      </c>
      <c r="N1560" s="33" t="s">
        <v>251</v>
      </c>
    </row>
    <row r="1561" spans="1:14" ht="15">
      <c r="A1561" s="12"/>
      <c r="B1561" s="33" t="s">
        <v>192</v>
      </c>
      <c r="C1561" s="92" t="s">
        <v>355</v>
      </c>
      <c r="D1561" s="33" t="s">
        <v>411</v>
      </c>
      <c r="E1561" s="34">
        <v>44771</v>
      </c>
      <c r="F1561" s="34">
        <v>44774</v>
      </c>
      <c r="G1561" s="34">
        <v>44777</v>
      </c>
      <c r="H1561" s="35">
        <v>2.5000000000000001E-2</v>
      </c>
      <c r="I1561" s="67">
        <v>0.20749999999999999</v>
      </c>
      <c r="J1561" s="67">
        <v>4.3089395695310562E-2</v>
      </c>
      <c r="K1561" s="67">
        <v>0.16441060430468943</v>
      </c>
      <c r="L1561" s="36">
        <f>+K1561-((K1561*0.00001*0.125)+(K1561*(1-0.00001)*0.26))</f>
        <v>0.12166406913978599</v>
      </c>
      <c r="M1561" s="64">
        <f t="shared" si="49"/>
        <v>0.16475346483509656</v>
      </c>
      <c r="N1561" s="33" t="s">
        <v>251</v>
      </c>
    </row>
    <row r="1562" spans="1:14" ht="15">
      <c r="A1562" s="12"/>
      <c r="B1562" s="33" t="s">
        <v>311</v>
      </c>
      <c r="C1562" s="92" t="s">
        <v>425</v>
      </c>
      <c r="D1562" s="33" t="s">
        <v>411</v>
      </c>
      <c r="E1562" s="34">
        <v>44771</v>
      </c>
      <c r="F1562" s="34">
        <v>44774</v>
      </c>
      <c r="G1562" s="34">
        <v>44777</v>
      </c>
      <c r="H1562" s="35">
        <v>1.4999999999999999E-2</v>
      </c>
      <c r="I1562" s="67">
        <v>6.1000000000000004E-3</v>
      </c>
      <c r="J1562" s="67">
        <v>1.0638428330742134E-5</v>
      </c>
      <c r="K1562" s="67">
        <v>6.0893615716692585E-3</v>
      </c>
      <c r="L1562" s="36">
        <f>+K1562-((K1562*0.0000001*0.125)+(K1562*(1-0.0000001)*0.26))</f>
        <v>4.5061276452416322E-3</v>
      </c>
      <c r="M1562" s="64">
        <f t="shared" si="49"/>
        <v>4.5167660735723741E-3</v>
      </c>
      <c r="N1562" s="33" t="s">
        <v>251</v>
      </c>
    </row>
    <row r="1563" spans="1:14" ht="15">
      <c r="A1563" s="12"/>
      <c r="B1563" s="33" t="s">
        <v>189</v>
      </c>
      <c r="C1563" s="92" t="s">
        <v>356</v>
      </c>
      <c r="D1563" s="33" t="s">
        <v>411</v>
      </c>
      <c r="E1563" s="34">
        <v>44771</v>
      </c>
      <c r="F1563" s="34">
        <v>44774</v>
      </c>
      <c r="G1563" s="34">
        <v>44777</v>
      </c>
      <c r="H1563" s="35">
        <v>1.4999999999999999E-2</v>
      </c>
      <c r="I1563" s="67">
        <v>0.1114</v>
      </c>
      <c r="J1563" s="67">
        <v>9.5246213594574781E-3</v>
      </c>
      <c r="K1563" s="67">
        <v>0.10187537864054252</v>
      </c>
      <c r="L1563" s="36">
        <f>+K1563-((K1563*0.0000001*0.125)+(K1563*(1-0.0000001)*0.26))</f>
        <v>7.5387781569319079E-2</v>
      </c>
      <c r="M1563" s="64">
        <f t="shared" si="49"/>
        <v>8.4912402928776554E-2</v>
      </c>
      <c r="N1563" s="33" t="s">
        <v>251</v>
      </c>
    </row>
    <row r="1564" spans="1:14" ht="15">
      <c r="A1564" s="12"/>
      <c r="B1564" s="33" t="s">
        <v>197</v>
      </c>
      <c r="C1564" s="92" t="s">
        <v>357</v>
      </c>
      <c r="D1564" s="33" t="s">
        <v>411</v>
      </c>
      <c r="E1564" s="34">
        <v>44771</v>
      </c>
      <c r="F1564" s="34">
        <v>44774</v>
      </c>
      <c r="G1564" s="34">
        <v>44777</v>
      </c>
      <c r="H1564" s="35">
        <v>1.4999999999999999E-2</v>
      </c>
      <c r="I1564" s="67">
        <v>0.114</v>
      </c>
      <c r="J1564" s="67">
        <v>0</v>
      </c>
      <c r="K1564" s="67">
        <v>0.114</v>
      </c>
      <c r="L1564" s="36">
        <f>+K1564-((K1564*0.0000001*0.125)+(K1564*(1-0.0000001)*0.26))</f>
        <v>8.4360001539000001E-2</v>
      </c>
      <c r="M1564" s="64">
        <f t="shared" si="49"/>
        <v>8.4360001539000001E-2</v>
      </c>
      <c r="N1564" s="33" t="s">
        <v>251</v>
      </c>
    </row>
    <row r="1565" spans="1:14" ht="15">
      <c r="A1565" s="12"/>
      <c r="B1565" s="33" t="s">
        <v>308</v>
      </c>
      <c r="C1565" s="92" t="s">
        <v>426</v>
      </c>
      <c r="D1565" s="33" t="s">
        <v>411</v>
      </c>
      <c r="E1565" s="34">
        <v>44771</v>
      </c>
      <c r="F1565" s="34">
        <v>44774</v>
      </c>
      <c r="G1565" s="34">
        <v>44777</v>
      </c>
      <c r="H1565" s="35">
        <v>1.4999999999999999E-2</v>
      </c>
      <c r="I1565" s="67">
        <v>5.8999999999999999E-3</v>
      </c>
      <c r="J1565" s="67">
        <v>2.4769928357402196E-3</v>
      </c>
      <c r="K1565" s="67">
        <v>3.4230071642597803E-3</v>
      </c>
      <c r="L1565" s="36">
        <f>+K1565-((K1565*0.4545*0.125)+(K1565*(1-0.4545)*0.26))</f>
        <v>2.7430524636333068E-3</v>
      </c>
      <c r="M1565" s="64">
        <f t="shared" si="49"/>
        <v>5.2200452993735264E-3</v>
      </c>
      <c r="N1565" s="33" t="s">
        <v>251</v>
      </c>
    </row>
    <row r="1566" spans="1:14" ht="15">
      <c r="A1566" s="12"/>
      <c r="B1566" s="33" t="s">
        <v>186</v>
      </c>
      <c r="C1566" s="92" t="s">
        <v>363</v>
      </c>
      <c r="D1566" s="33" t="s">
        <v>411</v>
      </c>
      <c r="E1566" s="34">
        <v>44771</v>
      </c>
      <c r="F1566" s="34">
        <v>44774</v>
      </c>
      <c r="G1566" s="34">
        <v>44777</v>
      </c>
      <c r="H1566" s="35">
        <v>1.4999999999999999E-2</v>
      </c>
      <c r="I1566" s="67">
        <v>0.108</v>
      </c>
      <c r="J1566" s="67">
        <v>5.3659964553466014E-2</v>
      </c>
      <c r="K1566" s="67">
        <v>5.4340035446533985E-2</v>
      </c>
      <c r="L1566" s="36">
        <f>+K1566-((K1566*0.4545*0.125)+(K1566*(1-0.4545)*0.26))</f>
        <v>4.3545794955345857E-2</v>
      </c>
      <c r="M1566" s="64">
        <f t="shared" si="49"/>
        <v>9.720575950881187E-2</v>
      </c>
      <c r="N1566" s="33" t="s">
        <v>251</v>
      </c>
    </row>
    <row r="1567" spans="1:14" ht="15">
      <c r="A1567" s="12"/>
      <c r="B1567" s="33" t="s">
        <v>194</v>
      </c>
      <c r="C1567" s="92" t="s">
        <v>364</v>
      </c>
      <c r="D1567" s="33" t="s">
        <v>411</v>
      </c>
      <c r="E1567" s="34">
        <v>44771</v>
      </c>
      <c r="F1567" s="34">
        <v>44774</v>
      </c>
      <c r="G1567" s="34">
        <v>44777</v>
      </c>
      <c r="H1567" s="35">
        <v>1.4999999999999999E-2</v>
      </c>
      <c r="I1567" s="67">
        <v>0.11169999999999999</v>
      </c>
      <c r="J1567" s="67">
        <v>2.960479059305066E-2</v>
      </c>
      <c r="K1567" s="67">
        <v>8.2095209406949338E-2</v>
      </c>
      <c r="L1567" s="36">
        <f>+K1567-((K1567*0.4545*0.125)+(K1567*(1-0.4545)*0.26))</f>
        <v>6.5787611772329405E-2</v>
      </c>
      <c r="M1567" s="64">
        <f t="shared" si="49"/>
        <v>9.5392402365380061E-2</v>
      </c>
      <c r="N1567" s="33" t="s">
        <v>251</v>
      </c>
    </row>
    <row r="1568" spans="1:14" ht="15">
      <c r="A1568" s="12"/>
      <c r="B1568" s="33" t="s">
        <v>307</v>
      </c>
      <c r="C1568" s="92" t="s">
        <v>420</v>
      </c>
      <c r="D1568" s="33" t="s">
        <v>411</v>
      </c>
      <c r="E1568" s="34">
        <v>44771</v>
      </c>
      <c r="F1568" s="34">
        <v>44774</v>
      </c>
      <c r="G1568" s="34">
        <v>44777</v>
      </c>
      <c r="H1568" s="35">
        <v>1.4999999999999999E-2</v>
      </c>
      <c r="I1568" s="67">
        <v>5.7000000000000002E-3</v>
      </c>
      <c r="J1568" s="67">
        <v>5.7000000000000002E-3</v>
      </c>
      <c r="K1568" s="67">
        <v>0</v>
      </c>
      <c r="L1568" s="36">
        <f>+K1568-((K1568*0.572*0.125)+(K1568*(1-0.572)*0.26))</f>
        <v>0</v>
      </c>
      <c r="M1568" s="64">
        <f t="shared" si="49"/>
        <v>5.7000000000000002E-3</v>
      </c>
      <c r="N1568" s="33" t="s">
        <v>251</v>
      </c>
    </row>
    <row r="1569" spans="1:14" ht="15">
      <c r="A1569" s="12"/>
      <c r="B1569" s="33" t="s">
        <v>185</v>
      </c>
      <c r="C1569" s="92" t="s">
        <v>366</v>
      </c>
      <c r="D1569" s="33" t="s">
        <v>411</v>
      </c>
      <c r="E1569" s="34">
        <v>44771</v>
      </c>
      <c r="F1569" s="34">
        <v>44774</v>
      </c>
      <c r="G1569" s="34">
        <v>44777</v>
      </c>
      <c r="H1569" s="35">
        <v>1.4999999999999999E-2</v>
      </c>
      <c r="I1569" s="67">
        <v>9.5200000000000007E-2</v>
      </c>
      <c r="J1569" s="67">
        <v>9.5200000000000007E-2</v>
      </c>
      <c r="K1569" s="67">
        <v>0</v>
      </c>
      <c r="L1569" s="36">
        <f>+K1569-((K1569*0.572*0.125)+(K1569*(1-0.572)*0.26))</f>
        <v>0</v>
      </c>
      <c r="M1569" s="64">
        <f t="shared" si="49"/>
        <v>9.5200000000000007E-2</v>
      </c>
      <c r="N1569" s="33" t="s">
        <v>251</v>
      </c>
    </row>
    <row r="1570" spans="1:14" ht="15">
      <c r="A1570" s="12"/>
      <c r="B1570" s="33" t="s">
        <v>193</v>
      </c>
      <c r="C1570" s="92" t="s">
        <v>367</v>
      </c>
      <c r="D1570" s="33" t="s">
        <v>411</v>
      </c>
      <c r="E1570" s="34">
        <v>44771</v>
      </c>
      <c r="F1570" s="34">
        <v>44774</v>
      </c>
      <c r="G1570" s="34">
        <v>44777</v>
      </c>
      <c r="H1570" s="35">
        <v>1.4999999999999999E-2</v>
      </c>
      <c r="I1570" s="67">
        <v>9.3399999999999997E-2</v>
      </c>
      <c r="J1570" s="67">
        <v>9.3399999999999997E-2</v>
      </c>
      <c r="K1570" s="67">
        <v>0</v>
      </c>
      <c r="L1570" s="36">
        <f>+K1570-((K1570*0.572*0.125)+(K1570*(1-0.572)*0.26))</f>
        <v>0</v>
      </c>
      <c r="M1570" s="64">
        <f t="shared" si="49"/>
        <v>9.3399999999999997E-2</v>
      </c>
      <c r="N1570" s="33" t="s">
        <v>251</v>
      </c>
    </row>
    <row r="1571" spans="1:14" ht="15">
      <c r="A1571" s="12"/>
      <c r="B1571" s="33" t="s">
        <v>309</v>
      </c>
      <c r="C1571" s="92" t="s">
        <v>427</v>
      </c>
      <c r="D1571" s="33" t="s">
        <v>411</v>
      </c>
      <c r="E1571" s="34">
        <v>44771</v>
      </c>
      <c r="F1571" s="34">
        <v>44774</v>
      </c>
      <c r="G1571" s="34">
        <v>44777</v>
      </c>
      <c r="H1571" s="35">
        <v>0.02</v>
      </c>
      <c r="I1571" s="67">
        <v>8.2000000000000007E-3</v>
      </c>
      <c r="J1571" s="67">
        <v>4.7573403586198869E-3</v>
      </c>
      <c r="K1571" s="67">
        <v>3.4426596413801138E-3</v>
      </c>
      <c r="L1571" s="36">
        <f>+K1571-((K1571*0.0245*0.125)+(K1571*(1-0.0245)*0.26))</f>
        <v>2.5589547313851491E-3</v>
      </c>
      <c r="M1571" s="64">
        <f t="shared" si="49"/>
        <v>7.316295090005036E-3</v>
      </c>
      <c r="N1571" s="33" t="s">
        <v>251</v>
      </c>
    </row>
    <row r="1572" spans="1:14" ht="15">
      <c r="A1572" s="12"/>
      <c r="B1572" s="33" t="s">
        <v>187</v>
      </c>
      <c r="C1572" s="92" t="s">
        <v>368</v>
      </c>
      <c r="D1572" s="33" t="s">
        <v>411</v>
      </c>
      <c r="E1572" s="34">
        <v>44771</v>
      </c>
      <c r="F1572" s="34">
        <v>44774</v>
      </c>
      <c r="G1572" s="34">
        <v>44777</v>
      </c>
      <c r="H1572" s="35">
        <v>0.02</v>
      </c>
      <c r="I1572" s="67">
        <v>0.14419999999999999</v>
      </c>
      <c r="J1572" s="67">
        <v>9.1130691276086362E-2</v>
      </c>
      <c r="K1572" s="67">
        <v>5.3069308723913633E-2</v>
      </c>
      <c r="L1572" s="36">
        <f>+K1572-((K1572*0.0245*0.125)+(K1572*(1-0.0245)*0.26))</f>
        <v>3.9446815194300433E-2</v>
      </c>
      <c r="M1572" s="64">
        <f t="shared" si="49"/>
        <v>0.13057750647038679</v>
      </c>
      <c r="N1572" s="33" t="s">
        <v>251</v>
      </c>
    </row>
    <row r="1573" spans="1:14" ht="15">
      <c r="A1573" s="12"/>
      <c r="B1573" s="33" t="s">
        <v>195</v>
      </c>
      <c r="C1573" s="92" t="s">
        <v>369</v>
      </c>
      <c r="D1573" s="33" t="s">
        <v>411</v>
      </c>
      <c r="E1573" s="34">
        <v>44771</v>
      </c>
      <c r="F1573" s="34">
        <v>44774</v>
      </c>
      <c r="G1573" s="34">
        <v>44777</v>
      </c>
      <c r="H1573" s="35">
        <v>0.02</v>
      </c>
      <c r="I1573" s="67">
        <v>0.14960000000000001</v>
      </c>
      <c r="J1573" s="67">
        <v>7.0792553231701E-2</v>
      </c>
      <c r="K1573" s="67">
        <v>7.8807446768299011E-2</v>
      </c>
      <c r="L1573" s="36">
        <f>+K1573-((K1573*0.0245*0.125)+(K1573*(1-0.0245)*0.26))</f>
        <v>5.8578166238727414E-2</v>
      </c>
      <c r="M1573" s="64">
        <f t="shared" si="49"/>
        <v>0.12937071947042841</v>
      </c>
      <c r="N1573" s="33" t="s">
        <v>251</v>
      </c>
    </row>
    <row r="1574" spans="1:14" ht="15">
      <c r="A1574" s="12"/>
      <c r="B1574" s="33" t="s">
        <v>312</v>
      </c>
      <c r="C1574" s="92" t="s">
        <v>428</v>
      </c>
      <c r="D1574" s="33" t="s">
        <v>411</v>
      </c>
      <c r="E1574" s="34">
        <v>44771</v>
      </c>
      <c r="F1574" s="34">
        <v>44774</v>
      </c>
      <c r="G1574" s="34">
        <v>44777</v>
      </c>
      <c r="H1574" s="35">
        <v>3.2500000000000001E-2</v>
      </c>
      <c r="I1574" s="67">
        <v>1.2500000000000001E-2</v>
      </c>
      <c r="J1574" s="67">
        <v>2.9824477959049939E-3</v>
      </c>
      <c r="K1574" s="67">
        <v>9.5175522040950068E-3</v>
      </c>
      <c r="L1574" s="36">
        <f>+K1574-((K1574*0.0175*0.125)+(K1574*(1-0.0175)*0.26))</f>
        <v>7.0654738481124796E-3</v>
      </c>
      <c r="M1574" s="64">
        <f t="shared" si="49"/>
        <v>1.0047921644017473E-2</v>
      </c>
      <c r="N1574" s="33" t="s">
        <v>251</v>
      </c>
    </row>
    <row r="1575" spans="1:14" ht="15">
      <c r="A1575" s="12"/>
      <c r="B1575" s="33" t="s">
        <v>190</v>
      </c>
      <c r="C1575" s="92" t="s">
        <v>370</v>
      </c>
      <c r="D1575" s="33" t="s">
        <v>411</v>
      </c>
      <c r="E1575" s="34">
        <v>44771</v>
      </c>
      <c r="F1575" s="34">
        <v>44774</v>
      </c>
      <c r="G1575" s="34">
        <v>44777</v>
      </c>
      <c r="H1575" s="35">
        <v>3.2500000000000001E-2</v>
      </c>
      <c r="I1575" s="67">
        <v>0.2374</v>
      </c>
      <c r="J1575" s="67">
        <v>6.4794335215556553E-2</v>
      </c>
      <c r="K1575" s="67">
        <v>0.17260566478444345</v>
      </c>
      <c r="L1575" s="36">
        <f>+K1575-((K1575*0.0175*0.125)+(K1575*(1-0.0175)*0.26))</f>
        <v>0.12813597282354139</v>
      </c>
      <c r="M1575" s="64">
        <f t="shared" si="49"/>
        <v>0.19293030803909794</v>
      </c>
      <c r="N1575" s="33" t="s">
        <v>251</v>
      </c>
    </row>
    <row r="1576" spans="1:14" ht="15">
      <c r="A1576" s="12"/>
      <c r="B1576" s="33" t="s">
        <v>198</v>
      </c>
      <c r="C1576" s="92" t="s">
        <v>371</v>
      </c>
      <c r="D1576" s="33" t="s">
        <v>411</v>
      </c>
      <c r="E1576" s="34">
        <v>44771</v>
      </c>
      <c r="F1576" s="34">
        <v>44774</v>
      </c>
      <c r="G1576" s="34">
        <v>44777</v>
      </c>
      <c r="H1576" s="35">
        <v>3.2500000000000001E-2</v>
      </c>
      <c r="I1576" s="67">
        <v>0.23849999999999999</v>
      </c>
      <c r="J1576" s="67">
        <v>4.2033246301035734E-2</v>
      </c>
      <c r="K1576" s="67">
        <v>0.19646675369896427</v>
      </c>
      <c r="L1576" s="36">
        <f>+K1576-((K1576*0.0175*0.125)+(K1576*(1-0.0175)*0.26))</f>
        <v>0.14584955044284736</v>
      </c>
      <c r="M1576" s="64">
        <f t="shared" si="49"/>
        <v>0.18788279674388308</v>
      </c>
      <c r="N1576" s="33" t="s">
        <v>251</v>
      </c>
    </row>
    <row r="1577" spans="1:14" ht="15">
      <c r="A1577" s="12"/>
      <c r="B1577" s="33" t="s">
        <v>513</v>
      </c>
      <c r="C1577" s="92" t="s">
        <v>515</v>
      </c>
      <c r="D1577" s="33" t="s">
        <v>411</v>
      </c>
      <c r="E1577" s="34">
        <v>44771</v>
      </c>
      <c r="F1577" s="34">
        <v>44774</v>
      </c>
      <c r="G1577" s="34">
        <v>44777</v>
      </c>
      <c r="H1577" s="35">
        <v>0</v>
      </c>
      <c r="I1577" s="67">
        <v>0</v>
      </c>
      <c r="J1577" s="67">
        <v>0</v>
      </c>
      <c r="K1577" s="67">
        <v>0</v>
      </c>
      <c r="L1577" s="36">
        <f>+K1577-((K1577*0.381*0.125)+(K1577*(1-0.381)*0.26))</f>
        <v>0</v>
      </c>
      <c r="M1577" s="64">
        <f t="shared" si="49"/>
        <v>0</v>
      </c>
      <c r="N1577" s="33" t="s">
        <v>251</v>
      </c>
    </row>
    <row r="1578" spans="1:14" ht="15">
      <c r="A1578" s="12"/>
      <c r="B1578" s="33" t="s">
        <v>514</v>
      </c>
      <c r="C1578" s="92" t="s">
        <v>516</v>
      </c>
      <c r="D1578" s="33" t="s">
        <v>411</v>
      </c>
      <c r="E1578" s="34">
        <v>44771</v>
      </c>
      <c r="F1578" s="34">
        <v>44774</v>
      </c>
      <c r="G1578" s="34">
        <v>44777</v>
      </c>
      <c r="H1578" s="35">
        <v>0</v>
      </c>
      <c r="I1578" s="67">
        <v>0</v>
      </c>
      <c r="J1578" s="67">
        <v>0</v>
      </c>
      <c r="K1578" s="67">
        <v>0</v>
      </c>
      <c r="L1578" s="36">
        <f>+K1578-((K1578*0.381*0.125)+(K1578*(1-0.381)*0.26))</f>
        <v>0</v>
      </c>
      <c r="M1578" s="64">
        <f t="shared" si="49"/>
        <v>0</v>
      </c>
      <c r="N1578" s="33" t="s">
        <v>251</v>
      </c>
    </row>
    <row r="1579" spans="1:14" ht="15">
      <c r="A1579" s="12"/>
      <c r="B1579" s="33" t="s">
        <v>313</v>
      </c>
      <c r="C1579" s="92" t="s">
        <v>429</v>
      </c>
      <c r="D1579" s="33" t="s">
        <v>411</v>
      </c>
      <c r="E1579" s="34">
        <v>44771</v>
      </c>
      <c r="F1579" s="34">
        <v>44774</v>
      </c>
      <c r="G1579" s="34">
        <v>44777</v>
      </c>
      <c r="H1579" s="35">
        <v>1.2E-2</v>
      </c>
      <c r="I1579" s="67">
        <v>5.0000000000000001E-3</v>
      </c>
      <c r="J1579" s="67">
        <v>0</v>
      </c>
      <c r="K1579" s="67">
        <v>5.0000000000000001E-3</v>
      </c>
      <c r="L1579" s="36">
        <f>+K1579-((K1579*0.184*0.125)+(K1579*(1-0.184)*0.26))</f>
        <v>3.8241999999999998E-3</v>
      </c>
      <c r="M1579" s="64">
        <f t="shared" si="49"/>
        <v>3.8241999999999998E-3</v>
      </c>
      <c r="N1579" s="33" t="s">
        <v>251</v>
      </c>
    </row>
    <row r="1580" spans="1:14" ht="15">
      <c r="A1580" s="12"/>
      <c r="B1580" s="33" t="s">
        <v>310</v>
      </c>
      <c r="C1580" s="92" t="s">
        <v>424</v>
      </c>
      <c r="D1580" s="33" t="s">
        <v>411</v>
      </c>
      <c r="E1580" s="34">
        <v>44804</v>
      </c>
      <c r="F1580" s="34">
        <v>44805</v>
      </c>
      <c r="G1580" s="34">
        <v>44810</v>
      </c>
      <c r="H1580" s="35">
        <v>4.4999999999999998E-2</v>
      </c>
      <c r="I1580" s="67">
        <v>1.6799999999999999E-2</v>
      </c>
      <c r="J1580" s="67">
        <v>6.8512560805185398E-3</v>
      </c>
      <c r="K1580" s="67">
        <v>9.9487439194814592E-3</v>
      </c>
      <c r="L1580" s="36">
        <f>+K1580-((K1580*0.027*0.125)+(K1580*(1-0.027)*0.26))</f>
        <v>7.3983336720027902E-3</v>
      </c>
      <c r="M1580" s="64">
        <f t="shared" si="49"/>
        <v>1.424958975252133E-2</v>
      </c>
      <c r="N1580" s="33" t="s">
        <v>251</v>
      </c>
    </row>
    <row r="1581" spans="1:14" ht="15">
      <c r="A1581" s="12"/>
      <c r="B1581" s="33" t="s">
        <v>188</v>
      </c>
      <c r="C1581" s="92" t="s">
        <v>339</v>
      </c>
      <c r="D1581" s="33" t="s">
        <v>411</v>
      </c>
      <c r="E1581" s="34">
        <v>44804</v>
      </c>
      <c r="F1581" s="34">
        <v>44805</v>
      </c>
      <c r="G1581" s="34">
        <v>44810</v>
      </c>
      <c r="H1581" s="35">
        <v>4.4999999999999998E-2</v>
      </c>
      <c r="I1581" s="67">
        <v>0.29260000000000003</v>
      </c>
      <c r="J1581" s="67">
        <v>0.1198296058602184</v>
      </c>
      <c r="K1581" s="67">
        <v>0.17277039413978162</v>
      </c>
      <c r="L1581" s="36">
        <f>+K1581-((K1581*0.027*0.125)+(K1581*(1-0.027)*0.26))</f>
        <v>0.1284798397500779</v>
      </c>
      <c r="M1581" s="64">
        <f t="shared" si="49"/>
        <v>0.2483094456102963</v>
      </c>
      <c r="N1581" s="33" t="s">
        <v>251</v>
      </c>
    </row>
    <row r="1582" spans="1:14" ht="15">
      <c r="A1582" s="12"/>
      <c r="B1582" s="33" t="s">
        <v>196</v>
      </c>
      <c r="C1582" s="92" t="s">
        <v>340</v>
      </c>
      <c r="D1582" s="33" t="s">
        <v>411</v>
      </c>
      <c r="E1582" s="34">
        <v>44804</v>
      </c>
      <c r="F1582" s="34">
        <v>44805</v>
      </c>
      <c r="G1582" s="34">
        <v>44810</v>
      </c>
      <c r="H1582" s="35">
        <v>4.4999999999999998E-2</v>
      </c>
      <c r="I1582" s="67">
        <v>0.3054</v>
      </c>
      <c r="J1582" s="67">
        <v>0.12317666310121424</v>
      </c>
      <c r="K1582" s="67">
        <v>0.18222333689878578</v>
      </c>
      <c r="L1582" s="36">
        <f>+K1582-((K1582*0.027*0.125)+(K1582*(1-0.027)*0.26))</f>
        <v>0.13550947336809754</v>
      </c>
      <c r="M1582" s="64">
        <f t="shared" si="49"/>
        <v>0.25868613646931177</v>
      </c>
      <c r="N1582" s="33" t="s">
        <v>251</v>
      </c>
    </row>
    <row r="1583" spans="1:14" ht="15">
      <c r="A1583" s="12"/>
      <c r="B1583" s="33" t="s">
        <v>191</v>
      </c>
      <c r="C1583" s="92" t="s">
        <v>346</v>
      </c>
      <c r="D1583" s="33" t="s">
        <v>411</v>
      </c>
      <c r="E1583" s="34">
        <v>44804</v>
      </c>
      <c r="F1583" s="34">
        <v>44805</v>
      </c>
      <c r="G1583" s="34">
        <v>44810</v>
      </c>
      <c r="H1583" s="35">
        <v>0.02</v>
      </c>
      <c r="I1583" s="67">
        <v>6.8999999999999999E-3</v>
      </c>
      <c r="J1583" s="67">
        <v>0</v>
      </c>
      <c r="K1583" s="67">
        <v>6.8999999999999999E-3</v>
      </c>
      <c r="L1583" s="36">
        <f>+K1583-((K1583*0.837*0.125)+(K1583*(1-0.837)*0.26))</f>
        <v>5.8856654999999997E-3</v>
      </c>
      <c r="M1583" s="64">
        <f t="shared" si="49"/>
        <v>5.8856654999999997E-3</v>
      </c>
      <c r="N1583" s="33" t="s">
        <v>251</v>
      </c>
    </row>
    <row r="1584" spans="1:14" ht="15">
      <c r="A1584" s="12"/>
      <c r="B1584" s="33" t="s">
        <v>199</v>
      </c>
      <c r="C1584" s="92" t="s">
        <v>347</v>
      </c>
      <c r="D1584" s="33" t="s">
        <v>411</v>
      </c>
      <c r="E1584" s="34">
        <v>44804</v>
      </c>
      <c r="F1584" s="34">
        <v>44805</v>
      </c>
      <c r="G1584" s="34">
        <v>44810</v>
      </c>
      <c r="H1584" s="35">
        <v>0.02</v>
      </c>
      <c r="I1584" s="67">
        <v>6.8999999999999999E-3</v>
      </c>
      <c r="J1584" s="67">
        <v>0</v>
      </c>
      <c r="K1584" s="67">
        <v>6.8999999999999999E-3</v>
      </c>
      <c r="L1584" s="36">
        <f>+K1584-((K1584*0.837*0.125)+(K1584*(1-0.837)*0.26))</f>
        <v>5.8856654999999997E-3</v>
      </c>
      <c r="M1584" s="64">
        <f t="shared" si="49"/>
        <v>5.8856654999999997E-3</v>
      </c>
      <c r="N1584" s="33" t="s">
        <v>251</v>
      </c>
    </row>
    <row r="1585" spans="1:14" ht="15">
      <c r="A1585" s="12"/>
      <c r="B1585" s="33" t="s">
        <v>306</v>
      </c>
      <c r="C1585" s="92" t="s">
        <v>430</v>
      </c>
      <c r="D1585" s="33" t="s">
        <v>411</v>
      </c>
      <c r="E1585" s="34">
        <v>44804</v>
      </c>
      <c r="F1585" s="34">
        <v>44805</v>
      </c>
      <c r="G1585" s="34">
        <v>44810</v>
      </c>
      <c r="H1585" s="35">
        <v>2.5000000000000001E-2</v>
      </c>
      <c r="I1585" s="67">
        <v>1.0200000000000001E-2</v>
      </c>
      <c r="J1585" s="67">
        <v>0</v>
      </c>
      <c r="K1585" s="67">
        <v>1.0200000000000001E-2</v>
      </c>
      <c r="L1585" s="36">
        <f>+K1585-((K1585*0.00001*0.125)+(K1585*(1-0.00001)*0.26))</f>
        <v>7.5480137700000005E-3</v>
      </c>
      <c r="M1585" s="64">
        <f t="shared" si="49"/>
        <v>7.5480137700000005E-3</v>
      </c>
      <c r="N1585" s="33" t="s">
        <v>251</v>
      </c>
    </row>
    <row r="1586" spans="1:14" ht="15">
      <c r="A1586" s="12"/>
      <c r="B1586" s="33" t="s">
        <v>184</v>
      </c>
      <c r="C1586" s="92" t="s">
        <v>354</v>
      </c>
      <c r="D1586" s="33" t="s">
        <v>411</v>
      </c>
      <c r="E1586" s="34">
        <v>44804</v>
      </c>
      <c r="F1586" s="34">
        <v>44805</v>
      </c>
      <c r="G1586" s="34">
        <v>44810</v>
      </c>
      <c r="H1586" s="35">
        <v>2.5000000000000001E-2</v>
      </c>
      <c r="I1586" s="67">
        <v>0.20449999999999999</v>
      </c>
      <c r="J1586" s="67">
        <v>0</v>
      </c>
      <c r="K1586" s="67">
        <v>0.20449999999999999</v>
      </c>
      <c r="L1586" s="36">
        <f>+K1586-((K1586*0.00001*0.125)+(K1586*(1-0.00001)*0.26))</f>
        <v>0.15133027607499999</v>
      </c>
      <c r="M1586" s="64">
        <f t="shared" si="49"/>
        <v>0.15133027607499999</v>
      </c>
      <c r="N1586" s="33" t="s">
        <v>251</v>
      </c>
    </row>
    <row r="1587" spans="1:14" ht="15">
      <c r="A1587" s="12"/>
      <c r="B1587" s="33" t="s">
        <v>192</v>
      </c>
      <c r="C1587" s="92" t="s">
        <v>355</v>
      </c>
      <c r="D1587" s="33" t="s">
        <v>411</v>
      </c>
      <c r="E1587" s="34">
        <v>44804</v>
      </c>
      <c r="F1587" s="34">
        <v>44805</v>
      </c>
      <c r="G1587" s="34">
        <v>44810</v>
      </c>
      <c r="H1587" s="35">
        <v>2.5000000000000001E-2</v>
      </c>
      <c r="I1587" s="67">
        <v>0.20749999999999999</v>
      </c>
      <c r="J1587" s="67">
        <v>0</v>
      </c>
      <c r="K1587" s="67">
        <v>0.20749999999999999</v>
      </c>
      <c r="L1587" s="36">
        <f>+K1587-((K1587*0.00001*0.125)+(K1587*(1-0.00001)*0.26))</f>
        <v>0.15355028012499999</v>
      </c>
      <c r="M1587" s="64">
        <f t="shared" si="49"/>
        <v>0.15355028012499999</v>
      </c>
      <c r="N1587" s="33" t="s">
        <v>251</v>
      </c>
    </row>
    <row r="1588" spans="1:14" ht="15">
      <c r="A1588" s="12"/>
      <c r="B1588" s="33" t="s">
        <v>311</v>
      </c>
      <c r="C1588" s="92" t="s">
        <v>425</v>
      </c>
      <c r="D1588" s="33" t="s">
        <v>411</v>
      </c>
      <c r="E1588" s="34">
        <v>44804</v>
      </c>
      <c r="F1588" s="34">
        <v>44805</v>
      </c>
      <c r="G1588" s="34">
        <v>44810</v>
      </c>
      <c r="H1588" s="35">
        <v>1.4999999999999999E-2</v>
      </c>
      <c r="I1588" s="67">
        <v>6.1000000000000004E-3</v>
      </c>
      <c r="J1588" s="67">
        <v>0</v>
      </c>
      <c r="K1588" s="67">
        <v>6.1000000000000004E-3</v>
      </c>
      <c r="L1588" s="36">
        <f>+K1588-((K1588*0.0000001*0.125)+(K1588*(1-0.0000001)*0.26))</f>
        <v>4.5140000823499999E-3</v>
      </c>
      <c r="M1588" s="64">
        <f t="shared" si="49"/>
        <v>4.5140000823499999E-3</v>
      </c>
      <c r="N1588" s="33" t="s">
        <v>251</v>
      </c>
    </row>
    <row r="1589" spans="1:14" ht="15">
      <c r="A1589" s="12"/>
      <c r="B1589" s="33" t="s">
        <v>189</v>
      </c>
      <c r="C1589" s="92" t="s">
        <v>356</v>
      </c>
      <c r="D1589" s="33" t="s">
        <v>411</v>
      </c>
      <c r="E1589" s="34">
        <v>44804</v>
      </c>
      <c r="F1589" s="34">
        <v>44805</v>
      </c>
      <c r="G1589" s="34">
        <v>44810</v>
      </c>
      <c r="H1589" s="35">
        <v>1.4999999999999999E-2</v>
      </c>
      <c r="I1589" s="67">
        <v>0.1114</v>
      </c>
      <c r="J1589" s="67">
        <v>0</v>
      </c>
      <c r="K1589" s="67">
        <v>0.1114</v>
      </c>
      <c r="L1589" s="36">
        <f>+K1589-((K1589*0.0000001*0.125)+(K1589*(1-0.0000001)*0.26))</f>
        <v>8.24360015039E-2</v>
      </c>
      <c r="M1589" s="64">
        <f t="shared" si="49"/>
        <v>8.24360015039E-2</v>
      </c>
      <c r="N1589" s="33" t="s">
        <v>251</v>
      </c>
    </row>
    <row r="1590" spans="1:14" ht="15">
      <c r="A1590" s="12"/>
      <c r="B1590" s="33" t="s">
        <v>197</v>
      </c>
      <c r="C1590" s="92" t="s">
        <v>357</v>
      </c>
      <c r="D1590" s="33" t="s">
        <v>411</v>
      </c>
      <c r="E1590" s="34">
        <v>44804</v>
      </c>
      <c r="F1590" s="34">
        <v>44805</v>
      </c>
      <c r="G1590" s="34">
        <v>44810</v>
      </c>
      <c r="H1590" s="35">
        <v>1.4999999999999999E-2</v>
      </c>
      <c r="I1590" s="67">
        <v>0.114</v>
      </c>
      <c r="J1590" s="67">
        <v>0</v>
      </c>
      <c r="K1590" s="67">
        <v>0.114</v>
      </c>
      <c r="L1590" s="36">
        <f>+K1590-((K1590*0.0000001*0.125)+(K1590*(1-0.0000001)*0.26))</f>
        <v>8.4360001539000001E-2</v>
      </c>
      <c r="M1590" s="64">
        <f t="shared" si="49"/>
        <v>8.4360001539000001E-2</v>
      </c>
      <c r="N1590" s="33" t="s">
        <v>251</v>
      </c>
    </row>
    <row r="1591" spans="1:14" ht="15">
      <c r="A1591" s="12"/>
      <c r="B1591" s="33" t="s">
        <v>308</v>
      </c>
      <c r="C1591" s="92" t="s">
        <v>426</v>
      </c>
      <c r="D1591" s="33" t="s">
        <v>411</v>
      </c>
      <c r="E1591" s="34">
        <v>44804</v>
      </c>
      <c r="F1591" s="34">
        <v>44805</v>
      </c>
      <c r="G1591" s="34">
        <v>44810</v>
      </c>
      <c r="H1591" s="35">
        <v>1.4999999999999999E-2</v>
      </c>
      <c r="I1591" s="67">
        <v>5.8999999999999999E-3</v>
      </c>
      <c r="J1591" s="67">
        <v>0</v>
      </c>
      <c r="K1591" s="67">
        <v>5.8999999999999999E-3</v>
      </c>
      <c r="L1591" s="36">
        <f>+K1591-((K1591*0.4545*0.125)+(K1591*(1-0.4545)*0.26))</f>
        <v>4.7280092499999999E-3</v>
      </c>
      <c r="M1591" s="64">
        <f t="shared" si="49"/>
        <v>4.7280092499999999E-3</v>
      </c>
      <c r="N1591" s="33" t="s">
        <v>251</v>
      </c>
    </row>
    <row r="1592" spans="1:14" ht="15">
      <c r="A1592" s="12"/>
      <c r="B1592" s="33" t="s">
        <v>186</v>
      </c>
      <c r="C1592" s="92" t="s">
        <v>363</v>
      </c>
      <c r="D1592" s="33" t="s">
        <v>411</v>
      </c>
      <c r="E1592" s="34">
        <v>44804</v>
      </c>
      <c r="F1592" s="34">
        <v>44805</v>
      </c>
      <c r="G1592" s="34">
        <v>44810</v>
      </c>
      <c r="H1592" s="35">
        <v>1.4999999999999999E-2</v>
      </c>
      <c r="I1592" s="67">
        <v>0.108</v>
      </c>
      <c r="J1592" s="67">
        <v>0</v>
      </c>
      <c r="K1592" s="67">
        <v>0.108</v>
      </c>
      <c r="L1592" s="36">
        <f>+K1592-((K1592*0.4545*0.125)+(K1592*(1-0.4545)*0.26))</f>
        <v>8.6546609999999996E-2</v>
      </c>
      <c r="M1592" s="64">
        <f t="shared" si="49"/>
        <v>8.6546609999999996E-2</v>
      </c>
      <c r="N1592" s="33" t="s">
        <v>251</v>
      </c>
    </row>
    <row r="1593" spans="1:14" ht="15">
      <c r="A1593" s="12"/>
      <c r="B1593" s="33" t="s">
        <v>194</v>
      </c>
      <c r="C1593" s="92" t="s">
        <v>364</v>
      </c>
      <c r="D1593" s="33" t="s">
        <v>411</v>
      </c>
      <c r="E1593" s="34">
        <v>44804</v>
      </c>
      <c r="F1593" s="34">
        <v>44805</v>
      </c>
      <c r="G1593" s="34">
        <v>44810</v>
      </c>
      <c r="H1593" s="35">
        <v>1.4999999999999999E-2</v>
      </c>
      <c r="I1593" s="67">
        <v>0.11169999999999999</v>
      </c>
      <c r="J1593" s="67">
        <v>0</v>
      </c>
      <c r="K1593" s="67">
        <v>0.11169999999999999</v>
      </c>
      <c r="L1593" s="36">
        <f>+K1593-((K1593*0.4545*0.125)+(K1593*(1-0.4545)*0.26))</f>
        <v>8.9511632749999986E-2</v>
      </c>
      <c r="M1593" s="64">
        <f t="shared" ref="M1593:M1656" si="51">J1593+L1593</f>
        <v>8.9511632749999986E-2</v>
      </c>
      <c r="N1593" s="33" t="s">
        <v>251</v>
      </c>
    </row>
    <row r="1594" spans="1:14" ht="15">
      <c r="A1594" s="12"/>
      <c r="B1594" s="33" t="s">
        <v>307</v>
      </c>
      <c r="C1594" s="92" t="s">
        <v>420</v>
      </c>
      <c r="D1594" s="33" t="s">
        <v>411</v>
      </c>
      <c r="E1594" s="34">
        <v>44804</v>
      </c>
      <c r="F1594" s="34">
        <v>44805</v>
      </c>
      <c r="G1594" s="34">
        <v>44810</v>
      </c>
      <c r="H1594" s="35">
        <v>1.4999999999999999E-2</v>
      </c>
      <c r="I1594" s="67">
        <v>5.7000000000000002E-3</v>
      </c>
      <c r="J1594" s="67">
        <v>1.845703045526324E-3</v>
      </c>
      <c r="K1594" s="67">
        <v>3.8542969544736764E-3</v>
      </c>
      <c r="L1594" s="36">
        <f>+K1594-((K1594*0.572*0.125)+(K1594*(1-0.572)*0.26))</f>
        <v>3.1498085571349775E-3</v>
      </c>
      <c r="M1594" s="64">
        <f t="shared" si="51"/>
        <v>4.9955116026613013E-3</v>
      </c>
      <c r="N1594" s="33" t="s">
        <v>251</v>
      </c>
    </row>
    <row r="1595" spans="1:14" ht="15">
      <c r="A1595" s="12"/>
      <c r="B1595" s="33" t="s">
        <v>185</v>
      </c>
      <c r="C1595" s="92" t="s">
        <v>366</v>
      </c>
      <c r="D1595" s="33" t="s">
        <v>411</v>
      </c>
      <c r="E1595" s="34">
        <v>44804</v>
      </c>
      <c r="F1595" s="34">
        <v>44805</v>
      </c>
      <c r="G1595" s="34">
        <v>44810</v>
      </c>
      <c r="H1595" s="35">
        <v>1.4999999999999999E-2</v>
      </c>
      <c r="I1595" s="67">
        <v>9.5200000000000007E-2</v>
      </c>
      <c r="J1595" s="67">
        <v>3.1600746004561184E-2</v>
      </c>
      <c r="K1595" s="67">
        <v>6.3599253995438823E-2</v>
      </c>
      <c r="L1595" s="36">
        <f>+K1595-((K1595*0.572*0.125)+(K1595*(1-0.572)*0.26))</f>
        <v>5.1974582350152509E-2</v>
      </c>
      <c r="M1595" s="64">
        <f t="shared" si="51"/>
        <v>8.3575328354713693E-2</v>
      </c>
      <c r="N1595" s="33" t="s">
        <v>251</v>
      </c>
    </row>
    <row r="1596" spans="1:14" ht="15">
      <c r="A1596" s="12"/>
      <c r="B1596" s="33" t="s">
        <v>193</v>
      </c>
      <c r="C1596" s="92" t="s">
        <v>367</v>
      </c>
      <c r="D1596" s="33" t="s">
        <v>411</v>
      </c>
      <c r="E1596" s="34">
        <v>44804</v>
      </c>
      <c r="F1596" s="34">
        <v>44805</v>
      </c>
      <c r="G1596" s="34">
        <v>44810</v>
      </c>
      <c r="H1596" s="35">
        <v>1.4999999999999999E-2</v>
      </c>
      <c r="I1596" s="67">
        <v>9.3399999999999997E-2</v>
      </c>
      <c r="J1596" s="67">
        <v>2.9836978957879661E-2</v>
      </c>
      <c r="K1596" s="67">
        <v>6.3563021042120332E-2</v>
      </c>
      <c r="L1596" s="36">
        <f>+K1596-((K1596*0.572*0.125)+(K1596*(1-0.572)*0.26))</f>
        <v>5.194497205604158E-2</v>
      </c>
      <c r="M1596" s="64">
        <f t="shared" si="51"/>
        <v>8.1781951013921245E-2</v>
      </c>
      <c r="N1596" s="33" t="s">
        <v>251</v>
      </c>
    </row>
    <row r="1597" spans="1:14" ht="15">
      <c r="A1597" s="12"/>
      <c r="B1597" s="33" t="s">
        <v>309</v>
      </c>
      <c r="C1597" s="92" t="s">
        <v>427</v>
      </c>
      <c r="D1597" s="33" t="s">
        <v>411</v>
      </c>
      <c r="E1597" s="34">
        <v>44804</v>
      </c>
      <c r="F1597" s="34">
        <v>44805</v>
      </c>
      <c r="G1597" s="34">
        <v>44810</v>
      </c>
      <c r="H1597" s="35">
        <v>0.02</v>
      </c>
      <c r="I1597" s="67">
        <v>8.2000000000000007E-3</v>
      </c>
      <c r="J1597" s="67">
        <v>0</v>
      </c>
      <c r="K1597" s="67">
        <v>8.2000000000000007E-3</v>
      </c>
      <c r="L1597" s="36">
        <f>+K1597-((K1597*0.0245*0.125)+(K1597*(1-0.0245)*0.26))</f>
        <v>6.0951215E-3</v>
      </c>
      <c r="M1597" s="64">
        <f t="shared" si="51"/>
        <v>6.0951215E-3</v>
      </c>
      <c r="N1597" s="33" t="s">
        <v>251</v>
      </c>
    </row>
    <row r="1598" spans="1:14" ht="15">
      <c r="A1598" s="12"/>
      <c r="B1598" s="33" t="s">
        <v>187</v>
      </c>
      <c r="C1598" s="92" t="s">
        <v>368</v>
      </c>
      <c r="D1598" s="33" t="s">
        <v>411</v>
      </c>
      <c r="E1598" s="34">
        <v>44804</v>
      </c>
      <c r="F1598" s="34">
        <v>44805</v>
      </c>
      <c r="G1598" s="34">
        <v>44810</v>
      </c>
      <c r="H1598" s="35">
        <v>0.02</v>
      </c>
      <c r="I1598" s="67">
        <v>0.14419999999999999</v>
      </c>
      <c r="J1598" s="67">
        <v>0</v>
      </c>
      <c r="K1598" s="67">
        <v>0.14419999999999999</v>
      </c>
      <c r="L1598" s="36">
        <f>+K1598-((K1598*0.0245*0.125)+(K1598*(1-0.0245)*0.26))</f>
        <v>0.10718494149999999</v>
      </c>
      <c r="M1598" s="64">
        <f t="shared" si="51"/>
        <v>0.10718494149999999</v>
      </c>
      <c r="N1598" s="33" t="s">
        <v>251</v>
      </c>
    </row>
    <row r="1599" spans="1:14" ht="15">
      <c r="A1599" s="12"/>
      <c r="B1599" s="33" t="s">
        <v>195</v>
      </c>
      <c r="C1599" s="92" t="s">
        <v>369</v>
      </c>
      <c r="D1599" s="33" t="s">
        <v>411</v>
      </c>
      <c r="E1599" s="34">
        <v>44804</v>
      </c>
      <c r="F1599" s="34">
        <v>44805</v>
      </c>
      <c r="G1599" s="34">
        <v>44810</v>
      </c>
      <c r="H1599" s="35">
        <v>0.02</v>
      </c>
      <c r="I1599" s="67">
        <v>0.14960000000000001</v>
      </c>
      <c r="J1599" s="67">
        <v>0</v>
      </c>
      <c r="K1599" s="67">
        <v>0.14960000000000001</v>
      </c>
      <c r="L1599" s="36">
        <f>+K1599-((K1599*0.0245*0.125)+(K1599*(1-0.0245)*0.26))</f>
        <v>0.11119880200000001</v>
      </c>
      <c r="M1599" s="64">
        <f t="shared" si="51"/>
        <v>0.11119880200000001</v>
      </c>
      <c r="N1599" s="33" t="s">
        <v>251</v>
      </c>
    </row>
    <row r="1600" spans="1:14" ht="15">
      <c r="A1600" s="12"/>
      <c r="B1600" s="33" t="s">
        <v>312</v>
      </c>
      <c r="C1600" s="92" t="s">
        <v>428</v>
      </c>
      <c r="D1600" s="33" t="s">
        <v>411</v>
      </c>
      <c r="E1600" s="34">
        <v>44804</v>
      </c>
      <c r="F1600" s="34">
        <v>44805</v>
      </c>
      <c r="G1600" s="34">
        <v>44810</v>
      </c>
      <c r="H1600" s="35">
        <v>3.2500000000000001E-2</v>
      </c>
      <c r="I1600" s="67">
        <v>1.2500000000000001E-2</v>
      </c>
      <c r="J1600" s="67">
        <v>0</v>
      </c>
      <c r="K1600" s="67">
        <v>1.2500000000000001E-2</v>
      </c>
      <c r="L1600" s="36">
        <f>+K1600-((K1600*0.0175*0.125)+(K1600*(1-0.0175)*0.26))</f>
        <v>9.2795312500000005E-3</v>
      </c>
      <c r="M1600" s="64">
        <f t="shared" si="51"/>
        <v>9.2795312500000005E-3</v>
      </c>
      <c r="N1600" s="33" t="s">
        <v>251</v>
      </c>
    </row>
    <row r="1601" spans="1:14" ht="15">
      <c r="A1601" s="12"/>
      <c r="B1601" s="33" t="s">
        <v>190</v>
      </c>
      <c r="C1601" s="92" t="s">
        <v>370</v>
      </c>
      <c r="D1601" s="33" t="s">
        <v>411</v>
      </c>
      <c r="E1601" s="34">
        <v>44804</v>
      </c>
      <c r="F1601" s="34">
        <v>44805</v>
      </c>
      <c r="G1601" s="34">
        <v>44810</v>
      </c>
      <c r="H1601" s="35">
        <v>3.2500000000000001E-2</v>
      </c>
      <c r="I1601" s="67">
        <v>0.2374</v>
      </c>
      <c r="J1601" s="67">
        <v>0</v>
      </c>
      <c r="K1601" s="67">
        <v>0.2374</v>
      </c>
      <c r="L1601" s="36">
        <f>+K1601-((K1601*0.0175*0.125)+(K1601*(1-0.0175)*0.26))</f>
        <v>0.17623685749999998</v>
      </c>
      <c r="M1601" s="64">
        <f t="shared" si="51"/>
        <v>0.17623685749999998</v>
      </c>
      <c r="N1601" s="33" t="s">
        <v>251</v>
      </c>
    </row>
    <row r="1602" spans="1:14" ht="15">
      <c r="A1602" s="12"/>
      <c r="B1602" s="33" t="s">
        <v>198</v>
      </c>
      <c r="C1602" s="92" t="s">
        <v>371</v>
      </c>
      <c r="D1602" s="33" t="s">
        <v>411</v>
      </c>
      <c r="E1602" s="34">
        <v>44804</v>
      </c>
      <c r="F1602" s="34">
        <v>44805</v>
      </c>
      <c r="G1602" s="34">
        <v>44810</v>
      </c>
      <c r="H1602" s="35">
        <v>3.2500000000000001E-2</v>
      </c>
      <c r="I1602" s="67">
        <v>0.23849999999999999</v>
      </c>
      <c r="J1602" s="67">
        <v>0</v>
      </c>
      <c r="K1602" s="67">
        <v>0.23849999999999999</v>
      </c>
      <c r="L1602" s="36">
        <f>+K1602-((K1602*0.0175*0.125)+(K1602*(1-0.0175)*0.26))</f>
        <v>0.17705345624999999</v>
      </c>
      <c r="M1602" s="64">
        <f t="shared" si="51"/>
        <v>0.17705345624999999</v>
      </c>
      <c r="N1602" s="33" t="s">
        <v>251</v>
      </c>
    </row>
    <row r="1603" spans="1:14" ht="15">
      <c r="A1603" s="12"/>
      <c r="B1603" s="33" t="s">
        <v>513</v>
      </c>
      <c r="C1603" s="92" t="s">
        <v>515</v>
      </c>
      <c r="D1603" s="33" t="s">
        <v>411</v>
      </c>
      <c r="E1603" s="34">
        <v>44804</v>
      </c>
      <c r="F1603" s="34">
        <v>44805</v>
      </c>
      <c r="G1603" s="34">
        <v>44810</v>
      </c>
      <c r="H1603" s="35">
        <v>0</v>
      </c>
      <c r="I1603" s="67">
        <v>0</v>
      </c>
      <c r="J1603" s="67">
        <v>0</v>
      </c>
      <c r="K1603" s="67">
        <v>0</v>
      </c>
      <c r="L1603" s="36">
        <f>+K1603-((K1603*0.381*0.125)+(K1603*(1-0.381)*0.26))</f>
        <v>0</v>
      </c>
      <c r="M1603" s="64">
        <f t="shared" si="51"/>
        <v>0</v>
      </c>
      <c r="N1603" s="33" t="s">
        <v>251</v>
      </c>
    </row>
    <row r="1604" spans="1:14" ht="15">
      <c r="A1604" s="12"/>
      <c r="B1604" s="33" t="s">
        <v>514</v>
      </c>
      <c r="C1604" s="92" t="s">
        <v>516</v>
      </c>
      <c r="D1604" s="33" t="s">
        <v>411</v>
      </c>
      <c r="E1604" s="34">
        <v>44804</v>
      </c>
      <c r="F1604" s="34">
        <v>44805</v>
      </c>
      <c r="G1604" s="34">
        <v>44810</v>
      </c>
      <c r="H1604" s="35">
        <v>0</v>
      </c>
      <c r="I1604" s="67">
        <v>0</v>
      </c>
      <c r="J1604" s="67">
        <v>0</v>
      </c>
      <c r="K1604" s="67">
        <v>0</v>
      </c>
      <c r="L1604" s="36">
        <f>+K1604-((K1604*0.381*0.125)+(K1604*(1-0.381)*0.26))</f>
        <v>0</v>
      </c>
      <c r="M1604" s="64">
        <f t="shared" si="51"/>
        <v>0</v>
      </c>
      <c r="N1604" s="33" t="s">
        <v>251</v>
      </c>
    </row>
    <row r="1605" spans="1:14" ht="15">
      <c r="A1605" s="12"/>
      <c r="B1605" s="33" t="s">
        <v>313</v>
      </c>
      <c r="C1605" s="92" t="s">
        <v>429</v>
      </c>
      <c r="D1605" s="33" t="s">
        <v>411</v>
      </c>
      <c r="E1605" s="34">
        <v>44804</v>
      </c>
      <c r="F1605" s="34">
        <v>44805</v>
      </c>
      <c r="G1605" s="34">
        <v>44810</v>
      </c>
      <c r="H1605" s="35">
        <v>1.2E-2</v>
      </c>
      <c r="I1605" s="67">
        <v>5.0000000000000001E-3</v>
      </c>
      <c r="J1605" s="67">
        <v>0</v>
      </c>
      <c r="K1605" s="67">
        <v>5.0000000000000001E-3</v>
      </c>
      <c r="L1605" s="36">
        <f>+K1605-((K1605*0.184*0.125)+(K1605*(1-0.184)*0.26))</f>
        <v>3.8241999999999998E-3</v>
      </c>
      <c r="M1605" s="64">
        <f t="shared" si="51"/>
        <v>3.8241999999999998E-3</v>
      </c>
      <c r="N1605" s="33" t="s">
        <v>251</v>
      </c>
    </row>
    <row r="1606" spans="1:14" ht="15">
      <c r="A1606" s="12"/>
      <c r="B1606" s="33" t="s">
        <v>272</v>
      </c>
      <c r="C1606" s="92" t="s">
        <v>431</v>
      </c>
      <c r="D1606" s="33" t="s">
        <v>412</v>
      </c>
      <c r="E1606" s="34">
        <v>44823</v>
      </c>
      <c r="F1606" s="34">
        <v>44824</v>
      </c>
      <c r="G1606" s="34">
        <v>44827</v>
      </c>
      <c r="H1606" s="35"/>
      <c r="I1606" s="67">
        <v>0.22</v>
      </c>
      <c r="J1606" s="67">
        <v>0</v>
      </c>
      <c r="K1606" s="67">
        <v>0.22</v>
      </c>
      <c r="L1606" s="36">
        <f>+K1606-((K1606*0.275*0.125)+(K1606*(1-0.275)*0.26))</f>
        <v>0.17096749999999999</v>
      </c>
      <c r="M1606" s="64">
        <f t="shared" si="51"/>
        <v>0.17096749999999999</v>
      </c>
      <c r="N1606" s="33" t="s">
        <v>288</v>
      </c>
    </row>
    <row r="1607" spans="1:14" ht="15">
      <c r="A1607" s="12"/>
      <c r="B1607" s="33" t="s">
        <v>273</v>
      </c>
      <c r="C1607" s="92" t="s">
        <v>343</v>
      </c>
      <c r="D1607" s="33" t="s">
        <v>412</v>
      </c>
      <c r="E1607" s="34">
        <v>44823</v>
      </c>
      <c r="F1607" s="34">
        <v>44824</v>
      </c>
      <c r="G1607" s="34">
        <v>44827</v>
      </c>
      <c r="H1607" s="35"/>
      <c r="I1607" s="67">
        <v>0.18</v>
      </c>
      <c r="J1607" s="67">
        <v>0</v>
      </c>
      <c r="K1607" s="67">
        <v>0.18</v>
      </c>
      <c r="L1607" s="36">
        <f>+K1607-((K1607*0.837*0.125)+(K1607*(1-0.837)*0.26))</f>
        <v>0.15353909999999998</v>
      </c>
      <c r="M1607" s="64">
        <f t="shared" si="51"/>
        <v>0.15353909999999998</v>
      </c>
      <c r="N1607" s="33" t="s">
        <v>288</v>
      </c>
    </row>
    <row r="1608" spans="1:14" ht="15">
      <c r="A1608" s="12"/>
      <c r="B1608" s="33" t="s">
        <v>274</v>
      </c>
      <c r="C1608" s="92" t="s">
        <v>432</v>
      </c>
      <c r="D1608" s="33" t="s">
        <v>412</v>
      </c>
      <c r="E1608" s="34">
        <v>44823</v>
      </c>
      <c r="F1608" s="34">
        <v>44824</v>
      </c>
      <c r="G1608" s="34">
        <v>44827</v>
      </c>
      <c r="H1608" s="35"/>
      <c r="I1608" s="67">
        <v>0.16</v>
      </c>
      <c r="J1608" s="67">
        <v>0</v>
      </c>
      <c r="K1608" s="67">
        <v>0.16</v>
      </c>
      <c r="L1608" s="36">
        <f>+K1608-((K1608*0.837*0.125)+(K1608*(1-0.837)*0.26))</f>
        <v>0.13647919999999999</v>
      </c>
      <c r="M1608" s="64">
        <f t="shared" si="51"/>
        <v>0.13647919999999999</v>
      </c>
      <c r="N1608" s="33" t="s">
        <v>288</v>
      </c>
    </row>
    <row r="1609" spans="1:14" ht="15">
      <c r="A1609" s="12"/>
      <c r="B1609" s="33" t="s">
        <v>275</v>
      </c>
      <c r="C1609" s="92" t="s">
        <v>418</v>
      </c>
      <c r="D1609" s="33" t="s">
        <v>412</v>
      </c>
      <c r="E1609" s="34">
        <v>44823</v>
      </c>
      <c r="F1609" s="34">
        <v>44824</v>
      </c>
      <c r="G1609" s="34">
        <v>44827</v>
      </c>
      <c r="H1609" s="35"/>
      <c r="I1609" s="67">
        <v>0</v>
      </c>
      <c r="J1609" s="67">
        <v>0</v>
      </c>
      <c r="K1609" s="67">
        <v>0</v>
      </c>
      <c r="L1609" s="36">
        <f>+K1609-((K1609*0.547*0.125)+(K1609*(1-0.547)*0.26))</f>
        <v>0</v>
      </c>
      <c r="M1609" s="64">
        <f t="shared" si="51"/>
        <v>0</v>
      </c>
      <c r="N1609" s="33" t="s">
        <v>288</v>
      </c>
    </row>
    <row r="1610" spans="1:14" ht="15">
      <c r="A1610" s="12"/>
      <c r="B1610" s="33" t="s">
        <v>276</v>
      </c>
      <c r="C1610" s="92" t="s">
        <v>419</v>
      </c>
      <c r="D1610" s="33" t="s">
        <v>412</v>
      </c>
      <c r="E1610" s="34">
        <v>44823</v>
      </c>
      <c r="F1610" s="34">
        <v>44824</v>
      </c>
      <c r="G1610" s="34">
        <v>44827</v>
      </c>
      <c r="H1610" s="35"/>
      <c r="I1610" s="67">
        <v>0</v>
      </c>
      <c r="J1610" s="67">
        <v>0</v>
      </c>
      <c r="K1610" s="67">
        <v>0</v>
      </c>
      <c r="L1610" s="36">
        <f>+K1610-((K1610*0.547*0.125)+(K1610*(1-0.547)*0.26))</f>
        <v>0</v>
      </c>
      <c r="M1610" s="64">
        <f t="shared" si="51"/>
        <v>0</v>
      </c>
      <c r="N1610" s="33" t="s">
        <v>288</v>
      </c>
    </row>
    <row r="1611" spans="1:14" ht="15">
      <c r="A1611" s="12"/>
      <c r="B1611" s="33" t="s">
        <v>696</v>
      </c>
      <c r="C1611" s="92" t="s">
        <v>695</v>
      </c>
      <c r="D1611" s="33" t="s">
        <v>412</v>
      </c>
      <c r="E1611" s="34">
        <v>44823</v>
      </c>
      <c r="F1611" s="34">
        <v>44824</v>
      </c>
      <c r="G1611" s="34">
        <v>44827</v>
      </c>
      <c r="H1611" s="35"/>
      <c r="I1611" s="67">
        <v>0.03</v>
      </c>
      <c r="J1611" s="67">
        <v>0</v>
      </c>
      <c r="K1611" s="67">
        <v>0.03</v>
      </c>
      <c r="L1611" s="36">
        <f>+K1611-((K1611*0.2845*0.125)+(K1611*(1-0.2845)*0.26))</f>
        <v>2.3352224999999997E-2</v>
      </c>
      <c r="M1611" s="64">
        <f t="shared" si="51"/>
        <v>2.3352224999999997E-2</v>
      </c>
      <c r="N1611" s="33" t="s">
        <v>288</v>
      </c>
    </row>
    <row r="1612" spans="1:14" ht="15">
      <c r="A1612" s="12"/>
      <c r="B1612" s="33" t="s">
        <v>280</v>
      </c>
      <c r="C1612" s="92" t="s">
        <v>385</v>
      </c>
      <c r="D1612" s="33" t="s">
        <v>412</v>
      </c>
      <c r="E1612" s="34">
        <v>44823</v>
      </c>
      <c r="F1612" s="34">
        <v>44824</v>
      </c>
      <c r="G1612" s="34">
        <v>44827</v>
      </c>
      <c r="H1612" s="35"/>
      <c r="I1612" s="67">
        <v>0.19</v>
      </c>
      <c r="J1612" s="67">
        <v>0</v>
      </c>
      <c r="K1612" s="67">
        <v>0.19</v>
      </c>
      <c r="L1612" s="36">
        <f>+K1612-((K1612*0.0555*0.125)+(K1612*(1-0.0555)*0.26))</f>
        <v>0.14202357500000001</v>
      </c>
      <c r="M1612" s="64">
        <f t="shared" si="51"/>
        <v>0.14202357500000001</v>
      </c>
      <c r="N1612" s="33" t="s">
        <v>288</v>
      </c>
    </row>
    <row r="1613" spans="1:14" ht="15">
      <c r="A1613" s="12"/>
      <c r="B1613" s="33" t="s">
        <v>281</v>
      </c>
      <c r="C1613" s="92" t="s">
        <v>433</v>
      </c>
      <c r="D1613" s="33" t="s">
        <v>412</v>
      </c>
      <c r="E1613" s="34">
        <v>44823</v>
      </c>
      <c r="F1613" s="34">
        <v>44824</v>
      </c>
      <c r="G1613" s="34">
        <v>44827</v>
      </c>
      <c r="H1613" s="35"/>
      <c r="I1613" s="67">
        <v>0.19</v>
      </c>
      <c r="J1613" s="67">
        <v>0</v>
      </c>
      <c r="K1613" s="67">
        <v>0.19</v>
      </c>
      <c r="L1613" s="36">
        <f>+K1613-((K1613*0.07*0.125)+(K1613*(1-0.07)*0.26))</f>
        <v>0.14239550000000001</v>
      </c>
      <c r="M1613" s="64">
        <f t="shared" si="51"/>
        <v>0.14239550000000001</v>
      </c>
      <c r="N1613" s="33" t="s">
        <v>288</v>
      </c>
    </row>
    <row r="1614" spans="1:14" ht="15">
      <c r="A1614" s="12"/>
      <c r="B1614" s="33" t="s">
        <v>282</v>
      </c>
      <c r="C1614" s="92" t="s">
        <v>434</v>
      </c>
      <c r="D1614" s="33" t="s">
        <v>412</v>
      </c>
      <c r="E1614" s="34">
        <v>44823</v>
      </c>
      <c r="F1614" s="34">
        <v>44824</v>
      </c>
      <c r="G1614" s="34">
        <v>44827</v>
      </c>
      <c r="H1614" s="35"/>
      <c r="I1614" s="67">
        <v>0.18</v>
      </c>
      <c r="J1614" s="67">
        <v>0</v>
      </c>
      <c r="K1614" s="67">
        <v>0.18</v>
      </c>
      <c r="L1614" s="36">
        <f>+K1614-((K1614*0.204*0.125)+(K1614*(1-0.204)*0.26))</f>
        <v>0.13815720000000001</v>
      </c>
      <c r="M1614" s="64">
        <f t="shared" si="51"/>
        <v>0.13815720000000001</v>
      </c>
      <c r="N1614" s="33" t="s">
        <v>288</v>
      </c>
    </row>
    <row r="1615" spans="1:14" ht="15">
      <c r="A1615" s="12"/>
      <c r="B1615" s="33" t="s">
        <v>283</v>
      </c>
      <c r="C1615" s="92" t="s">
        <v>435</v>
      </c>
      <c r="D1615" s="33" t="s">
        <v>412</v>
      </c>
      <c r="E1615" s="34">
        <v>44823</v>
      </c>
      <c r="F1615" s="34">
        <v>44824</v>
      </c>
      <c r="G1615" s="34">
        <v>44827</v>
      </c>
      <c r="H1615" s="35"/>
      <c r="I1615" s="67">
        <v>0.13</v>
      </c>
      <c r="J1615" s="67">
        <v>0</v>
      </c>
      <c r="K1615" s="67">
        <v>0.13</v>
      </c>
      <c r="L1615" s="36">
        <f>+K1615-((K1615*0.204*0.125)+(K1615*(1-0.204)*0.26))</f>
        <v>9.9780199999999999E-2</v>
      </c>
      <c r="M1615" s="64">
        <f t="shared" si="51"/>
        <v>9.9780199999999999E-2</v>
      </c>
      <c r="N1615" s="33" t="s">
        <v>288</v>
      </c>
    </row>
    <row r="1616" spans="1:14" ht="15">
      <c r="A1616" s="12"/>
      <c r="B1616" s="33" t="s">
        <v>284</v>
      </c>
      <c r="C1616" s="92" t="s">
        <v>436</v>
      </c>
      <c r="D1616" s="33" t="s">
        <v>412</v>
      </c>
      <c r="E1616" s="34">
        <v>44823</v>
      </c>
      <c r="F1616" s="34">
        <v>44824</v>
      </c>
      <c r="G1616" s="34">
        <v>44827</v>
      </c>
      <c r="H1616" s="35"/>
      <c r="I1616" s="67">
        <v>0.15</v>
      </c>
      <c r="J1616" s="67">
        <v>0</v>
      </c>
      <c r="K1616" s="67">
        <v>0.15</v>
      </c>
      <c r="L1616" s="36">
        <f>+K1616-((K1616*0.204*0.125)+(K1616*(1-0.204)*0.26))</f>
        <v>0.11513099999999998</v>
      </c>
      <c r="M1616" s="64">
        <f t="shared" si="51"/>
        <v>0.11513099999999998</v>
      </c>
      <c r="N1616" s="33" t="s">
        <v>288</v>
      </c>
    </row>
    <row r="1617" spans="1:14" ht="15">
      <c r="A1617" s="12"/>
      <c r="B1617" s="33" t="s">
        <v>285</v>
      </c>
      <c r="C1617" s="92" t="s">
        <v>437</v>
      </c>
      <c r="D1617" s="33" t="s">
        <v>412</v>
      </c>
      <c r="E1617" s="34">
        <v>44823</v>
      </c>
      <c r="F1617" s="34">
        <v>44824</v>
      </c>
      <c r="G1617" s="34">
        <v>44827</v>
      </c>
      <c r="H1617" s="35"/>
      <c r="I1617" s="67">
        <v>0.1</v>
      </c>
      <c r="J1617" s="67">
        <v>0</v>
      </c>
      <c r="K1617" s="67">
        <v>0.1</v>
      </c>
      <c r="L1617" s="36">
        <f>+K1617-((K1617*0.204*0.125)+(K1617*(1-0.204)*0.26))</f>
        <v>7.6754000000000003E-2</v>
      </c>
      <c r="M1617" s="64">
        <f t="shared" si="51"/>
        <v>7.6754000000000003E-2</v>
      </c>
      <c r="N1617" s="33" t="s">
        <v>288</v>
      </c>
    </row>
    <row r="1618" spans="1:14" ht="15">
      <c r="A1618" s="12"/>
      <c r="B1618" s="33" t="s">
        <v>286</v>
      </c>
      <c r="C1618" s="92" t="s">
        <v>438</v>
      </c>
      <c r="D1618" s="33" t="s">
        <v>412</v>
      </c>
      <c r="E1618" s="34">
        <v>44823</v>
      </c>
      <c r="F1618" s="34">
        <v>44824</v>
      </c>
      <c r="G1618" s="34">
        <v>44827</v>
      </c>
      <c r="H1618" s="35"/>
      <c r="I1618" s="67">
        <v>0.13</v>
      </c>
      <c r="J1618" s="67">
        <v>0</v>
      </c>
      <c r="K1618" s="67">
        <v>0.13</v>
      </c>
      <c r="L1618" s="36">
        <f>+K1618-((K1618*0.204*0.125)+(K1618*(1-0.204)*0.26))</f>
        <v>9.9780199999999999E-2</v>
      </c>
      <c r="M1618" s="64">
        <f t="shared" si="51"/>
        <v>9.9780199999999999E-2</v>
      </c>
      <c r="N1618" s="33" t="s">
        <v>288</v>
      </c>
    </row>
    <row r="1619" spans="1:14" ht="15">
      <c r="A1619" s="12"/>
      <c r="B1619" s="33" t="s">
        <v>277</v>
      </c>
      <c r="C1619" s="92" t="s">
        <v>468</v>
      </c>
      <c r="D1619" s="33" t="s">
        <v>412</v>
      </c>
      <c r="E1619" s="34">
        <v>44823</v>
      </c>
      <c r="F1619" s="34">
        <v>44824</v>
      </c>
      <c r="G1619" s="34">
        <v>44827</v>
      </c>
      <c r="H1619" s="35"/>
      <c r="I1619" s="67">
        <v>0.24</v>
      </c>
      <c r="J1619" s="67">
        <v>0</v>
      </c>
      <c r="K1619" s="67">
        <v>0.24</v>
      </c>
      <c r="L1619" s="36">
        <f>+K1619-((K1619*0.101*0.125)+(K1619*(1-0.101)*0.26))</f>
        <v>0.18087239999999999</v>
      </c>
      <c r="M1619" s="64">
        <f t="shared" si="51"/>
        <v>0.18087239999999999</v>
      </c>
      <c r="N1619" s="33" t="s">
        <v>288</v>
      </c>
    </row>
    <row r="1620" spans="1:14" ht="15">
      <c r="A1620" s="12"/>
      <c r="B1620" s="33" t="s">
        <v>278</v>
      </c>
      <c r="C1620" s="92" t="s">
        <v>469</v>
      </c>
      <c r="D1620" s="33" t="s">
        <v>412</v>
      </c>
      <c r="E1620" s="34">
        <v>44823</v>
      </c>
      <c r="F1620" s="34">
        <v>44824</v>
      </c>
      <c r="G1620" s="34">
        <v>44827</v>
      </c>
      <c r="H1620" s="35"/>
      <c r="I1620" s="67">
        <v>0.22</v>
      </c>
      <c r="J1620" s="67">
        <v>0</v>
      </c>
      <c r="K1620" s="67">
        <v>0.22</v>
      </c>
      <c r="L1620" s="36">
        <f>+K1620-((K1620*0.101*0.125)+(K1620*(1-0.101)*0.26))</f>
        <v>0.16579969999999999</v>
      </c>
      <c r="M1620" s="64">
        <f t="shared" si="51"/>
        <v>0.16579969999999999</v>
      </c>
      <c r="N1620" s="33" t="s">
        <v>288</v>
      </c>
    </row>
    <row r="1621" spans="1:14" ht="15">
      <c r="A1621" s="12"/>
      <c r="B1621" s="33" t="s">
        <v>279</v>
      </c>
      <c r="C1621" s="92" t="s">
        <v>470</v>
      </c>
      <c r="D1621" s="33" t="s">
        <v>412</v>
      </c>
      <c r="E1621" s="34">
        <v>44823</v>
      </c>
      <c r="F1621" s="34">
        <v>44824</v>
      </c>
      <c r="G1621" s="34">
        <v>44827</v>
      </c>
      <c r="H1621" s="35"/>
      <c r="I1621" s="67">
        <v>0.25</v>
      </c>
      <c r="J1621" s="67">
        <v>0</v>
      </c>
      <c r="K1621" s="67">
        <v>0.25</v>
      </c>
      <c r="L1621" s="36">
        <f>+K1621-((K1621*0.101*0.125)+(K1621*(1-0.101)*0.26))</f>
        <v>0.18840875000000001</v>
      </c>
      <c r="M1621" s="64">
        <f t="shared" si="51"/>
        <v>0.18840875000000001</v>
      </c>
      <c r="N1621" s="33" t="s">
        <v>288</v>
      </c>
    </row>
    <row r="1622" spans="1:14" ht="15">
      <c r="A1622" s="12"/>
      <c r="B1622" s="33" t="s">
        <v>174</v>
      </c>
      <c r="C1622" s="92" t="s">
        <v>382</v>
      </c>
      <c r="D1622" s="33" t="s">
        <v>410</v>
      </c>
      <c r="E1622" s="34">
        <v>44833</v>
      </c>
      <c r="F1622" s="34">
        <v>44834</v>
      </c>
      <c r="G1622" s="34">
        <v>44839</v>
      </c>
      <c r="H1622" s="35"/>
      <c r="I1622" s="67">
        <v>3.4042000000000003E-2</v>
      </c>
      <c r="J1622" s="67">
        <v>0</v>
      </c>
      <c r="K1622" s="67">
        <v>3.4042000000000003E-2</v>
      </c>
      <c r="L1622" s="36">
        <f>+K1622-((K1622*0.0295*0.125)+(K1622*(1-0.0295)*0.26))</f>
        <v>2.5326652264999999E-2</v>
      </c>
      <c r="M1622" s="64">
        <f t="shared" si="51"/>
        <v>2.5326652264999999E-2</v>
      </c>
      <c r="N1622" s="33" t="s">
        <v>247</v>
      </c>
    </row>
    <row r="1623" spans="1:14" ht="15">
      <c r="A1623" s="12"/>
      <c r="B1623" s="33" t="s">
        <v>176</v>
      </c>
      <c r="C1623" s="92" t="s">
        <v>397</v>
      </c>
      <c r="D1623" s="33" t="s">
        <v>410</v>
      </c>
      <c r="E1623" s="34">
        <v>44833</v>
      </c>
      <c r="F1623" s="34">
        <v>44834</v>
      </c>
      <c r="G1623" s="34">
        <v>44839</v>
      </c>
      <c r="H1623" s="35"/>
      <c r="I1623" s="67">
        <v>3.2695000000000002E-2</v>
      </c>
      <c r="J1623" s="67">
        <v>0</v>
      </c>
      <c r="K1623" s="67">
        <v>3.2695000000000002E-2</v>
      </c>
      <c r="L1623" s="36">
        <f>+K1623-((K1623*0.204*0.125)+(K1623*(1-0.204)*0.26))</f>
        <v>2.5094720300000001E-2</v>
      </c>
      <c r="M1623" s="64">
        <f t="shared" si="51"/>
        <v>2.5094720300000001E-2</v>
      </c>
      <c r="N1623" s="33" t="s">
        <v>247</v>
      </c>
    </row>
    <row r="1624" spans="1:14" ht="15">
      <c r="A1624" s="12"/>
      <c r="B1624" s="33" t="s">
        <v>175</v>
      </c>
      <c r="C1624" s="92" t="s">
        <v>465</v>
      </c>
      <c r="D1624" s="33" t="s">
        <v>410</v>
      </c>
      <c r="E1624" s="34">
        <v>44833</v>
      </c>
      <c r="F1624" s="34">
        <v>44834</v>
      </c>
      <c r="G1624" s="34">
        <v>44839</v>
      </c>
      <c r="H1624" s="35"/>
      <c r="I1624" s="67">
        <v>7.8575999999999993E-2</v>
      </c>
      <c r="J1624" s="67">
        <v>0</v>
      </c>
      <c r="K1624" s="67">
        <v>7.8575999999999993E-2</v>
      </c>
      <c r="L1624" s="36">
        <f>+K1624-((K1624*0.101*0.125)+(K1624*(1-0.101)*0.26))</f>
        <v>5.9217623759999997E-2</v>
      </c>
      <c r="M1624" s="64">
        <f t="shared" si="51"/>
        <v>5.9217623759999997E-2</v>
      </c>
      <c r="N1624" s="33" t="s">
        <v>247</v>
      </c>
    </row>
    <row r="1625" spans="1:14" ht="15">
      <c r="A1625" s="12"/>
      <c r="B1625" s="33" t="s">
        <v>310</v>
      </c>
      <c r="C1625" s="92" t="s">
        <v>424</v>
      </c>
      <c r="D1625" s="33" t="s">
        <v>411</v>
      </c>
      <c r="E1625" s="34">
        <v>44834</v>
      </c>
      <c r="F1625" s="34">
        <v>44837</v>
      </c>
      <c r="G1625" s="34">
        <v>44840</v>
      </c>
      <c r="H1625" s="35">
        <v>4.4999999999999998E-2</v>
      </c>
      <c r="I1625" s="67">
        <v>1.6799999999999999E-2</v>
      </c>
      <c r="J1625" s="67">
        <v>0</v>
      </c>
      <c r="K1625" s="67">
        <v>1.6799999999999999E-2</v>
      </c>
      <c r="L1625" s="36">
        <f>+K1625-((K1625*0.027*0.125)+(K1625*(1-0.027)*0.26))</f>
        <v>1.2493236E-2</v>
      </c>
      <c r="M1625" s="64">
        <f t="shared" si="51"/>
        <v>1.2493236E-2</v>
      </c>
      <c r="N1625" s="33" t="s">
        <v>251</v>
      </c>
    </row>
    <row r="1626" spans="1:14" ht="15">
      <c r="A1626" s="12"/>
      <c r="B1626" s="33" t="s">
        <v>188</v>
      </c>
      <c r="C1626" s="92" t="s">
        <v>339</v>
      </c>
      <c r="D1626" s="33" t="s">
        <v>411</v>
      </c>
      <c r="E1626" s="34">
        <v>44834</v>
      </c>
      <c r="F1626" s="34">
        <v>44837</v>
      </c>
      <c r="G1626" s="34">
        <v>44840</v>
      </c>
      <c r="H1626" s="35">
        <v>4.4999999999999998E-2</v>
      </c>
      <c r="I1626" s="67">
        <v>0.29260000000000003</v>
      </c>
      <c r="J1626" s="67">
        <v>0</v>
      </c>
      <c r="K1626" s="67">
        <v>0.29260000000000003</v>
      </c>
      <c r="L1626" s="36">
        <f>+K1626-((K1626*0.027*0.125)+(K1626*(1-0.027)*0.26))</f>
        <v>0.21759052700000003</v>
      </c>
      <c r="M1626" s="64">
        <f t="shared" si="51"/>
        <v>0.21759052700000003</v>
      </c>
      <c r="N1626" s="33" t="s">
        <v>251</v>
      </c>
    </row>
    <row r="1627" spans="1:14" ht="15">
      <c r="A1627" s="12"/>
      <c r="B1627" s="33" t="s">
        <v>196</v>
      </c>
      <c r="C1627" s="92" t="s">
        <v>340</v>
      </c>
      <c r="D1627" s="33" t="s">
        <v>411</v>
      </c>
      <c r="E1627" s="34">
        <v>44834</v>
      </c>
      <c r="F1627" s="34">
        <v>44837</v>
      </c>
      <c r="G1627" s="34">
        <v>44840</v>
      </c>
      <c r="H1627" s="35">
        <v>4.4999999999999998E-2</v>
      </c>
      <c r="I1627" s="67">
        <v>0.3054</v>
      </c>
      <c r="J1627" s="67">
        <v>0</v>
      </c>
      <c r="K1627" s="67">
        <v>0.3054</v>
      </c>
      <c r="L1627" s="36">
        <f>+K1627-((K1627*0.027*0.125)+(K1627*(1-0.027)*0.26))</f>
        <v>0.22710918299999999</v>
      </c>
      <c r="M1627" s="64">
        <f t="shared" si="51"/>
        <v>0.22710918299999999</v>
      </c>
      <c r="N1627" s="33" t="s">
        <v>251</v>
      </c>
    </row>
    <row r="1628" spans="1:14" ht="15">
      <c r="A1628" s="12"/>
      <c r="B1628" s="33" t="s">
        <v>191</v>
      </c>
      <c r="C1628" s="92" t="s">
        <v>346</v>
      </c>
      <c r="D1628" s="33" t="s">
        <v>411</v>
      </c>
      <c r="E1628" s="34">
        <v>44834</v>
      </c>
      <c r="F1628" s="34">
        <v>44837</v>
      </c>
      <c r="G1628" s="34">
        <v>44840</v>
      </c>
      <c r="H1628" s="35">
        <v>0.02</v>
      </c>
      <c r="I1628" s="67">
        <v>6.8999999999999999E-3</v>
      </c>
      <c r="J1628" s="67">
        <v>0</v>
      </c>
      <c r="K1628" s="67">
        <v>6.8999999999999999E-3</v>
      </c>
      <c r="L1628" s="36">
        <f>+K1628-((K1628*0.837*0.125)+(K1628*(1-0.837)*0.26))</f>
        <v>5.8856654999999997E-3</v>
      </c>
      <c r="M1628" s="64">
        <f t="shared" si="51"/>
        <v>5.8856654999999997E-3</v>
      </c>
      <c r="N1628" s="33" t="s">
        <v>251</v>
      </c>
    </row>
    <row r="1629" spans="1:14" ht="15">
      <c r="A1629" s="12"/>
      <c r="B1629" s="33" t="s">
        <v>199</v>
      </c>
      <c r="C1629" s="92" t="s">
        <v>347</v>
      </c>
      <c r="D1629" s="33" t="s">
        <v>411</v>
      </c>
      <c r="E1629" s="34">
        <v>44834</v>
      </c>
      <c r="F1629" s="34">
        <v>44837</v>
      </c>
      <c r="G1629" s="34">
        <v>44840</v>
      </c>
      <c r="H1629" s="35">
        <v>0.02</v>
      </c>
      <c r="I1629" s="67">
        <v>6.8999999999999999E-3</v>
      </c>
      <c r="J1629" s="67">
        <v>0</v>
      </c>
      <c r="K1629" s="67">
        <v>6.8999999999999999E-3</v>
      </c>
      <c r="L1629" s="36">
        <f>+K1629-((K1629*0.837*0.125)+(K1629*(1-0.837)*0.26))</f>
        <v>5.8856654999999997E-3</v>
      </c>
      <c r="M1629" s="64">
        <f t="shared" si="51"/>
        <v>5.8856654999999997E-3</v>
      </c>
      <c r="N1629" s="33" t="s">
        <v>251</v>
      </c>
    </row>
    <row r="1630" spans="1:14" ht="15">
      <c r="A1630" s="12"/>
      <c r="B1630" s="33" t="s">
        <v>306</v>
      </c>
      <c r="C1630" s="92" t="s">
        <v>430</v>
      </c>
      <c r="D1630" s="33" t="s">
        <v>411</v>
      </c>
      <c r="E1630" s="34">
        <v>44834</v>
      </c>
      <c r="F1630" s="34">
        <v>44837</v>
      </c>
      <c r="G1630" s="34">
        <v>44840</v>
      </c>
      <c r="H1630" s="35">
        <v>2.5000000000000001E-2</v>
      </c>
      <c r="I1630" s="67">
        <v>1.0200000000000001E-2</v>
      </c>
      <c r="J1630" s="67">
        <v>0</v>
      </c>
      <c r="K1630" s="67">
        <v>1.0200000000000001E-2</v>
      </c>
      <c r="L1630" s="36">
        <f>+K1630-((K1630*0.00001*0.125)+(K1630*(1-0.00001)*0.26))</f>
        <v>7.5480137700000005E-3</v>
      </c>
      <c r="M1630" s="64">
        <f t="shared" si="51"/>
        <v>7.5480137700000005E-3</v>
      </c>
      <c r="N1630" s="33" t="s">
        <v>251</v>
      </c>
    </row>
    <row r="1631" spans="1:14" ht="15">
      <c r="A1631" s="12"/>
      <c r="B1631" s="33" t="s">
        <v>184</v>
      </c>
      <c r="C1631" s="92" t="s">
        <v>354</v>
      </c>
      <c r="D1631" s="33" t="s">
        <v>411</v>
      </c>
      <c r="E1631" s="34">
        <v>44834</v>
      </c>
      <c r="F1631" s="34">
        <v>44837</v>
      </c>
      <c r="G1631" s="34">
        <v>44840</v>
      </c>
      <c r="H1631" s="35">
        <v>2.5000000000000001E-2</v>
      </c>
      <c r="I1631" s="67">
        <v>0.20449999999999999</v>
      </c>
      <c r="J1631" s="67">
        <v>0</v>
      </c>
      <c r="K1631" s="67">
        <v>0.20449999999999999</v>
      </c>
      <c r="L1631" s="36">
        <f>+K1631-((K1631*0.00001*0.125)+(K1631*(1-0.00001)*0.26))</f>
        <v>0.15133027607499999</v>
      </c>
      <c r="M1631" s="64">
        <f t="shared" si="51"/>
        <v>0.15133027607499999</v>
      </c>
      <c r="N1631" s="33" t="s">
        <v>251</v>
      </c>
    </row>
    <row r="1632" spans="1:14" ht="15">
      <c r="A1632" s="12"/>
      <c r="B1632" s="33" t="s">
        <v>192</v>
      </c>
      <c r="C1632" s="92" t="s">
        <v>355</v>
      </c>
      <c r="D1632" s="33" t="s">
        <v>411</v>
      </c>
      <c r="E1632" s="34">
        <v>44834</v>
      </c>
      <c r="F1632" s="34">
        <v>44837</v>
      </c>
      <c r="G1632" s="34">
        <v>44840</v>
      </c>
      <c r="H1632" s="35">
        <v>2.5000000000000001E-2</v>
      </c>
      <c r="I1632" s="67">
        <v>0.20749999999999999</v>
      </c>
      <c r="J1632" s="67">
        <v>0</v>
      </c>
      <c r="K1632" s="67">
        <v>0.20749999999999999</v>
      </c>
      <c r="L1632" s="36">
        <f>+K1632-((K1632*0.00001*0.125)+(K1632*(1-0.00001)*0.26))</f>
        <v>0.15355028012499999</v>
      </c>
      <c r="M1632" s="64">
        <f t="shared" si="51"/>
        <v>0.15355028012499999</v>
      </c>
      <c r="N1632" s="33" t="s">
        <v>251</v>
      </c>
    </row>
    <row r="1633" spans="1:14" ht="15">
      <c r="A1633" s="12"/>
      <c r="B1633" s="33" t="s">
        <v>311</v>
      </c>
      <c r="C1633" s="92" t="s">
        <v>425</v>
      </c>
      <c r="D1633" s="33" t="s">
        <v>411</v>
      </c>
      <c r="E1633" s="34">
        <v>44834</v>
      </c>
      <c r="F1633" s="34">
        <v>44837</v>
      </c>
      <c r="G1633" s="34">
        <v>44840</v>
      </c>
      <c r="H1633" s="35">
        <v>1.4999999999999999E-2</v>
      </c>
      <c r="I1633" s="67">
        <v>6.1000000000000004E-3</v>
      </c>
      <c r="J1633" s="67">
        <v>0</v>
      </c>
      <c r="K1633" s="67">
        <v>6.1000000000000004E-3</v>
      </c>
      <c r="L1633" s="36">
        <f>+K1633-((K1633*0.0000001*0.125)+(K1633*(1-0.0000001)*0.26))</f>
        <v>4.5140000823499999E-3</v>
      </c>
      <c r="M1633" s="64">
        <f t="shared" si="51"/>
        <v>4.5140000823499999E-3</v>
      </c>
      <c r="N1633" s="33" t="s">
        <v>251</v>
      </c>
    </row>
    <row r="1634" spans="1:14" ht="15">
      <c r="A1634" s="12"/>
      <c r="B1634" s="33" t="s">
        <v>189</v>
      </c>
      <c r="C1634" s="92" t="s">
        <v>356</v>
      </c>
      <c r="D1634" s="33" t="s">
        <v>411</v>
      </c>
      <c r="E1634" s="34">
        <v>44834</v>
      </c>
      <c r="F1634" s="34">
        <v>44837</v>
      </c>
      <c r="G1634" s="34">
        <v>44840</v>
      </c>
      <c r="H1634" s="35">
        <v>1.4999999999999999E-2</v>
      </c>
      <c r="I1634" s="67">
        <v>0.1114</v>
      </c>
      <c r="J1634" s="67">
        <v>0</v>
      </c>
      <c r="K1634" s="67">
        <v>0.1114</v>
      </c>
      <c r="L1634" s="36">
        <f>+K1634-((K1634*0.0000001*0.125)+(K1634*(1-0.0000001)*0.26))</f>
        <v>8.24360015039E-2</v>
      </c>
      <c r="M1634" s="64">
        <f t="shared" si="51"/>
        <v>8.24360015039E-2</v>
      </c>
      <c r="N1634" s="33" t="s">
        <v>251</v>
      </c>
    </row>
    <row r="1635" spans="1:14" ht="15">
      <c r="A1635" s="12"/>
      <c r="B1635" s="33" t="s">
        <v>197</v>
      </c>
      <c r="C1635" s="92" t="s">
        <v>357</v>
      </c>
      <c r="D1635" s="33" t="s">
        <v>411</v>
      </c>
      <c r="E1635" s="34">
        <v>44834</v>
      </c>
      <c r="F1635" s="34">
        <v>44837</v>
      </c>
      <c r="G1635" s="34">
        <v>44840</v>
      </c>
      <c r="H1635" s="35">
        <v>1.4999999999999999E-2</v>
      </c>
      <c r="I1635" s="67">
        <v>0.114</v>
      </c>
      <c r="J1635" s="67">
        <v>0</v>
      </c>
      <c r="K1635" s="67">
        <v>0.114</v>
      </c>
      <c r="L1635" s="36">
        <f>+K1635-((K1635*0.0000001*0.125)+(K1635*(1-0.0000001)*0.26))</f>
        <v>8.4360001539000001E-2</v>
      </c>
      <c r="M1635" s="64">
        <f t="shared" si="51"/>
        <v>8.4360001539000001E-2</v>
      </c>
      <c r="N1635" s="33" t="s">
        <v>251</v>
      </c>
    </row>
    <row r="1636" spans="1:14" ht="15">
      <c r="A1636" s="12"/>
      <c r="B1636" s="33" t="s">
        <v>308</v>
      </c>
      <c r="C1636" s="92" t="s">
        <v>426</v>
      </c>
      <c r="D1636" s="33" t="s">
        <v>411</v>
      </c>
      <c r="E1636" s="34">
        <v>44834</v>
      </c>
      <c r="F1636" s="34">
        <v>44837</v>
      </c>
      <c r="G1636" s="34">
        <v>44840</v>
      </c>
      <c r="H1636" s="35">
        <v>1.4999999999999999E-2</v>
      </c>
      <c r="I1636" s="67">
        <v>5.8999999999999999E-3</v>
      </c>
      <c r="J1636" s="67">
        <v>0</v>
      </c>
      <c r="K1636" s="67">
        <v>5.8999999999999999E-3</v>
      </c>
      <c r="L1636" s="36">
        <f>+K1636-((K1636*0.4545*0.125)+(K1636*(1-0.4545)*0.26))</f>
        <v>4.7280092499999999E-3</v>
      </c>
      <c r="M1636" s="64">
        <f t="shared" si="51"/>
        <v>4.7280092499999999E-3</v>
      </c>
      <c r="N1636" s="33" t="s">
        <v>251</v>
      </c>
    </row>
    <row r="1637" spans="1:14" ht="15">
      <c r="A1637" s="12"/>
      <c r="B1637" s="33" t="s">
        <v>186</v>
      </c>
      <c r="C1637" s="92" t="s">
        <v>363</v>
      </c>
      <c r="D1637" s="33" t="s">
        <v>411</v>
      </c>
      <c r="E1637" s="34">
        <v>44834</v>
      </c>
      <c r="F1637" s="34">
        <v>44837</v>
      </c>
      <c r="G1637" s="34">
        <v>44840</v>
      </c>
      <c r="H1637" s="35">
        <v>1.4999999999999999E-2</v>
      </c>
      <c r="I1637" s="67">
        <v>0.108</v>
      </c>
      <c r="J1637" s="67">
        <v>0</v>
      </c>
      <c r="K1637" s="67">
        <v>0.108</v>
      </c>
      <c r="L1637" s="36">
        <f>+K1637-((K1637*0.4545*0.125)+(K1637*(1-0.4545)*0.26))</f>
        <v>8.6546609999999996E-2</v>
      </c>
      <c r="M1637" s="64">
        <f t="shared" si="51"/>
        <v>8.6546609999999996E-2</v>
      </c>
      <c r="N1637" s="33" t="s">
        <v>251</v>
      </c>
    </row>
    <row r="1638" spans="1:14" ht="15">
      <c r="A1638" s="12"/>
      <c r="B1638" s="33" t="s">
        <v>194</v>
      </c>
      <c r="C1638" s="92" t="s">
        <v>364</v>
      </c>
      <c r="D1638" s="33" t="s">
        <v>411</v>
      </c>
      <c r="E1638" s="34">
        <v>44834</v>
      </c>
      <c r="F1638" s="34">
        <v>44837</v>
      </c>
      <c r="G1638" s="34">
        <v>44840</v>
      </c>
      <c r="H1638" s="35">
        <v>1.4999999999999999E-2</v>
      </c>
      <c r="I1638" s="67">
        <v>0.11169999999999999</v>
      </c>
      <c r="J1638" s="67">
        <v>0</v>
      </c>
      <c r="K1638" s="67">
        <v>0.11169999999999999</v>
      </c>
      <c r="L1638" s="36">
        <f>+K1638-((K1638*0.4545*0.125)+(K1638*(1-0.4545)*0.26))</f>
        <v>8.9511632749999986E-2</v>
      </c>
      <c r="M1638" s="64">
        <f t="shared" si="51"/>
        <v>8.9511632749999986E-2</v>
      </c>
      <c r="N1638" s="33" t="s">
        <v>251</v>
      </c>
    </row>
    <row r="1639" spans="1:14" ht="15">
      <c r="A1639" s="12"/>
      <c r="B1639" s="33" t="s">
        <v>307</v>
      </c>
      <c r="C1639" s="92" t="s">
        <v>420</v>
      </c>
      <c r="D1639" s="33" t="s">
        <v>411</v>
      </c>
      <c r="E1639" s="34">
        <v>44834</v>
      </c>
      <c r="F1639" s="34">
        <v>44837</v>
      </c>
      <c r="G1639" s="34">
        <v>44840</v>
      </c>
      <c r="H1639" s="35">
        <v>1.4999999999999999E-2</v>
      </c>
      <c r="I1639" s="67">
        <v>5.7000000000000002E-3</v>
      </c>
      <c r="J1639" s="67">
        <v>0</v>
      </c>
      <c r="K1639" s="67">
        <v>5.7000000000000002E-3</v>
      </c>
      <c r="L1639" s="36">
        <f>+K1639-((K1639*0.572*0.125)+(K1639*(1-0.572)*0.26))</f>
        <v>4.6581540000000003E-3</v>
      </c>
      <c r="M1639" s="64">
        <f t="shared" si="51"/>
        <v>4.6581540000000003E-3</v>
      </c>
      <c r="N1639" s="33" t="s">
        <v>251</v>
      </c>
    </row>
    <row r="1640" spans="1:14" ht="15">
      <c r="A1640" s="12"/>
      <c r="B1640" s="33" t="s">
        <v>185</v>
      </c>
      <c r="C1640" s="92" t="s">
        <v>366</v>
      </c>
      <c r="D1640" s="33" t="s">
        <v>411</v>
      </c>
      <c r="E1640" s="34">
        <v>44834</v>
      </c>
      <c r="F1640" s="34">
        <v>44837</v>
      </c>
      <c r="G1640" s="34">
        <v>44840</v>
      </c>
      <c r="H1640" s="35">
        <v>1.4999999999999999E-2</v>
      </c>
      <c r="I1640" s="67">
        <v>9.5200000000000007E-2</v>
      </c>
      <c r="J1640" s="67">
        <v>0</v>
      </c>
      <c r="K1640" s="67">
        <v>9.5200000000000007E-2</v>
      </c>
      <c r="L1640" s="36">
        <f>+K1640-((K1640*0.572*0.125)+(K1640*(1-0.572)*0.26))</f>
        <v>7.7799344000000006E-2</v>
      </c>
      <c r="M1640" s="64">
        <f t="shared" si="51"/>
        <v>7.7799344000000006E-2</v>
      </c>
      <c r="N1640" s="33" t="s">
        <v>251</v>
      </c>
    </row>
    <row r="1641" spans="1:14" ht="15">
      <c r="A1641" s="12"/>
      <c r="B1641" s="33" t="s">
        <v>193</v>
      </c>
      <c r="C1641" s="92" t="s">
        <v>367</v>
      </c>
      <c r="D1641" s="33" t="s">
        <v>411</v>
      </c>
      <c r="E1641" s="34">
        <v>44834</v>
      </c>
      <c r="F1641" s="34">
        <v>44837</v>
      </c>
      <c r="G1641" s="34">
        <v>44840</v>
      </c>
      <c r="H1641" s="35">
        <v>1.4999999999999999E-2</v>
      </c>
      <c r="I1641" s="67">
        <v>9.3399999999999997E-2</v>
      </c>
      <c r="J1641" s="67">
        <v>0</v>
      </c>
      <c r="K1641" s="67">
        <v>9.3399999999999997E-2</v>
      </c>
      <c r="L1641" s="36">
        <f>+K1641-((K1641*0.572*0.125)+(K1641*(1-0.572)*0.26))</f>
        <v>7.632834799999999E-2</v>
      </c>
      <c r="M1641" s="64">
        <f t="shared" si="51"/>
        <v>7.632834799999999E-2</v>
      </c>
      <c r="N1641" s="33" t="s">
        <v>251</v>
      </c>
    </row>
    <row r="1642" spans="1:14" ht="15">
      <c r="A1642" s="12"/>
      <c r="B1642" s="33" t="s">
        <v>309</v>
      </c>
      <c r="C1642" s="92" t="s">
        <v>427</v>
      </c>
      <c r="D1642" s="33" t="s">
        <v>411</v>
      </c>
      <c r="E1642" s="34">
        <v>44834</v>
      </c>
      <c r="F1642" s="34">
        <v>44837</v>
      </c>
      <c r="G1642" s="34">
        <v>44840</v>
      </c>
      <c r="H1642" s="35">
        <v>0.02</v>
      </c>
      <c r="I1642" s="67">
        <v>8.2000000000000007E-3</v>
      </c>
      <c r="J1642" s="67">
        <v>0</v>
      </c>
      <c r="K1642" s="67">
        <v>8.2000000000000007E-3</v>
      </c>
      <c r="L1642" s="36">
        <f>+K1642-((K1642*0.0245*0.125)+(K1642*(1-0.0245)*0.26))</f>
        <v>6.0951215E-3</v>
      </c>
      <c r="M1642" s="64">
        <f t="shared" si="51"/>
        <v>6.0951215E-3</v>
      </c>
      <c r="N1642" s="33" t="s">
        <v>251</v>
      </c>
    </row>
    <row r="1643" spans="1:14" ht="15">
      <c r="A1643" s="12"/>
      <c r="B1643" s="33" t="s">
        <v>187</v>
      </c>
      <c r="C1643" s="92" t="s">
        <v>368</v>
      </c>
      <c r="D1643" s="33" t="s">
        <v>411</v>
      </c>
      <c r="E1643" s="34">
        <v>44834</v>
      </c>
      <c r="F1643" s="34">
        <v>44837</v>
      </c>
      <c r="G1643" s="34">
        <v>44840</v>
      </c>
      <c r="H1643" s="35">
        <v>0.02</v>
      </c>
      <c r="I1643" s="67">
        <v>0.14419999999999999</v>
      </c>
      <c r="J1643" s="67">
        <v>0</v>
      </c>
      <c r="K1643" s="67">
        <v>0.14419999999999999</v>
      </c>
      <c r="L1643" s="36">
        <f>+K1643-((K1643*0.0245*0.125)+(K1643*(1-0.0245)*0.26))</f>
        <v>0.10718494149999999</v>
      </c>
      <c r="M1643" s="64">
        <f t="shared" si="51"/>
        <v>0.10718494149999999</v>
      </c>
      <c r="N1643" s="33" t="s">
        <v>251</v>
      </c>
    </row>
    <row r="1644" spans="1:14" ht="15">
      <c r="A1644" s="12"/>
      <c r="B1644" s="33" t="s">
        <v>195</v>
      </c>
      <c r="C1644" s="92" t="s">
        <v>369</v>
      </c>
      <c r="D1644" s="33" t="s">
        <v>411</v>
      </c>
      <c r="E1644" s="34">
        <v>44834</v>
      </c>
      <c r="F1644" s="34">
        <v>44837</v>
      </c>
      <c r="G1644" s="34">
        <v>44840</v>
      </c>
      <c r="H1644" s="35">
        <v>0.02</v>
      </c>
      <c r="I1644" s="67">
        <v>0.14960000000000001</v>
      </c>
      <c r="J1644" s="67">
        <v>0</v>
      </c>
      <c r="K1644" s="67">
        <v>0.14960000000000001</v>
      </c>
      <c r="L1644" s="36">
        <f>+K1644-((K1644*0.0245*0.125)+(K1644*(1-0.0245)*0.26))</f>
        <v>0.11119880200000001</v>
      </c>
      <c r="M1644" s="64">
        <f t="shared" si="51"/>
        <v>0.11119880200000001</v>
      </c>
      <c r="N1644" s="33" t="s">
        <v>251</v>
      </c>
    </row>
    <row r="1645" spans="1:14" ht="15">
      <c r="A1645" s="12"/>
      <c r="B1645" s="33" t="s">
        <v>312</v>
      </c>
      <c r="C1645" s="92" t="s">
        <v>428</v>
      </c>
      <c r="D1645" s="33" t="s">
        <v>411</v>
      </c>
      <c r="E1645" s="34">
        <v>44834</v>
      </c>
      <c r="F1645" s="34">
        <v>44837</v>
      </c>
      <c r="G1645" s="34">
        <v>44840</v>
      </c>
      <c r="H1645" s="35">
        <v>3.2500000000000001E-2</v>
      </c>
      <c r="I1645" s="67">
        <v>1.2500000000000001E-2</v>
      </c>
      <c r="J1645" s="67">
        <v>0</v>
      </c>
      <c r="K1645" s="67">
        <v>1.2500000000000001E-2</v>
      </c>
      <c r="L1645" s="36">
        <f>+K1645-((K1645*0.0175*0.125)+(K1645*(1-0.0175)*0.26))</f>
        <v>9.2795312500000005E-3</v>
      </c>
      <c r="M1645" s="64">
        <f t="shared" si="51"/>
        <v>9.2795312500000005E-3</v>
      </c>
      <c r="N1645" s="33" t="s">
        <v>251</v>
      </c>
    </row>
    <row r="1646" spans="1:14" ht="15">
      <c r="A1646" s="12"/>
      <c r="B1646" s="33" t="s">
        <v>190</v>
      </c>
      <c r="C1646" s="92" t="s">
        <v>370</v>
      </c>
      <c r="D1646" s="33" t="s">
        <v>411</v>
      </c>
      <c r="E1646" s="34">
        <v>44834</v>
      </c>
      <c r="F1646" s="34">
        <v>44837</v>
      </c>
      <c r="G1646" s="34">
        <v>44840</v>
      </c>
      <c r="H1646" s="35">
        <v>3.2500000000000001E-2</v>
      </c>
      <c r="I1646" s="67">
        <v>0.2374</v>
      </c>
      <c r="J1646" s="67">
        <v>0</v>
      </c>
      <c r="K1646" s="67">
        <v>0.2374</v>
      </c>
      <c r="L1646" s="36">
        <f>+K1646-((K1646*0.0175*0.125)+(K1646*(1-0.0175)*0.26))</f>
        <v>0.17623685749999998</v>
      </c>
      <c r="M1646" s="64">
        <f t="shared" si="51"/>
        <v>0.17623685749999998</v>
      </c>
      <c r="N1646" s="33" t="s">
        <v>251</v>
      </c>
    </row>
    <row r="1647" spans="1:14" ht="15">
      <c r="A1647" s="12"/>
      <c r="B1647" s="33" t="s">
        <v>198</v>
      </c>
      <c r="C1647" s="92" t="s">
        <v>371</v>
      </c>
      <c r="D1647" s="33" t="s">
        <v>411</v>
      </c>
      <c r="E1647" s="34">
        <v>44834</v>
      </c>
      <c r="F1647" s="34">
        <v>44837</v>
      </c>
      <c r="G1647" s="34">
        <v>44840</v>
      </c>
      <c r="H1647" s="35">
        <v>3.2500000000000001E-2</v>
      </c>
      <c r="I1647" s="67">
        <v>0.23849999999999999</v>
      </c>
      <c r="J1647" s="67">
        <v>0</v>
      </c>
      <c r="K1647" s="67">
        <v>0.23849999999999999</v>
      </c>
      <c r="L1647" s="36">
        <f>+K1647-((K1647*0.0175*0.125)+(K1647*(1-0.0175)*0.26))</f>
        <v>0.17705345624999999</v>
      </c>
      <c r="M1647" s="64">
        <f t="shared" si="51"/>
        <v>0.17705345624999999</v>
      </c>
      <c r="N1647" s="33" t="s">
        <v>251</v>
      </c>
    </row>
    <row r="1648" spans="1:14" ht="15">
      <c r="A1648" s="12"/>
      <c r="B1648" s="33" t="s">
        <v>513</v>
      </c>
      <c r="C1648" s="92" t="s">
        <v>515</v>
      </c>
      <c r="D1648" s="33" t="s">
        <v>411</v>
      </c>
      <c r="E1648" s="34">
        <v>44834</v>
      </c>
      <c r="F1648" s="34">
        <v>44837</v>
      </c>
      <c r="G1648" s="34">
        <v>44840</v>
      </c>
      <c r="H1648" s="35">
        <v>0</v>
      </c>
      <c r="I1648" s="67">
        <v>0</v>
      </c>
      <c r="J1648" s="67">
        <v>0</v>
      </c>
      <c r="K1648" s="67">
        <v>0</v>
      </c>
      <c r="L1648" s="36">
        <f>+K1648-((K1648*0.381*0.125)+(K1648*(1-0.381)*0.26))</f>
        <v>0</v>
      </c>
      <c r="M1648" s="64">
        <f t="shared" si="51"/>
        <v>0</v>
      </c>
      <c r="N1648" s="33" t="s">
        <v>251</v>
      </c>
    </row>
    <row r="1649" spans="1:14" ht="15">
      <c r="A1649" s="12"/>
      <c r="B1649" s="33" t="s">
        <v>514</v>
      </c>
      <c r="C1649" s="92" t="s">
        <v>516</v>
      </c>
      <c r="D1649" s="33" t="s">
        <v>411</v>
      </c>
      <c r="E1649" s="34">
        <v>44834</v>
      </c>
      <c r="F1649" s="34">
        <v>44837</v>
      </c>
      <c r="G1649" s="34">
        <v>44840</v>
      </c>
      <c r="H1649" s="35">
        <v>0</v>
      </c>
      <c r="I1649" s="67">
        <v>0</v>
      </c>
      <c r="J1649" s="67">
        <v>0</v>
      </c>
      <c r="K1649" s="67">
        <v>0</v>
      </c>
      <c r="L1649" s="36">
        <f>+K1649-((K1649*0.381*0.125)+(K1649*(1-0.381)*0.26))</f>
        <v>0</v>
      </c>
      <c r="M1649" s="64">
        <f t="shared" si="51"/>
        <v>0</v>
      </c>
      <c r="N1649" s="33" t="s">
        <v>251</v>
      </c>
    </row>
    <row r="1650" spans="1:14" ht="15">
      <c r="A1650" s="12"/>
      <c r="B1650" s="33" t="s">
        <v>313</v>
      </c>
      <c r="C1650" s="92" t="s">
        <v>429</v>
      </c>
      <c r="D1650" s="33" t="s">
        <v>411</v>
      </c>
      <c r="E1650" s="34">
        <v>44834</v>
      </c>
      <c r="F1650" s="34">
        <v>44837</v>
      </c>
      <c r="G1650" s="34">
        <v>44840</v>
      </c>
      <c r="H1650" s="35">
        <v>1.2E-2</v>
      </c>
      <c r="I1650" s="67">
        <v>5.0000000000000001E-3</v>
      </c>
      <c r="J1650" s="67">
        <v>0</v>
      </c>
      <c r="K1650" s="67">
        <v>5.0000000000000001E-3</v>
      </c>
      <c r="L1650" s="36">
        <f>+K1650-((K1650*0.184*0.125)+(K1650*(1-0.184)*0.26))</f>
        <v>3.8241999999999998E-3</v>
      </c>
      <c r="M1650" s="64">
        <f t="shared" si="51"/>
        <v>3.8241999999999998E-3</v>
      </c>
      <c r="N1650" s="33" t="s">
        <v>251</v>
      </c>
    </row>
    <row r="1651" spans="1:14" ht="15">
      <c r="A1651" s="12"/>
      <c r="B1651" s="33" t="s">
        <v>298</v>
      </c>
      <c r="C1651" s="92" t="s">
        <v>403</v>
      </c>
      <c r="D1651" s="33" t="s">
        <v>410</v>
      </c>
      <c r="E1651" s="34">
        <v>44834</v>
      </c>
      <c r="F1651" s="34">
        <v>44837</v>
      </c>
      <c r="G1651" s="34">
        <v>44840</v>
      </c>
      <c r="H1651" s="35">
        <v>4.4999999999999998E-2</v>
      </c>
      <c r="I1651" s="67">
        <v>4.8899999999999999E-2</v>
      </c>
      <c r="J1651" s="67">
        <v>0</v>
      </c>
      <c r="K1651" s="67">
        <v>4.8899999999999999E-2</v>
      </c>
      <c r="L1651" s="36">
        <f>+K1651-((K1651*0.4305*0.125)+(K1651*(1-0.4305)*0.26))</f>
        <v>3.9027945750000001E-2</v>
      </c>
      <c r="M1651" s="64">
        <f t="shared" si="51"/>
        <v>3.9027945750000001E-2</v>
      </c>
      <c r="N1651" s="33" t="s">
        <v>248</v>
      </c>
    </row>
    <row r="1652" spans="1:14" ht="15">
      <c r="A1652" s="12"/>
      <c r="B1652" s="33" t="s">
        <v>181</v>
      </c>
      <c r="C1652" s="92" t="s">
        <v>335</v>
      </c>
      <c r="D1652" s="33" t="s">
        <v>410</v>
      </c>
      <c r="E1652" s="34">
        <v>44834</v>
      </c>
      <c r="F1652" s="34">
        <v>44837</v>
      </c>
      <c r="G1652" s="34">
        <v>44840</v>
      </c>
      <c r="H1652" s="35">
        <v>4.4999999999999998E-2</v>
      </c>
      <c r="I1652" s="67">
        <v>0.87180000000000002</v>
      </c>
      <c r="J1652" s="67">
        <v>0</v>
      </c>
      <c r="K1652" s="67">
        <v>0.87180000000000002</v>
      </c>
      <c r="L1652" s="36">
        <f>+K1652-((K1652*0.4305*0.125)+(K1652*(1-0.4305)*0.26))</f>
        <v>0.69579883650000007</v>
      </c>
      <c r="M1652" s="64">
        <f t="shared" si="51"/>
        <v>0.69579883650000007</v>
      </c>
      <c r="N1652" s="33" t="s">
        <v>248</v>
      </c>
    </row>
    <row r="1653" spans="1:14" ht="15">
      <c r="A1653" s="12"/>
      <c r="B1653" s="33" t="s">
        <v>201</v>
      </c>
      <c r="C1653" s="92" t="s">
        <v>336</v>
      </c>
      <c r="D1653" s="33" t="s">
        <v>410</v>
      </c>
      <c r="E1653" s="34">
        <v>44834</v>
      </c>
      <c r="F1653" s="34">
        <v>44837</v>
      </c>
      <c r="G1653" s="34">
        <v>44840</v>
      </c>
      <c r="H1653" s="35">
        <v>4.4999999999999998E-2</v>
      </c>
      <c r="I1653" s="67">
        <v>0.88749999999999996</v>
      </c>
      <c r="J1653" s="67">
        <v>0</v>
      </c>
      <c r="K1653" s="67">
        <v>0.88749999999999996</v>
      </c>
      <c r="L1653" s="36">
        <f>+K1653-((K1653*0.4305*0.125)+(K1653*(1-0.4305)*0.26))</f>
        <v>0.70832928124999994</v>
      </c>
      <c r="M1653" s="64">
        <f t="shared" si="51"/>
        <v>0.70832928124999994</v>
      </c>
      <c r="N1653" s="33" t="s">
        <v>248</v>
      </c>
    </row>
    <row r="1654" spans="1:14" ht="15">
      <c r="A1654" s="12"/>
      <c r="B1654" s="33" t="s">
        <v>138</v>
      </c>
      <c r="C1654" s="92" t="s">
        <v>337</v>
      </c>
      <c r="D1654" s="33" t="s">
        <v>410</v>
      </c>
      <c r="E1654" s="34">
        <v>44834</v>
      </c>
      <c r="F1654" s="34">
        <v>44837</v>
      </c>
      <c r="G1654" s="34">
        <v>44840</v>
      </c>
      <c r="H1654" s="35">
        <v>0.05</v>
      </c>
      <c r="I1654" s="67">
        <v>7.1099999999999997E-2</v>
      </c>
      <c r="J1654" s="67">
        <v>0</v>
      </c>
      <c r="K1654" s="67">
        <v>7.1099999999999997E-2</v>
      </c>
      <c r="L1654" s="36">
        <f>+K1654-((K1654*0.275*0.125)+(K1654*(1-0.275)*0.26))</f>
        <v>5.52535875E-2</v>
      </c>
      <c r="M1654" s="64">
        <f t="shared" si="51"/>
        <v>5.52535875E-2</v>
      </c>
      <c r="N1654" s="33" t="s">
        <v>248</v>
      </c>
    </row>
    <row r="1655" spans="1:14" ht="15">
      <c r="A1655" s="12"/>
      <c r="B1655" s="33" t="s">
        <v>160</v>
      </c>
      <c r="C1655" s="92" t="s">
        <v>338</v>
      </c>
      <c r="D1655" s="33" t="s">
        <v>410</v>
      </c>
      <c r="E1655" s="34">
        <v>44834</v>
      </c>
      <c r="F1655" s="34">
        <v>44837</v>
      </c>
      <c r="G1655" s="34">
        <v>44840</v>
      </c>
      <c r="H1655" s="35">
        <v>0.05</v>
      </c>
      <c r="I1655" s="67">
        <v>7.0099999999999996E-2</v>
      </c>
      <c r="J1655" s="67">
        <v>0</v>
      </c>
      <c r="K1655" s="67">
        <v>7.0099999999999996E-2</v>
      </c>
      <c r="L1655" s="36">
        <f>+K1655-((K1655*0.275*0.125)+(K1655*(1-0.275)*0.26))</f>
        <v>5.4476462499999996E-2</v>
      </c>
      <c r="M1655" s="64">
        <f t="shared" si="51"/>
        <v>5.4476462499999996E-2</v>
      </c>
      <c r="N1655" s="33" t="s">
        <v>248</v>
      </c>
    </row>
    <row r="1656" spans="1:14" ht="15">
      <c r="A1656" s="12"/>
      <c r="B1656" s="33" t="s">
        <v>300</v>
      </c>
      <c r="C1656" s="92" t="s">
        <v>404</v>
      </c>
      <c r="D1656" s="33" t="s">
        <v>410</v>
      </c>
      <c r="E1656" s="34">
        <v>44834</v>
      </c>
      <c r="F1656" s="34">
        <v>44837</v>
      </c>
      <c r="G1656" s="34">
        <v>44840</v>
      </c>
      <c r="H1656" s="35">
        <v>0.05</v>
      </c>
      <c r="I1656" s="67">
        <v>5.4899999999999997E-2</v>
      </c>
      <c r="J1656" s="67">
        <v>0</v>
      </c>
      <c r="K1656" s="67">
        <v>5.4899999999999997E-2</v>
      </c>
      <c r="L1656" s="36">
        <f>+K1656-((K1656*0.275*0.125)+(K1656*(1-0.275)*0.26))</f>
        <v>4.2664162499999998E-2</v>
      </c>
      <c r="M1656" s="64">
        <f t="shared" si="51"/>
        <v>4.2664162499999998E-2</v>
      </c>
      <c r="N1656" s="33" t="s">
        <v>248</v>
      </c>
    </row>
    <row r="1657" spans="1:14" ht="15">
      <c r="A1657" s="12"/>
      <c r="B1657" s="33" t="s">
        <v>142</v>
      </c>
      <c r="C1657" s="92" t="s">
        <v>341</v>
      </c>
      <c r="D1657" s="33" t="s">
        <v>410</v>
      </c>
      <c r="E1657" s="34">
        <v>44834</v>
      </c>
      <c r="F1657" s="34">
        <v>44837</v>
      </c>
      <c r="G1657" s="34">
        <v>44840</v>
      </c>
      <c r="H1657" s="35">
        <v>5.2499999999999998E-2</v>
      </c>
      <c r="I1657" s="67">
        <v>7.6600000000000001E-2</v>
      </c>
      <c r="J1657" s="67">
        <v>0</v>
      </c>
      <c r="K1657" s="67">
        <v>7.6600000000000001E-2</v>
      </c>
      <c r="L1657" s="36">
        <f>+K1657-((K1657*0.0645*0.125)+(K1657*(1-0.0645)*0.26))</f>
        <v>5.7350994500000002E-2</v>
      </c>
      <c r="M1657" s="64">
        <f t="shared" ref="M1657:M1720" si="52">J1657+L1657</f>
        <v>5.7350994500000002E-2</v>
      </c>
      <c r="N1657" s="33" t="s">
        <v>248</v>
      </c>
    </row>
    <row r="1658" spans="1:14" ht="15">
      <c r="A1658" s="12"/>
      <c r="B1658" s="33" t="s">
        <v>159</v>
      </c>
      <c r="C1658" s="92" t="s">
        <v>342</v>
      </c>
      <c r="D1658" s="33" t="s">
        <v>410</v>
      </c>
      <c r="E1658" s="34">
        <v>44834</v>
      </c>
      <c r="F1658" s="34">
        <v>44837</v>
      </c>
      <c r="G1658" s="34">
        <v>44840</v>
      </c>
      <c r="H1658" s="35">
        <v>5.2499999999999998E-2</v>
      </c>
      <c r="I1658" s="67">
        <v>7.5700000000000003E-2</v>
      </c>
      <c r="J1658" s="67">
        <v>0</v>
      </c>
      <c r="K1658" s="67">
        <v>7.5700000000000003E-2</v>
      </c>
      <c r="L1658" s="36">
        <f>+K1658-((K1658*0.0645*0.125)+(K1658*(1-0.0645)*0.26))</f>
        <v>5.6677157750000005E-2</v>
      </c>
      <c r="M1658" s="64">
        <f t="shared" si="52"/>
        <v>5.6677157750000005E-2</v>
      </c>
      <c r="N1658" s="33" t="s">
        <v>248</v>
      </c>
    </row>
    <row r="1659" spans="1:14" ht="15">
      <c r="A1659" s="12"/>
      <c r="B1659" s="33" t="s">
        <v>507</v>
      </c>
      <c r="C1659" s="92" t="s">
        <v>508</v>
      </c>
      <c r="D1659" s="33" t="s">
        <v>410</v>
      </c>
      <c r="E1659" s="34">
        <v>44834</v>
      </c>
      <c r="F1659" s="34">
        <v>44837</v>
      </c>
      <c r="G1659" s="34">
        <v>44840</v>
      </c>
      <c r="H1659" s="35">
        <v>5.2499999999999998E-2</v>
      </c>
      <c r="I1659" s="67">
        <v>6.0499999999999998E-2</v>
      </c>
      <c r="J1659" s="67">
        <v>0</v>
      </c>
      <c r="K1659" s="67">
        <v>6.0499999999999998E-2</v>
      </c>
      <c r="L1659" s="36">
        <f>+K1659-((K1659*0.0645*0.125)+(K1659*(1-0.0645)*0.26))</f>
        <v>4.5296803750000003E-2</v>
      </c>
      <c r="M1659" s="64">
        <f t="shared" si="52"/>
        <v>4.5296803750000003E-2</v>
      </c>
      <c r="N1659" s="33" t="s">
        <v>248</v>
      </c>
    </row>
    <row r="1660" spans="1:14" ht="15">
      <c r="A1660" s="12"/>
      <c r="B1660" s="33" t="s">
        <v>139</v>
      </c>
      <c r="C1660" s="92" t="s">
        <v>344</v>
      </c>
      <c r="D1660" s="33" t="s">
        <v>410</v>
      </c>
      <c r="E1660" s="34">
        <v>44834</v>
      </c>
      <c r="F1660" s="34">
        <v>44837</v>
      </c>
      <c r="G1660" s="34">
        <v>44840</v>
      </c>
      <c r="H1660" s="35">
        <v>0.02</v>
      </c>
      <c r="I1660" s="67">
        <v>2.0400000000000001E-2</v>
      </c>
      <c r="J1660" s="67">
        <v>0</v>
      </c>
      <c r="K1660" s="67">
        <v>2.0400000000000001E-2</v>
      </c>
      <c r="L1660" s="36">
        <f>+K1660-((K1660*0.837*0.125)+(K1660*(1-0.837)*0.26))</f>
        <v>1.7401098E-2</v>
      </c>
      <c r="M1660" s="64">
        <f t="shared" si="52"/>
        <v>1.7401098E-2</v>
      </c>
      <c r="N1660" s="33" t="s">
        <v>248</v>
      </c>
    </row>
    <row r="1661" spans="1:14" ht="15">
      <c r="A1661" s="12"/>
      <c r="B1661" s="33" t="s">
        <v>161</v>
      </c>
      <c r="C1661" s="92" t="s">
        <v>345</v>
      </c>
      <c r="D1661" s="33" t="s">
        <v>410</v>
      </c>
      <c r="E1661" s="34">
        <v>44834</v>
      </c>
      <c r="F1661" s="34">
        <v>44837</v>
      </c>
      <c r="G1661" s="34">
        <v>44840</v>
      </c>
      <c r="H1661" s="35">
        <v>0.02</v>
      </c>
      <c r="I1661" s="67">
        <v>2.0199999999999999E-2</v>
      </c>
      <c r="J1661" s="67">
        <v>0</v>
      </c>
      <c r="K1661" s="67">
        <v>2.0199999999999999E-2</v>
      </c>
      <c r="L1661" s="36">
        <f>+K1661-((K1661*0.837*0.125)+(K1661*(1-0.837)*0.26))</f>
        <v>1.7230499E-2</v>
      </c>
      <c r="M1661" s="64">
        <f t="shared" si="52"/>
        <v>1.7230499E-2</v>
      </c>
      <c r="N1661" s="33" t="s">
        <v>248</v>
      </c>
    </row>
    <row r="1662" spans="1:14" ht="15">
      <c r="A1662" s="12"/>
      <c r="B1662" s="33" t="s">
        <v>141</v>
      </c>
      <c r="C1662" s="92" t="s">
        <v>348</v>
      </c>
      <c r="D1662" s="33" t="s">
        <v>410</v>
      </c>
      <c r="E1662" s="34">
        <v>44834</v>
      </c>
      <c r="F1662" s="34">
        <v>44837</v>
      </c>
      <c r="G1662" s="34">
        <v>44840</v>
      </c>
      <c r="H1662" s="35">
        <v>0.04</v>
      </c>
      <c r="I1662" s="67">
        <v>4.3799999999999999E-2</v>
      </c>
      <c r="J1662" s="67">
        <v>0</v>
      </c>
      <c r="K1662" s="67">
        <v>4.3799999999999999E-2</v>
      </c>
      <c r="L1662" s="36">
        <f>+K1662-((K1662*0.096*0.125)+(K1662*(1-0.096)*0.26))</f>
        <v>3.2979648E-2</v>
      </c>
      <c r="M1662" s="64">
        <f t="shared" si="52"/>
        <v>3.2979648E-2</v>
      </c>
      <c r="N1662" s="33" t="s">
        <v>248</v>
      </c>
    </row>
    <row r="1663" spans="1:14" ht="15">
      <c r="A1663" s="12"/>
      <c r="B1663" s="33" t="s">
        <v>140</v>
      </c>
      <c r="C1663" s="92" t="s">
        <v>349</v>
      </c>
      <c r="D1663" s="33" t="s">
        <v>410</v>
      </c>
      <c r="E1663" s="34">
        <v>44834</v>
      </c>
      <c r="F1663" s="34">
        <v>44837</v>
      </c>
      <c r="G1663" s="34">
        <v>44840</v>
      </c>
      <c r="H1663" s="35">
        <v>0.04</v>
      </c>
      <c r="I1663" s="67">
        <v>4.87E-2</v>
      </c>
      <c r="J1663" s="67">
        <v>0</v>
      </c>
      <c r="K1663" s="67">
        <v>4.87E-2</v>
      </c>
      <c r="L1663" s="36">
        <f>+K1663-((K1663*0.096*0.125)+(K1663*(1-0.096)*0.26))</f>
        <v>3.6669151999999997E-2</v>
      </c>
      <c r="M1663" s="64">
        <f t="shared" si="52"/>
        <v>3.6669151999999997E-2</v>
      </c>
      <c r="N1663" s="33" t="s">
        <v>248</v>
      </c>
    </row>
    <row r="1664" spans="1:14" ht="15">
      <c r="A1664" s="12"/>
      <c r="B1664" s="33" t="s">
        <v>162</v>
      </c>
      <c r="C1664" s="92" t="s">
        <v>350</v>
      </c>
      <c r="D1664" s="33" t="s">
        <v>410</v>
      </c>
      <c r="E1664" s="34">
        <v>44834</v>
      </c>
      <c r="F1664" s="34">
        <v>44837</v>
      </c>
      <c r="G1664" s="34">
        <v>44840</v>
      </c>
      <c r="H1664" s="35">
        <v>0.04</v>
      </c>
      <c r="I1664" s="67">
        <v>4.8000000000000001E-2</v>
      </c>
      <c r="J1664" s="67">
        <v>0</v>
      </c>
      <c r="K1664" s="67">
        <v>4.8000000000000001E-2</v>
      </c>
      <c r="L1664" s="36">
        <f>+K1664-((K1664*0.096*0.125)+(K1664*(1-0.096)*0.26))</f>
        <v>3.614208E-2</v>
      </c>
      <c r="M1664" s="64">
        <f t="shared" si="52"/>
        <v>3.614208E-2</v>
      </c>
      <c r="N1664" s="33" t="s">
        <v>248</v>
      </c>
    </row>
    <row r="1665" spans="1:14" ht="15">
      <c r="A1665" s="12"/>
      <c r="B1665" s="33" t="s">
        <v>302</v>
      </c>
      <c r="C1665" s="92" t="s">
        <v>405</v>
      </c>
      <c r="D1665" s="33" t="s">
        <v>410</v>
      </c>
      <c r="E1665" s="34">
        <v>44834</v>
      </c>
      <c r="F1665" s="34">
        <v>44837</v>
      </c>
      <c r="G1665" s="34">
        <v>44840</v>
      </c>
      <c r="H1665" s="35">
        <v>0.04</v>
      </c>
      <c r="I1665" s="67">
        <v>4.5499999999999999E-2</v>
      </c>
      <c r="J1665" s="67">
        <v>0</v>
      </c>
      <c r="K1665" s="67">
        <v>4.5499999999999999E-2</v>
      </c>
      <c r="L1665" s="36">
        <f>+K1665-((K1665*0.096*0.125)+(K1665*(1-0.096)*0.26))</f>
        <v>3.4259680000000001E-2</v>
      </c>
      <c r="M1665" s="64">
        <f t="shared" si="52"/>
        <v>3.4259680000000001E-2</v>
      </c>
      <c r="N1665" s="33" t="s">
        <v>248</v>
      </c>
    </row>
    <row r="1666" spans="1:14" ht="15">
      <c r="A1666" s="12"/>
      <c r="B1666" s="33" t="s">
        <v>303</v>
      </c>
      <c r="C1666" s="92" t="s">
        <v>406</v>
      </c>
      <c r="D1666" s="33" t="s">
        <v>410</v>
      </c>
      <c r="E1666" s="34">
        <v>44834</v>
      </c>
      <c r="F1666" s="34">
        <v>44837</v>
      </c>
      <c r="G1666" s="34">
        <v>44840</v>
      </c>
      <c r="H1666" s="35">
        <v>0.04</v>
      </c>
      <c r="I1666" s="67">
        <v>4.5499999999999999E-2</v>
      </c>
      <c r="J1666" s="67">
        <v>0</v>
      </c>
      <c r="K1666" s="67">
        <v>4.5499999999999999E-2</v>
      </c>
      <c r="L1666" s="36">
        <f>+K1666-((K1666*0.096*0.125)+(K1666*(1-0.096)*0.26))</f>
        <v>3.4259680000000001E-2</v>
      </c>
      <c r="M1666" s="64">
        <f t="shared" si="52"/>
        <v>3.4259680000000001E-2</v>
      </c>
      <c r="N1666" s="33" t="s">
        <v>248</v>
      </c>
    </row>
    <row r="1667" spans="1:14" ht="15">
      <c r="A1667" s="12"/>
      <c r="B1667" s="33" t="s">
        <v>143</v>
      </c>
      <c r="C1667" s="92" t="s">
        <v>351</v>
      </c>
      <c r="D1667" s="33" t="s">
        <v>410</v>
      </c>
      <c r="E1667" s="34">
        <v>44834</v>
      </c>
      <c r="F1667" s="34">
        <v>44837</v>
      </c>
      <c r="G1667" s="34">
        <v>44840</v>
      </c>
      <c r="H1667" s="35">
        <v>4.0000000000000001E-3</v>
      </c>
      <c r="I1667" s="67">
        <v>5.1000000000000004E-3</v>
      </c>
      <c r="J1667" s="67">
        <v>0</v>
      </c>
      <c r="K1667" s="67">
        <v>5.1000000000000004E-3</v>
      </c>
      <c r="L1667" s="36">
        <f>+K1667-((K1667*0.547*0.125)+(K1667*(1-0.547)*0.26))</f>
        <v>4.1506095000000002E-3</v>
      </c>
      <c r="M1667" s="64">
        <f t="shared" si="52"/>
        <v>4.1506095000000002E-3</v>
      </c>
      <c r="N1667" s="33" t="s">
        <v>248</v>
      </c>
    </row>
    <row r="1668" spans="1:14" ht="15">
      <c r="A1668" s="12"/>
      <c r="B1668" s="33" t="s">
        <v>145</v>
      </c>
      <c r="C1668" s="92" t="s">
        <v>352</v>
      </c>
      <c r="D1668" s="33" t="s">
        <v>410</v>
      </c>
      <c r="E1668" s="34">
        <v>44834</v>
      </c>
      <c r="F1668" s="34">
        <v>44837</v>
      </c>
      <c r="G1668" s="34">
        <v>44840</v>
      </c>
      <c r="H1668" s="35">
        <v>4.4999999999999997E-3</v>
      </c>
      <c r="I1668" s="67">
        <v>5.7000000000000002E-3</v>
      </c>
      <c r="J1668" s="67">
        <v>0</v>
      </c>
      <c r="K1668" s="67">
        <v>5.7000000000000002E-3</v>
      </c>
      <c r="L1668" s="36">
        <f>+K1668-((K1668*0.017*0.125)+(K1668*(1-0.017)*0.26))</f>
        <v>4.2310815E-3</v>
      </c>
      <c r="M1668" s="64">
        <f t="shared" si="52"/>
        <v>4.2310815E-3</v>
      </c>
      <c r="N1668" s="33" t="s">
        <v>248</v>
      </c>
    </row>
    <row r="1669" spans="1:14" ht="15">
      <c r="A1669" s="12"/>
      <c r="B1669" s="33" t="s">
        <v>144</v>
      </c>
      <c r="C1669" s="92" t="s">
        <v>353</v>
      </c>
      <c r="D1669" s="33" t="s">
        <v>410</v>
      </c>
      <c r="E1669" s="34">
        <v>44834</v>
      </c>
      <c r="F1669" s="34">
        <v>44837</v>
      </c>
      <c r="G1669" s="34">
        <v>44840</v>
      </c>
      <c r="H1669" s="35">
        <v>2E-3</v>
      </c>
      <c r="I1669" s="67">
        <v>2.5000000000000001E-3</v>
      </c>
      <c r="J1669" s="67">
        <v>0</v>
      </c>
      <c r="K1669" s="67">
        <v>2.5000000000000001E-3</v>
      </c>
      <c r="L1669" s="36">
        <f>+K1669-((K1669*0.8075*0.125)+(K1669*(1-0.8075)*0.26))</f>
        <v>2.1225312499999999E-3</v>
      </c>
      <c r="M1669" s="64">
        <f t="shared" si="52"/>
        <v>2.1225312499999999E-3</v>
      </c>
      <c r="N1669" s="33" t="s">
        <v>248</v>
      </c>
    </row>
    <row r="1670" spans="1:14" ht="15">
      <c r="A1670" s="12"/>
      <c r="B1670" s="33" t="s">
        <v>148</v>
      </c>
      <c r="C1670" s="92" t="s">
        <v>362</v>
      </c>
      <c r="D1670" s="33" t="s">
        <v>410</v>
      </c>
      <c r="E1670" s="34">
        <v>44834</v>
      </c>
      <c r="F1670" s="34">
        <v>44837</v>
      </c>
      <c r="G1670" s="34">
        <v>44840</v>
      </c>
      <c r="H1670" s="35">
        <v>1.4999999999999999E-2</v>
      </c>
      <c r="I1670" s="67">
        <v>1.9400000000000001E-2</v>
      </c>
      <c r="J1670" s="67">
        <v>0</v>
      </c>
      <c r="K1670" s="67">
        <v>1.9400000000000001E-2</v>
      </c>
      <c r="L1670" s="36">
        <f>+K1670-((K1670*0.4545*0.125)+(K1670*(1-0.4545)*0.26))</f>
        <v>1.5546335500000001E-2</v>
      </c>
      <c r="M1670" s="64">
        <f t="shared" si="52"/>
        <v>1.5546335500000001E-2</v>
      </c>
      <c r="N1670" s="33" t="s">
        <v>248</v>
      </c>
    </row>
    <row r="1671" spans="1:14" ht="15">
      <c r="A1671" s="12"/>
      <c r="B1671" s="33" t="s">
        <v>200</v>
      </c>
      <c r="C1671" s="92" t="s">
        <v>365</v>
      </c>
      <c r="D1671" s="33" t="s">
        <v>410</v>
      </c>
      <c r="E1671" s="34">
        <v>44834</v>
      </c>
      <c r="F1671" s="34">
        <v>44837</v>
      </c>
      <c r="G1671" s="34">
        <v>44840</v>
      </c>
      <c r="H1671" s="35">
        <v>1.4999999999999999E-2</v>
      </c>
      <c r="I1671" s="67">
        <v>0.3528</v>
      </c>
      <c r="J1671" s="67">
        <v>0</v>
      </c>
      <c r="K1671" s="67">
        <v>0.3528</v>
      </c>
      <c r="L1671" s="36">
        <f>+K1671-((K1671*0.4545*0.125)+(K1671*(1-0.4545)*0.26))</f>
        <v>0.28271892599999998</v>
      </c>
      <c r="M1671" s="64">
        <f t="shared" si="52"/>
        <v>0.28271892599999998</v>
      </c>
      <c r="N1671" s="33" t="s">
        <v>248</v>
      </c>
    </row>
    <row r="1672" spans="1:14" ht="15">
      <c r="A1672" s="12"/>
      <c r="B1672" s="33" t="s">
        <v>173</v>
      </c>
      <c r="C1672" s="92" t="s">
        <v>372</v>
      </c>
      <c r="D1672" s="33" t="s">
        <v>410</v>
      </c>
      <c r="E1672" s="34">
        <v>44834</v>
      </c>
      <c r="F1672" s="34">
        <v>44837</v>
      </c>
      <c r="G1672" s="34">
        <v>44840</v>
      </c>
      <c r="H1672" s="35">
        <v>0.01</v>
      </c>
      <c r="I1672" s="67">
        <v>1.41E-2</v>
      </c>
      <c r="J1672" s="67">
        <v>0</v>
      </c>
      <c r="K1672" s="67">
        <v>1.41E-2</v>
      </c>
      <c r="L1672" s="36">
        <f>+K1672-((K1672*0.2845*0.125)+(K1672*(1-0.2845)*0.26))</f>
        <v>1.0975545749999999E-2</v>
      </c>
      <c r="M1672" s="64">
        <f t="shared" si="52"/>
        <v>1.0975545749999999E-2</v>
      </c>
      <c r="N1672" s="33" t="s">
        <v>248</v>
      </c>
    </row>
    <row r="1673" spans="1:14" ht="15">
      <c r="A1673" s="12"/>
      <c r="B1673" s="33" t="s">
        <v>150</v>
      </c>
      <c r="C1673" s="92" t="s">
        <v>377</v>
      </c>
      <c r="D1673" s="33" t="s">
        <v>410</v>
      </c>
      <c r="E1673" s="34">
        <v>44834</v>
      </c>
      <c r="F1673" s="34">
        <v>44837</v>
      </c>
      <c r="G1673" s="34">
        <v>44840</v>
      </c>
      <c r="H1673" s="35">
        <v>2.75E-2</v>
      </c>
      <c r="I1673" s="67">
        <v>3.9E-2</v>
      </c>
      <c r="J1673" s="67">
        <v>0</v>
      </c>
      <c r="K1673" s="67">
        <v>3.9E-2</v>
      </c>
      <c r="L1673" s="36">
        <f>+K1673-((K1673*0.00000001*0.125)+(K1673*(1-0.000000001)*0.26))</f>
        <v>2.885999996139E-2</v>
      </c>
      <c r="M1673" s="64">
        <f t="shared" si="52"/>
        <v>2.885999996139E-2</v>
      </c>
      <c r="N1673" s="33" t="s">
        <v>248</v>
      </c>
    </row>
    <row r="1674" spans="1:14" ht="15">
      <c r="A1674" s="12"/>
      <c r="B1674" s="33" t="s">
        <v>510</v>
      </c>
      <c r="C1674" s="92" t="s">
        <v>509</v>
      </c>
      <c r="D1674" s="33" t="s">
        <v>410</v>
      </c>
      <c r="E1674" s="34">
        <v>44834</v>
      </c>
      <c r="F1674" s="34">
        <v>44837</v>
      </c>
      <c r="G1674" s="34">
        <v>44840</v>
      </c>
      <c r="H1674" s="35">
        <v>2.75E-2</v>
      </c>
      <c r="I1674" s="67">
        <v>3.4599999999999999E-2</v>
      </c>
      <c r="J1674" s="67">
        <v>0</v>
      </c>
      <c r="K1674" s="67">
        <v>3.4599999999999999E-2</v>
      </c>
      <c r="L1674" s="36">
        <f>+K1674-((K1674*0.00000001*0.125)+(K1674*(1-0.000000001)*0.26))</f>
        <v>2.5603999965745999E-2</v>
      </c>
      <c r="M1674" s="64">
        <f t="shared" si="52"/>
        <v>2.5603999965745999E-2</v>
      </c>
      <c r="N1674" s="33" t="s">
        <v>248</v>
      </c>
    </row>
    <row r="1675" spans="1:14" ht="15">
      <c r="A1675" s="12"/>
      <c r="B1675" s="33" t="s">
        <v>441</v>
      </c>
      <c r="C1675" s="92" t="s">
        <v>444</v>
      </c>
      <c r="D1675" s="33" t="s">
        <v>410</v>
      </c>
      <c r="E1675" s="34">
        <v>44834</v>
      </c>
      <c r="F1675" s="34">
        <v>44837</v>
      </c>
      <c r="G1675" s="34">
        <v>44840</v>
      </c>
      <c r="H1675" s="35">
        <v>1.4999999999999999E-2</v>
      </c>
      <c r="I1675" s="67">
        <v>1.7399999999999999E-2</v>
      </c>
      <c r="J1675" s="67">
        <v>1.7399999999999999E-2</v>
      </c>
      <c r="K1675" s="67">
        <v>0</v>
      </c>
      <c r="L1675" s="36">
        <f>+K1675-((K1675*0.2885*0.125)+(K1675*(1-0.2885)*0.26))</f>
        <v>0</v>
      </c>
      <c r="M1675" s="64">
        <f t="shared" si="52"/>
        <v>1.7399999999999999E-2</v>
      </c>
      <c r="N1675" s="33" t="s">
        <v>248</v>
      </c>
    </row>
    <row r="1676" spans="1:14" ht="15">
      <c r="A1676" s="12"/>
      <c r="B1676" s="33" t="s">
        <v>440</v>
      </c>
      <c r="C1676" s="92" t="s">
        <v>443</v>
      </c>
      <c r="D1676" s="33" t="s">
        <v>410</v>
      </c>
      <c r="E1676" s="34">
        <v>44834</v>
      </c>
      <c r="F1676" s="34">
        <v>44837</v>
      </c>
      <c r="G1676" s="34">
        <v>44840</v>
      </c>
      <c r="H1676" s="35">
        <v>1.4999999999999999E-2</v>
      </c>
      <c r="I1676" s="67">
        <v>0.35659999999999997</v>
      </c>
      <c r="J1676" s="67">
        <v>0.35659999999999997</v>
      </c>
      <c r="K1676" s="67">
        <v>0</v>
      </c>
      <c r="L1676" s="36">
        <f>+K1676-((K1676*0.2885*0.125)+(K1676*(1-0.2885)*0.26))</f>
        <v>0</v>
      </c>
      <c r="M1676" s="64">
        <f t="shared" si="52"/>
        <v>0.35659999999999997</v>
      </c>
      <c r="N1676" s="33" t="s">
        <v>248</v>
      </c>
    </row>
    <row r="1677" spans="1:14" ht="15">
      <c r="A1677" s="12"/>
      <c r="B1677" s="33" t="s">
        <v>299</v>
      </c>
      <c r="C1677" s="92" t="s">
        <v>517</v>
      </c>
      <c r="D1677" s="33" t="s">
        <v>410</v>
      </c>
      <c r="E1677" s="34">
        <v>44834</v>
      </c>
      <c r="F1677" s="34">
        <v>44837</v>
      </c>
      <c r="G1677" s="34">
        <v>44840</v>
      </c>
      <c r="H1677" s="35">
        <v>1.2E-2</v>
      </c>
      <c r="I1677" s="67">
        <v>1.4999999999999999E-2</v>
      </c>
      <c r="J1677" s="67">
        <v>0</v>
      </c>
      <c r="K1677" s="67">
        <v>1.4999999999999999E-2</v>
      </c>
      <c r="L1677" s="36">
        <f>+K1677-((K1677*0.3245*0.125)+(K1677*(1-0.3245)*0.26))</f>
        <v>1.17571125E-2</v>
      </c>
      <c r="M1677" s="64">
        <f t="shared" si="52"/>
        <v>1.17571125E-2</v>
      </c>
      <c r="N1677" s="33" t="s">
        <v>248</v>
      </c>
    </row>
    <row r="1678" spans="1:14" ht="15">
      <c r="A1678" s="12"/>
      <c r="B1678" s="33" t="s">
        <v>182</v>
      </c>
      <c r="C1678" s="92" t="s">
        <v>477</v>
      </c>
      <c r="D1678" s="33" t="s">
        <v>410</v>
      </c>
      <c r="E1678" s="34">
        <v>44834</v>
      </c>
      <c r="F1678" s="34">
        <v>44837</v>
      </c>
      <c r="G1678" s="34">
        <v>44840</v>
      </c>
      <c r="H1678" s="35">
        <v>1.2E-2</v>
      </c>
      <c r="I1678" s="67">
        <v>0.29210000000000003</v>
      </c>
      <c r="J1678" s="67">
        <v>0</v>
      </c>
      <c r="K1678" s="67">
        <v>0.29210000000000003</v>
      </c>
      <c r="L1678" s="36">
        <f>+K1678-((K1678*0.3245*0.125)+(K1678*(1-0.3245)*0.26))</f>
        <v>0.22895017075000001</v>
      </c>
      <c r="M1678" s="64">
        <f t="shared" si="52"/>
        <v>0.22895017075000001</v>
      </c>
      <c r="N1678" s="33" t="s">
        <v>248</v>
      </c>
    </row>
    <row r="1679" spans="1:14" ht="15">
      <c r="A1679" s="12"/>
      <c r="B1679" s="33" t="s">
        <v>202</v>
      </c>
      <c r="C1679" s="92" t="s">
        <v>478</v>
      </c>
      <c r="D1679" s="33" t="s">
        <v>410</v>
      </c>
      <c r="E1679" s="34">
        <v>44834</v>
      </c>
      <c r="F1679" s="34">
        <v>44837</v>
      </c>
      <c r="G1679" s="34">
        <v>44840</v>
      </c>
      <c r="H1679" s="35">
        <v>1.2E-2</v>
      </c>
      <c r="I1679" s="67">
        <v>0.29670000000000002</v>
      </c>
      <c r="J1679" s="67">
        <v>0</v>
      </c>
      <c r="K1679" s="67">
        <v>0.29670000000000002</v>
      </c>
      <c r="L1679" s="36">
        <f>+K1679-((K1679*0.3245*0.125)+(K1679*(1-0.3245)*0.26))</f>
        <v>0.23255568525000003</v>
      </c>
      <c r="M1679" s="64">
        <f t="shared" si="52"/>
        <v>0.23255568525000003</v>
      </c>
      <c r="N1679" s="33" t="s">
        <v>248</v>
      </c>
    </row>
    <row r="1680" spans="1:14" ht="15">
      <c r="A1680" s="12"/>
      <c r="B1680" s="33" t="s">
        <v>146</v>
      </c>
      <c r="C1680" s="92" t="s">
        <v>380</v>
      </c>
      <c r="D1680" s="33" t="s">
        <v>410</v>
      </c>
      <c r="E1680" s="34">
        <v>44834</v>
      </c>
      <c r="F1680" s="34">
        <v>44837</v>
      </c>
      <c r="G1680" s="34">
        <v>44840</v>
      </c>
      <c r="H1680" s="35">
        <v>0.03</v>
      </c>
      <c r="I1680" s="67">
        <v>4.5400000000000003E-2</v>
      </c>
      <c r="J1680" s="67">
        <v>0</v>
      </c>
      <c r="K1680" s="67">
        <v>4.5400000000000003E-2</v>
      </c>
      <c r="L1680" s="36">
        <f>+K1680-((K1680*0.0295*0.125)+(K1680*(1-0.0295)*0.26))</f>
        <v>3.37768055E-2</v>
      </c>
      <c r="M1680" s="64">
        <f t="shared" si="52"/>
        <v>3.37768055E-2</v>
      </c>
      <c r="N1680" s="33" t="s">
        <v>248</v>
      </c>
    </row>
    <row r="1681" spans="1:14" ht="15">
      <c r="A1681" s="12"/>
      <c r="B1681" s="33" t="s">
        <v>163</v>
      </c>
      <c r="C1681" s="92" t="s">
        <v>381</v>
      </c>
      <c r="D1681" s="33" t="s">
        <v>410</v>
      </c>
      <c r="E1681" s="34">
        <v>44834</v>
      </c>
      <c r="F1681" s="34">
        <v>44837</v>
      </c>
      <c r="G1681" s="34">
        <v>44840</v>
      </c>
      <c r="H1681" s="35">
        <v>0.03</v>
      </c>
      <c r="I1681" s="67">
        <v>4.0599999999999997E-2</v>
      </c>
      <c r="J1681" s="67">
        <v>0</v>
      </c>
      <c r="K1681" s="67">
        <v>4.0599999999999997E-2</v>
      </c>
      <c r="L1681" s="36">
        <f>+K1681-((K1681*0.0295*0.125)+(K1681*(1-0.0295)*0.26))</f>
        <v>3.0205689499999997E-2</v>
      </c>
      <c r="M1681" s="64">
        <f t="shared" si="52"/>
        <v>3.0205689499999997E-2</v>
      </c>
      <c r="N1681" s="33" t="s">
        <v>248</v>
      </c>
    </row>
    <row r="1682" spans="1:14" ht="15">
      <c r="A1682" s="12"/>
      <c r="B1682" s="33" t="s">
        <v>151</v>
      </c>
      <c r="C1682" s="92" t="s">
        <v>383</v>
      </c>
      <c r="D1682" s="33" t="s">
        <v>410</v>
      </c>
      <c r="E1682" s="34">
        <v>44834</v>
      </c>
      <c r="F1682" s="34">
        <v>44837</v>
      </c>
      <c r="G1682" s="34">
        <v>44840</v>
      </c>
      <c r="H1682" s="35">
        <v>2.5000000000000001E-2</v>
      </c>
      <c r="I1682" s="67">
        <v>3.0300000000000001E-2</v>
      </c>
      <c r="J1682" s="67">
        <v>0</v>
      </c>
      <c r="K1682" s="67">
        <v>3.0300000000000001E-2</v>
      </c>
      <c r="L1682" s="36">
        <f>+K1682-((K1682*0.0555*0.125)+(K1682*(1-0.0555)*0.26))</f>
        <v>2.2649022750000001E-2</v>
      </c>
      <c r="M1682" s="64">
        <f t="shared" si="52"/>
        <v>2.2649022750000001E-2</v>
      </c>
      <c r="N1682" s="33" t="s">
        <v>248</v>
      </c>
    </row>
    <row r="1683" spans="1:14" ht="15">
      <c r="A1683" s="12"/>
      <c r="B1683" s="33" t="s">
        <v>166</v>
      </c>
      <c r="C1683" s="92" t="s">
        <v>384</v>
      </c>
      <c r="D1683" s="33" t="s">
        <v>410</v>
      </c>
      <c r="E1683" s="34">
        <v>44834</v>
      </c>
      <c r="F1683" s="34">
        <v>44837</v>
      </c>
      <c r="G1683" s="34">
        <v>44840</v>
      </c>
      <c r="H1683" s="35">
        <v>2.5000000000000001E-2</v>
      </c>
      <c r="I1683" s="67">
        <v>0.03</v>
      </c>
      <c r="J1683" s="67">
        <v>0</v>
      </c>
      <c r="K1683" s="67">
        <v>0.03</v>
      </c>
      <c r="L1683" s="36">
        <f>+K1683-((K1683*0.0555*0.125)+(K1683*(1-0.0555)*0.26))</f>
        <v>2.2424775000000001E-2</v>
      </c>
      <c r="M1683" s="64">
        <f t="shared" si="52"/>
        <v>2.2424775000000001E-2</v>
      </c>
      <c r="N1683" s="33" t="s">
        <v>248</v>
      </c>
    </row>
    <row r="1684" spans="1:14" ht="15">
      <c r="A1684" s="12"/>
      <c r="B1684" s="33" t="s">
        <v>149</v>
      </c>
      <c r="C1684" s="92" t="s">
        <v>386</v>
      </c>
      <c r="D1684" s="33" t="s">
        <v>410</v>
      </c>
      <c r="E1684" s="34">
        <v>44834</v>
      </c>
      <c r="F1684" s="34">
        <v>44837</v>
      </c>
      <c r="G1684" s="34">
        <v>44840</v>
      </c>
      <c r="H1684" s="35">
        <v>3.2500000000000001E-2</v>
      </c>
      <c r="I1684" s="67">
        <v>4.7300000000000002E-2</v>
      </c>
      <c r="J1684" s="67">
        <v>0</v>
      </c>
      <c r="K1684" s="67">
        <v>4.7300000000000002E-2</v>
      </c>
      <c r="L1684" s="36">
        <f>+K1684-((K1684*0.07*0.125)+(K1684*(1-0.07)*0.26))</f>
        <v>3.5448985000000002E-2</v>
      </c>
      <c r="M1684" s="64">
        <f t="shared" si="52"/>
        <v>3.5448985000000002E-2</v>
      </c>
      <c r="N1684" s="33" t="s">
        <v>248</v>
      </c>
    </row>
    <row r="1685" spans="1:14" ht="15">
      <c r="A1685" s="12"/>
      <c r="B1685" s="33" t="s">
        <v>165</v>
      </c>
      <c r="C1685" s="92" t="s">
        <v>387</v>
      </c>
      <c r="D1685" s="33" t="s">
        <v>410</v>
      </c>
      <c r="E1685" s="34">
        <v>44834</v>
      </c>
      <c r="F1685" s="34">
        <v>44837</v>
      </c>
      <c r="G1685" s="34">
        <v>44840</v>
      </c>
      <c r="H1685" s="35">
        <v>3.2500000000000001E-2</v>
      </c>
      <c r="I1685" s="67">
        <v>4.41E-2</v>
      </c>
      <c r="J1685" s="67">
        <v>0</v>
      </c>
      <c r="K1685" s="67">
        <v>4.41E-2</v>
      </c>
      <c r="L1685" s="36">
        <f>+K1685-((K1685*0.07*0.125)+(K1685*(1-0.07)*0.26))</f>
        <v>3.3050744999999999E-2</v>
      </c>
      <c r="M1685" s="64">
        <f t="shared" si="52"/>
        <v>3.3050744999999999E-2</v>
      </c>
      <c r="N1685" s="33" t="s">
        <v>248</v>
      </c>
    </row>
    <row r="1686" spans="1:14" ht="15">
      <c r="A1686" s="12"/>
      <c r="B1686" s="33" t="s">
        <v>153</v>
      </c>
      <c r="C1686" s="92" t="s">
        <v>394</v>
      </c>
      <c r="D1686" s="33" t="s">
        <v>410</v>
      </c>
      <c r="E1686" s="34">
        <v>44834</v>
      </c>
      <c r="F1686" s="34">
        <v>44837</v>
      </c>
      <c r="G1686" s="34">
        <v>44840</v>
      </c>
      <c r="H1686" s="35">
        <v>1.6E-2</v>
      </c>
      <c r="I1686" s="67">
        <v>1.9599999999999999E-2</v>
      </c>
      <c r="J1686" s="67">
        <v>0</v>
      </c>
      <c r="K1686" s="67">
        <v>1.9599999999999999E-2</v>
      </c>
      <c r="L1686" s="36">
        <f>+K1686-((K1686*0.204*0.125)+(K1686*(1-0.204)*0.26))</f>
        <v>1.5043783999999999E-2</v>
      </c>
      <c r="M1686" s="64">
        <f t="shared" si="52"/>
        <v>1.5043783999999999E-2</v>
      </c>
      <c r="N1686" s="33" t="s">
        <v>248</v>
      </c>
    </row>
    <row r="1687" spans="1:14" ht="15">
      <c r="A1687" s="12"/>
      <c r="B1687" s="33" t="s">
        <v>152</v>
      </c>
      <c r="C1687" s="92" t="s">
        <v>395</v>
      </c>
      <c r="D1687" s="33" t="s">
        <v>410</v>
      </c>
      <c r="E1687" s="34">
        <v>44834</v>
      </c>
      <c r="F1687" s="34">
        <v>44837</v>
      </c>
      <c r="G1687" s="34">
        <v>44840</v>
      </c>
      <c r="H1687" s="35">
        <v>1.6E-2</v>
      </c>
      <c r="I1687" s="67">
        <v>2.6800000000000001E-2</v>
      </c>
      <c r="J1687" s="67">
        <v>0</v>
      </c>
      <c r="K1687" s="67">
        <v>2.6800000000000001E-2</v>
      </c>
      <c r="L1687" s="36">
        <f>+K1687-((K1687*0.204*0.125)+(K1687*(1-0.204)*0.26))</f>
        <v>2.0570072000000002E-2</v>
      </c>
      <c r="M1687" s="64">
        <f t="shared" si="52"/>
        <v>2.0570072000000002E-2</v>
      </c>
      <c r="N1687" s="33" t="s">
        <v>248</v>
      </c>
    </row>
    <row r="1688" spans="1:14" ht="15">
      <c r="A1688" s="12"/>
      <c r="B1688" s="33" t="s">
        <v>167</v>
      </c>
      <c r="C1688" s="92" t="s">
        <v>396</v>
      </c>
      <c r="D1688" s="33" t="s">
        <v>410</v>
      </c>
      <c r="E1688" s="34">
        <v>44834</v>
      </c>
      <c r="F1688" s="34">
        <v>44837</v>
      </c>
      <c r="G1688" s="34">
        <v>44840</v>
      </c>
      <c r="H1688" s="35">
        <v>1.6E-2</v>
      </c>
      <c r="I1688" s="67">
        <v>2.5499999999999998E-2</v>
      </c>
      <c r="J1688" s="67">
        <v>0</v>
      </c>
      <c r="K1688" s="67">
        <v>2.5499999999999998E-2</v>
      </c>
      <c r="L1688" s="36">
        <f>+K1688-((K1688*0.204*0.125)+(K1688*(1-0.204)*0.26))</f>
        <v>1.9572269999999999E-2</v>
      </c>
      <c r="M1688" s="64">
        <f t="shared" si="52"/>
        <v>1.9572269999999999E-2</v>
      </c>
      <c r="N1688" s="33" t="s">
        <v>248</v>
      </c>
    </row>
    <row r="1689" spans="1:14" ht="15">
      <c r="A1689" s="12"/>
      <c r="B1689" s="33" t="s">
        <v>301</v>
      </c>
      <c r="C1689" s="92" t="s">
        <v>407</v>
      </c>
      <c r="D1689" s="33" t="s">
        <v>410</v>
      </c>
      <c r="E1689" s="34">
        <v>44834</v>
      </c>
      <c r="F1689" s="34">
        <v>44837</v>
      </c>
      <c r="G1689" s="34">
        <v>44840</v>
      </c>
      <c r="H1689" s="35">
        <v>1.6E-2</v>
      </c>
      <c r="I1689" s="67">
        <v>2.01E-2</v>
      </c>
      <c r="J1689" s="67">
        <v>0</v>
      </c>
      <c r="K1689" s="67">
        <v>2.01E-2</v>
      </c>
      <c r="L1689" s="36">
        <f>+K1689-((K1689*0.204*0.125)+(K1689*(1-0.204)*0.26))</f>
        <v>1.5427554E-2</v>
      </c>
      <c r="M1689" s="64">
        <f t="shared" si="52"/>
        <v>1.5427554E-2</v>
      </c>
      <c r="N1689" s="33" t="s">
        <v>248</v>
      </c>
    </row>
    <row r="1690" spans="1:14" ht="15">
      <c r="A1690" s="12"/>
      <c r="B1690" s="33" t="s">
        <v>304</v>
      </c>
      <c r="C1690" s="92" t="s">
        <v>408</v>
      </c>
      <c r="D1690" s="33" t="s">
        <v>410</v>
      </c>
      <c r="E1690" s="34">
        <v>44834</v>
      </c>
      <c r="F1690" s="34">
        <v>44837</v>
      </c>
      <c r="G1690" s="34">
        <v>44840</v>
      </c>
      <c r="H1690" s="35">
        <v>1.2E-2</v>
      </c>
      <c r="I1690" s="67">
        <v>1.4800000000000001E-2</v>
      </c>
      <c r="J1690" s="67">
        <v>0</v>
      </c>
      <c r="K1690" s="67">
        <v>1.4800000000000001E-2</v>
      </c>
      <c r="L1690" s="36">
        <f>+K1690-((K1690*0.184*0.125)+(K1690*(1-0.184)*0.26))</f>
        <v>1.1319632E-2</v>
      </c>
      <c r="M1690" s="64">
        <f t="shared" si="52"/>
        <v>1.1319632E-2</v>
      </c>
      <c r="N1690" s="33" t="s">
        <v>248</v>
      </c>
    </row>
    <row r="1691" spans="1:14" ht="15">
      <c r="A1691" s="12"/>
      <c r="B1691" s="33" t="s">
        <v>183</v>
      </c>
      <c r="C1691" s="92" t="s">
        <v>398</v>
      </c>
      <c r="D1691" s="33" t="s">
        <v>410</v>
      </c>
      <c r="E1691" s="34">
        <v>44834</v>
      </c>
      <c r="F1691" s="34">
        <v>44837</v>
      </c>
      <c r="G1691" s="34">
        <v>44840</v>
      </c>
      <c r="H1691" s="35">
        <v>1.2E-2</v>
      </c>
      <c r="I1691" s="67">
        <v>1.4800000000000001E-2</v>
      </c>
      <c r="J1691" s="67">
        <v>0</v>
      </c>
      <c r="K1691" s="67">
        <v>1.4800000000000001E-2</v>
      </c>
      <c r="L1691" s="36">
        <f>+K1691-((K1691*0.184*0.125)+(K1691*(1-0.184)*0.26))</f>
        <v>1.1319632E-2</v>
      </c>
      <c r="M1691" s="64">
        <f t="shared" si="52"/>
        <v>1.1319632E-2</v>
      </c>
      <c r="N1691" s="33" t="s">
        <v>248</v>
      </c>
    </row>
    <row r="1692" spans="1:14" ht="15">
      <c r="A1692" s="12"/>
      <c r="B1692" s="33" t="s">
        <v>305</v>
      </c>
      <c r="C1692" s="92" t="s">
        <v>409</v>
      </c>
      <c r="D1692" s="33" t="s">
        <v>410</v>
      </c>
      <c r="E1692" s="34">
        <v>44834</v>
      </c>
      <c r="F1692" s="34">
        <v>44837</v>
      </c>
      <c r="G1692" s="34">
        <v>44840</v>
      </c>
      <c r="H1692" s="35">
        <v>1.2E-2</v>
      </c>
      <c r="I1692" s="67">
        <v>1.49E-2</v>
      </c>
      <c r="J1692" s="67">
        <v>0</v>
      </c>
      <c r="K1692" s="67">
        <v>1.49E-2</v>
      </c>
      <c r="L1692" s="36">
        <f>+K1692-((K1692*0.184*0.125)+(K1692*(1-0.184)*0.26))</f>
        <v>1.1396116E-2</v>
      </c>
      <c r="M1692" s="64">
        <f t="shared" si="52"/>
        <v>1.1396116E-2</v>
      </c>
      <c r="N1692" s="33" t="s">
        <v>248</v>
      </c>
    </row>
    <row r="1693" spans="1:14" ht="15">
      <c r="A1693" s="12"/>
      <c r="B1693" s="33" t="s">
        <v>147</v>
      </c>
      <c r="C1693" s="92" t="s">
        <v>466</v>
      </c>
      <c r="D1693" s="33" t="s">
        <v>410</v>
      </c>
      <c r="E1693" s="34">
        <v>44834</v>
      </c>
      <c r="F1693" s="34">
        <v>44837</v>
      </c>
      <c r="G1693" s="34">
        <v>44840</v>
      </c>
      <c r="H1693" s="35">
        <v>0.03</v>
      </c>
      <c r="I1693" s="67">
        <v>3.9699999999999999E-2</v>
      </c>
      <c r="J1693" s="67">
        <v>0</v>
      </c>
      <c r="K1693" s="67">
        <v>3.9699999999999999E-2</v>
      </c>
      <c r="L1693" s="36">
        <f>+K1693-((K1693*0.101*0.125)+(K1693*(1-0.101)*0.26))</f>
        <v>2.9919309499999998E-2</v>
      </c>
      <c r="M1693" s="64">
        <f t="shared" si="52"/>
        <v>2.9919309499999998E-2</v>
      </c>
      <c r="N1693" s="33" t="s">
        <v>248</v>
      </c>
    </row>
    <row r="1694" spans="1:14" ht="15">
      <c r="A1694" s="12"/>
      <c r="B1694" s="33" t="s">
        <v>164</v>
      </c>
      <c r="C1694" s="92" t="s">
        <v>467</v>
      </c>
      <c r="D1694" s="33" t="s">
        <v>410</v>
      </c>
      <c r="E1694" s="34">
        <v>44834</v>
      </c>
      <c r="F1694" s="34">
        <v>44837</v>
      </c>
      <c r="G1694" s="34">
        <v>44840</v>
      </c>
      <c r="H1694" s="35">
        <v>0.03</v>
      </c>
      <c r="I1694" s="67">
        <v>3.7100000000000001E-2</v>
      </c>
      <c r="J1694" s="67">
        <v>0</v>
      </c>
      <c r="K1694" s="67">
        <v>3.7100000000000001E-2</v>
      </c>
      <c r="L1694" s="36">
        <f>+K1694-((K1694*0.101*0.125)+(K1694*(1-0.101)*0.26))</f>
        <v>2.7959858499999997E-2</v>
      </c>
      <c r="M1694" s="64">
        <f t="shared" si="52"/>
        <v>2.7959858499999997E-2</v>
      </c>
      <c r="N1694" s="33" t="s">
        <v>248</v>
      </c>
    </row>
    <row r="1695" spans="1:14" ht="15">
      <c r="A1695" s="12"/>
      <c r="B1695" s="33" t="s">
        <v>132</v>
      </c>
      <c r="C1695" s="92" t="s">
        <v>358</v>
      </c>
      <c r="D1695" s="33" t="s">
        <v>410</v>
      </c>
      <c r="E1695" s="34">
        <v>44859</v>
      </c>
      <c r="F1695" s="34">
        <v>44860</v>
      </c>
      <c r="G1695" s="34">
        <v>44865</v>
      </c>
      <c r="H1695" s="35">
        <v>0.03</v>
      </c>
      <c r="I1695" s="67">
        <v>3.8100000000000002E-2</v>
      </c>
      <c r="J1695" s="67">
        <v>0</v>
      </c>
      <c r="K1695" s="67">
        <v>3.8100000000000002E-2</v>
      </c>
      <c r="L1695" s="36">
        <f>+K1695-((K1695*0.258*0.125)+(K1695*(1-0.258)*0.26))</f>
        <v>2.9521023E-2</v>
      </c>
      <c r="M1695" s="64">
        <f t="shared" si="52"/>
        <v>2.9521023E-2</v>
      </c>
      <c r="N1695" s="33" t="s">
        <v>249</v>
      </c>
    </row>
    <row r="1696" spans="1:14" ht="15">
      <c r="A1696" s="12"/>
      <c r="B1696" s="33" t="s">
        <v>227</v>
      </c>
      <c r="C1696" s="92" t="s">
        <v>359</v>
      </c>
      <c r="D1696" s="33" t="s">
        <v>410</v>
      </c>
      <c r="E1696" s="34">
        <v>44859</v>
      </c>
      <c r="F1696" s="34">
        <v>44860</v>
      </c>
      <c r="G1696" s="34">
        <v>44865</v>
      </c>
      <c r="H1696" s="35">
        <v>0.03</v>
      </c>
      <c r="I1696" s="67">
        <v>3.7699999999999997E-2</v>
      </c>
      <c r="J1696" s="67">
        <v>0</v>
      </c>
      <c r="K1696" s="67">
        <v>3.7699999999999997E-2</v>
      </c>
      <c r="L1696" s="36">
        <f>+K1696-((K1696*0.258*0.125)+(K1696*(1-0.258)*0.26))</f>
        <v>2.9211090999999998E-2</v>
      </c>
      <c r="M1696" s="64">
        <f t="shared" si="52"/>
        <v>2.9211090999999998E-2</v>
      </c>
      <c r="N1696" s="33" t="s">
        <v>249</v>
      </c>
    </row>
    <row r="1697" spans="1:14" ht="15">
      <c r="A1697" s="12"/>
      <c r="B1697" s="33" t="s">
        <v>133</v>
      </c>
      <c r="C1697" s="92" t="s">
        <v>474</v>
      </c>
      <c r="D1697" s="33" t="s">
        <v>410</v>
      </c>
      <c r="E1697" s="34">
        <v>44859</v>
      </c>
      <c r="F1697" s="34">
        <v>44860</v>
      </c>
      <c r="G1697" s="34">
        <v>44865</v>
      </c>
      <c r="H1697" s="35">
        <v>3.5000000000000003E-2</v>
      </c>
      <c r="I1697" s="67">
        <v>4.3299999999999998E-2</v>
      </c>
      <c r="J1697" s="67">
        <v>0</v>
      </c>
      <c r="K1697" s="67">
        <v>4.3299999999999998E-2</v>
      </c>
      <c r="L1697" s="36">
        <f>+K1697-((K1697*0.004*0.125)+(K1697*(1-0.004)*0.26))</f>
        <v>3.2065381999999996E-2</v>
      </c>
      <c r="M1697" s="64">
        <f t="shared" si="52"/>
        <v>3.2065381999999996E-2</v>
      </c>
      <c r="N1697" s="33" t="s">
        <v>249</v>
      </c>
    </row>
    <row r="1698" spans="1:14" ht="15">
      <c r="A1698" s="12"/>
      <c r="B1698" s="33" t="s">
        <v>134</v>
      </c>
      <c r="C1698" s="92" t="s">
        <v>374</v>
      </c>
      <c r="D1698" s="33" t="s">
        <v>410</v>
      </c>
      <c r="E1698" s="34">
        <v>44859</v>
      </c>
      <c r="F1698" s="34">
        <v>44860</v>
      </c>
      <c r="G1698" s="34">
        <v>44865</v>
      </c>
      <c r="H1698" s="35">
        <v>0.04</v>
      </c>
      <c r="I1698" s="67">
        <v>5.3499999999999999E-2</v>
      </c>
      <c r="J1698" s="67">
        <v>0</v>
      </c>
      <c r="K1698" s="67">
        <v>5.3499999999999999E-2</v>
      </c>
      <c r="L1698" s="36">
        <f>+K1698-((K1698*0.243*0.125)+(K1698*(1-0.243)*0.26))</f>
        <v>4.1345067499999999E-2</v>
      </c>
      <c r="M1698" s="64">
        <f t="shared" si="52"/>
        <v>4.1345067499999999E-2</v>
      </c>
      <c r="N1698" s="33" t="s">
        <v>249</v>
      </c>
    </row>
    <row r="1699" spans="1:14" ht="15">
      <c r="A1699" s="12"/>
      <c r="B1699" s="33" t="s">
        <v>168</v>
      </c>
      <c r="C1699" s="92" t="s">
        <v>376</v>
      </c>
      <c r="D1699" s="33" t="s">
        <v>410</v>
      </c>
      <c r="E1699" s="34">
        <v>44859</v>
      </c>
      <c r="F1699" s="34">
        <v>44860</v>
      </c>
      <c r="G1699" s="34">
        <v>44865</v>
      </c>
      <c r="H1699" s="35">
        <v>0.04</v>
      </c>
      <c r="I1699" s="67">
        <v>4.5499999999999999E-2</v>
      </c>
      <c r="J1699" s="67">
        <v>0</v>
      </c>
      <c r="K1699" s="67">
        <v>4.5499999999999999E-2</v>
      </c>
      <c r="L1699" s="36">
        <f>+K1699-((K1699*0.243*0.125)+(K1699*(1-0.243)*0.26))</f>
        <v>3.5162627500000002E-2</v>
      </c>
      <c r="M1699" s="64">
        <f t="shared" si="52"/>
        <v>3.5162627500000002E-2</v>
      </c>
      <c r="N1699" s="33" t="s">
        <v>249</v>
      </c>
    </row>
    <row r="1700" spans="1:14" ht="15">
      <c r="A1700" s="12"/>
      <c r="B1700" s="33" t="s">
        <v>136</v>
      </c>
      <c r="C1700" s="92" t="s">
        <v>388</v>
      </c>
      <c r="D1700" s="33" t="s">
        <v>410</v>
      </c>
      <c r="E1700" s="34">
        <v>44859</v>
      </c>
      <c r="F1700" s="34">
        <v>44860</v>
      </c>
      <c r="G1700" s="34">
        <v>44865</v>
      </c>
      <c r="H1700" s="35">
        <v>0.03</v>
      </c>
      <c r="I1700" s="67">
        <v>3.8100000000000002E-2</v>
      </c>
      <c r="J1700" s="67">
        <v>0</v>
      </c>
      <c r="K1700" s="67">
        <v>3.8100000000000002E-2</v>
      </c>
      <c r="L1700" s="36">
        <f t="shared" ref="L1700:L1705" si="53">+K1700-((K1700*0.0415*0.125)+(K1700*(1-0.0415)*0.26))</f>
        <v>2.8407455249999998E-2</v>
      </c>
      <c r="M1700" s="64">
        <f t="shared" si="52"/>
        <v>2.8407455249999998E-2</v>
      </c>
      <c r="N1700" s="33" t="s">
        <v>249</v>
      </c>
    </row>
    <row r="1701" spans="1:14" ht="15">
      <c r="A1701" s="12"/>
      <c r="B1701" s="33" t="s">
        <v>137</v>
      </c>
      <c r="C1701" s="92" t="s">
        <v>389</v>
      </c>
      <c r="D1701" s="33" t="s">
        <v>410</v>
      </c>
      <c r="E1701" s="34">
        <v>44859</v>
      </c>
      <c r="F1701" s="34">
        <v>44860</v>
      </c>
      <c r="G1701" s="34">
        <v>44865</v>
      </c>
      <c r="H1701" s="35">
        <v>3.7499999999999999E-2</v>
      </c>
      <c r="I1701" s="67">
        <v>5.0200000000000002E-2</v>
      </c>
      <c r="J1701" s="67">
        <v>0</v>
      </c>
      <c r="K1701" s="67">
        <v>5.0200000000000002E-2</v>
      </c>
      <c r="L1701" s="36">
        <f t="shared" si="53"/>
        <v>3.74292455E-2</v>
      </c>
      <c r="M1701" s="64">
        <f t="shared" si="52"/>
        <v>3.74292455E-2</v>
      </c>
      <c r="N1701" s="33" t="s">
        <v>249</v>
      </c>
    </row>
    <row r="1702" spans="1:14" ht="15">
      <c r="A1702" s="12"/>
      <c r="B1702" s="33" t="s">
        <v>135</v>
      </c>
      <c r="C1702" s="92" t="s">
        <v>390</v>
      </c>
      <c r="D1702" s="33" t="s">
        <v>410</v>
      </c>
      <c r="E1702" s="34">
        <v>44859</v>
      </c>
      <c r="F1702" s="34">
        <v>44860</v>
      </c>
      <c r="G1702" s="34">
        <v>44865</v>
      </c>
      <c r="H1702" s="35">
        <v>4.4999999999999998E-2</v>
      </c>
      <c r="I1702" s="67">
        <v>5.8700000000000002E-2</v>
      </c>
      <c r="J1702" s="67">
        <v>0</v>
      </c>
      <c r="K1702" s="67">
        <v>5.8700000000000002E-2</v>
      </c>
      <c r="L1702" s="36">
        <f t="shared" si="53"/>
        <v>4.3766866750000001E-2</v>
      </c>
      <c r="M1702" s="64">
        <f t="shared" si="52"/>
        <v>4.3766866750000001E-2</v>
      </c>
      <c r="N1702" s="33" t="s">
        <v>249</v>
      </c>
    </row>
    <row r="1703" spans="1:14" ht="15">
      <c r="A1703" s="12"/>
      <c r="B1703" s="33" t="s">
        <v>170</v>
      </c>
      <c r="C1703" s="92" t="s">
        <v>391</v>
      </c>
      <c r="D1703" s="33" t="s">
        <v>410</v>
      </c>
      <c r="E1703" s="34">
        <v>44859</v>
      </c>
      <c r="F1703" s="34">
        <v>44860</v>
      </c>
      <c r="G1703" s="34">
        <v>44865</v>
      </c>
      <c r="H1703" s="35">
        <v>0.03</v>
      </c>
      <c r="I1703" s="67">
        <v>3.73E-2</v>
      </c>
      <c r="J1703" s="67">
        <v>0</v>
      </c>
      <c r="K1703" s="67">
        <v>3.73E-2</v>
      </c>
      <c r="L1703" s="36">
        <f t="shared" si="53"/>
        <v>2.7810973249999999E-2</v>
      </c>
      <c r="M1703" s="64">
        <f t="shared" si="52"/>
        <v>2.7810973249999999E-2</v>
      </c>
      <c r="N1703" s="33" t="s">
        <v>249</v>
      </c>
    </row>
    <row r="1704" spans="1:14" ht="15">
      <c r="A1704" s="12"/>
      <c r="B1704" s="33" t="s">
        <v>171</v>
      </c>
      <c r="C1704" s="92" t="s">
        <v>392</v>
      </c>
      <c r="D1704" s="33" t="s">
        <v>410</v>
      </c>
      <c r="E1704" s="34">
        <v>44859</v>
      </c>
      <c r="F1704" s="34">
        <v>44860</v>
      </c>
      <c r="G1704" s="34">
        <v>44865</v>
      </c>
      <c r="H1704" s="35">
        <v>3.7499999999999999E-2</v>
      </c>
      <c r="I1704" s="67">
        <v>4.8599999999999997E-2</v>
      </c>
      <c r="J1704" s="67">
        <v>0</v>
      </c>
      <c r="K1704" s="67">
        <v>4.8599999999999997E-2</v>
      </c>
      <c r="L1704" s="36">
        <f t="shared" si="53"/>
        <v>3.6236281499999995E-2</v>
      </c>
      <c r="M1704" s="64">
        <f t="shared" si="52"/>
        <v>3.6236281499999995E-2</v>
      </c>
      <c r="N1704" s="33" t="s">
        <v>249</v>
      </c>
    </row>
    <row r="1705" spans="1:14" ht="15">
      <c r="A1705" s="12"/>
      <c r="B1705" s="33" t="s">
        <v>172</v>
      </c>
      <c r="C1705" s="92" t="s">
        <v>393</v>
      </c>
      <c r="D1705" s="33" t="s">
        <v>410</v>
      </c>
      <c r="E1705" s="34">
        <v>44859</v>
      </c>
      <c r="F1705" s="34">
        <v>44860</v>
      </c>
      <c r="G1705" s="34">
        <v>44865</v>
      </c>
      <c r="H1705" s="35">
        <v>4.4999999999999998E-2</v>
      </c>
      <c r="I1705" s="67">
        <v>5.7200000000000001E-2</v>
      </c>
      <c r="J1705" s="67">
        <v>0</v>
      </c>
      <c r="K1705" s="67">
        <v>5.7200000000000001E-2</v>
      </c>
      <c r="L1705" s="36">
        <f t="shared" si="53"/>
        <v>4.2648462999999998E-2</v>
      </c>
      <c r="M1705" s="64">
        <f t="shared" si="52"/>
        <v>4.2648462999999998E-2</v>
      </c>
      <c r="N1705" s="33" t="s">
        <v>249</v>
      </c>
    </row>
    <row r="1706" spans="1:14" ht="15">
      <c r="A1706" s="12"/>
      <c r="B1706" s="33" t="s">
        <v>169</v>
      </c>
      <c r="C1706" s="92" t="s">
        <v>400</v>
      </c>
      <c r="D1706" s="33" t="s">
        <v>410</v>
      </c>
      <c r="E1706" s="34">
        <v>44859</v>
      </c>
      <c r="F1706" s="34">
        <v>44860</v>
      </c>
      <c r="G1706" s="34">
        <v>44865</v>
      </c>
      <c r="H1706" s="35">
        <v>5.5E-2</v>
      </c>
      <c r="I1706" s="67">
        <v>6.25E-2</v>
      </c>
      <c r="J1706" s="67">
        <v>0</v>
      </c>
      <c r="K1706" s="67">
        <v>6.25E-2</v>
      </c>
      <c r="L1706" s="36">
        <f>+K1706-((K1706*0.1205*0.125)+(K1706*(1-0.1205)*0.26))</f>
        <v>4.7266718749999999E-2</v>
      </c>
      <c r="M1706" s="64">
        <f t="shared" si="52"/>
        <v>4.7266718749999999E-2</v>
      </c>
      <c r="N1706" s="33" t="s">
        <v>249</v>
      </c>
    </row>
    <row r="1707" spans="1:14" ht="15">
      <c r="A1707" s="12"/>
      <c r="B1707" s="33" t="s">
        <v>310</v>
      </c>
      <c r="C1707" s="92" t="s">
        <v>719</v>
      </c>
      <c r="D1707" s="33" t="s">
        <v>411</v>
      </c>
      <c r="E1707" s="34">
        <v>44865</v>
      </c>
      <c r="F1707" s="34">
        <v>44866</v>
      </c>
      <c r="G1707" s="34">
        <v>44869</v>
      </c>
      <c r="H1707" s="35">
        <v>4.4999999999999998E-2</v>
      </c>
      <c r="I1707" s="67">
        <v>1.6799999999999999E-2</v>
      </c>
      <c r="J1707" s="67">
        <v>0</v>
      </c>
      <c r="K1707" s="67">
        <v>1.6799999999999999E-2</v>
      </c>
      <c r="L1707" s="36">
        <f>+K1707-((K1707*0.027*0.125)+(K1707*(1-0.027)*0.26))</f>
        <v>1.2493236E-2</v>
      </c>
      <c r="M1707" s="64">
        <f t="shared" si="52"/>
        <v>1.2493236E-2</v>
      </c>
      <c r="N1707" s="33" t="s">
        <v>718</v>
      </c>
    </row>
    <row r="1708" spans="1:14" ht="15">
      <c r="A1708" s="12"/>
      <c r="B1708" s="33" t="s">
        <v>188</v>
      </c>
      <c r="C1708" s="92" t="s">
        <v>720</v>
      </c>
      <c r="D1708" s="33" t="s">
        <v>411</v>
      </c>
      <c r="E1708" s="34">
        <v>44865</v>
      </c>
      <c r="F1708" s="34">
        <v>44866</v>
      </c>
      <c r="G1708" s="34">
        <v>44869</v>
      </c>
      <c r="H1708" s="35">
        <v>4.4999999999999998E-2</v>
      </c>
      <c r="I1708" s="67">
        <v>0.29260000000000003</v>
      </c>
      <c r="J1708" s="67">
        <v>0</v>
      </c>
      <c r="K1708" s="67">
        <v>0.29260000000000003</v>
      </c>
      <c r="L1708" s="36">
        <f>+K1708-((K1708*0.027*0.125)+(K1708*(1-0.027)*0.26))</f>
        <v>0.21759052700000003</v>
      </c>
      <c r="M1708" s="64">
        <f t="shared" si="52"/>
        <v>0.21759052700000003</v>
      </c>
      <c r="N1708" s="33" t="s">
        <v>718</v>
      </c>
    </row>
    <row r="1709" spans="1:14" ht="15">
      <c r="A1709" s="12"/>
      <c r="B1709" s="33" t="s">
        <v>196</v>
      </c>
      <c r="C1709" s="92" t="s">
        <v>721</v>
      </c>
      <c r="D1709" s="33" t="s">
        <v>411</v>
      </c>
      <c r="E1709" s="34">
        <v>44865</v>
      </c>
      <c r="F1709" s="34">
        <v>44866</v>
      </c>
      <c r="G1709" s="34">
        <v>44869</v>
      </c>
      <c r="H1709" s="35">
        <v>4.4999999999999998E-2</v>
      </c>
      <c r="I1709" s="67">
        <v>0.3054</v>
      </c>
      <c r="J1709" s="67">
        <v>0</v>
      </c>
      <c r="K1709" s="67">
        <v>0.3054</v>
      </c>
      <c r="L1709" s="36">
        <f>+K1709-((K1709*0.027*0.125)+(K1709*(1-0.027)*0.26))</f>
        <v>0.22710918299999999</v>
      </c>
      <c r="M1709" s="64">
        <f t="shared" si="52"/>
        <v>0.22710918299999999</v>
      </c>
      <c r="N1709" s="33" t="s">
        <v>718</v>
      </c>
    </row>
    <row r="1710" spans="1:14" ht="15">
      <c r="A1710" s="12"/>
      <c r="B1710" s="33" t="s">
        <v>191</v>
      </c>
      <c r="C1710" s="92" t="s">
        <v>722</v>
      </c>
      <c r="D1710" s="33" t="s">
        <v>411</v>
      </c>
      <c r="E1710" s="34">
        <v>44865</v>
      </c>
      <c r="F1710" s="34">
        <v>44866</v>
      </c>
      <c r="G1710" s="34">
        <v>44869</v>
      </c>
      <c r="H1710" s="35">
        <v>0.02</v>
      </c>
      <c r="I1710" s="67">
        <v>6.8999999999999999E-3</v>
      </c>
      <c r="J1710" s="67">
        <v>0</v>
      </c>
      <c r="K1710" s="67">
        <v>6.8999999999999999E-3</v>
      </c>
      <c r="L1710" s="36">
        <f>+K1710-((K1710*0.837*0.125)+(K1710*(1-0.837)*0.26))</f>
        <v>5.8856654999999997E-3</v>
      </c>
      <c r="M1710" s="64">
        <f t="shared" si="52"/>
        <v>5.8856654999999997E-3</v>
      </c>
      <c r="N1710" s="33" t="s">
        <v>718</v>
      </c>
    </row>
    <row r="1711" spans="1:14" ht="15">
      <c r="A1711" s="12"/>
      <c r="B1711" s="33" t="s">
        <v>199</v>
      </c>
      <c r="C1711" s="92" t="s">
        <v>723</v>
      </c>
      <c r="D1711" s="33" t="s">
        <v>411</v>
      </c>
      <c r="E1711" s="34">
        <v>44865</v>
      </c>
      <c r="F1711" s="34">
        <v>44866</v>
      </c>
      <c r="G1711" s="34">
        <v>44869</v>
      </c>
      <c r="H1711" s="35">
        <v>0.02</v>
      </c>
      <c r="I1711" s="67">
        <v>6.8999999999999999E-3</v>
      </c>
      <c r="J1711" s="67">
        <v>0</v>
      </c>
      <c r="K1711" s="67">
        <v>6.8999999999999999E-3</v>
      </c>
      <c r="L1711" s="36">
        <f>+K1711-((K1711*0.837*0.125)+(K1711*(1-0.837)*0.26))</f>
        <v>5.8856654999999997E-3</v>
      </c>
      <c r="M1711" s="64">
        <f t="shared" si="52"/>
        <v>5.8856654999999997E-3</v>
      </c>
      <c r="N1711" s="33" t="s">
        <v>718</v>
      </c>
    </row>
    <row r="1712" spans="1:14" ht="15">
      <c r="A1712" s="12"/>
      <c r="B1712" s="33" t="s">
        <v>306</v>
      </c>
      <c r="C1712" s="92" t="s">
        <v>724</v>
      </c>
      <c r="D1712" s="33" t="s">
        <v>411</v>
      </c>
      <c r="E1712" s="34">
        <v>44865</v>
      </c>
      <c r="F1712" s="34">
        <v>44866</v>
      </c>
      <c r="G1712" s="34">
        <v>44869</v>
      </c>
      <c r="H1712" s="35">
        <v>2.5000000000000001E-2</v>
      </c>
      <c r="I1712" s="67">
        <v>1.0200000000000001E-2</v>
      </c>
      <c r="J1712" s="67">
        <v>0</v>
      </c>
      <c r="K1712" s="67">
        <v>1.0200000000000001E-2</v>
      </c>
      <c r="L1712" s="36">
        <f>+K1712-((K1712*0.00001*0.125)+(K1712*(1-0.00001)*0.26))</f>
        <v>7.5480137700000005E-3</v>
      </c>
      <c r="M1712" s="64">
        <f t="shared" si="52"/>
        <v>7.5480137700000005E-3</v>
      </c>
      <c r="N1712" s="33" t="s">
        <v>718</v>
      </c>
    </row>
    <row r="1713" spans="1:14" ht="15">
      <c r="A1713" s="12"/>
      <c r="B1713" s="33" t="s">
        <v>184</v>
      </c>
      <c r="C1713" s="92" t="s">
        <v>725</v>
      </c>
      <c r="D1713" s="33" t="s">
        <v>411</v>
      </c>
      <c r="E1713" s="34">
        <v>44865</v>
      </c>
      <c r="F1713" s="34">
        <v>44866</v>
      </c>
      <c r="G1713" s="34">
        <v>44869</v>
      </c>
      <c r="H1713" s="35">
        <v>2.5000000000000001E-2</v>
      </c>
      <c r="I1713" s="67">
        <v>0.20449999999999999</v>
      </c>
      <c r="J1713" s="67">
        <v>0</v>
      </c>
      <c r="K1713" s="67">
        <v>0.20449999999999999</v>
      </c>
      <c r="L1713" s="36">
        <f>+K1713-((K1713*0.00001*0.125)+(K1713*(1-0.00001)*0.26))</f>
        <v>0.15133027607499999</v>
      </c>
      <c r="M1713" s="64">
        <f t="shared" si="52"/>
        <v>0.15133027607499999</v>
      </c>
      <c r="N1713" s="33" t="s">
        <v>718</v>
      </c>
    </row>
    <row r="1714" spans="1:14" ht="15">
      <c r="A1714" s="12"/>
      <c r="B1714" s="33" t="s">
        <v>192</v>
      </c>
      <c r="C1714" s="92" t="s">
        <v>726</v>
      </c>
      <c r="D1714" s="33" t="s">
        <v>411</v>
      </c>
      <c r="E1714" s="34">
        <v>44865</v>
      </c>
      <c r="F1714" s="34">
        <v>44866</v>
      </c>
      <c r="G1714" s="34">
        <v>44869</v>
      </c>
      <c r="H1714" s="35">
        <v>2.5000000000000001E-2</v>
      </c>
      <c r="I1714" s="67">
        <v>0.20749999999999999</v>
      </c>
      <c r="J1714" s="67">
        <v>0</v>
      </c>
      <c r="K1714" s="67">
        <v>0.20749999999999999</v>
      </c>
      <c r="L1714" s="36">
        <f>+K1714-((K1714*0.00001*0.125)+(K1714*(1-0.00001)*0.26))</f>
        <v>0.15355028012499999</v>
      </c>
      <c r="M1714" s="64">
        <f t="shared" si="52"/>
        <v>0.15355028012499999</v>
      </c>
      <c r="N1714" s="33" t="s">
        <v>718</v>
      </c>
    </row>
    <row r="1715" spans="1:14" ht="15">
      <c r="A1715" s="12"/>
      <c r="B1715" s="33" t="s">
        <v>311</v>
      </c>
      <c r="C1715" s="92" t="s">
        <v>727</v>
      </c>
      <c r="D1715" s="33" t="s">
        <v>411</v>
      </c>
      <c r="E1715" s="34">
        <v>44865</v>
      </c>
      <c r="F1715" s="34">
        <v>44866</v>
      </c>
      <c r="G1715" s="34">
        <v>44869</v>
      </c>
      <c r="H1715" s="35">
        <v>1.4999999999999999E-2</v>
      </c>
      <c r="I1715" s="67">
        <v>6.1000000000000004E-3</v>
      </c>
      <c r="J1715" s="67">
        <v>0</v>
      </c>
      <c r="K1715" s="67">
        <v>6.1000000000000004E-3</v>
      </c>
      <c r="L1715" s="36">
        <f>+K1715-((K1715*0.0000001*0.125)+(K1715*(1-0.0000001)*0.26))</f>
        <v>4.5140000823499999E-3</v>
      </c>
      <c r="M1715" s="64">
        <f t="shared" si="52"/>
        <v>4.5140000823499999E-3</v>
      </c>
      <c r="N1715" s="33" t="s">
        <v>718</v>
      </c>
    </row>
    <row r="1716" spans="1:14" ht="15">
      <c r="A1716" s="12"/>
      <c r="B1716" s="33" t="s">
        <v>189</v>
      </c>
      <c r="C1716" s="92" t="s">
        <v>728</v>
      </c>
      <c r="D1716" s="33" t="s">
        <v>411</v>
      </c>
      <c r="E1716" s="34">
        <v>44865</v>
      </c>
      <c r="F1716" s="34">
        <v>44866</v>
      </c>
      <c r="G1716" s="34">
        <v>44869</v>
      </c>
      <c r="H1716" s="35">
        <v>1.4999999999999999E-2</v>
      </c>
      <c r="I1716" s="67">
        <v>0.1114</v>
      </c>
      <c r="J1716" s="67">
        <v>0</v>
      </c>
      <c r="K1716" s="67">
        <v>0.1114</v>
      </c>
      <c r="L1716" s="36">
        <f>+K1716-((K1716*0.0000001*0.125)+(K1716*(1-0.0000001)*0.26))</f>
        <v>8.24360015039E-2</v>
      </c>
      <c r="M1716" s="64">
        <f t="shared" si="52"/>
        <v>8.24360015039E-2</v>
      </c>
      <c r="N1716" s="33" t="s">
        <v>718</v>
      </c>
    </row>
    <row r="1717" spans="1:14" ht="15">
      <c r="A1717" s="12"/>
      <c r="B1717" s="33" t="s">
        <v>197</v>
      </c>
      <c r="C1717" s="92" t="s">
        <v>729</v>
      </c>
      <c r="D1717" s="33" t="s">
        <v>411</v>
      </c>
      <c r="E1717" s="34">
        <v>44865</v>
      </c>
      <c r="F1717" s="34">
        <v>44866</v>
      </c>
      <c r="G1717" s="34">
        <v>44869</v>
      </c>
      <c r="H1717" s="35">
        <v>1.4999999999999999E-2</v>
      </c>
      <c r="I1717" s="67">
        <v>0.114</v>
      </c>
      <c r="J1717" s="67">
        <v>0</v>
      </c>
      <c r="K1717" s="67">
        <v>0.114</v>
      </c>
      <c r="L1717" s="36">
        <f>+K1717-((K1717*0.0000001*0.125)+(K1717*(1-0.0000001)*0.26))</f>
        <v>8.4360001539000001E-2</v>
      </c>
      <c r="M1717" s="64">
        <f t="shared" si="52"/>
        <v>8.4360001539000001E-2</v>
      </c>
      <c r="N1717" s="33" t="s">
        <v>718</v>
      </c>
    </row>
    <row r="1718" spans="1:14" ht="15">
      <c r="A1718" s="12"/>
      <c r="B1718" s="33" t="s">
        <v>308</v>
      </c>
      <c r="C1718" s="92" t="s">
        <v>730</v>
      </c>
      <c r="D1718" s="33" t="s">
        <v>411</v>
      </c>
      <c r="E1718" s="34">
        <v>44865</v>
      </c>
      <c r="F1718" s="34">
        <v>44866</v>
      </c>
      <c r="G1718" s="34">
        <v>44869</v>
      </c>
      <c r="H1718" s="35">
        <v>1.4999999999999999E-2</v>
      </c>
      <c r="I1718" s="67">
        <v>5.8999999999999999E-3</v>
      </c>
      <c r="J1718" s="67">
        <v>0</v>
      </c>
      <c r="K1718" s="67">
        <v>5.8999999999999999E-3</v>
      </c>
      <c r="L1718" s="36">
        <f>+K1718-((K1718*0.4545*0.125)+(K1718*(1-0.4545)*0.26))</f>
        <v>4.7280092499999999E-3</v>
      </c>
      <c r="M1718" s="64">
        <f t="shared" si="52"/>
        <v>4.7280092499999999E-3</v>
      </c>
      <c r="N1718" s="33" t="s">
        <v>718</v>
      </c>
    </row>
    <row r="1719" spans="1:14" ht="15">
      <c r="A1719" s="12"/>
      <c r="B1719" s="33" t="s">
        <v>186</v>
      </c>
      <c r="C1719" s="92" t="s">
        <v>731</v>
      </c>
      <c r="D1719" s="33" t="s">
        <v>411</v>
      </c>
      <c r="E1719" s="34">
        <v>44865</v>
      </c>
      <c r="F1719" s="34">
        <v>44866</v>
      </c>
      <c r="G1719" s="34">
        <v>44869</v>
      </c>
      <c r="H1719" s="35">
        <v>1.4999999999999999E-2</v>
      </c>
      <c r="I1719" s="67">
        <v>0.108</v>
      </c>
      <c r="J1719" s="67">
        <v>0</v>
      </c>
      <c r="K1719" s="67">
        <v>0.108</v>
      </c>
      <c r="L1719" s="36">
        <f>+K1719-((K1719*0.4545*0.125)+(K1719*(1-0.4545)*0.26))</f>
        <v>8.6546609999999996E-2</v>
      </c>
      <c r="M1719" s="64">
        <f t="shared" si="52"/>
        <v>8.6546609999999996E-2</v>
      </c>
      <c r="N1719" s="33" t="s">
        <v>718</v>
      </c>
    </row>
    <row r="1720" spans="1:14" ht="15">
      <c r="A1720" s="12"/>
      <c r="B1720" s="33" t="s">
        <v>194</v>
      </c>
      <c r="C1720" s="92" t="s">
        <v>732</v>
      </c>
      <c r="D1720" s="33" t="s">
        <v>411</v>
      </c>
      <c r="E1720" s="34">
        <v>44865</v>
      </c>
      <c r="F1720" s="34">
        <v>44866</v>
      </c>
      <c r="G1720" s="34">
        <v>44869</v>
      </c>
      <c r="H1720" s="35">
        <v>1.4999999999999999E-2</v>
      </c>
      <c r="I1720" s="67">
        <v>0.11169999999999999</v>
      </c>
      <c r="J1720" s="67">
        <v>0</v>
      </c>
      <c r="K1720" s="67">
        <v>0.11169999999999999</v>
      </c>
      <c r="L1720" s="36">
        <f>+K1720-((K1720*0.4545*0.125)+(K1720*(1-0.4545)*0.26))</f>
        <v>8.9511632749999986E-2</v>
      </c>
      <c r="M1720" s="64">
        <f t="shared" si="52"/>
        <v>8.9511632749999986E-2</v>
      </c>
      <c r="N1720" s="33" t="s">
        <v>718</v>
      </c>
    </row>
    <row r="1721" spans="1:14" ht="15">
      <c r="A1721" s="12"/>
      <c r="B1721" s="33" t="s">
        <v>307</v>
      </c>
      <c r="C1721" s="92" t="s">
        <v>733</v>
      </c>
      <c r="D1721" s="33" t="s">
        <v>411</v>
      </c>
      <c r="E1721" s="34">
        <v>44865</v>
      </c>
      <c r="F1721" s="34">
        <v>44866</v>
      </c>
      <c r="G1721" s="34">
        <v>44869</v>
      </c>
      <c r="H1721" s="35">
        <v>1.4999999999999999E-2</v>
      </c>
      <c r="I1721" s="67">
        <v>5.7000000000000002E-3</v>
      </c>
      <c r="J1721" s="67">
        <v>0</v>
      </c>
      <c r="K1721" s="67">
        <v>5.7000000000000002E-3</v>
      </c>
      <c r="L1721" s="36">
        <f>+K1721-((K1721*0.572*0.125)+(K1721*(1-0.572)*0.26))</f>
        <v>4.6581540000000003E-3</v>
      </c>
      <c r="M1721" s="64">
        <f t="shared" ref="M1721:M1784" si="54">J1721+L1721</f>
        <v>4.6581540000000003E-3</v>
      </c>
      <c r="N1721" s="33" t="s">
        <v>718</v>
      </c>
    </row>
    <row r="1722" spans="1:14" ht="15">
      <c r="A1722" s="12"/>
      <c r="B1722" s="33" t="s">
        <v>185</v>
      </c>
      <c r="C1722" s="92" t="s">
        <v>734</v>
      </c>
      <c r="D1722" s="33" t="s">
        <v>411</v>
      </c>
      <c r="E1722" s="34">
        <v>44865</v>
      </c>
      <c r="F1722" s="34">
        <v>44866</v>
      </c>
      <c r="G1722" s="34">
        <v>44869</v>
      </c>
      <c r="H1722" s="35">
        <v>1.4999999999999999E-2</v>
      </c>
      <c r="I1722" s="67">
        <v>9.5200000000000007E-2</v>
      </c>
      <c r="J1722" s="67">
        <v>0</v>
      </c>
      <c r="K1722" s="67">
        <v>9.5200000000000007E-2</v>
      </c>
      <c r="L1722" s="36">
        <f>+K1722-((K1722*0.572*0.125)+(K1722*(1-0.572)*0.26))</f>
        <v>7.7799344000000006E-2</v>
      </c>
      <c r="M1722" s="64">
        <f t="shared" si="54"/>
        <v>7.7799344000000006E-2</v>
      </c>
      <c r="N1722" s="33" t="s">
        <v>718</v>
      </c>
    </row>
    <row r="1723" spans="1:14" ht="15">
      <c r="A1723" s="12"/>
      <c r="B1723" s="33" t="s">
        <v>193</v>
      </c>
      <c r="C1723" s="92" t="s">
        <v>735</v>
      </c>
      <c r="D1723" s="33" t="s">
        <v>411</v>
      </c>
      <c r="E1723" s="34">
        <v>44865</v>
      </c>
      <c r="F1723" s="34">
        <v>44866</v>
      </c>
      <c r="G1723" s="34">
        <v>44869</v>
      </c>
      <c r="H1723" s="35">
        <v>1.4999999999999999E-2</v>
      </c>
      <c r="I1723" s="67">
        <v>9.3399999999999997E-2</v>
      </c>
      <c r="J1723" s="67">
        <v>0</v>
      </c>
      <c r="K1723" s="67">
        <v>9.3399999999999997E-2</v>
      </c>
      <c r="L1723" s="36">
        <f>+K1723-((K1723*0.572*0.125)+(K1723*(1-0.572)*0.26))</f>
        <v>7.632834799999999E-2</v>
      </c>
      <c r="M1723" s="64">
        <f t="shared" si="54"/>
        <v>7.632834799999999E-2</v>
      </c>
      <c r="N1723" s="33" t="s">
        <v>718</v>
      </c>
    </row>
    <row r="1724" spans="1:14" ht="15">
      <c r="A1724" s="12"/>
      <c r="B1724" s="33" t="s">
        <v>309</v>
      </c>
      <c r="C1724" s="92" t="s">
        <v>736</v>
      </c>
      <c r="D1724" s="33" t="s">
        <v>411</v>
      </c>
      <c r="E1724" s="34">
        <v>44865</v>
      </c>
      <c r="F1724" s="34">
        <v>44866</v>
      </c>
      <c r="G1724" s="34">
        <v>44869</v>
      </c>
      <c r="H1724" s="35">
        <v>0.02</v>
      </c>
      <c r="I1724" s="67">
        <v>8.2000000000000007E-3</v>
      </c>
      <c r="J1724" s="67">
        <v>0</v>
      </c>
      <c r="K1724" s="67">
        <v>8.2000000000000007E-3</v>
      </c>
      <c r="L1724" s="36">
        <f>+K1724-((K1724*0.0245*0.125)+(K1724*(1-0.0245)*0.26))</f>
        <v>6.0951215E-3</v>
      </c>
      <c r="M1724" s="64">
        <f t="shared" si="54"/>
        <v>6.0951215E-3</v>
      </c>
      <c r="N1724" s="33" t="s">
        <v>718</v>
      </c>
    </row>
    <row r="1725" spans="1:14" ht="15">
      <c r="A1725" s="12"/>
      <c r="B1725" s="33" t="s">
        <v>187</v>
      </c>
      <c r="C1725" s="92" t="s">
        <v>737</v>
      </c>
      <c r="D1725" s="33" t="s">
        <v>411</v>
      </c>
      <c r="E1725" s="34">
        <v>44865</v>
      </c>
      <c r="F1725" s="34">
        <v>44866</v>
      </c>
      <c r="G1725" s="34">
        <v>44869</v>
      </c>
      <c r="H1725" s="35">
        <v>0.02</v>
      </c>
      <c r="I1725" s="67">
        <v>0.14419999999999999</v>
      </c>
      <c r="J1725" s="67">
        <v>0</v>
      </c>
      <c r="K1725" s="67">
        <v>0.14419999999999999</v>
      </c>
      <c r="L1725" s="36">
        <f>+K1725-((K1725*0.0245*0.125)+(K1725*(1-0.0245)*0.26))</f>
        <v>0.10718494149999999</v>
      </c>
      <c r="M1725" s="64">
        <f t="shared" si="54"/>
        <v>0.10718494149999999</v>
      </c>
      <c r="N1725" s="33" t="s">
        <v>718</v>
      </c>
    </row>
    <row r="1726" spans="1:14" ht="15">
      <c r="A1726" s="12"/>
      <c r="B1726" s="33" t="s">
        <v>195</v>
      </c>
      <c r="C1726" s="92" t="s">
        <v>738</v>
      </c>
      <c r="D1726" s="33" t="s">
        <v>411</v>
      </c>
      <c r="E1726" s="34">
        <v>44865</v>
      </c>
      <c r="F1726" s="34">
        <v>44866</v>
      </c>
      <c r="G1726" s="34">
        <v>44869</v>
      </c>
      <c r="H1726" s="35">
        <v>0.02</v>
      </c>
      <c r="I1726" s="67">
        <v>0.14960000000000001</v>
      </c>
      <c r="J1726" s="67">
        <v>0</v>
      </c>
      <c r="K1726" s="67">
        <v>0.14960000000000001</v>
      </c>
      <c r="L1726" s="36">
        <f>+K1726-((K1726*0.0245*0.125)+(K1726*(1-0.0245)*0.26))</f>
        <v>0.11119880200000001</v>
      </c>
      <c r="M1726" s="64">
        <f t="shared" si="54"/>
        <v>0.11119880200000001</v>
      </c>
      <c r="N1726" s="33" t="s">
        <v>718</v>
      </c>
    </row>
    <row r="1727" spans="1:14" ht="15">
      <c r="A1727" s="12"/>
      <c r="B1727" s="33" t="s">
        <v>312</v>
      </c>
      <c r="C1727" s="92" t="s">
        <v>739</v>
      </c>
      <c r="D1727" s="33" t="s">
        <v>411</v>
      </c>
      <c r="E1727" s="34">
        <v>44865</v>
      </c>
      <c r="F1727" s="34">
        <v>44866</v>
      </c>
      <c r="G1727" s="34">
        <v>44869</v>
      </c>
      <c r="H1727" s="35">
        <v>3.2500000000000001E-2</v>
      </c>
      <c r="I1727" s="67">
        <v>1.2500000000000001E-2</v>
      </c>
      <c r="J1727" s="67">
        <v>0</v>
      </c>
      <c r="K1727" s="67">
        <v>1.2500000000000001E-2</v>
      </c>
      <c r="L1727" s="36">
        <f>+K1727-((K1727*0.0175*0.125)+(K1727*(1-0.0175)*0.26))</f>
        <v>9.2795312500000005E-3</v>
      </c>
      <c r="M1727" s="64">
        <f t="shared" si="54"/>
        <v>9.2795312500000005E-3</v>
      </c>
      <c r="N1727" s="33" t="s">
        <v>718</v>
      </c>
    </row>
    <row r="1728" spans="1:14" ht="15">
      <c r="A1728" s="12"/>
      <c r="B1728" s="33" t="s">
        <v>190</v>
      </c>
      <c r="C1728" s="92" t="s">
        <v>740</v>
      </c>
      <c r="D1728" s="33" t="s">
        <v>411</v>
      </c>
      <c r="E1728" s="34">
        <v>44865</v>
      </c>
      <c r="F1728" s="34">
        <v>44866</v>
      </c>
      <c r="G1728" s="34">
        <v>44869</v>
      </c>
      <c r="H1728" s="35">
        <v>3.2500000000000001E-2</v>
      </c>
      <c r="I1728" s="67">
        <v>0.2374</v>
      </c>
      <c r="J1728" s="67">
        <v>0</v>
      </c>
      <c r="K1728" s="67">
        <v>0.2374</v>
      </c>
      <c r="L1728" s="36">
        <f>+K1728-((K1728*0.0175*0.125)+(K1728*(1-0.0175)*0.26))</f>
        <v>0.17623685749999998</v>
      </c>
      <c r="M1728" s="64">
        <f t="shared" si="54"/>
        <v>0.17623685749999998</v>
      </c>
      <c r="N1728" s="33" t="s">
        <v>718</v>
      </c>
    </row>
    <row r="1729" spans="1:14" ht="15">
      <c r="A1729" s="12"/>
      <c r="B1729" s="33" t="s">
        <v>198</v>
      </c>
      <c r="C1729" s="92" t="s">
        <v>741</v>
      </c>
      <c r="D1729" s="33" t="s">
        <v>411</v>
      </c>
      <c r="E1729" s="34">
        <v>44865</v>
      </c>
      <c r="F1729" s="34">
        <v>44866</v>
      </c>
      <c r="G1729" s="34">
        <v>44869</v>
      </c>
      <c r="H1729" s="35">
        <v>3.2500000000000001E-2</v>
      </c>
      <c r="I1729" s="67">
        <v>0.23849999999999999</v>
      </c>
      <c r="J1729" s="67">
        <v>0</v>
      </c>
      <c r="K1729" s="67">
        <v>0.23849999999999999</v>
      </c>
      <c r="L1729" s="36">
        <f>+K1729-((K1729*0.0175*0.125)+(K1729*(1-0.0175)*0.26))</f>
        <v>0.17705345624999999</v>
      </c>
      <c r="M1729" s="64">
        <f t="shared" si="54"/>
        <v>0.17705345624999999</v>
      </c>
      <c r="N1729" s="33" t="s">
        <v>718</v>
      </c>
    </row>
    <row r="1730" spans="1:14" ht="15">
      <c r="A1730" s="12"/>
      <c r="B1730" s="33" t="s">
        <v>513</v>
      </c>
      <c r="C1730" s="92" t="s">
        <v>742</v>
      </c>
      <c r="D1730" s="33" t="s">
        <v>411</v>
      </c>
      <c r="E1730" s="34">
        <v>44865</v>
      </c>
      <c r="F1730" s="34">
        <v>44866</v>
      </c>
      <c r="G1730" s="34">
        <v>44869</v>
      </c>
      <c r="H1730" s="35">
        <v>0</v>
      </c>
      <c r="I1730" s="67">
        <v>0</v>
      </c>
      <c r="J1730" s="67">
        <v>0</v>
      </c>
      <c r="K1730" s="67">
        <v>0</v>
      </c>
      <c r="L1730" s="36">
        <f>+K1730-((K1730*0.381*0.125)+(K1730*(1-0.381)*0.26))</f>
        <v>0</v>
      </c>
      <c r="M1730" s="64">
        <f t="shared" si="54"/>
        <v>0</v>
      </c>
      <c r="N1730" s="33" t="s">
        <v>718</v>
      </c>
    </row>
    <row r="1731" spans="1:14" ht="15">
      <c r="A1731" s="12"/>
      <c r="B1731" s="33" t="s">
        <v>514</v>
      </c>
      <c r="C1731" s="92" t="s">
        <v>743</v>
      </c>
      <c r="D1731" s="33" t="s">
        <v>411</v>
      </c>
      <c r="E1731" s="34">
        <v>44865</v>
      </c>
      <c r="F1731" s="34">
        <v>44866</v>
      </c>
      <c r="G1731" s="34">
        <v>44869</v>
      </c>
      <c r="H1731" s="35">
        <v>0</v>
      </c>
      <c r="I1731" s="67">
        <v>0</v>
      </c>
      <c r="J1731" s="67">
        <v>0</v>
      </c>
      <c r="K1731" s="67">
        <v>0</v>
      </c>
      <c r="L1731" s="36">
        <f>+K1731-((K1731*0.381*0.125)+(K1731*(1-0.381)*0.26))</f>
        <v>0</v>
      </c>
      <c r="M1731" s="64">
        <f t="shared" si="54"/>
        <v>0</v>
      </c>
      <c r="N1731" s="33" t="s">
        <v>718</v>
      </c>
    </row>
    <row r="1732" spans="1:14" ht="15">
      <c r="A1732" s="12"/>
      <c r="B1732" s="33" t="s">
        <v>313</v>
      </c>
      <c r="C1732" s="92" t="s">
        <v>744</v>
      </c>
      <c r="D1732" s="33" t="s">
        <v>411</v>
      </c>
      <c r="E1732" s="34">
        <v>44865</v>
      </c>
      <c r="F1732" s="34">
        <v>44866</v>
      </c>
      <c r="G1732" s="34">
        <v>44869</v>
      </c>
      <c r="H1732" s="35">
        <v>1.2E-2</v>
      </c>
      <c r="I1732" s="67">
        <v>5.0000000000000001E-3</v>
      </c>
      <c r="J1732" s="67">
        <v>0</v>
      </c>
      <c r="K1732" s="67">
        <v>5.0000000000000001E-3</v>
      </c>
      <c r="L1732" s="36">
        <f>+K1732-((K1732*0.184*0.125)+(K1732*(1-0.184)*0.26))</f>
        <v>3.8241999999999998E-3</v>
      </c>
      <c r="M1732" s="64">
        <f t="shared" si="54"/>
        <v>3.8241999999999998E-3</v>
      </c>
      <c r="N1732" s="33" t="s">
        <v>718</v>
      </c>
    </row>
    <row r="1733" spans="1:14" ht="15">
      <c r="A1733" s="12"/>
      <c r="B1733" s="33" t="s">
        <v>334</v>
      </c>
      <c r="C1733" s="92" t="s">
        <v>401</v>
      </c>
      <c r="D1733" s="33" t="s">
        <v>412</v>
      </c>
      <c r="E1733" s="34">
        <v>44872</v>
      </c>
      <c r="F1733" s="34">
        <v>44873</v>
      </c>
      <c r="G1733" s="34">
        <v>44875</v>
      </c>
      <c r="H1733" s="35"/>
      <c r="I1733" s="67">
        <v>2</v>
      </c>
      <c r="J1733" s="67">
        <v>0</v>
      </c>
      <c r="K1733" s="67">
        <v>2</v>
      </c>
      <c r="L1733" s="36">
        <f>+K1733-((K1733*0.073*0.125)+(K1733*(1-0.073)*0.26))</f>
        <v>1.4997099999999999</v>
      </c>
      <c r="M1733" s="64">
        <f t="shared" si="54"/>
        <v>1.4997099999999999</v>
      </c>
      <c r="N1733" s="33" t="s">
        <v>288</v>
      </c>
    </row>
    <row r="1734" spans="1:14" ht="15">
      <c r="A1734" s="12"/>
      <c r="B1734" s="33" t="s">
        <v>333</v>
      </c>
      <c r="C1734" s="92" t="s">
        <v>402</v>
      </c>
      <c r="D1734" s="33" t="s">
        <v>412</v>
      </c>
      <c r="E1734" s="34">
        <v>44872</v>
      </c>
      <c r="F1734" s="34">
        <v>44873</v>
      </c>
      <c r="G1734" s="34">
        <v>44875</v>
      </c>
      <c r="H1734" s="35"/>
      <c r="I1734" s="67">
        <v>2</v>
      </c>
      <c r="J1734" s="67">
        <v>0</v>
      </c>
      <c r="K1734" s="67">
        <v>2</v>
      </c>
      <c r="L1734" s="36">
        <f>+K1734-((K1734*0.073*0.125)+(K1734*(1-0.073)*0.26))</f>
        <v>1.4997099999999999</v>
      </c>
      <c r="M1734" s="64">
        <f t="shared" si="54"/>
        <v>1.4997099999999999</v>
      </c>
      <c r="N1734" s="33" t="s">
        <v>288</v>
      </c>
    </row>
    <row r="1735" spans="1:14" ht="15">
      <c r="A1735" s="12"/>
      <c r="B1735" s="33" t="s">
        <v>310</v>
      </c>
      <c r="C1735" s="92" t="s">
        <v>719</v>
      </c>
      <c r="D1735" s="33" t="s">
        <v>411</v>
      </c>
      <c r="E1735" s="34">
        <v>44895</v>
      </c>
      <c r="F1735" s="34">
        <v>44896</v>
      </c>
      <c r="G1735" s="34">
        <v>44901</v>
      </c>
      <c r="H1735" s="35">
        <v>4.4999999999999998E-2</v>
      </c>
      <c r="I1735" s="67">
        <v>1.6799999999999999E-2</v>
      </c>
      <c r="J1735" s="67">
        <v>0</v>
      </c>
      <c r="K1735" s="67">
        <v>1.6799999999999999E-2</v>
      </c>
      <c r="L1735" s="36">
        <f>+K1735-((K1735*0.027*0.125)+(K1735*(1-0.027)*0.26))</f>
        <v>1.2493236E-2</v>
      </c>
      <c r="M1735" s="64">
        <f t="shared" si="54"/>
        <v>1.2493236E-2</v>
      </c>
      <c r="N1735" s="33" t="s">
        <v>718</v>
      </c>
    </row>
    <row r="1736" spans="1:14" ht="15">
      <c r="A1736" s="12"/>
      <c r="B1736" s="33" t="s">
        <v>188</v>
      </c>
      <c r="C1736" s="92" t="s">
        <v>720</v>
      </c>
      <c r="D1736" s="33" t="s">
        <v>411</v>
      </c>
      <c r="E1736" s="34">
        <v>44895</v>
      </c>
      <c r="F1736" s="34">
        <v>44896</v>
      </c>
      <c r="G1736" s="34">
        <v>44901</v>
      </c>
      <c r="H1736" s="35">
        <v>4.4999999999999998E-2</v>
      </c>
      <c r="I1736" s="67">
        <v>0.29260000000000003</v>
      </c>
      <c r="J1736" s="67">
        <v>0</v>
      </c>
      <c r="K1736" s="67">
        <v>0.29260000000000003</v>
      </c>
      <c r="L1736" s="36">
        <f>+K1736-((K1736*0.027*0.125)+(K1736*(1-0.027)*0.26))</f>
        <v>0.21759052700000003</v>
      </c>
      <c r="M1736" s="64">
        <f t="shared" si="54"/>
        <v>0.21759052700000003</v>
      </c>
      <c r="N1736" s="33" t="s">
        <v>718</v>
      </c>
    </row>
    <row r="1737" spans="1:14" ht="15">
      <c r="A1737" s="12"/>
      <c r="B1737" s="33" t="s">
        <v>196</v>
      </c>
      <c r="C1737" s="92" t="s">
        <v>721</v>
      </c>
      <c r="D1737" s="33" t="s">
        <v>411</v>
      </c>
      <c r="E1737" s="34">
        <v>44895</v>
      </c>
      <c r="F1737" s="34">
        <v>44896</v>
      </c>
      <c r="G1737" s="34">
        <v>44901</v>
      </c>
      <c r="H1737" s="35">
        <v>4.4999999999999998E-2</v>
      </c>
      <c r="I1737" s="67">
        <v>0.3054</v>
      </c>
      <c r="J1737" s="67">
        <v>0</v>
      </c>
      <c r="K1737" s="67">
        <v>0.3054</v>
      </c>
      <c r="L1737" s="36">
        <f>+K1737-((K1737*0.027*0.125)+(K1737*(1-0.027)*0.26))</f>
        <v>0.22710918299999999</v>
      </c>
      <c r="M1737" s="64">
        <f t="shared" si="54"/>
        <v>0.22710918299999999</v>
      </c>
      <c r="N1737" s="33" t="s">
        <v>718</v>
      </c>
    </row>
    <row r="1738" spans="1:14" ht="15">
      <c r="A1738" s="12"/>
      <c r="B1738" s="33" t="s">
        <v>191</v>
      </c>
      <c r="C1738" s="92" t="s">
        <v>722</v>
      </c>
      <c r="D1738" s="33" t="s">
        <v>411</v>
      </c>
      <c r="E1738" s="34">
        <v>44895</v>
      </c>
      <c r="F1738" s="34">
        <v>44896</v>
      </c>
      <c r="G1738" s="34">
        <v>44901</v>
      </c>
      <c r="H1738" s="35">
        <v>0.02</v>
      </c>
      <c r="I1738" s="67">
        <v>6.8999999999999999E-3</v>
      </c>
      <c r="J1738" s="67">
        <v>0</v>
      </c>
      <c r="K1738" s="67">
        <v>6.8999999999999999E-3</v>
      </c>
      <c r="L1738" s="36">
        <f>+K1738-((K1738*0.837*0.125)+(K1738*(1-0.837)*0.26))</f>
        <v>5.8856654999999997E-3</v>
      </c>
      <c r="M1738" s="64">
        <f t="shared" si="54"/>
        <v>5.8856654999999997E-3</v>
      </c>
      <c r="N1738" s="33" t="s">
        <v>718</v>
      </c>
    </row>
    <row r="1739" spans="1:14" ht="15">
      <c r="A1739" s="12"/>
      <c r="B1739" s="33" t="s">
        <v>199</v>
      </c>
      <c r="C1739" s="92" t="s">
        <v>723</v>
      </c>
      <c r="D1739" s="33" t="s">
        <v>411</v>
      </c>
      <c r="E1739" s="34">
        <v>44895</v>
      </c>
      <c r="F1739" s="34">
        <v>44896</v>
      </c>
      <c r="G1739" s="34">
        <v>44901</v>
      </c>
      <c r="H1739" s="35">
        <v>0.02</v>
      </c>
      <c r="I1739" s="67">
        <v>6.8999999999999999E-3</v>
      </c>
      <c r="J1739" s="67">
        <v>0</v>
      </c>
      <c r="K1739" s="67">
        <v>6.8999999999999999E-3</v>
      </c>
      <c r="L1739" s="36">
        <f>+K1739-((K1739*0.837*0.125)+(K1739*(1-0.837)*0.26))</f>
        <v>5.8856654999999997E-3</v>
      </c>
      <c r="M1739" s="64">
        <f t="shared" si="54"/>
        <v>5.8856654999999997E-3</v>
      </c>
      <c r="N1739" s="33" t="s">
        <v>718</v>
      </c>
    </row>
    <row r="1740" spans="1:14" ht="15">
      <c r="A1740" s="12"/>
      <c r="B1740" s="33" t="s">
        <v>306</v>
      </c>
      <c r="C1740" s="92" t="s">
        <v>724</v>
      </c>
      <c r="D1740" s="33" t="s">
        <v>411</v>
      </c>
      <c r="E1740" s="34">
        <v>44895</v>
      </c>
      <c r="F1740" s="34">
        <v>44896</v>
      </c>
      <c r="G1740" s="34">
        <v>44901</v>
      </c>
      <c r="H1740" s="35">
        <v>2.5000000000000001E-2</v>
      </c>
      <c r="I1740" s="67">
        <v>1.0200000000000001E-2</v>
      </c>
      <c r="J1740" s="67">
        <v>0</v>
      </c>
      <c r="K1740" s="67">
        <v>1.0200000000000001E-2</v>
      </c>
      <c r="L1740" s="36">
        <f>+K1740-((K1740*0.00001*0.125)+(K1740*(1-0.00001)*0.26))</f>
        <v>7.5480137700000005E-3</v>
      </c>
      <c r="M1740" s="64">
        <f t="shared" si="54"/>
        <v>7.5480137700000005E-3</v>
      </c>
      <c r="N1740" s="33" t="s">
        <v>718</v>
      </c>
    </row>
    <row r="1741" spans="1:14" ht="15">
      <c r="A1741" s="12"/>
      <c r="B1741" s="33" t="s">
        <v>184</v>
      </c>
      <c r="C1741" s="92" t="s">
        <v>725</v>
      </c>
      <c r="D1741" s="33" t="s">
        <v>411</v>
      </c>
      <c r="E1741" s="34">
        <v>44895</v>
      </c>
      <c r="F1741" s="34">
        <v>44896</v>
      </c>
      <c r="G1741" s="34">
        <v>44901</v>
      </c>
      <c r="H1741" s="35">
        <v>2.5000000000000001E-2</v>
      </c>
      <c r="I1741" s="67">
        <v>0.20449999999999999</v>
      </c>
      <c r="J1741" s="67">
        <v>0</v>
      </c>
      <c r="K1741" s="67">
        <v>0.20449999999999999</v>
      </c>
      <c r="L1741" s="36">
        <f>+K1741-((K1741*0.00001*0.125)+(K1741*(1-0.00001)*0.26))</f>
        <v>0.15133027607499999</v>
      </c>
      <c r="M1741" s="64">
        <f t="shared" si="54"/>
        <v>0.15133027607499999</v>
      </c>
      <c r="N1741" s="33" t="s">
        <v>718</v>
      </c>
    </row>
    <row r="1742" spans="1:14" ht="15">
      <c r="A1742" s="12"/>
      <c r="B1742" s="33" t="s">
        <v>192</v>
      </c>
      <c r="C1742" s="92" t="s">
        <v>726</v>
      </c>
      <c r="D1742" s="33" t="s">
        <v>411</v>
      </c>
      <c r="E1742" s="34">
        <v>44895</v>
      </c>
      <c r="F1742" s="34">
        <v>44896</v>
      </c>
      <c r="G1742" s="34">
        <v>44901</v>
      </c>
      <c r="H1742" s="35">
        <v>2.5000000000000001E-2</v>
      </c>
      <c r="I1742" s="67">
        <v>0.20749999999999999</v>
      </c>
      <c r="J1742" s="67">
        <v>0</v>
      </c>
      <c r="K1742" s="67">
        <v>0.20749999999999999</v>
      </c>
      <c r="L1742" s="36">
        <f>+K1742-((K1742*0.00001*0.125)+(K1742*(1-0.00001)*0.26))</f>
        <v>0.15355028012499999</v>
      </c>
      <c r="M1742" s="64">
        <f t="shared" si="54"/>
        <v>0.15355028012499999</v>
      </c>
      <c r="N1742" s="33" t="s">
        <v>718</v>
      </c>
    </row>
    <row r="1743" spans="1:14" ht="15">
      <c r="A1743" s="12"/>
      <c r="B1743" s="33" t="s">
        <v>311</v>
      </c>
      <c r="C1743" s="92" t="s">
        <v>727</v>
      </c>
      <c r="D1743" s="33" t="s">
        <v>411</v>
      </c>
      <c r="E1743" s="34">
        <v>44895</v>
      </c>
      <c r="F1743" s="34">
        <v>44896</v>
      </c>
      <c r="G1743" s="34">
        <v>44901</v>
      </c>
      <c r="H1743" s="35">
        <v>1.4999999999999999E-2</v>
      </c>
      <c r="I1743" s="67">
        <v>6.1000000000000004E-3</v>
      </c>
      <c r="J1743" s="67">
        <v>0</v>
      </c>
      <c r="K1743" s="67">
        <v>6.1000000000000004E-3</v>
      </c>
      <c r="L1743" s="36">
        <f>+K1743-((K1743*0.0000001*0.125)+(K1743*(1-0.0000001)*0.26))</f>
        <v>4.5140000823499999E-3</v>
      </c>
      <c r="M1743" s="64">
        <f t="shared" si="54"/>
        <v>4.5140000823499999E-3</v>
      </c>
      <c r="N1743" s="33" t="s">
        <v>718</v>
      </c>
    </row>
    <row r="1744" spans="1:14" ht="15">
      <c r="A1744" s="12"/>
      <c r="B1744" s="33" t="s">
        <v>189</v>
      </c>
      <c r="C1744" s="92" t="s">
        <v>728</v>
      </c>
      <c r="D1744" s="33" t="s">
        <v>411</v>
      </c>
      <c r="E1744" s="34">
        <v>44895</v>
      </c>
      <c r="F1744" s="34">
        <v>44896</v>
      </c>
      <c r="G1744" s="34">
        <v>44901</v>
      </c>
      <c r="H1744" s="35">
        <v>1.4999999999999999E-2</v>
      </c>
      <c r="I1744" s="67">
        <v>0.1114</v>
      </c>
      <c r="J1744" s="67">
        <v>0</v>
      </c>
      <c r="K1744" s="67">
        <v>0.1114</v>
      </c>
      <c r="L1744" s="36">
        <f>+K1744-((K1744*0.0000001*0.125)+(K1744*(1-0.0000001)*0.26))</f>
        <v>8.24360015039E-2</v>
      </c>
      <c r="M1744" s="64">
        <f t="shared" si="54"/>
        <v>8.24360015039E-2</v>
      </c>
      <c r="N1744" s="33" t="s">
        <v>718</v>
      </c>
    </row>
    <row r="1745" spans="1:14" ht="15">
      <c r="A1745" s="12"/>
      <c r="B1745" s="33" t="s">
        <v>197</v>
      </c>
      <c r="C1745" s="92" t="s">
        <v>729</v>
      </c>
      <c r="D1745" s="33" t="s">
        <v>411</v>
      </c>
      <c r="E1745" s="34">
        <v>44895</v>
      </c>
      <c r="F1745" s="34">
        <v>44896</v>
      </c>
      <c r="G1745" s="34">
        <v>44901</v>
      </c>
      <c r="H1745" s="35">
        <v>1.4999999999999999E-2</v>
      </c>
      <c r="I1745" s="67">
        <v>0.114</v>
      </c>
      <c r="J1745" s="67">
        <v>0</v>
      </c>
      <c r="K1745" s="67">
        <v>0.114</v>
      </c>
      <c r="L1745" s="36">
        <f>+K1745-((K1745*0.0000001*0.125)+(K1745*(1-0.0000001)*0.26))</f>
        <v>8.4360001539000001E-2</v>
      </c>
      <c r="M1745" s="64">
        <f t="shared" si="54"/>
        <v>8.4360001539000001E-2</v>
      </c>
      <c r="N1745" s="33" t="s">
        <v>718</v>
      </c>
    </row>
    <row r="1746" spans="1:14" ht="15">
      <c r="A1746" s="12"/>
      <c r="B1746" s="33" t="s">
        <v>308</v>
      </c>
      <c r="C1746" s="92" t="s">
        <v>730</v>
      </c>
      <c r="D1746" s="33" t="s">
        <v>411</v>
      </c>
      <c r="E1746" s="34">
        <v>44895</v>
      </c>
      <c r="F1746" s="34">
        <v>44896</v>
      </c>
      <c r="G1746" s="34">
        <v>44901</v>
      </c>
      <c r="H1746" s="35">
        <v>1.4999999999999999E-2</v>
      </c>
      <c r="I1746" s="67">
        <v>5.8999999999999999E-3</v>
      </c>
      <c r="J1746" s="67">
        <v>0</v>
      </c>
      <c r="K1746" s="67">
        <v>5.8999999999999999E-3</v>
      </c>
      <c r="L1746" s="36">
        <f>+K1746-((K1746*0.4545*0.125)+(K1746*(1-0.4545)*0.26))</f>
        <v>4.7280092499999999E-3</v>
      </c>
      <c r="M1746" s="64">
        <f t="shared" si="54"/>
        <v>4.7280092499999999E-3</v>
      </c>
      <c r="N1746" s="33" t="s">
        <v>718</v>
      </c>
    </row>
    <row r="1747" spans="1:14" ht="15">
      <c r="A1747" s="12"/>
      <c r="B1747" s="33" t="s">
        <v>186</v>
      </c>
      <c r="C1747" s="92" t="s">
        <v>731</v>
      </c>
      <c r="D1747" s="33" t="s">
        <v>411</v>
      </c>
      <c r="E1747" s="34">
        <v>44895</v>
      </c>
      <c r="F1747" s="34">
        <v>44896</v>
      </c>
      <c r="G1747" s="34">
        <v>44901</v>
      </c>
      <c r="H1747" s="35">
        <v>1.4999999999999999E-2</v>
      </c>
      <c r="I1747" s="67">
        <v>0.108</v>
      </c>
      <c r="J1747" s="67">
        <v>0</v>
      </c>
      <c r="K1747" s="67">
        <v>0.108</v>
      </c>
      <c r="L1747" s="36">
        <f>+K1747-((K1747*0.4545*0.125)+(K1747*(1-0.4545)*0.26))</f>
        <v>8.6546609999999996E-2</v>
      </c>
      <c r="M1747" s="64">
        <f t="shared" si="54"/>
        <v>8.6546609999999996E-2</v>
      </c>
      <c r="N1747" s="33" t="s">
        <v>718</v>
      </c>
    </row>
    <row r="1748" spans="1:14" ht="15">
      <c r="A1748" s="12"/>
      <c r="B1748" s="33" t="s">
        <v>194</v>
      </c>
      <c r="C1748" s="92" t="s">
        <v>732</v>
      </c>
      <c r="D1748" s="33" t="s">
        <v>411</v>
      </c>
      <c r="E1748" s="34">
        <v>44895</v>
      </c>
      <c r="F1748" s="34">
        <v>44896</v>
      </c>
      <c r="G1748" s="34">
        <v>44901</v>
      </c>
      <c r="H1748" s="35">
        <v>1.4999999999999999E-2</v>
      </c>
      <c r="I1748" s="67">
        <v>0.11169999999999999</v>
      </c>
      <c r="J1748" s="67">
        <v>0</v>
      </c>
      <c r="K1748" s="67">
        <v>0.11169999999999999</v>
      </c>
      <c r="L1748" s="36">
        <f>+K1748-((K1748*0.4545*0.125)+(K1748*(1-0.4545)*0.26))</f>
        <v>8.9511632749999986E-2</v>
      </c>
      <c r="M1748" s="64">
        <f t="shared" si="54"/>
        <v>8.9511632749999986E-2</v>
      </c>
      <c r="N1748" s="33" t="s">
        <v>718</v>
      </c>
    </row>
    <row r="1749" spans="1:14" ht="15">
      <c r="A1749" s="12"/>
      <c r="B1749" s="33" t="s">
        <v>307</v>
      </c>
      <c r="C1749" s="92" t="s">
        <v>733</v>
      </c>
      <c r="D1749" s="33" t="s">
        <v>411</v>
      </c>
      <c r="E1749" s="34">
        <v>44895</v>
      </c>
      <c r="F1749" s="34">
        <v>44896</v>
      </c>
      <c r="G1749" s="34">
        <v>44901</v>
      </c>
      <c r="H1749" s="35">
        <v>1.4999999999999999E-2</v>
      </c>
      <c r="I1749" s="67">
        <v>5.7000000000000002E-3</v>
      </c>
      <c r="J1749" s="67">
        <v>0</v>
      </c>
      <c r="K1749" s="67">
        <v>5.7000000000000002E-3</v>
      </c>
      <c r="L1749" s="36">
        <f>+K1749-((K1749*0.572*0.125)+(K1749*(1-0.572)*0.26))</f>
        <v>4.6581540000000003E-3</v>
      </c>
      <c r="M1749" s="64">
        <f t="shared" si="54"/>
        <v>4.6581540000000003E-3</v>
      </c>
      <c r="N1749" s="33" t="s">
        <v>718</v>
      </c>
    </row>
    <row r="1750" spans="1:14" ht="15">
      <c r="A1750" s="12"/>
      <c r="B1750" s="33" t="s">
        <v>185</v>
      </c>
      <c r="C1750" s="92" t="s">
        <v>734</v>
      </c>
      <c r="D1750" s="33" t="s">
        <v>411</v>
      </c>
      <c r="E1750" s="34">
        <v>44895</v>
      </c>
      <c r="F1750" s="34">
        <v>44896</v>
      </c>
      <c r="G1750" s="34">
        <v>44901</v>
      </c>
      <c r="H1750" s="35">
        <v>1.4999999999999999E-2</v>
      </c>
      <c r="I1750" s="67">
        <v>9.5200000000000007E-2</v>
      </c>
      <c r="J1750" s="67">
        <v>0</v>
      </c>
      <c r="K1750" s="67">
        <v>9.5200000000000007E-2</v>
      </c>
      <c r="L1750" s="36">
        <f>+K1750-((K1750*0.572*0.125)+(K1750*(1-0.572)*0.26))</f>
        <v>7.7799344000000006E-2</v>
      </c>
      <c r="M1750" s="64">
        <f t="shared" si="54"/>
        <v>7.7799344000000006E-2</v>
      </c>
      <c r="N1750" s="33" t="s">
        <v>718</v>
      </c>
    </row>
    <row r="1751" spans="1:14" ht="15">
      <c r="A1751" s="12"/>
      <c r="B1751" s="33" t="s">
        <v>193</v>
      </c>
      <c r="C1751" s="92" t="s">
        <v>735</v>
      </c>
      <c r="D1751" s="33" t="s">
        <v>411</v>
      </c>
      <c r="E1751" s="34">
        <v>44895</v>
      </c>
      <c r="F1751" s="34">
        <v>44896</v>
      </c>
      <c r="G1751" s="34">
        <v>44901</v>
      </c>
      <c r="H1751" s="35">
        <v>1.4999999999999999E-2</v>
      </c>
      <c r="I1751" s="67">
        <v>9.3399999999999997E-2</v>
      </c>
      <c r="J1751" s="67">
        <v>0</v>
      </c>
      <c r="K1751" s="67">
        <v>9.3399999999999997E-2</v>
      </c>
      <c r="L1751" s="36">
        <f>+K1751-((K1751*0.572*0.125)+(K1751*(1-0.572)*0.26))</f>
        <v>7.632834799999999E-2</v>
      </c>
      <c r="M1751" s="64">
        <f t="shared" si="54"/>
        <v>7.632834799999999E-2</v>
      </c>
      <c r="N1751" s="33" t="s">
        <v>718</v>
      </c>
    </row>
    <row r="1752" spans="1:14" ht="15">
      <c r="A1752" s="12"/>
      <c r="B1752" s="33" t="s">
        <v>309</v>
      </c>
      <c r="C1752" s="92" t="s">
        <v>736</v>
      </c>
      <c r="D1752" s="33" t="s">
        <v>411</v>
      </c>
      <c r="E1752" s="34">
        <v>44895</v>
      </c>
      <c r="F1752" s="34">
        <v>44896</v>
      </c>
      <c r="G1752" s="34">
        <v>44901</v>
      </c>
      <c r="H1752" s="35">
        <v>0.02</v>
      </c>
      <c r="I1752" s="67">
        <v>8.2000000000000007E-3</v>
      </c>
      <c r="J1752" s="67">
        <v>0</v>
      </c>
      <c r="K1752" s="67">
        <v>8.2000000000000007E-3</v>
      </c>
      <c r="L1752" s="36">
        <f>+K1752-((K1752*0.0245*0.125)+(K1752*(1-0.0245)*0.26))</f>
        <v>6.0951215E-3</v>
      </c>
      <c r="M1752" s="64">
        <f t="shared" si="54"/>
        <v>6.0951215E-3</v>
      </c>
      <c r="N1752" s="33" t="s">
        <v>718</v>
      </c>
    </row>
    <row r="1753" spans="1:14" ht="15">
      <c r="A1753" s="12"/>
      <c r="B1753" s="33" t="s">
        <v>187</v>
      </c>
      <c r="C1753" s="92" t="s">
        <v>737</v>
      </c>
      <c r="D1753" s="33" t="s">
        <v>411</v>
      </c>
      <c r="E1753" s="34">
        <v>44895</v>
      </c>
      <c r="F1753" s="34">
        <v>44896</v>
      </c>
      <c r="G1753" s="34">
        <v>44901</v>
      </c>
      <c r="H1753" s="35">
        <v>0.02</v>
      </c>
      <c r="I1753" s="67">
        <v>0.14419999999999999</v>
      </c>
      <c r="J1753" s="67">
        <v>0</v>
      </c>
      <c r="K1753" s="67">
        <v>0.14419999999999999</v>
      </c>
      <c r="L1753" s="36">
        <f>+K1753-((K1753*0.0245*0.125)+(K1753*(1-0.0245)*0.26))</f>
        <v>0.10718494149999999</v>
      </c>
      <c r="M1753" s="64">
        <f t="shared" si="54"/>
        <v>0.10718494149999999</v>
      </c>
      <c r="N1753" s="33" t="s">
        <v>718</v>
      </c>
    </row>
    <row r="1754" spans="1:14" ht="15">
      <c r="A1754" s="12"/>
      <c r="B1754" s="33" t="s">
        <v>195</v>
      </c>
      <c r="C1754" s="92" t="s">
        <v>738</v>
      </c>
      <c r="D1754" s="33" t="s">
        <v>411</v>
      </c>
      <c r="E1754" s="34">
        <v>44895</v>
      </c>
      <c r="F1754" s="34">
        <v>44896</v>
      </c>
      <c r="G1754" s="34">
        <v>44901</v>
      </c>
      <c r="H1754" s="35">
        <v>0.02</v>
      </c>
      <c r="I1754" s="67">
        <v>0.14960000000000001</v>
      </c>
      <c r="J1754" s="67">
        <v>0</v>
      </c>
      <c r="K1754" s="67">
        <v>0.14960000000000001</v>
      </c>
      <c r="L1754" s="36">
        <f>+K1754-((K1754*0.0245*0.125)+(K1754*(1-0.0245)*0.26))</f>
        <v>0.11119880200000001</v>
      </c>
      <c r="M1754" s="64">
        <f t="shared" si="54"/>
        <v>0.11119880200000001</v>
      </c>
      <c r="N1754" s="33" t="s">
        <v>718</v>
      </c>
    </row>
    <row r="1755" spans="1:14" ht="15">
      <c r="A1755" s="12"/>
      <c r="B1755" s="33" t="s">
        <v>312</v>
      </c>
      <c r="C1755" s="92" t="s">
        <v>739</v>
      </c>
      <c r="D1755" s="33" t="s">
        <v>411</v>
      </c>
      <c r="E1755" s="34">
        <v>44895</v>
      </c>
      <c r="F1755" s="34">
        <v>44896</v>
      </c>
      <c r="G1755" s="34">
        <v>44901</v>
      </c>
      <c r="H1755" s="35">
        <v>3.2500000000000001E-2</v>
      </c>
      <c r="I1755" s="67">
        <v>1.2500000000000001E-2</v>
      </c>
      <c r="J1755" s="67">
        <v>0</v>
      </c>
      <c r="K1755" s="67">
        <v>1.2500000000000001E-2</v>
      </c>
      <c r="L1755" s="36">
        <f>+K1755-((K1755*0.0175*0.125)+(K1755*(1-0.0175)*0.26))</f>
        <v>9.2795312500000005E-3</v>
      </c>
      <c r="M1755" s="64">
        <f t="shared" si="54"/>
        <v>9.2795312500000005E-3</v>
      </c>
      <c r="N1755" s="33" t="s">
        <v>718</v>
      </c>
    </row>
    <row r="1756" spans="1:14" ht="15">
      <c r="A1756" s="12"/>
      <c r="B1756" s="33" t="s">
        <v>190</v>
      </c>
      <c r="C1756" s="92" t="s">
        <v>740</v>
      </c>
      <c r="D1756" s="33" t="s">
        <v>411</v>
      </c>
      <c r="E1756" s="34">
        <v>44895</v>
      </c>
      <c r="F1756" s="34">
        <v>44896</v>
      </c>
      <c r="G1756" s="34">
        <v>44901</v>
      </c>
      <c r="H1756" s="35">
        <v>3.2500000000000001E-2</v>
      </c>
      <c r="I1756" s="67">
        <v>0.2374</v>
      </c>
      <c r="J1756" s="67">
        <v>0</v>
      </c>
      <c r="K1756" s="67">
        <v>0.2374</v>
      </c>
      <c r="L1756" s="36">
        <f>+K1756-((K1756*0.0175*0.125)+(K1756*(1-0.0175)*0.26))</f>
        <v>0.17623685749999998</v>
      </c>
      <c r="M1756" s="64">
        <f t="shared" si="54"/>
        <v>0.17623685749999998</v>
      </c>
      <c r="N1756" s="33" t="s">
        <v>718</v>
      </c>
    </row>
    <row r="1757" spans="1:14" ht="15">
      <c r="A1757" s="12"/>
      <c r="B1757" s="33" t="s">
        <v>198</v>
      </c>
      <c r="C1757" s="92" t="s">
        <v>741</v>
      </c>
      <c r="D1757" s="33" t="s">
        <v>411</v>
      </c>
      <c r="E1757" s="34">
        <v>44895</v>
      </c>
      <c r="F1757" s="34">
        <v>44896</v>
      </c>
      <c r="G1757" s="34">
        <v>44901</v>
      </c>
      <c r="H1757" s="35">
        <v>3.2500000000000001E-2</v>
      </c>
      <c r="I1757" s="67">
        <v>0.23849999999999999</v>
      </c>
      <c r="J1757" s="67">
        <v>0</v>
      </c>
      <c r="K1757" s="67">
        <v>0.23849999999999999</v>
      </c>
      <c r="L1757" s="36">
        <f>+K1757-((K1757*0.0175*0.125)+(K1757*(1-0.0175)*0.26))</f>
        <v>0.17705345624999999</v>
      </c>
      <c r="M1757" s="64">
        <f t="shared" si="54"/>
        <v>0.17705345624999999</v>
      </c>
      <c r="N1757" s="33" t="s">
        <v>718</v>
      </c>
    </row>
    <row r="1758" spans="1:14" ht="15">
      <c r="A1758" s="12"/>
      <c r="B1758" s="33" t="s">
        <v>513</v>
      </c>
      <c r="C1758" s="92" t="s">
        <v>742</v>
      </c>
      <c r="D1758" s="33" t="s">
        <v>411</v>
      </c>
      <c r="E1758" s="34">
        <v>44895</v>
      </c>
      <c r="F1758" s="34">
        <v>44896</v>
      </c>
      <c r="G1758" s="34">
        <v>44901</v>
      </c>
      <c r="H1758" s="35">
        <v>0</v>
      </c>
      <c r="I1758" s="67">
        <v>0</v>
      </c>
      <c r="J1758" s="67">
        <v>0</v>
      </c>
      <c r="K1758" s="67">
        <v>0</v>
      </c>
      <c r="L1758" s="36">
        <f>+K1758-((K1758*0.381*0.125)+(K1758*(1-0.381)*0.26))</f>
        <v>0</v>
      </c>
      <c r="M1758" s="64">
        <f t="shared" si="54"/>
        <v>0</v>
      </c>
      <c r="N1758" s="33" t="s">
        <v>718</v>
      </c>
    </row>
    <row r="1759" spans="1:14" ht="15">
      <c r="A1759" s="12"/>
      <c r="B1759" s="33" t="s">
        <v>514</v>
      </c>
      <c r="C1759" s="92" t="s">
        <v>743</v>
      </c>
      <c r="D1759" s="33" t="s">
        <v>411</v>
      </c>
      <c r="E1759" s="34">
        <v>44895</v>
      </c>
      <c r="F1759" s="34">
        <v>44896</v>
      </c>
      <c r="G1759" s="34">
        <v>44901</v>
      </c>
      <c r="H1759" s="35">
        <v>0</v>
      </c>
      <c r="I1759" s="67">
        <v>0</v>
      </c>
      <c r="J1759" s="67">
        <v>0</v>
      </c>
      <c r="K1759" s="67">
        <v>0</v>
      </c>
      <c r="L1759" s="36">
        <f>+K1759-((K1759*0.381*0.125)+(K1759*(1-0.381)*0.26))</f>
        <v>0</v>
      </c>
      <c r="M1759" s="64">
        <f t="shared" si="54"/>
        <v>0</v>
      </c>
      <c r="N1759" s="33" t="s">
        <v>718</v>
      </c>
    </row>
    <row r="1760" spans="1:14" ht="15">
      <c r="A1760" s="12"/>
      <c r="B1760" s="33" t="s">
        <v>313</v>
      </c>
      <c r="C1760" s="92" t="s">
        <v>744</v>
      </c>
      <c r="D1760" s="33" t="s">
        <v>411</v>
      </c>
      <c r="E1760" s="34">
        <v>44895</v>
      </c>
      <c r="F1760" s="34">
        <v>44896</v>
      </c>
      <c r="G1760" s="34">
        <v>44901</v>
      </c>
      <c r="H1760" s="35">
        <v>1.2E-2</v>
      </c>
      <c r="I1760" s="67">
        <v>5.0000000000000001E-3</v>
      </c>
      <c r="J1760" s="67">
        <v>0</v>
      </c>
      <c r="K1760" s="67">
        <v>5.0000000000000001E-3</v>
      </c>
      <c r="L1760" s="36">
        <f>+K1760-((K1760*0.184*0.125)+(K1760*(1-0.184)*0.26))</f>
        <v>3.8241999999999998E-3</v>
      </c>
      <c r="M1760" s="64">
        <f t="shared" si="54"/>
        <v>3.8241999999999998E-3</v>
      </c>
      <c r="N1760" s="33" t="s">
        <v>718</v>
      </c>
    </row>
    <row r="1761" spans="1:14" ht="15">
      <c r="A1761" s="12"/>
      <c r="B1761" s="33" t="s">
        <v>174</v>
      </c>
      <c r="C1761" s="92" t="s">
        <v>382</v>
      </c>
      <c r="D1761" s="33" t="s">
        <v>410</v>
      </c>
      <c r="E1761" s="34">
        <v>44924</v>
      </c>
      <c r="F1761" s="34">
        <v>44925</v>
      </c>
      <c r="G1761" s="34">
        <v>44930</v>
      </c>
      <c r="H1761" s="35"/>
      <c r="I1761" s="67">
        <v>2.73095E-2</v>
      </c>
      <c r="J1761" s="67">
        <v>0</v>
      </c>
      <c r="K1761" s="67">
        <v>2.73095E-2</v>
      </c>
      <c r="L1761" s="36">
        <f>+K1761-((K1761*0.0295*0.125)+(K1761*(1-0.0295)*0.26))</f>
        <v>2.0317790083749999E-2</v>
      </c>
      <c r="M1761" s="64">
        <f t="shared" si="54"/>
        <v>2.0317790083749999E-2</v>
      </c>
      <c r="N1761" s="33" t="s">
        <v>247</v>
      </c>
    </row>
    <row r="1762" spans="1:14" ht="15">
      <c r="A1762" s="12"/>
      <c r="B1762" s="33" t="s">
        <v>176</v>
      </c>
      <c r="C1762" s="92" t="s">
        <v>397</v>
      </c>
      <c r="D1762" s="33" t="s">
        <v>410</v>
      </c>
      <c r="E1762" s="34">
        <v>44924</v>
      </c>
      <c r="F1762" s="34">
        <v>44925</v>
      </c>
      <c r="G1762" s="34">
        <v>44930</v>
      </c>
      <c r="H1762" s="35"/>
      <c r="I1762" s="67">
        <v>3.0162700000000001E-2</v>
      </c>
      <c r="J1762" s="67">
        <v>0</v>
      </c>
      <c r="K1762" s="67">
        <v>3.0162700000000001E-2</v>
      </c>
      <c r="L1762" s="36">
        <f>+K1762-((K1762*0.204*0.125)+(K1762*(1-0.204)*0.26))</f>
        <v>2.3151078758000002E-2</v>
      </c>
      <c r="M1762" s="64">
        <f t="shared" si="54"/>
        <v>2.3151078758000002E-2</v>
      </c>
      <c r="N1762" s="33" t="s">
        <v>247</v>
      </c>
    </row>
    <row r="1763" spans="1:14" ht="15">
      <c r="A1763" s="12"/>
      <c r="B1763" s="33" t="s">
        <v>175</v>
      </c>
      <c r="C1763" s="92" t="s">
        <v>465</v>
      </c>
      <c r="D1763" s="33" t="s">
        <v>410</v>
      </c>
      <c r="E1763" s="34">
        <v>44924</v>
      </c>
      <c r="F1763" s="34">
        <v>44925</v>
      </c>
      <c r="G1763" s="34">
        <v>44930</v>
      </c>
      <c r="H1763" s="35"/>
      <c r="I1763" s="67">
        <v>6.8132239999999997E-2</v>
      </c>
      <c r="J1763" s="67">
        <v>0</v>
      </c>
      <c r="K1763" s="67">
        <v>6.8132239999999997E-2</v>
      </c>
      <c r="L1763" s="36">
        <f>+K1763-((K1763*0.101*0.125)+(K1763*(1-0.101)*0.26))</f>
        <v>5.1346840692399996E-2</v>
      </c>
      <c r="M1763" s="64">
        <f t="shared" si="54"/>
        <v>5.1346840692399996E-2</v>
      </c>
      <c r="N1763" s="33" t="s">
        <v>247</v>
      </c>
    </row>
    <row r="1764" spans="1:14" ht="15">
      <c r="A1764" s="12"/>
      <c r="B1764" s="33" t="s">
        <v>310</v>
      </c>
      <c r="C1764" s="92" t="s">
        <v>719</v>
      </c>
      <c r="D1764" s="33" t="s">
        <v>411</v>
      </c>
      <c r="E1764" s="34">
        <v>44925</v>
      </c>
      <c r="F1764" s="34">
        <v>44928</v>
      </c>
      <c r="G1764" s="34">
        <v>44931</v>
      </c>
      <c r="H1764" s="35">
        <v>4.4999999999999998E-2</v>
      </c>
      <c r="I1764" s="67">
        <v>1.6799999999999999E-2</v>
      </c>
      <c r="J1764" s="67">
        <v>0</v>
      </c>
      <c r="K1764" s="67">
        <v>1.6799999999999999E-2</v>
      </c>
      <c r="L1764" s="36">
        <f>+K1764-((K1764*0.027*0.125)+(K1764*(1-0.027)*0.26))</f>
        <v>1.2493236E-2</v>
      </c>
      <c r="M1764" s="64">
        <f t="shared" si="54"/>
        <v>1.2493236E-2</v>
      </c>
      <c r="N1764" s="33" t="s">
        <v>718</v>
      </c>
    </row>
    <row r="1765" spans="1:14" ht="15">
      <c r="A1765" s="12"/>
      <c r="B1765" s="33" t="s">
        <v>188</v>
      </c>
      <c r="C1765" s="92" t="s">
        <v>720</v>
      </c>
      <c r="D1765" s="33" t="s">
        <v>411</v>
      </c>
      <c r="E1765" s="34">
        <v>44925</v>
      </c>
      <c r="F1765" s="34">
        <v>44928</v>
      </c>
      <c r="G1765" s="34">
        <v>44931</v>
      </c>
      <c r="H1765" s="35">
        <v>4.4999999999999998E-2</v>
      </c>
      <c r="I1765" s="67">
        <v>0.29260000000000003</v>
      </c>
      <c r="J1765" s="67">
        <v>0</v>
      </c>
      <c r="K1765" s="67">
        <v>0.29260000000000003</v>
      </c>
      <c r="L1765" s="36">
        <f>+K1765-((K1765*0.027*0.125)+(K1765*(1-0.027)*0.26))</f>
        <v>0.21759052700000003</v>
      </c>
      <c r="M1765" s="64">
        <f t="shared" si="54"/>
        <v>0.21759052700000003</v>
      </c>
      <c r="N1765" s="33" t="s">
        <v>718</v>
      </c>
    </row>
    <row r="1766" spans="1:14" ht="15">
      <c r="A1766" s="12"/>
      <c r="B1766" s="33" t="s">
        <v>196</v>
      </c>
      <c r="C1766" s="92" t="s">
        <v>721</v>
      </c>
      <c r="D1766" s="33" t="s">
        <v>411</v>
      </c>
      <c r="E1766" s="34">
        <v>44925</v>
      </c>
      <c r="F1766" s="34">
        <v>44928</v>
      </c>
      <c r="G1766" s="34">
        <v>44931</v>
      </c>
      <c r="H1766" s="35">
        <v>4.4999999999999998E-2</v>
      </c>
      <c r="I1766" s="67">
        <v>0.3054</v>
      </c>
      <c r="J1766" s="67">
        <v>0</v>
      </c>
      <c r="K1766" s="67">
        <v>0.3054</v>
      </c>
      <c r="L1766" s="36">
        <f>+K1766-((K1766*0.027*0.125)+(K1766*(1-0.027)*0.26))</f>
        <v>0.22710918299999999</v>
      </c>
      <c r="M1766" s="64">
        <f t="shared" si="54"/>
        <v>0.22710918299999999</v>
      </c>
      <c r="N1766" s="33" t="s">
        <v>718</v>
      </c>
    </row>
    <row r="1767" spans="1:14" ht="15">
      <c r="A1767" s="12"/>
      <c r="B1767" s="33" t="s">
        <v>191</v>
      </c>
      <c r="C1767" s="92" t="s">
        <v>722</v>
      </c>
      <c r="D1767" s="33" t="s">
        <v>411</v>
      </c>
      <c r="E1767" s="34">
        <v>44925</v>
      </c>
      <c r="F1767" s="34">
        <v>44928</v>
      </c>
      <c r="G1767" s="34">
        <v>44931</v>
      </c>
      <c r="H1767" s="35">
        <v>0.02</v>
      </c>
      <c r="I1767" s="67">
        <v>6.8999999999999999E-3</v>
      </c>
      <c r="J1767" s="67">
        <v>0</v>
      </c>
      <c r="K1767" s="67">
        <v>6.8999999999999999E-3</v>
      </c>
      <c r="L1767" s="36">
        <f>+K1767-((K1767*0.837*0.125)+(K1767*(1-0.837)*0.26))</f>
        <v>5.8856654999999997E-3</v>
      </c>
      <c r="M1767" s="64">
        <f t="shared" si="54"/>
        <v>5.8856654999999997E-3</v>
      </c>
      <c r="N1767" s="33" t="s">
        <v>718</v>
      </c>
    </row>
    <row r="1768" spans="1:14" ht="15">
      <c r="A1768" s="12"/>
      <c r="B1768" s="33" t="s">
        <v>199</v>
      </c>
      <c r="C1768" s="92" t="s">
        <v>723</v>
      </c>
      <c r="D1768" s="33" t="s">
        <v>411</v>
      </c>
      <c r="E1768" s="34">
        <v>44925</v>
      </c>
      <c r="F1768" s="34">
        <v>44928</v>
      </c>
      <c r="G1768" s="34">
        <v>44931</v>
      </c>
      <c r="H1768" s="35">
        <v>0.02</v>
      </c>
      <c r="I1768" s="67">
        <v>6.8999999999999999E-3</v>
      </c>
      <c r="J1768" s="67">
        <v>0</v>
      </c>
      <c r="K1768" s="67">
        <v>6.8999999999999999E-3</v>
      </c>
      <c r="L1768" s="36">
        <f>+K1768-((K1768*0.837*0.125)+(K1768*(1-0.837)*0.26))</f>
        <v>5.8856654999999997E-3</v>
      </c>
      <c r="M1768" s="64">
        <f t="shared" si="54"/>
        <v>5.8856654999999997E-3</v>
      </c>
      <c r="N1768" s="33" t="s">
        <v>718</v>
      </c>
    </row>
    <row r="1769" spans="1:14" ht="15">
      <c r="A1769" s="12"/>
      <c r="B1769" s="33" t="s">
        <v>306</v>
      </c>
      <c r="C1769" s="92" t="s">
        <v>724</v>
      </c>
      <c r="D1769" s="33" t="s">
        <v>411</v>
      </c>
      <c r="E1769" s="34">
        <v>44925</v>
      </c>
      <c r="F1769" s="34">
        <v>44928</v>
      </c>
      <c r="G1769" s="34">
        <v>44931</v>
      </c>
      <c r="H1769" s="35">
        <v>2.5000000000000001E-2</v>
      </c>
      <c r="I1769" s="67">
        <v>1.0200000000000001E-2</v>
      </c>
      <c r="J1769" s="67">
        <v>0</v>
      </c>
      <c r="K1769" s="67">
        <v>1.0200000000000001E-2</v>
      </c>
      <c r="L1769" s="36">
        <f>+K1769-((K1769*0.00001*0.125)+(K1769*(1-0.00001)*0.26))</f>
        <v>7.5480137700000005E-3</v>
      </c>
      <c r="M1769" s="64">
        <f t="shared" si="54"/>
        <v>7.5480137700000005E-3</v>
      </c>
      <c r="N1769" s="33" t="s">
        <v>718</v>
      </c>
    </row>
    <row r="1770" spans="1:14" ht="15">
      <c r="A1770" s="12"/>
      <c r="B1770" s="33" t="s">
        <v>184</v>
      </c>
      <c r="C1770" s="92" t="s">
        <v>725</v>
      </c>
      <c r="D1770" s="33" t="s">
        <v>411</v>
      </c>
      <c r="E1770" s="34">
        <v>44925</v>
      </c>
      <c r="F1770" s="34">
        <v>44928</v>
      </c>
      <c r="G1770" s="34">
        <v>44931</v>
      </c>
      <c r="H1770" s="35">
        <v>2.5000000000000001E-2</v>
      </c>
      <c r="I1770" s="67">
        <v>0.20449999999999999</v>
      </c>
      <c r="J1770" s="67">
        <v>0</v>
      </c>
      <c r="K1770" s="67">
        <v>0.20449999999999999</v>
      </c>
      <c r="L1770" s="36">
        <f>+K1770-((K1770*0.00001*0.125)+(K1770*(1-0.00001)*0.26))</f>
        <v>0.15133027607499999</v>
      </c>
      <c r="M1770" s="64">
        <f t="shared" si="54"/>
        <v>0.15133027607499999</v>
      </c>
      <c r="N1770" s="33" t="s">
        <v>718</v>
      </c>
    </row>
    <row r="1771" spans="1:14" ht="15">
      <c r="A1771" s="12"/>
      <c r="B1771" s="33" t="s">
        <v>192</v>
      </c>
      <c r="C1771" s="92" t="s">
        <v>726</v>
      </c>
      <c r="D1771" s="33" t="s">
        <v>411</v>
      </c>
      <c r="E1771" s="34">
        <v>44925</v>
      </c>
      <c r="F1771" s="34">
        <v>44928</v>
      </c>
      <c r="G1771" s="34">
        <v>44931</v>
      </c>
      <c r="H1771" s="35">
        <v>2.5000000000000001E-2</v>
      </c>
      <c r="I1771" s="67">
        <v>0.20749999999999999</v>
      </c>
      <c r="J1771" s="67">
        <v>0</v>
      </c>
      <c r="K1771" s="67">
        <v>0.20749999999999999</v>
      </c>
      <c r="L1771" s="36">
        <f>+K1771-((K1771*0.00001*0.125)+(K1771*(1-0.00001)*0.26))</f>
        <v>0.15355028012499999</v>
      </c>
      <c r="M1771" s="64">
        <f t="shared" si="54"/>
        <v>0.15355028012499999</v>
      </c>
      <c r="N1771" s="33" t="s">
        <v>718</v>
      </c>
    </row>
    <row r="1772" spans="1:14" ht="15">
      <c r="A1772" s="12"/>
      <c r="B1772" s="33" t="s">
        <v>311</v>
      </c>
      <c r="C1772" s="92" t="s">
        <v>727</v>
      </c>
      <c r="D1772" s="33" t="s">
        <v>411</v>
      </c>
      <c r="E1772" s="34">
        <v>44925</v>
      </c>
      <c r="F1772" s="34">
        <v>44928</v>
      </c>
      <c r="G1772" s="34">
        <v>44931</v>
      </c>
      <c r="H1772" s="35">
        <v>1.4999999999999999E-2</v>
      </c>
      <c r="I1772" s="67">
        <v>6.1000000000000004E-3</v>
      </c>
      <c r="J1772" s="67">
        <v>0</v>
      </c>
      <c r="K1772" s="67">
        <v>6.1000000000000004E-3</v>
      </c>
      <c r="L1772" s="36">
        <f>+K1772-((K1772*0.0000001*0.125)+(K1772*(1-0.0000001)*0.26))</f>
        <v>4.5140000823499999E-3</v>
      </c>
      <c r="M1772" s="64">
        <f t="shared" si="54"/>
        <v>4.5140000823499999E-3</v>
      </c>
      <c r="N1772" s="33" t="s">
        <v>718</v>
      </c>
    </row>
    <row r="1773" spans="1:14" ht="15">
      <c r="A1773" s="12"/>
      <c r="B1773" s="33" t="s">
        <v>189</v>
      </c>
      <c r="C1773" s="92" t="s">
        <v>728</v>
      </c>
      <c r="D1773" s="33" t="s">
        <v>411</v>
      </c>
      <c r="E1773" s="34">
        <v>44925</v>
      </c>
      <c r="F1773" s="34">
        <v>44928</v>
      </c>
      <c r="G1773" s="34">
        <v>44931</v>
      </c>
      <c r="H1773" s="35">
        <v>1.4999999999999999E-2</v>
      </c>
      <c r="I1773" s="67">
        <v>0.1114</v>
      </c>
      <c r="J1773" s="67">
        <v>0</v>
      </c>
      <c r="K1773" s="67">
        <v>0.1114</v>
      </c>
      <c r="L1773" s="36">
        <f>+K1773-((K1773*0.0000001*0.125)+(K1773*(1-0.0000001)*0.26))</f>
        <v>8.24360015039E-2</v>
      </c>
      <c r="M1773" s="64">
        <f t="shared" si="54"/>
        <v>8.24360015039E-2</v>
      </c>
      <c r="N1773" s="33" t="s">
        <v>718</v>
      </c>
    </row>
    <row r="1774" spans="1:14" ht="15">
      <c r="A1774" s="12"/>
      <c r="B1774" s="33" t="s">
        <v>197</v>
      </c>
      <c r="C1774" s="92" t="s">
        <v>729</v>
      </c>
      <c r="D1774" s="33" t="s">
        <v>411</v>
      </c>
      <c r="E1774" s="34">
        <v>44925</v>
      </c>
      <c r="F1774" s="34">
        <v>44928</v>
      </c>
      <c r="G1774" s="34">
        <v>44931</v>
      </c>
      <c r="H1774" s="35">
        <v>1.4999999999999999E-2</v>
      </c>
      <c r="I1774" s="67">
        <v>0.114</v>
      </c>
      <c r="J1774" s="67">
        <v>0</v>
      </c>
      <c r="K1774" s="67">
        <v>0.114</v>
      </c>
      <c r="L1774" s="36">
        <f>+K1774-((K1774*0.0000001*0.125)+(K1774*(1-0.0000001)*0.26))</f>
        <v>8.4360001539000001E-2</v>
      </c>
      <c r="M1774" s="64">
        <f t="shared" si="54"/>
        <v>8.4360001539000001E-2</v>
      </c>
      <c r="N1774" s="33" t="s">
        <v>718</v>
      </c>
    </row>
    <row r="1775" spans="1:14" ht="15">
      <c r="A1775" s="12"/>
      <c r="B1775" s="33" t="s">
        <v>308</v>
      </c>
      <c r="C1775" s="92" t="s">
        <v>730</v>
      </c>
      <c r="D1775" s="33" t="s">
        <v>411</v>
      </c>
      <c r="E1775" s="34">
        <v>44925</v>
      </c>
      <c r="F1775" s="34">
        <v>44928</v>
      </c>
      <c r="G1775" s="34">
        <v>44931</v>
      </c>
      <c r="H1775" s="35">
        <v>1.4999999999999999E-2</v>
      </c>
      <c r="I1775" s="67">
        <v>5.8999999999999999E-3</v>
      </c>
      <c r="J1775" s="67">
        <v>0</v>
      </c>
      <c r="K1775" s="67">
        <v>5.8999999999999999E-3</v>
      </c>
      <c r="L1775" s="36">
        <f>+K1775-((K1775*0.4545*0.125)+(K1775*(1-0.4545)*0.26))</f>
        <v>4.7280092499999999E-3</v>
      </c>
      <c r="M1775" s="64">
        <f t="shared" si="54"/>
        <v>4.7280092499999999E-3</v>
      </c>
      <c r="N1775" s="33" t="s">
        <v>718</v>
      </c>
    </row>
    <row r="1776" spans="1:14" ht="15">
      <c r="A1776" s="12"/>
      <c r="B1776" s="33" t="s">
        <v>186</v>
      </c>
      <c r="C1776" s="92" t="s">
        <v>731</v>
      </c>
      <c r="D1776" s="33" t="s">
        <v>411</v>
      </c>
      <c r="E1776" s="34">
        <v>44925</v>
      </c>
      <c r="F1776" s="34">
        <v>44928</v>
      </c>
      <c r="G1776" s="34">
        <v>44931</v>
      </c>
      <c r="H1776" s="35">
        <v>1.4999999999999999E-2</v>
      </c>
      <c r="I1776" s="67">
        <v>0.108</v>
      </c>
      <c r="J1776" s="67">
        <v>0</v>
      </c>
      <c r="K1776" s="67">
        <v>0.108</v>
      </c>
      <c r="L1776" s="36">
        <f>+K1776-((K1776*0.4545*0.125)+(K1776*(1-0.4545)*0.26))</f>
        <v>8.6546609999999996E-2</v>
      </c>
      <c r="M1776" s="64">
        <f t="shared" si="54"/>
        <v>8.6546609999999996E-2</v>
      </c>
      <c r="N1776" s="33" t="s">
        <v>718</v>
      </c>
    </row>
    <row r="1777" spans="1:14" ht="15">
      <c r="A1777" s="12"/>
      <c r="B1777" s="33" t="s">
        <v>194</v>
      </c>
      <c r="C1777" s="92" t="s">
        <v>732</v>
      </c>
      <c r="D1777" s="33" t="s">
        <v>411</v>
      </c>
      <c r="E1777" s="34">
        <v>44925</v>
      </c>
      <c r="F1777" s="34">
        <v>44928</v>
      </c>
      <c r="G1777" s="34">
        <v>44931</v>
      </c>
      <c r="H1777" s="35">
        <v>1.4999999999999999E-2</v>
      </c>
      <c r="I1777" s="67">
        <v>0.11169999999999999</v>
      </c>
      <c r="J1777" s="67">
        <v>0</v>
      </c>
      <c r="K1777" s="67">
        <v>0.11169999999999999</v>
      </c>
      <c r="L1777" s="36">
        <f>+K1777-((K1777*0.4545*0.125)+(K1777*(1-0.4545)*0.26))</f>
        <v>8.9511632749999986E-2</v>
      </c>
      <c r="M1777" s="64">
        <f t="shared" si="54"/>
        <v>8.9511632749999986E-2</v>
      </c>
      <c r="N1777" s="33" t="s">
        <v>718</v>
      </c>
    </row>
    <row r="1778" spans="1:14" ht="15">
      <c r="A1778" s="12"/>
      <c r="B1778" s="33" t="s">
        <v>307</v>
      </c>
      <c r="C1778" s="92" t="s">
        <v>733</v>
      </c>
      <c r="D1778" s="33" t="s">
        <v>411</v>
      </c>
      <c r="E1778" s="34">
        <v>44925</v>
      </c>
      <c r="F1778" s="34">
        <v>44928</v>
      </c>
      <c r="G1778" s="34">
        <v>44931</v>
      </c>
      <c r="H1778" s="35">
        <v>1.4999999999999999E-2</v>
      </c>
      <c r="I1778" s="67">
        <v>5.7000000000000002E-3</v>
      </c>
      <c r="J1778" s="67">
        <v>0</v>
      </c>
      <c r="K1778" s="67">
        <v>5.7000000000000002E-3</v>
      </c>
      <c r="L1778" s="36">
        <f>+K1778-((K1778*0.572*0.125)+(K1778*(1-0.572)*0.26))</f>
        <v>4.6581540000000003E-3</v>
      </c>
      <c r="M1778" s="64">
        <f t="shared" si="54"/>
        <v>4.6581540000000003E-3</v>
      </c>
      <c r="N1778" s="33" t="s">
        <v>718</v>
      </c>
    </row>
    <row r="1779" spans="1:14" ht="15">
      <c r="A1779" s="12"/>
      <c r="B1779" s="33" t="s">
        <v>185</v>
      </c>
      <c r="C1779" s="92" t="s">
        <v>734</v>
      </c>
      <c r="D1779" s="33" t="s">
        <v>411</v>
      </c>
      <c r="E1779" s="34">
        <v>44925</v>
      </c>
      <c r="F1779" s="34">
        <v>44928</v>
      </c>
      <c r="G1779" s="34">
        <v>44931</v>
      </c>
      <c r="H1779" s="35">
        <v>1.4999999999999999E-2</v>
      </c>
      <c r="I1779" s="67">
        <v>9.5200000000000007E-2</v>
      </c>
      <c r="J1779" s="67">
        <v>0</v>
      </c>
      <c r="K1779" s="67">
        <v>9.5200000000000007E-2</v>
      </c>
      <c r="L1779" s="36">
        <f>+K1779-((K1779*0.572*0.125)+(K1779*(1-0.572)*0.26))</f>
        <v>7.7799344000000006E-2</v>
      </c>
      <c r="M1779" s="64">
        <f t="shared" si="54"/>
        <v>7.7799344000000006E-2</v>
      </c>
      <c r="N1779" s="33" t="s">
        <v>718</v>
      </c>
    </row>
    <row r="1780" spans="1:14" ht="15">
      <c r="A1780" s="12"/>
      <c r="B1780" s="33" t="s">
        <v>193</v>
      </c>
      <c r="C1780" s="92" t="s">
        <v>735</v>
      </c>
      <c r="D1780" s="33" t="s">
        <v>411</v>
      </c>
      <c r="E1780" s="34">
        <v>44925</v>
      </c>
      <c r="F1780" s="34">
        <v>44928</v>
      </c>
      <c r="G1780" s="34">
        <v>44931</v>
      </c>
      <c r="H1780" s="35">
        <v>1.4999999999999999E-2</v>
      </c>
      <c r="I1780" s="67">
        <v>9.3399999999999997E-2</v>
      </c>
      <c r="J1780" s="67">
        <v>0</v>
      </c>
      <c r="K1780" s="67">
        <v>9.3399999999999997E-2</v>
      </c>
      <c r="L1780" s="36">
        <f>+K1780-((K1780*0.572*0.125)+(K1780*(1-0.572)*0.26))</f>
        <v>7.632834799999999E-2</v>
      </c>
      <c r="M1780" s="64">
        <f t="shared" si="54"/>
        <v>7.632834799999999E-2</v>
      </c>
      <c r="N1780" s="33" t="s">
        <v>718</v>
      </c>
    </row>
    <row r="1781" spans="1:14" ht="15">
      <c r="A1781" s="12"/>
      <c r="B1781" s="33" t="s">
        <v>309</v>
      </c>
      <c r="C1781" s="92" t="s">
        <v>736</v>
      </c>
      <c r="D1781" s="33" t="s">
        <v>411</v>
      </c>
      <c r="E1781" s="34">
        <v>44925</v>
      </c>
      <c r="F1781" s="34">
        <v>44928</v>
      </c>
      <c r="G1781" s="34">
        <v>44931</v>
      </c>
      <c r="H1781" s="35">
        <v>0.02</v>
      </c>
      <c r="I1781" s="67">
        <v>8.2000000000000007E-3</v>
      </c>
      <c r="J1781" s="67">
        <v>0</v>
      </c>
      <c r="K1781" s="67">
        <v>8.2000000000000007E-3</v>
      </c>
      <c r="L1781" s="36">
        <f>+K1781-((K1781*0.0245*0.125)+(K1781*(1-0.0245)*0.26))</f>
        <v>6.0951215E-3</v>
      </c>
      <c r="M1781" s="64">
        <f t="shared" si="54"/>
        <v>6.0951215E-3</v>
      </c>
      <c r="N1781" s="33" t="s">
        <v>718</v>
      </c>
    </row>
    <row r="1782" spans="1:14" ht="15">
      <c r="A1782" s="12"/>
      <c r="B1782" s="33" t="s">
        <v>187</v>
      </c>
      <c r="C1782" s="92" t="s">
        <v>737</v>
      </c>
      <c r="D1782" s="33" t="s">
        <v>411</v>
      </c>
      <c r="E1782" s="34">
        <v>44925</v>
      </c>
      <c r="F1782" s="34">
        <v>44928</v>
      </c>
      <c r="G1782" s="34">
        <v>44931</v>
      </c>
      <c r="H1782" s="35">
        <v>0.02</v>
      </c>
      <c r="I1782" s="67">
        <v>0.14419999999999999</v>
      </c>
      <c r="J1782" s="67">
        <v>0</v>
      </c>
      <c r="K1782" s="67">
        <v>0.14419999999999999</v>
      </c>
      <c r="L1782" s="36">
        <f>+K1782-((K1782*0.0245*0.125)+(K1782*(1-0.0245)*0.26))</f>
        <v>0.10718494149999999</v>
      </c>
      <c r="M1782" s="64">
        <f t="shared" si="54"/>
        <v>0.10718494149999999</v>
      </c>
      <c r="N1782" s="33" t="s">
        <v>718</v>
      </c>
    </row>
    <row r="1783" spans="1:14" ht="15">
      <c r="A1783" s="12"/>
      <c r="B1783" s="33" t="s">
        <v>195</v>
      </c>
      <c r="C1783" s="92" t="s">
        <v>738</v>
      </c>
      <c r="D1783" s="33" t="s">
        <v>411</v>
      </c>
      <c r="E1783" s="34">
        <v>44925</v>
      </c>
      <c r="F1783" s="34">
        <v>44928</v>
      </c>
      <c r="G1783" s="34">
        <v>44931</v>
      </c>
      <c r="H1783" s="35">
        <v>0.02</v>
      </c>
      <c r="I1783" s="67">
        <v>0.14960000000000001</v>
      </c>
      <c r="J1783" s="67">
        <v>0</v>
      </c>
      <c r="K1783" s="67">
        <v>0.14960000000000001</v>
      </c>
      <c r="L1783" s="36">
        <f>+K1783-((K1783*0.0245*0.125)+(K1783*(1-0.0245)*0.26))</f>
        <v>0.11119880200000001</v>
      </c>
      <c r="M1783" s="64">
        <f t="shared" si="54"/>
        <v>0.11119880200000001</v>
      </c>
      <c r="N1783" s="33" t="s">
        <v>718</v>
      </c>
    </row>
    <row r="1784" spans="1:14" ht="15">
      <c r="A1784" s="12"/>
      <c r="B1784" s="33" t="s">
        <v>312</v>
      </c>
      <c r="C1784" s="92" t="s">
        <v>739</v>
      </c>
      <c r="D1784" s="33" t="s">
        <v>411</v>
      </c>
      <c r="E1784" s="34">
        <v>44925</v>
      </c>
      <c r="F1784" s="34">
        <v>44928</v>
      </c>
      <c r="G1784" s="34">
        <v>44931</v>
      </c>
      <c r="H1784" s="35">
        <v>3.2500000000000001E-2</v>
      </c>
      <c r="I1784" s="67">
        <v>1.2500000000000001E-2</v>
      </c>
      <c r="J1784" s="67">
        <v>0</v>
      </c>
      <c r="K1784" s="67">
        <v>1.2500000000000001E-2</v>
      </c>
      <c r="L1784" s="36">
        <f>+K1784-((K1784*0.0175*0.125)+(K1784*(1-0.0175)*0.26))</f>
        <v>9.2795312500000005E-3</v>
      </c>
      <c r="M1784" s="64">
        <f t="shared" si="54"/>
        <v>9.2795312500000005E-3</v>
      </c>
      <c r="N1784" s="33" t="s">
        <v>718</v>
      </c>
    </row>
    <row r="1785" spans="1:14" ht="15">
      <c r="A1785" s="12"/>
      <c r="B1785" s="33" t="s">
        <v>190</v>
      </c>
      <c r="C1785" s="92" t="s">
        <v>740</v>
      </c>
      <c r="D1785" s="33" t="s">
        <v>411</v>
      </c>
      <c r="E1785" s="34">
        <v>44925</v>
      </c>
      <c r="F1785" s="34">
        <v>44928</v>
      </c>
      <c r="G1785" s="34">
        <v>44931</v>
      </c>
      <c r="H1785" s="35">
        <v>3.2500000000000001E-2</v>
      </c>
      <c r="I1785" s="67">
        <v>0.2374</v>
      </c>
      <c r="J1785" s="67">
        <v>0</v>
      </c>
      <c r="K1785" s="67">
        <v>0.2374</v>
      </c>
      <c r="L1785" s="36">
        <f>+K1785-((K1785*0.0175*0.125)+(K1785*(1-0.0175)*0.26))</f>
        <v>0.17623685749999998</v>
      </c>
      <c r="M1785" s="64">
        <f t="shared" ref="M1785:M1848" si="55">J1785+L1785</f>
        <v>0.17623685749999998</v>
      </c>
      <c r="N1785" s="33" t="s">
        <v>718</v>
      </c>
    </row>
    <row r="1786" spans="1:14" ht="15">
      <c r="A1786" s="12"/>
      <c r="B1786" s="33" t="s">
        <v>198</v>
      </c>
      <c r="C1786" s="92" t="s">
        <v>741</v>
      </c>
      <c r="D1786" s="33" t="s">
        <v>411</v>
      </c>
      <c r="E1786" s="34">
        <v>44925</v>
      </c>
      <c r="F1786" s="34">
        <v>44928</v>
      </c>
      <c r="G1786" s="34">
        <v>44931</v>
      </c>
      <c r="H1786" s="35">
        <v>3.2500000000000001E-2</v>
      </c>
      <c r="I1786" s="67">
        <v>0.23849999999999999</v>
      </c>
      <c r="J1786" s="67">
        <v>0</v>
      </c>
      <c r="K1786" s="67">
        <v>0.23849999999999999</v>
      </c>
      <c r="L1786" s="36">
        <f>+K1786-((K1786*0.0175*0.125)+(K1786*(1-0.0175)*0.26))</f>
        <v>0.17705345624999999</v>
      </c>
      <c r="M1786" s="64">
        <f t="shared" si="55"/>
        <v>0.17705345624999999</v>
      </c>
      <c r="N1786" s="33" t="s">
        <v>718</v>
      </c>
    </row>
    <row r="1787" spans="1:14" ht="15">
      <c r="A1787" s="12"/>
      <c r="B1787" s="33" t="s">
        <v>513</v>
      </c>
      <c r="C1787" s="92" t="s">
        <v>742</v>
      </c>
      <c r="D1787" s="33" t="s">
        <v>411</v>
      </c>
      <c r="E1787" s="34">
        <v>44925</v>
      </c>
      <c r="F1787" s="34">
        <v>44928</v>
      </c>
      <c r="G1787" s="34">
        <v>44931</v>
      </c>
      <c r="H1787" s="35">
        <v>0</v>
      </c>
      <c r="I1787" s="67">
        <v>0</v>
      </c>
      <c r="J1787" s="67">
        <v>0</v>
      </c>
      <c r="K1787" s="67">
        <v>0</v>
      </c>
      <c r="L1787" s="36">
        <f>+K1787-((K1787*0.381*0.125)+(K1787*(1-0.381)*0.26))</f>
        <v>0</v>
      </c>
      <c r="M1787" s="64">
        <f t="shared" si="55"/>
        <v>0</v>
      </c>
      <c r="N1787" s="33" t="s">
        <v>718</v>
      </c>
    </row>
    <row r="1788" spans="1:14" ht="15">
      <c r="A1788" s="12"/>
      <c r="B1788" s="33" t="s">
        <v>514</v>
      </c>
      <c r="C1788" s="92" t="s">
        <v>743</v>
      </c>
      <c r="D1788" s="33" t="s">
        <v>411</v>
      </c>
      <c r="E1788" s="34">
        <v>44925</v>
      </c>
      <c r="F1788" s="34">
        <v>44928</v>
      </c>
      <c r="G1788" s="34">
        <v>44931</v>
      </c>
      <c r="H1788" s="35">
        <v>0</v>
      </c>
      <c r="I1788" s="67">
        <v>0</v>
      </c>
      <c r="J1788" s="67">
        <v>0</v>
      </c>
      <c r="K1788" s="67">
        <v>0</v>
      </c>
      <c r="L1788" s="36">
        <f>+K1788-((K1788*0.381*0.125)+(K1788*(1-0.381)*0.26))</f>
        <v>0</v>
      </c>
      <c r="M1788" s="64">
        <f t="shared" si="55"/>
        <v>0</v>
      </c>
      <c r="N1788" s="33" t="s">
        <v>718</v>
      </c>
    </row>
    <row r="1789" spans="1:14" ht="15">
      <c r="A1789" s="12"/>
      <c r="B1789" s="33" t="s">
        <v>313</v>
      </c>
      <c r="C1789" s="92" t="s">
        <v>744</v>
      </c>
      <c r="D1789" s="33" t="s">
        <v>411</v>
      </c>
      <c r="E1789" s="34">
        <v>44925</v>
      </c>
      <c r="F1789" s="34">
        <v>44928</v>
      </c>
      <c r="G1789" s="34">
        <v>44931</v>
      </c>
      <c r="H1789" s="35">
        <v>1.2E-2</v>
      </c>
      <c r="I1789" s="67">
        <v>5.0000000000000001E-3</v>
      </c>
      <c r="J1789" s="67">
        <v>0</v>
      </c>
      <c r="K1789" s="67">
        <v>5.0000000000000001E-3</v>
      </c>
      <c r="L1789" s="36">
        <f>+K1789-((K1789*0.184*0.125)+(K1789*(1-0.184)*0.26))</f>
        <v>3.8241999999999998E-3</v>
      </c>
      <c r="M1789" s="64">
        <f t="shared" si="55"/>
        <v>3.8241999999999998E-3</v>
      </c>
      <c r="N1789" s="33" t="s">
        <v>718</v>
      </c>
    </row>
    <row r="1790" spans="1:14" ht="15">
      <c r="A1790" s="12"/>
      <c r="B1790" s="33" t="s">
        <v>298</v>
      </c>
      <c r="C1790" s="92" t="s">
        <v>403</v>
      </c>
      <c r="D1790" s="33" t="s">
        <v>410</v>
      </c>
      <c r="E1790" s="34">
        <v>44925</v>
      </c>
      <c r="F1790" s="34">
        <v>44928</v>
      </c>
      <c r="G1790" s="34">
        <v>44931</v>
      </c>
      <c r="H1790" s="35">
        <v>4.4999999999999998E-2</v>
      </c>
      <c r="I1790" s="67">
        <v>4.8899999999999999E-2</v>
      </c>
      <c r="J1790" s="67">
        <v>0</v>
      </c>
      <c r="K1790" s="67">
        <v>4.8899999999999999E-2</v>
      </c>
      <c r="L1790" s="36">
        <f>+K1790-((K1790*0.4305*0.125)+(K1790*(1-0.4305)*0.26))</f>
        <v>3.9027945750000001E-2</v>
      </c>
      <c r="M1790" s="64">
        <f t="shared" si="55"/>
        <v>3.9027945750000001E-2</v>
      </c>
      <c r="N1790" s="33" t="s">
        <v>248</v>
      </c>
    </row>
    <row r="1791" spans="1:14" ht="15">
      <c r="A1791" s="12"/>
      <c r="B1791" s="33" t="s">
        <v>181</v>
      </c>
      <c r="C1791" s="92" t="s">
        <v>335</v>
      </c>
      <c r="D1791" s="33" t="s">
        <v>410</v>
      </c>
      <c r="E1791" s="34">
        <v>44925</v>
      </c>
      <c r="F1791" s="34">
        <v>44928</v>
      </c>
      <c r="G1791" s="34">
        <v>44931</v>
      </c>
      <c r="H1791" s="35">
        <v>4.4999999999999998E-2</v>
      </c>
      <c r="I1791" s="67">
        <v>0.87180000000000002</v>
      </c>
      <c r="J1791" s="67">
        <v>0</v>
      </c>
      <c r="K1791" s="67">
        <v>0.87180000000000002</v>
      </c>
      <c r="L1791" s="36">
        <f>+K1791-((K1791*0.4305*0.125)+(K1791*(1-0.4305)*0.26))</f>
        <v>0.69579883650000007</v>
      </c>
      <c r="M1791" s="64">
        <f t="shared" si="55"/>
        <v>0.69579883650000007</v>
      </c>
      <c r="N1791" s="33" t="s">
        <v>248</v>
      </c>
    </row>
    <row r="1792" spans="1:14" ht="15">
      <c r="A1792" s="12"/>
      <c r="B1792" s="33" t="s">
        <v>201</v>
      </c>
      <c r="C1792" s="92" t="s">
        <v>336</v>
      </c>
      <c r="D1792" s="33" t="s">
        <v>410</v>
      </c>
      <c r="E1792" s="34">
        <v>44925</v>
      </c>
      <c r="F1792" s="34">
        <v>44928</v>
      </c>
      <c r="G1792" s="34">
        <v>44931</v>
      </c>
      <c r="H1792" s="35">
        <v>4.4999999999999998E-2</v>
      </c>
      <c r="I1792" s="67">
        <v>0.88749999999999996</v>
      </c>
      <c r="J1792" s="67">
        <v>0</v>
      </c>
      <c r="K1792" s="67">
        <v>0.88749999999999996</v>
      </c>
      <c r="L1792" s="36">
        <f>+K1792-((K1792*0.4305*0.125)+(K1792*(1-0.4305)*0.26))</f>
        <v>0.70832928124999994</v>
      </c>
      <c r="M1792" s="64">
        <f t="shared" si="55"/>
        <v>0.70832928124999994</v>
      </c>
      <c r="N1792" s="33" t="s">
        <v>248</v>
      </c>
    </row>
    <row r="1793" spans="1:14" ht="15">
      <c r="A1793" s="12"/>
      <c r="B1793" s="33" t="s">
        <v>138</v>
      </c>
      <c r="C1793" s="92" t="s">
        <v>337</v>
      </c>
      <c r="D1793" s="33" t="s">
        <v>410</v>
      </c>
      <c r="E1793" s="34">
        <v>44925</v>
      </c>
      <c r="F1793" s="34">
        <v>44928</v>
      </c>
      <c r="G1793" s="34">
        <v>44931</v>
      </c>
      <c r="H1793" s="35">
        <v>0.05</v>
      </c>
      <c r="I1793" s="67">
        <v>7.1099999999999997E-2</v>
      </c>
      <c r="J1793" s="67">
        <v>0</v>
      </c>
      <c r="K1793" s="67">
        <v>7.1099999999999997E-2</v>
      </c>
      <c r="L1793" s="36">
        <f>+K1793-((K1793*0.275*0.125)+(K1793*(1-0.275)*0.26))</f>
        <v>5.52535875E-2</v>
      </c>
      <c r="M1793" s="64">
        <f t="shared" si="55"/>
        <v>5.52535875E-2</v>
      </c>
      <c r="N1793" s="33" t="s">
        <v>248</v>
      </c>
    </row>
    <row r="1794" spans="1:14" ht="15">
      <c r="A1794" s="12"/>
      <c r="B1794" s="33" t="s">
        <v>160</v>
      </c>
      <c r="C1794" s="92" t="s">
        <v>338</v>
      </c>
      <c r="D1794" s="33" t="s">
        <v>410</v>
      </c>
      <c r="E1794" s="34">
        <v>44925</v>
      </c>
      <c r="F1794" s="34">
        <v>44928</v>
      </c>
      <c r="G1794" s="34">
        <v>44931</v>
      </c>
      <c r="H1794" s="35">
        <v>0.05</v>
      </c>
      <c r="I1794" s="67">
        <v>7.0099999999999996E-2</v>
      </c>
      <c r="J1794" s="67">
        <v>0</v>
      </c>
      <c r="K1794" s="67">
        <v>7.0099999999999996E-2</v>
      </c>
      <c r="L1794" s="36">
        <f>+K1794-((K1794*0.275*0.125)+(K1794*(1-0.275)*0.26))</f>
        <v>5.4476462499999996E-2</v>
      </c>
      <c r="M1794" s="64">
        <f t="shared" si="55"/>
        <v>5.4476462499999996E-2</v>
      </c>
      <c r="N1794" s="33" t="s">
        <v>248</v>
      </c>
    </row>
    <row r="1795" spans="1:14" ht="15">
      <c r="A1795" s="12"/>
      <c r="B1795" s="33" t="s">
        <v>300</v>
      </c>
      <c r="C1795" s="92" t="s">
        <v>404</v>
      </c>
      <c r="D1795" s="33" t="s">
        <v>410</v>
      </c>
      <c r="E1795" s="34">
        <v>44925</v>
      </c>
      <c r="F1795" s="34">
        <v>44928</v>
      </c>
      <c r="G1795" s="34">
        <v>44931</v>
      </c>
      <c r="H1795" s="35">
        <v>0.05</v>
      </c>
      <c r="I1795" s="67">
        <v>5.4899999999999997E-2</v>
      </c>
      <c r="J1795" s="67">
        <v>0</v>
      </c>
      <c r="K1795" s="67">
        <v>5.4899999999999997E-2</v>
      </c>
      <c r="L1795" s="36">
        <f>+K1795-((K1795*0.275*0.125)+(K1795*(1-0.275)*0.26))</f>
        <v>4.2664162499999998E-2</v>
      </c>
      <c r="M1795" s="64">
        <f t="shared" si="55"/>
        <v>4.2664162499999998E-2</v>
      </c>
      <c r="N1795" s="33" t="s">
        <v>248</v>
      </c>
    </row>
    <row r="1796" spans="1:14" ht="15">
      <c r="A1796" s="12"/>
      <c r="B1796" s="33" t="s">
        <v>142</v>
      </c>
      <c r="C1796" s="92" t="s">
        <v>341</v>
      </c>
      <c r="D1796" s="33" t="s">
        <v>410</v>
      </c>
      <c r="E1796" s="34">
        <v>44925</v>
      </c>
      <c r="F1796" s="34">
        <v>44928</v>
      </c>
      <c r="G1796" s="34">
        <v>44931</v>
      </c>
      <c r="H1796" s="35">
        <v>5.2499999999999998E-2</v>
      </c>
      <c r="I1796" s="67">
        <v>7.6600000000000001E-2</v>
      </c>
      <c r="J1796" s="67">
        <v>0</v>
      </c>
      <c r="K1796" s="67">
        <v>7.6600000000000001E-2</v>
      </c>
      <c r="L1796" s="36">
        <f>+K1796-((K1796*0.0645*0.125)+(K1796*(1-0.0645)*0.26))</f>
        <v>5.7350994500000002E-2</v>
      </c>
      <c r="M1796" s="64">
        <f t="shared" si="55"/>
        <v>5.7350994500000002E-2</v>
      </c>
      <c r="N1796" s="33" t="s">
        <v>248</v>
      </c>
    </row>
    <row r="1797" spans="1:14" ht="15">
      <c r="A1797" s="12"/>
      <c r="B1797" s="33" t="s">
        <v>159</v>
      </c>
      <c r="C1797" s="92" t="s">
        <v>342</v>
      </c>
      <c r="D1797" s="33" t="s">
        <v>410</v>
      </c>
      <c r="E1797" s="34">
        <v>44925</v>
      </c>
      <c r="F1797" s="34">
        <v>44928</v>
      </c>
      <c r="G1797" s="34">
        <v>44931</v>
      </c>
      <c r="H1797" s="35">
        <v>5.2499999999999998E-2</v>
      </c>
      <c r="I1797" s="67">
        <v>7.5700000000000003E-2</v>
      </c>
      <c r="J1797" s="67">
        <v>0</v>
      </c>
      <c r="K1797" s="67">
        <v>7.5700000000000003E-2</v>
      </c>
      <c r="L1797" s="36">
        <f>+K1797-((K1797*0.0645*0.125)+(K1797*(1-0.0645)*0.26))</f>
        <v>5.6677157750000005E-2</v>
      </c>
      <c r="M1797" s="64">
        <f t="shared" si="55"/>
        <v>5.6677157750000005E-2</v>
      </c>
      <c r="N1797" s="33" t="s">
        <v>248</v>
      </c>
    </row>
    <row r="1798" spans="1:14" ht="15">
      <c r="A1798" s="12"/>
      <c r="B1798" s="33" t="s">
        <v>507</v>
      </c>
      <c r="C1798" s="92" t="s">
        <v>508</v>
      </c>
      <c r="D1798" s="33" t="s">
        <v>410</v>
      </c>
      <c r="E1798" s="34">
        <v>44925</v>
      </c>
      <c r="F1798" s="34">
        <v>44928</v>
      </c>
      <c r="G1798" s="34">
        <v>44931</v>
      </c>
      <c r="H1798" s="35">
        <v>5.2499999999999998E-2</v>
      </c>
      <c r="I1798" s="67">
        <v>6.0499999999999998E-2</v>
      </c>
      <c r="J1798" s="67">
        <v>0</v>
      </c>
      <c r="K1798" s="67">
        <v>6.0499999999999998E-2</v>
      </c>
      <c r="L1798" s="36">
        <f>+K1798-((K1798*0.0645*0.125)+(K1798*(1-0.0645)*0.26))</f>
        <v>4.5296803750000003E-2</v>
      </c>
      <c r="M1798" s="64">
        <f t="shared" si="55"/>
        <v>4.5296803750000003E-2</v>
      </c>
      <c r="N1798" s="33" t="s">
        <v>248</v>
      </c>
    </row>
    <row r="1799" spans="1:14" ht="15">
      <c r="A1799" s="12"/>
      <c r="B1799" s="33" t="s">
        <v>139</v>
      </c>
      <c r="C1799" s="92" t="s">
        <v>344</v>
      </c>
      <c r="D1799" s="33" t="s">
        <v>410</v>
      </c>
      <c r="E1799" s="34">
        <v>44925</v>
      </c>
      <c r="F1799" s="34">
        <v>44928</v>
      </c>
      <c r="G1799" s="34">
        <v>44931</v>
      </c>
      <c r="H1799" s="35">
        <v>0.02</v>
      </c>
      <c r="I1799" s="67">
        <v>2.0400000000000001E-2</v>
      </c>
      <c r="J1799" s="67">
        <v>0</v>
      </c>
      <c r="K1799" s="67">
        <v>2.0400000000000001E-2</v>
      </c>
      <c r="L1799" s="36">
        <f>+K1799-((K1799*0.837*0.125)+(K1799*(1-0.837)*0.26))</f>
        <v>1.7401098E-2</v>
      </c>
      <c r="M1799" s="64">
        <f t="shared" si="55"/>
        <v>1.7401098E-2</v>
      </c>
      <c r="N1799" s="33" t="s">
        <v>248</v>
      </c>
    </row>
    <row r="1800" spans="1:14" ht="15">
      <c r="A1800" s="12"/>
      <c r="B1800" s="33" t="s">
        <v>161</v>
      </c>
      <c r="C1800" s="92" t="s">
        <v>345</v>
      </c>
      <c r="D1800" s="33" t="s">
        <v>410</v>
      </c>
      <c r="E1800" s="34">
        <v>44925</v>
      </c>
      <c r="F1800" s="34">
        <v>44928</v>
      </c>
      <c r="G1800" s="34">
        <v>44931</v>
      </c>
      <c r="H1800" s="35">
        <v>0.02</v>
      </c>
      <c r="I1800" s="67">
        <v>2.0199999999999999E-2</v>
      </c>
      <c r="J1800" s="67">
        <v>0</v>
      </c>
      <c r="K1800" s="67">
        <v>2.0199999999999999E-2</v>
      </c>
      <c r="L1800" s="36">
        <f>+K1800-((K1800*0.837*0.125)+(K1800*(1-0.837)*0.26))</f>
        <v>1.7230499E-2</v>
      </c>
      <c r="M1800" s="64">
        <f t="shared" si="55"/>
        <v>1.7230499E-2</v>
      </c>
      <c r="N1800" s="33" t="s">
        <v>248</v>
      </c>
    </row>
    <row r="1801" spans="1:14" ht="15">
      <c r="A1801" s="12"/>
      <c r="B1801" s="33" t="s">
        <v>141</v>
      </c>
      <c r="C1801" s="92" t="s">
        <v>348</v>
      </c>
      <c r="D1801" s="33" t="s">
        <v>410</v>
      </c>
      <c r="E1801" s="34">
        <v>44925</v>
      </c>
      <c r="F1801" s="34">
        <v>44928</v>
      </c>
      <c r="G1801" s="34">
        <v>44931</v>
      </c>
      <c r="H1801" s="35">
        <v>0.04</v>
      </c>
      <c r="I1801" s="67">
        <v>4.3799999999999999E-2</v>
      </c>
      <c r="J1801" s="67">
        <v>0</v>
      </c>
      <c r="K1801" s="67">
        <v>4.3799999999999999E-2</v>
      </c>
      <c r="L1801" s="36">
        <f>+K1801-((K1801*0.096*0.125)+(K1801*(1-0.096)*0.26))</f>
        <v>3.2979648E-2</v>
      </c>
      <c r="M1801" s="64">
        <f t="shared" si="55"/>
        <v>3.2979648E-2</v>
      </c>
      <c r="N1801" s="33" t="s">
        <v>248</v>
      </c>
    </row>
    <row r="1802" spans="1:14" ht="15">
      <c r="A1802" s="12"/>
      <c r="B1802" s="33" t="s">
        <v>140</v>
      </c>
      <c r="C1802" s="92" t="s">
        <v>349</v>
      </c>
      <c r="D1802" s="33" t="s">
        <v>410</v>
      </c>
      <c r="E1802" s="34">
        <v>44925</v>
      </c>
      <c r="F1802" s="34">
        <v>44928</v>
      </c>
      <c r="G1802" s="34">
        <v>44931</v>
      </c>
      <c r="H1802" s="35">
        <v>0.04</v>
      </c>
      <c r="I1802" s="67">
        <v>4.87E-2</v>
      </c>
      <c r="J1802" s="67">
        <v>0</v>
      </c>
      <c r="K1802" s="67">
        <v>4.87E-2</v>
      </c>
      <c r="L1802" s="36">
        <f>+K1802-((K1802*0.096*0.125)+(K1802*(1-0.096)*0.26))</f>
        <v>3.6669151999999997E-2</v>
      </c>
      <c r="M1802" s="64">
        <f t="shared" si="55"/>
        <v>3.6669151999999997E-2</v>
      </c>
      <c r="N1802" s="33" t="s">
        <v>248</v>
      </c>
    </row>
    <row r="1803" spans="1:14" ht="15">
      <c r="A1803" s="12"/>
      <c r="B1803" s="33" t="s">
        <v>162</v>
      </c>
      <c r="C1803" s="92" t="s">
        <v>350</v>
      </c>
      <c r="D1803" s="33" t="s">
        <v>410</v>
      </c>
      <c r="E1803" s="34">
        <v>44925</v>
      </c>
      <c r="F1803" s="34">
        <v>44928</v>
      </c>
      <c r="G1803" s="34">
        <v>44931</v>
      </c>
      <c r="H1803" s="35">
        <v>0.04</v>
      </c>
      <c r="I1803" s="67">
        <v>4.8000000000000001E-2</v>
      </c>
      <c r="J1803" s="67">
        <v>0</v>
      </c>
      <c r="K1803" s="67">
        <v>4.8000000000000001E-2</v>
      </c>
      <c r="L1803" s="36">
        <f>+K1803-((K1803*0.096*0.125)+(K1803*(1-0.096)*0.26))</f>
        <v>3.614208E-2</v>
      </c>
      <c r="M1803" s="64">
        <f t="shared" si="55"/>
        <v>3.614208E-2</v>
      </c>
      <c r="N1803" s="33" t="s">
        <v>248</v>
      </c>
    </row>
    <row r="1804" spans="1:14" ht="15">
      <c r="A1804" s="12"/>
      <c r="B1804" s="33" t="s">
        <v>302</v>
      </c>
      <c r="C1804" s="92" t="s">
        <v>405</v>
      </c>
      <c r="D1804" s="33" t="s">
        <v>410</v>
      </c>
      <c r="E1804" s="34">
        <v>44925</v>
      </c>
      <c r="F1804" s="34">
        <v>44928</v>
      </c>
      <c r="G1804" s="34">
        <v>44931</v>
      </c>
      <c r="H1804" s="35">
        <v>0.04</v>
      </c>
      <c r="I1804" s="67">
        <v>4.5499999999999999E-2</v>
      </c>
      <c r="J1804" s="67">
        <v>0</v>
      </c>
      <c r="K1804" s="67">
        <v>4.5499999999999999E-2</v>
      </c>
      <c r="L1804" s="36">
        <f>+K1804-((K1804*0.096*0.125)+(K1804*(1-0.096)*0.26))</f>
        <v>3.4259680000000001E-2</v>
      </c>
      <c r="M1804" s="64">
        <f t="shared" si="55"/>
        <v>3.4259680000000001E-2</v>
      </c>
      <c r="N1804" s="33" t="s">
        <v>248</v>
      </c>
    </row>
    <row r="1805" spans="1:14" ht="15">
      <c r="A1805" s="12"/>
      <c r="B1805" s="33" t="s">
        <v>303</v>
      </c>
      <c r="C1805" s="92" t="s">
        <v>406</v>
      </c>
      <c r="D1805" s="33" t="s">
        <v>410</v>
      </c>
      <c r="E1805" s="34">
        <v>44925</v>
      </c>
      <c r="F1805" s="34">
        <v>44928</v>
      </c>
      <c r="G1805" s="34">
        <v>44931</v>
      </c>
      <c r="H1805" s="35">
        <v>0.04</v>
      </c>
      <c r="I1805" s="67">
        <v>4.5499999999999999E-2</v>
      </c>
      <c r="J1805" s="67">
        <v>0</v>
      </c>
      <c r="K1805" s="67">
        <v>4.5499999999999999E-2</v>
      </c>
      <c r="L1805" s="36">
        <f>+K1805-((K1805*0.096*0.125)+(K1805*(1-0.096)*0.26))</f>
        <v>3.4259680000000001E-2</v>
      </c>
      <c r="M1805" s="64">
        <f t="shared" si="55"/>
        <v>3.4259680000000001E-2</v>
      </c>
      <c r="N1805" s="33" t="s">
        <v>248</v>
      </c>
    </row>
    <row r="1806" spans="1:14" ht="15">
      <c r="A1806" s="12"/>
      <c r="B1806" s="33" t="s">
        <v>143</v>
      </c>
      <c r="C1806" s="92" t="s">
        <v>351</v>
      </c>
      <c r="D1806" s="33" t="s">
        <v>410</v>
      </c>
      <c r="E1806" s="34">
        <v>44925</v>
      </c>
      <c r="F1806" s="34">
        <v>44928</v>
      </c>
      <c r="G1806" s="34">
        <v>44931</v>
      </c>
      <c r="H1806" s="35">
        <v>4.0000000000000001E-3</v>
      </c>
      <c r="I1806" s="67">
        <v>5.1000000000000004E-3</v>
      </c>
      <c r="J1806" s="67">
        <v>0</v>
      </c>
      <c r="K1806" s="67">
        <v>5.1000000000000004E-3</v>
      </c>
      <c r="L1806" s="36">
        <f>+K1806-((K1806*0.547*0.125)+(K1806*(1-0.547)*0.26))</f>
        <v>4.1506095000000002E-3</v>
      </c>
      <c r="M1806" s="64">
        <f t="shared" si="55"/>
        <v>4.1506095000000002E-3</v>
      </c>
      <c r="N1806" s="33" t="s">
        <v>248</v>
      </c>
    </row>
    <row r="1807" spans="1:14" ht="15">
      <c r="A1807" s="12"/>
      <c r="B1807" s="33" t="s">
        <v>145</v>
      </c>
      <c r="C1807" s="92" t="s">
        <v>352</v>
      </c>
      <c r="D1807" s="33" t="s">
        <v>410</v>
      </c>
      <c r="E1807" s="34">
        <v>44925</v>
      </c>
      <c r="F1807" s="34">
        <v>44928</v>
      </c>
      <c r="G1807" s="34">
        <v>44931</v>
      </c>
      <c r="H1807" s="35">
        <v>4.4999999999999997E-3</v>
      </c>
      <c r="I1807" s="67">
        <v>5.7000000000000002E-3</v>
      </c>
      <c r="J1807" s="67">
        <v>0</v>
      </c>
      <c r="K1807" s="67">
        <v>5.7000000000000002E-3</v>
      </c>
      <c r="L1807" s="36">
        <f>+K1807-((K1807*0.017*0.125)+(K1807*(1-0.017)*0.26))</f>
        <v>4.2310815E-3</v>
      </c>
      <c r="M1807" s="64">
        <f t="shared" si="55"/>
        <v>4.2310815E-3</v>
      </c>
      <c r="N1807" s="33" t="s">
        <v>248</v>
      </c>
    </row>
    <row r="1808" spans="1:14" ht="15">
      <c r="A1808" s="12"/>
      <c r="B1808" s="33" t="s">
        <v>144</v>
      </c>
      <c r="C1808" s="92" t="s">
        <v>353</v>
      </c>
      <c r="D1808" s="33" t="s">
        <v>410</v>
      </c>
      <c r="E1808" s="34">
        <v>44925</v>
      </c>
      <c r="F1808" s="34">
        <v>44928</v>
      </c>
      <c r="G1808" s="34">
        <v>44931</v>
      </c>
      <c r="H1808" s="35">
        <v>2E-3</v>
      </c>
      <c r="I1808" s="67">
        <v>2.5000000000000001E-3</v>
      </c>
      <c r="J1808" s="67">
        <v>0</v>
      </c>
      <c r="K1808" s="67">
        <v>2.5000000000000001E-3</v>
      </c>
      <c r="L1808" s="36">
        <f>+K1808-((K1808*0.8075*0.125)+(K1808*(1-0.8075)*0.26))</f>
        <v>2.1225312499999999E-3</v>
      </c>
      <c r="M1808" s="64">
        <f t="shared" si="55"/>
        <v>2.1225312499999999E-3</v>
      </c>
      <c r="N1808" s="33" t="s">
        <v>248</v>
      </c>
    </row>
    <row r="1809" spans="1:14" ht="15">
      <c r="A1809" s="12"/>
      <c r="B1809" s="33" t="s">
        <v>148</v>
      </c>
      <c r="C1809" s="92" t="s">
        <v>362</v>
      </c>
      <c r="D1809" s="33" t="s">
        <v>410</v>
      </c>
      <c r="E1809" s="34">
        <v>44925</v>
      </c>
      <c r="F1809" s="34">
        <v>44928</v>
      </c>
      <c r="G1809" s="34">
        <v>44931</v>
      </c>
      <c r="H1809" s="35">
        <v>1.4999999999999999E-2</v>
      </c>
      <c r="I1809" s="67">
        <v>1.9400000000000001E-2</v>
      </c>
      <c r="J1809" s="67">
        <v>0</v>
      </c>
      <c r="K1809" s="67">
        <v>1.9400000000000001E-2</v>
      </c>
      <c r="L1809" s="36">
        <f>+K1809-((K1809*0.4545*0.125)+(K1809*(1-0.4545)*0.26))</f>
        <v>1.5546335500000001E-2</v>
      </c>
      <c r="M1809" s="64">
        <f t="shared" si="55"/>
        <v>1.5546335500000001E-2</v>
      </c>
      <c r="N1809" s="33" t="s">
        <v>248</v>
      </c>
    </row>
    <row r="1810" spans="1:14" ht="15">
      <c r="A1810" s="12"/>
      <c r="B1810" s="33" t="s">
        <v>200</v>
      </c>
      <c r="C1810" s="92" t="s">
        <v>365</v>
      </c>
      <c r="D1810" s="33" t="s">
        <v>410</v>
      </c>
      <c r="E1810" s="34">
        <v>44925</v>
      </c>
      <c r="F1810" s="34">
        <v>44928</v>
      </c>
      <c r="G1810" s="34">
        <v>44931</v>
      </c>
      <c r="H1810" s="35">
        <v>1.4999999999999999E-2</v>
      </c>
      <c r="I1810" s="67">
        <v>0.3528</v>
      </c>
      <c r="J1810" s="67">
        <v>0</v>
      </c>
      <c r="K1810" s="67">
        <v>0.3528</v>
      </c>
      <c r="L1810" s="36">
        <f>+K1810-((K1810*0.4545*0.125)+(K1810*(1-0.4545)*0.26))</f>
        <v>0.28271892599999998</v>
      </c>
      <c r="M1810" s="64">
        <f t="shared" si="55"/>
        <v>0.28271892599999998</v>
      </c>
      <c r="N1810" s="33" t="s">
        <v>248</v>
      </c>
    </row>
    <row r="1811" spans="1:14" ht="15">
      <c r="A1811" s="12"/>
      <c r="B1811" s="33" t="s">
        <v>173</v>
      </c>
      <c r="C1811" s="92" t="s">
        <v>372</v>
      </c>
      <c r="D1811" s="33" t="s">
        <v>410</v>
      </c>
      <c r="E1811" s="34">
        <v>44925</v>
      </c>
      <c r="F1811" s="34">
        <v>44928</v>
      </c>
      <c r="G1811" s="34">
        <v>44931</v>
      </c>
      <c r="H1811" s="35">
        <v>0.01</v>
      </c>
      <c r="I1811" s="67">
        <v>1.41E-2</v>
      </c>
      <c r="J1811" s="67">
        <v>0</v>
      </c>
      <c r="K1811" s="67">
        <v>1.41E-2</v>
      </c>
      <c r="L1811" s="36">
        <f>+K1811-((K1811*0.2845*0.125)+(K1811*(1-0.2845)*0.26))</f>
        <v>1.0975545749999999E-2</v>
      </c>
      <c r="M1811" s="64">
        <f t="shared" si="55"/>
        <v>1.0975545749999999E-2</v>
      </c>
      <c r="N1811" s="33" t="s">
        <v>248</v>
      </c>
    </row>
    <row r="1812" spans="1:14" ht="15">
      <c r="A1812" s="12"/>
      <c r="B1812" s="33" t="s">
        <v>150</v>
      </c>
      <c r="C1812" s="92" t="s">
        <v>377</v>
      </c>
      <c r="D1812" s="33" t="s">
        <v>410</v>
      </c>
      <c r="E1812" s="34">
        <v>44925</v>
      </c>
      <c r="F1812" s="34">
        <v>44928</v>
      </c>
      <c r="G1812" s="34">
        <v>44931</v>
      </c>
      <c r="H1812" s="35">
        <v>2.75E-2</v>
      </c>
      <c r="I1812" s="67">
        <v>3.9E-2</v>
      </c>
      <c r="J1812" s="67">
        <v>0</v>
      </c>
      <c r="K1812" s="67">
        <v>3.9E-2</v>
      </c>
      <c r="L1812" s="36">
        <f>+K1812-((K1812*0.00000001*0.125)+(K1812*(1-0.000000001)*0.26))</f>
        <v>2.885999996139E-2</v>
      </c>
      <c r="M1812" s="64">
        <f t="shared" si="55"/>
        <v>2.885999996139E-2</v>
      </c>
      <c r="N1812" s="33" t="s">
        <v>248</v>
      </c>
    </row>
    <row r="1813" spans="1:14" ht="15">
      <c r="A1813" s="12"/>
      <c r="B1813" s="33" t="s">
        <v>510</v>
      </c>
      <c r="C1813" s="92" t="s">
        <v>509</v>
      </c>
      <c r="D1813" s="33" t="s">
        <v>410</v>
      </c>
      <c r="E1813" s="34">
        <v>44925</v>
      </c>
      <c r="F1813" s="34">
        <v>44928</v>
      </c>
      <c r="G1813" s="34">
        <v>44931</v>
      </c>
      <c r="H1813" s="35">
        <v>2.75E-2</v>
      </c>
      <c r="I1813" s="67">
        <v>3.4599999999999999E-2</v>
      </c>
      <c r="J1813" s="67">
        <v>0</v>
      </c>
      <c r="K1813" s="67">
        <v>3.4599999999999999E-2</v>
      </c>
      <c r="L1813" s="36">
        <f>+K1813-((K1813*0.00000001*0.125)+(K1813*(1-0.000000001)*0.26))</f>
        <v>2.5603999965745999E-2</v>
      </c>
      <c r="M1813" s="64">
        <f t="shared" si="55"/>
        <v>2.5603999965745999E-2</v>
      </c>
      <c r="N1813" s="33" t="s">
        <v>248</v>
      </c>
    </row>
    <row r="1814" spans="1:14" ht="15">
      <c r="A1814" s="12"/>
      <c r="B1814" s="33" t="s">
        <v>441</v>
      </c>
      <c r="C1814" s="92" t="s">
        <v>444</v>
      </c>
      <c r="D1814" s="33" t="s">
        <v>410</v>
      </c>
      <c r="E1814" s="34">
        <v>44925</v>
      </c>
      <c r="F1814" s="34">
        <v>44928</v>
      </c>
      <c r="G1814" s="34">
        <v>44931</v>
      </c>
      <c r="H1814" s="35">
        <v>1.4999999999999999E-2</v>
      </c>
      <c r="I1814" s="67">
        <v>0</v>
      </c>
      <c r="J1814" s="67">
        <v>0</v>
      </c>
      <c r="K1814" s="67">
        <v>0</v>
      </c>
      <c r="L1814" s="36">
        <f>+K1814-((K1814*0.2885*0.125)+(K1814*(1-0.2885)*0.26))</f>
        <v>0</v>
      </c>
      <c r="M1814" s="64">
        <f t="shared" si="55"/>
        <v>0</v>
      </c>
      <c r="N1814" s="33" t="s">
        <v>248</v>
      </c>
    </row>
    <row r="1815" spans="1:14" ht="15">
      <c r="A1815" s="12"/>
      <c r="B1815" s="33" t="s">
        <v>440</v>
      </c>
      <c r="C1815" s="92" t="s">
        <v>443</v>
      </c>
      <c r="D1815" s="33" t="s">
        <v>410</v>
      </c>
      <c r="E1815" s="34">
        <v>44925</v>
      </c>
      <c r="F1815" s="34">
        <v>44928</v>
      </c>
      <c r="G1815" s="34">
        <v>44931</v>
      </c>
      <c r="H1815" s="35">
        <v>1.4999999999999999E-2</v>
      </c>
      <c r="I1815" s="67">
        <v>0</v>
      </c>
      <c r="J1815" s="67">
        <v>0</v>
      </c>
      <c r="K1815" s="67">
        <v>0</v>
      </c>
      <c r="L1815" s="36">
        <f>+K1815-((K1815*0.2885*0.125)+(K1815*(1-0.2885)*0.26))</f>
        <v>0</v>
      </c>
      <c r="M1815" s="64">
        <f t="shared" si="55"/>
        <v>0</v>
      </c>
      <c r="N1815" s="33" t="s">
        <v>248</v>
      </c>
    </row>
    <row r="1816" spans="1:14" ht="15">
      <c r="A1816" s="12"/>
      <c r="B1816" s="33" t="s">
        <v>299</v>
      </c>
      <c r="C1816" s="92" t="s">
        <v>517</v>
      </c>
      <c r="D1816" s="33" t="s">
        <v>410</v>
      </c>
      <c r="E1816" s="34">
        <v>44925</v>
      </c>
      <c r="F1816" s="34">
        <v>44928</v>
      </c>
      <c r="G1816" s="34">
        <v>44931</v>
      </c>
      <c r="H1816" s="35">
        <v>1.2E-2</v>
      </c>
      <c r="I1816" s="67">
        <v>1.4999999999999999E-2</v>
      </c>
      <c r="J1816" s="67">
        <v>0</v>
      </c>
      <c r="K1816" s="67">
        <v>1.4999999999999999E-2</v>
      </c>
      <c r="L1816" s="36">
        <f>+K1816-((K1816*0.3245*0.125)+(K1816*(1-0.3245)*0.26))</f>
        <v>1.17571125E-2</v>
      </c>
      <c r="M1816" s="64">
        <f t="shared" si="55"/>
        <v>1.17571125E-2</v>
      </c>
      <c r="N1816" s="33" t="s">
        <v>248</v>
      </c>
    </row>
    <row r="1817" spans="1:14" ht="15">
      <c r="A1817" s="12"/>
      <c r="B1817" s="33" t="s">
        <v>182</v>
      </c>
      <c r="C1817" s="92" t="s">
        <v>477</v>
      </c>
      <c r="D1817" s="33" t="s">
        <v>410</v>
      </c>
      <c r="E1817" s="34">
        <v>44925</v>
      </c>
      <c r="F1817" s="34">
        <v>44928</v>
      </c>
      <c r="G1817" s="34">
        <v>44931</v>
      </c>
      <c r="H1817" s="35">
        <v>1.2E-2</v>
      </c>
      <c r="I1817" s="67">
        <v>0.29210000000000003</v>
      </c>
      <c r="J1817" s="67">
        <v>0</v>
      </c>
      <c r="K1817" s="67">
        <v>0.29210000000000003</v>
      </c>
      <c r="L1817" s="36">
        <f>+K1817-((K1817*0.3245*0.125)+(K1817*(1-0.3245)*0.26))</f>
        <v>0.22895017075000001</v>
      </c>
      <c r="M1817" s="64">
        <f t="shared" si="55"/>
        <v>0.22895017075000001</v>
      </c>
      <c r="N1817" s="33" t="s">
        <v>248</v>
      </c>
    </row>
    <row r="1818" spans="1:14" ht="15">
      <c r="A1818" s="12"/>
      <c r="B1818" s="33" t="s">
        <v>202</v>
      </c>
      <c r="C1818" s="92" t="s">
        <v>478</v>
      </c>
      <c r="D1818" s="33" t="s">
        <v>410</v>
      </c>
      <c r="E1818" s="34">
        <v>44925</v>
      </c>
      <c r="F1818" s="34">
        <v>44928</v>
      </c>
      <c r="G1818" s="34">
        <v>44931</v>
      </c>
      <c r="H1818" s="35">
        <v>1.2E-2</v>
      </c>
      <c r="I1818" s="67">
        <v>0.29670000000000002</v>
      </c>
      <c r="J1818" s="67">
        <v>0</v>
      </c>
      <c r="K1818" s="67">
        <v>0.29670000000000002</v>
      </c>
      <c r="L1818" s="36">
        <f>+K1818-((K1818*0.3245*0.125)+(K1818*(1-0.3245)*0.26))</f>
        <v>0.23255568525000003</v>
      </c>
      <c r="M1818" s="64">
        <f t="shared" si="55"/>
        <v>0.23255568525000003</v>
      </c>
      <c r="N1818" s="33" t="s">
        <v>248</v>
      </c>
    </row>
    <row r="1819" spans="1:14" ht="15">
      <c r="A1819" s="12"/>
      <c r="B1819" s="33" t="s">
        <v>146</v>
      </c>
      <c r="C1819" s="92" t="s">
        <v>380</v>
      </c>
      <c r="D1819" s="33" t="s">
        <v>410</v>
      </c>
      <c r="E1819" s="34">
        <v>44925</v>
      </c>
      <c r="F1819" s="34">
        <v>44928</v>
      </c>
      <c r="G1819" s="34">
        <v>44931</v>
      </c>
      <c r="H1819" s="35">
        <v>0.03</v>
      </c>
      <c r="I1819" s="67">
        <v>4.5400000000000003E-2</v>
      </c>
      <c r="J1819" s="67">
        <v>0</v>
      </c>
      <c r="K1819" s="67">
        <v>4.5400000000000003E-2</v>
      </c>
      <c r="L1819" s="36">
        <f>+K1819-((K1819*0.0295*0.125)+(K1819*(1-0.0295)*0.26))</f>
        <v>3.37768055E-2</v>
      </c>
      <c r="M1819" s="64">
        <f t="shared" si="55"/>
        <v>3.37768055E-2</v>
      </c>
      <c r="N1819" s="33" t="s">
        <v>248</v>
      </c>
    </row>
    <row r="1820" spans="1:14" ht="15">
      <c r="A1820" s="12"/>
      <c r="B1820" s="33" t="s">
        <v>163</v>
      </c>
      <c r="C1820" s="92" t="s">
        <v>381</v>
      </c>
      <c r="D1820" s="33" t="s">
        <v>410</v>
      </c>
      <c r="E1820" s="34">
        <v>44925</v>
      </c>
      <c r="F1820" s="34">
        <v>44928</v>
      </c>
      <c r="G1820" s="34">
        <v>44931</v>
      </c>
      <c r="H1820" s="35">
        <v>0.03</v>
      </c>
      <c r="I1820" s="67">
        <v>4.0599999999999997E-2</v>
      </c>
      <c r="J1820" s="67">
        <v>0</v>
      </c>
      <c r="K1820" s="67">
        <v>4.0599999999999997E-2</v>
      </c>
      <c r="L1820" s="36">
        <f>+K1820-((K1820*0.0295*0.125)+(K1820*(1-0.0295)*0.26))</f>
        <v>3.0205689499999997E-2</v>
      </c>
      <c r="M1820" s="64">
        <f t="shared" si="55"/>
        <v>3.0205689499999997E-2</v>
      </c>
      <c r="N1820" s="33" t="s">
        <v>248</v>
      </c>
    </row>
    <row r="1821" spans="1:14" ht="15">
      <c r="A1821" s="12"/>
      <c r="B1821" s="33" t="s">
        <v>151</v>
      </c>
      <c r="C1821" s="92" t="s">
        <v>383</v>
      </c>
      <c r="D1821" s="33" t="s">
        <v>410</v>
      </c>
      <c r="E1821" s="34">
        <v>44925</v>
      </c>
      <c r="F1821" s="34">
        <v>44928</v>
      </c>
      <c r="G1821" s="34">
        <v>44931</v>
      </c>
      <c r="H1821" s="35">
        <v>2.5000000000000001E-2</v>
      </c>
      <c r="I1821" s="67">
        <v>3.0300000000000001E-2</v>
      </c>
      <c r="J1821" s="67">
        <v>0</v>
      </c>
      <c r="K1821" s="67">
        <v>3.0300000000000001E-2</v>
      </c>
      <c r="L1821" s="36">
        <f>+K1821-((K1821*0.0555*0.125)+(K1821*(1-0.0555)*0.26))</f>
        <v>2.2649022750000001E-2</v>
      </c>
      <c r="M1821" s="64">
        <f t="shared" si="55"/>
        <v>2.2649022750000001E-2</v>
      </c>
      <c r="N1821" s="33" t="s">
        <v>248</v>
      </c>
    </row>
    <row r="1822" spans="1:14" ht="15">
      <c r="A1822" s="12"/>
      <c r="B1822" s="33" t="s">
        <v>166</v>
      </c>
      <c r="C1822" s="92" t="s">
        <v>384</v>
      </c>
      <c r="D1822" s="33" t="s">
        <v>410</v>
      </c>
      <c r="E1822" s="34">
        <v>44925</v>
      </c>
      <c r="F1822" s="34">
        <v>44928</v>
      </c>
      <c r="G1822" s="34">
        <v>44931</v>
      </c>
      <c r="H1822" s="35">
        <v>2.5000000000000001E-2</v>
      </c>
      <c r="I1822" s="67">
        <v>0.03</v>
      </c>
      <c r="J1822" s="67">
        <v>0</v>
      </c>
      <c r="K1822" s="67">
        <v>0.03</v>
      </c>
      <c r="L1822" s="36">
        <f>+K1822-((K1822*0.0555*0.125)+(K1822*(1-0.0555)*0.26))</f>
        <v>2.2424775000000001E-2</v>
      </c>
      <c r="M1822" s="64">
        <f t="shared" si="55"/>
        <v>2.2424775000000001E-2</v>
      </c>
      <c r="N1822" s="33" t="s">
        <v>248</v>
      </c>
    </row>
    <row r="1823" spans="1:14" ht="15">
      <c r="A1823" s="12"/>
      <c r="B1823" s="33" t="s">
        <v>149</v>
      </c>
      <c r="C1823" s="92" t="s">
        <v>386</v>
      </c>
      <c r="D1823" s="33" t="s">
        <v>410</v>
      </c>
      <c r="E1823" s="34">
        <v>44925</v>
      </c>
      <c r="F1823" s="34">
        <v>44928</v>
      </c>
      <c r="G1823" s="34">
        <v>44931</v>
      </c>
      <c r="H1823" s="35">
        <v>3.2500000000000001E-2</v>
      </c>
      <c r="I1823" s="67">
        <v>4.7300000000000002E-2</v>
      </c>
      <c r="J1823" s="67">
        <v>0</v>
      </c>
      <c r="K1823" s="67">
        <v>4.7300000000000002E-2</v>
      </c>
      <c r="L1823" s="36">
        <f>+K1823-((K1823*0.07*0.125)+(K1823*(1-0.07)*0.26))</f>
        <v>3.5448985000000002E-2</v>
      </c>
      <c r="M1823" s="64">
        <f t="shared" si="55"/>
        <v>3.5448985000000002E-2</v>
      </c>
      <c r="N1823" s="33" t="s">
        <v>248</v>
      </c>
    </row>
    <row r="1824" spans="1:14" ht="15">
      <c r="A1824" s="12"/>
      <c r="B1824" s="33" t="s">
        <v>165</v>
      </c>
      <c r="C1824" s="92" t="s">
        <v>387</v>
      </c>
      <c r="D1824" s="33" t="s">
        <v>410</v>
      </c>
      <c r="E1824" s="34">
        <v>44925</v>
      </c>
      <c r="F1824" s="34">
        <v>44928</v>
      </c>
      <c r="G1824" s="34">
        <v>44931</v>
      </c>
      <c r="H1824" s="35">
        <v>3.2500000000000001E-2</v>
      </c>
      <c r="I1824" s="67">
        <v>4.41E-2</v>
      </c>
      <c r="J1824" s="67">
        <v>0</v>
      </c>
      <c r="K1824" s="67">
        <v>4.41E-2</v>
      </c>
      <c r="L1824" s="36">
        <f>+K1824-((K1824*0.07*0.125)+(K1824*(1-0.07)*0.26))</f>
        <v>3.3050744999999999E-2</v>
      </c>
      <c r="M1824" s="64">
        <f t="shared" si="55"/>
        <v>3.3050744999999999E-2</v>
      </c>
      <c r="N1824" s="33" t="s">
        <v>248</v>
      </c>
    </row>
    <row r="1825" spans="1:14" ht="15">
      <c r="A1825" s="12"/>
      <c r="B1825" s="33" t="s">
        <v>153</v>
      </c>
      <c r="C1825" s="92" t="s">
        <v>394</v>
      </c>
      <c r="D1825" s="33" t="s">
        <v>410</v>
      </c>
      <c r="E1825" s="34">
        <v>44925</v>
      </c>
      <c r="F1825" s="34">
        <v>44928</v>
      </c>
      <c r="G1825" s="34">
        <v>44931</v>
      </c>
      <c r="H1825" s="35">
        <v>1.6E-2</v>
      </c>
      <c r="I1825" s="67">
        <v>1.9599999999999999E-2</v>
      </c>
      <c r="J1825" s="67">
        <v>0</v>
      </c>
      <c r="K1825" s="67">
        <v>1.9599999999999999E-2</v>
      </c>
      <c r="L1825" s="36">
        <f>+K1825-((K1825*0.204*0.125)+(K1825*(1-0.204)*0.26))</f>
        <v>1.5043783999999999E-2</v>
      </c>
      <c r="M1825" s="64">
        <f t="shared" si="55"/>
        <v>1.5043783999999999E-2</v>
      </c>
      <c r="N1825" s="33" t="s">
        <v>248</v>
      </c>
    </row>
    <row r="1826" spans="1:14" ht="15">
      <c r="A1826" s="12"/>
      <c r="B1826" s="33" t="s">
        <v>152</v>
      </c>
      <c r="C1826" s="92" t="s">
        <v>395</v>
      </c>
      <c r="D1826" s="33" t="s">
        <v>410</v>
      </c>
      <c r="E1826" s="34">
        <v>44925</v>
      </c>
      <c r="F1826" s="34">
        <v>44928</v>
      </c>
      <c r="G1826" s="34">
        <v>44931</v>
      </c>
      <c r="H1826" s="35">
        <v>1.6E-2</v>
      </c>
      <c r="I1826" s="67">
        <v>2.6800000000000001E-2</v>
      </c>
      <c r="J1826" s="67">
        <v>0</v>
      </c>
      <c r="K1826" s="67">
        <v>2.6800000000000001E-2</v>
      </c>
      <c r="L1826" s="36">
        <f>+K1826-((K1826*0.204*0.125)+(K1826*(1-0.204)*0.26))</f>
        <v>2.0570072000000002E-2</v>
      </c>
      <c r="M1826" s="64">
        <f t="shared" si="55"/>
        <v>2.0570072000000002E-2</v>
      </c>
      <c r="N1826" s="33" t="s">
        <v>248</v>
      </c>
    </row>
    <row r="1827" spans="1:14" ht="15">
      <c r="A1827" s="12"/>
      <c r="B1827" s="33" t="s">
        <v>167</v>
      </c>
      <c r="C1827" s="92" t="s">
        <v>396</v>
      </c>
      <c r="D1827" s="33" t="s">
        <v>410</v>
      </c>
      <c r="E1827" s="34">
        <v>44925</v>
      </c>
      <c r="F1827" s="34">
        <v>44928</v>
      </c>
      <c r="G1827" s="34">
        <v>44931</v>
      </c>
      <c r="H1827" s="35">
        <v>1.6E-2</v>
      </c>
      <c r="I1827" s="67">
        <v>2.5499999999999998E-2</v>
      </c>
      <c r="J1827" s="67">
        <v>0</v>
      </c>
      <c r="K1827" s="67">
        <v>2.5499999999999998E-2</v>
      </c>
      <c r="L1827" s="36">
        <f>+K1827-((K1827*0.204*0.125)+(K1827*(1-0.204)*0.26))</f>
        <v>1.9572269999999999E-2</v>
      </c>
      <c r="M1827" s="64">
        <f t="shared" si="55"/>
        <v>1.9572269999999999E-2</v>
      </c>
      <c r="N1827" s="33" t="s">
        <v>248</v>
      </c>
    </row>
    <row r="1828" spans="1:14" ht="15">
      <c r="A1828" s="12"/>
      <c r="B1828" s="33" t="s">
        <v>301</v>
      </c>
      <c r="C1828" s="92" t="s">
        <v>407</v>
      </c>
      <c r="D1828" s="33" t="s">
        <v>410</v>
      </c>
      <c r="E1828" s="34">
        <v>44925</v>
      </c>
      <c r="F1828" s="34">
        <v>44928</v>
      </c>
      <c r="G1828" s="34">
        <v>44931</v>
      </c>
      <c r="H1828" s="35">
        <v>1.6E-2</v>
      </c>
      <c r="I1828" s="67">
        <v>2.01E-2</v>
      </c>
      <c r="J1828" s="67">
        <v>0</v>
      </c>
      <c r="K1828" s="67">
        <v>2.01E-2</v>
      </c>
      <c r="L1828" s="36">
        <f>+K1828-((K1828*0.204*0.125)+(K1828*(1-0.204)*0.26))</f>
        <v>1.5427554E-2</v>
      </c>
      <c r="M1828" s="64">
        <f t="shared" si="55"/>
        <v>1.5427554E-2</v>
      </c>
      <c r="N1828" s="33" t="s">
        <v>248</v>
      </c>
    </row>
    <row r="1829" spans="1:14" ht="15">
      <c r="A1829" s="12"/>
      <c r="B1829" s="33" t="s">
        <v>304</v>
      </c>
      <c r="C1829" s="92" t="s">
        <v>408</v>
      </c>
      <c r="D1829" s="33" t="s">
        <v>410</v>
      </c>
      <c r="E1829" s="34">
        <v>44925</v>
      </c>
      <c r="F1829" s="34">
        <v>44928</v>
      </c>
      <c r="G1829" s="34">
        <v>44931</v>
      </c>
      <c r="H1829" s="35">
        <v>1.2E-2</v>
      </c>
      <c r="I1829" s="67">
        <v>1.4800000000000001E-2</v>
      </c>
      <c r="J1829" s="67">
        <v>0</v>
      </c>
      <c r="K1829" s="67">
        <v>1.4800000000000001E-2</v>
      </c>
      <c r="L1829" s="36">
        <f>+K1829-((K1829*0.184*0.125)+(K1829*(1-0.184)*0.26))</f>
        <v>1.1319632E-2</v>
      </c>
      <c r="M1829" s="64">
        <f t="shared" si="55"/>
        <v>1.1319632E-2</v>
      </c>
      <c r="N1829" s="33" t="s">
        <v>248</v>
      </c>
    </row>
    <row r="1830" spans="1:14" ht="15">
      <c r="A1830" s="12"/>
      <c r="B1830" s="33" t="s">
        <v>183</v>
      </c>
      <c r="C1830" s="92" t="s">
        <v>398</v>
      </c>
      <c r="D1830" s="33" t="s">
        <v>410</v>
      </c>
      <c r="E1830" s="34">
        <v>44925</v>
      </c>
      <c r="F1830" s="34">
        <v>44928</v>
      </c>
      <c r="G1830" s="34">
        <v>44931</v>
      </c>
      <c r="H1830" s="35">
        <v>1.2E-2</v>
      </c>
      <c r="I1830" s="67">
        <v>1.4800000000000001E-2</v>
      </c>
      <c r="J1830" s="67">
        <v>0</v>
      </c>
      <c r="K1830" s="67">
        <v>1.4800000000000001E-2</v>
      </c>
      <c r="L1830" s="36">
        <f>+K1830-((K1830*0.184*0.125)+(K1830*(1-0.184)*0.26))</f>
        <v>1.1319632E-2</v>
      </c>
      <c r="M1830" s="64">
        <f t="shared" si="55"/>
        <v>1.1319632E-2</v>
      </c>
      <c r="N1830" s="33" t="s">
        <v>248</v>
      </c>
    </row>
    <row r="1831" spans="1:14" ht="15">
      <c r="A1831" s="12"/>
      <c r="B1831" s="33" t="s">
        <v>305</v>
      </c>
      <c r="C1831" s="92" t="s">
        <v>409</v>
      </c>
      <c r="D1831" s="33" t="s">
        <v>410</v>
      </c>
      <c r="E1831" s="34">
        <v>44925</v>
      </c>
      <c r="F1831" s="34">
        <v>44928</v>
      </c>
      <c r="G1831" s="34">
        <v>44931</v>
      </c>
      <c r="H1831" s="35">
        <v>1.2E-2</v>
      </c>
      <c r="I1831" s="67">
        <v>1.49E-2</v>
      </c>
      <c r="J1831" s="67">
        <v>0</v>
      </c>
      <c r="K1831" s="67">
        <v>1.49E-2</v>
      </c>
      <c r="L1831" s="36">
        <f>+K1831-((K1831*0.184*0.125)+(K1831*(1-0.184)*0.26))</f>
        <v>1.1396116E-2</v>
      </c>
      <c r="M1831" s="64">
        <f t="shared" si="55"/>
        <v>1.1396116E-2</v>
      </c>
      <c r="N1831" s="33" t="s">
        <v>248</v>
      </c>
    </row>
    <row r="1832" spans="1:14" ht="15">
      <c r="A1832" s="12"/>
      <c r="B1832" s="33" t="s">
        <v>147</v>
      </c>
      <c r="C1832" s="92" t="s">
        <v>466</v>
      </c>
      <c r="D1832" s="33" t="s">
        <v>410</v>
      </c>
      <c r="E1832" s="34">
        <v>44925</v>
      </c>
      <c r="F1832" s="34">
        <v>44928</v>
      </c>
      <c r="G1832" s="34">
        <v>44931</v>
      </c>
      <c r="H1832" s="35">
        <v>0.03</v>
      </c>
      <c r="I1832" s="67">
        <v>3.9699999999999999E-2</v>
      </c>
      <c r="J1832" s="67">
        <v>0</v>
      </c>
      <c r="K1832" s="67">
        <v>3.9699999999999999E-2</v>
      </c>
      <c r="L1832" s="36">
        <f>+K1832-((K1832*0.101*0.125)+(K1832*(1-0.101)*0.26))</f>
        <v>2.9919309499999998E-2</v>
      </c>
      <c r="M1832" s="64">
        <f t="shared" si="55"/>
        <v>2.9919309499999998E-2</v>
      </c>
      <c r="N1832" s="33" t="s">
        <v>248</v>
      </c>
    </row>
    <row r="1833" spans="1:14" ht="15">
      <c r="A1833" s="12"/>
      <c r="B1833" s="33" t="s">
        <v>164</v>
      </c>
      <c r="C1833" s="92" t="s">
        <v>467</v>
      </c>
      <c r="D1833" s="33" t="s">
        <v>410</v>
      </c>
      <c r="E1833" s="34">
        <v>44925</v>
      </c>
      <c r="F1833" s="34">
        <v>44928</v>
      </c>
      <c r="G1833" s="34">
        <v>44931</v>
      </c>
      <c r="H1833" s="35">
        <v>0.03</v>
      </c>
      <c r="I1833" s="67">
        <v>3.7100000000000001E-2</v>
      </c>
      <c r="J1833" s="67">
        <v>0</v>
      </c>
      <c r="K1833" s="67">
        <v>3.7100000000000001E-2</v>
      </c>
      <c r="L1833" s="36">
        <f>+K1833-((K1833*0.101*0.125)+(K1833*(1-0.101)*0.26))</f>
        <v>2.7959858499999997E-2</v>
      </c>
      <c r="M1833" s="64">
        <f t="shared" si="55"/>
        <v>2.7959858499999997E-2</v>
      </c>
      <c r="N1833" s="33" t="s">
        <v>248</v>
      </c>
    </row>
    <row r="1834" spans="1:14" ht="15">
      <c r="A1834" s="12"/>
      <c r="B1834" s="33" t="s">
        <v>479</v>
      </c>
      <c r="C1834" s="92" t="s">
        <v>481</v>
      </c>
      <c r="D1834" s="33" t="s">
        <v>412</v>
      </c>
      <c r="E1834" s="34">
        <v>44951</v>
      </c>
      <c r="F1834" s="34">
        <v>44952</v>
      </c>
      <c r="G1834" s="34">
        <v>44957</v>
      </c>
      <c r="H1834" s="35">
        <v>6.5000000000000002E-2</v>
      </c>
      <c r="I1834" s="67">
        <v>0.24379999999999999</v>
      </c>
      <c r="J1834" s="67">
        <v>0</v>
      </c>
      <c r="K1834" s="67">
        <v>0.24379999999999999</v>
      </c>
      <c r="L1834" s="36">
        <f>+K1834-((K1834*0.1248*0.125)+(K1834*(1-0.1248)*0.26))</f>
        <v>0.18451954239999999</v>
      </c>
      <c r="M1834" s="64">
        <f t="shared" si="55"/>
        <v>0.18451954239999999</v>
      </c>
      <c r="N1834" s="33" t="s">
        <v>495</v>
      </c>
    </row>
    <row r="1835" spans="1:14" ht="15">
      <c r="A1835" s="12"/>
      <c r="B1835" s="33" t="s">
        <v>480</v>
      </c>
      <c r="C1835" s="92" t="s">
        <v>482</v>
      </c>
      <c r="D1835" s="33" t="s">
        <v>412</v>
      </c>
      <c r="E1835" s="34">
        <v>44951</v>
      </c>
      <c r="F1835" s="34">
        <v>44952</v>
      </c>
      <c r="G1835" s="34">
        <v>44957</v>
      </c>
      <c r="H1835" s="35">
        <v>6.5000000000000002E-2</v>
      </c>
      <c r="I1835" s="67">
        <v>0.22720000000000001</v>
      </c>
      <c r="J1835" s="67">
        <v>0</v>
      </c>
      <c r="K1835" s="67">
        <v>0.22720000000000001</v>
      </c>
      <c r="L1835" s="36">
        <f>+K1835-((K1835*0.1248*0.125)+(K1835*(1-0.1248)*0.26))</f>
        <v>0.17195586560000001</v>
      </c>
      <c r="M1835" s="64">
        <f t="shared" si="55"/>
        <v>0.17195586560000001</v>
      </c>
      <c r="N1835" s="33" t="s">
        <v>495</v>
      </c>
    </row>
    <row r="1836" spans="1:14" ht="15">
      <c r="A1836" s="12"/>
      <c r="B1836" s="33" t="s">
        <v>132</v>
      </c>
      <c r="C1836" s="92" t="s">
        <v>358</v>
      </c>
      <c r="D1836" s="33" t="s">
        <v>410</v>
      </c>
      <c r="E1836" s="34">
        <v>44951</v>
      </c>
      <c r="F1836" s="34">
        <v>44952</v>
      </c>
      <c r="G1836" s="34">
        <v>44957</v>
      </c>
      <c r="H1836" s="35">
        <v>0.04</v>
      </c>
      <c r="I1836" s="67">
        <v>4.3499999999999997E-2</v>
      </c>
      <c r="J1836" s="67">
        <v>0</v>
      </c>
      <c r="K1836" s="67">
        <v>4.3499999999999997E-2</v>
      </c>
      <c r="L1836" s="36">
        <f>+K1836-((K1836*0.2405*0.125)+(K1836*(1-0.2405)*0.26))</f>
        <v>3.3602336249999996E-2</v>
      </c>
      <c r="M1836" s="64">
        <f t="shared" si="55"/>
        <v>3.3602336249999996E-2</v>
      </c>
      <c r="N1836" s="33" t="s">
        <v>249</v>
      </c>
    </row>
    <row r="1837" spans="1:14" ht="15">
      <c r="A1837" s="12"/>
      <c r="B1837" s="33" t="s">
        <v>227</v>
      </c>
      <c r="C1837" s="92" t="s">
        <v>359</v>
      </c>
      <c r="D1837" s="33" t="s">
        <v>410</v>
      </c>
      <c r="E1837" s="34">
        <v>44951</v>
      </c>
      <c r="F1837" s="34">
        <v>44952</v>
      </c>
      <c r="G1837" s="34">
        <v>44957</v>
      </c>
      <c r="H1837" s="35">
        <v>0.04</v>
      </c>
      <c r="I1837" s="67">
        <v>4.2999999999999997E-2</v>
      </c>
      <c r="J1837" s="67">
        <v>0</v>
      </c>
      <c r="K1837" s="67">
        <v>4.2999999999999997E-2</v>
      </c>
      <c r="L1837" s="36">
        <f>+K1837-((K1837*0.2405*0.125)+(K1837*(1-0.2405)*0.26))</f>
        <v>3.3216102499999997E-2</v>
      </c>
      <c r="M1837" s="64">
        <f t="shared" si="55"/>
        <v>3.3216102499999997E-2</v>
      </c>
      <c r="N1837" s="33" t="s">
        <v>249</v>
      </c>
    </row>
    <row r="1838" spans="1:14" ht="15">
      <c r="A1838" s="12"/>
      <c r="B1838" s="33" t="s">
        <v>133</v>
      </c>
      <c r="C1838" s="92" t="s">
        <v>474</v>
      </c>
      <c r="D1838" s="33" t="s">
        <v>410</v>
      </c>
      <c r="E1838" s="34">
        <v>44951</v>
      </c>
      <c r="F1838" s="34">
        <v>44952</v>
      </c>
      <c r="G1838" s="34">
        <v>44957</v>
      </c>
      <c r="H1838" s="35">
        <v>3.5000000000000003E-2</v>
      </c>
      <c r="I1838" s="67">
        <v>4.0800000000000003E-2</v>
      </c>
      <c r="J1838" s="67">
        <v>1.10306E-2</v>
      </c>
      <c r="K1838" s="67">
        <v>2.9769400000000005E-2</v>
      </c>
      <c r="L1838" s="36">
        <f>+K1838-((K1838*0.005*0.125)+(K1838*(1-0.005)*0.26))</f>
        <v>2.2049450345000002E-2</v>
      </c>
      <c r="M1838" s="64">
        <f t="shared" si="55"/>
        <v>3.3080050345000001E-2</v>
      </c>
      <c r="N1838" s="33" t="s">
        <v>249</v>
      </c>
    </row>
    <row r="1839" spans="1:14" ht="15">
      <c r="A1839" s="12"/>
      <c r="B1839" s="33" t="s">
        <v>134</v>
      </c>
      <c r="C1839" s="92" t="s">
        <v>374</v>
      </c>
      <c r="D1839" s="33" t="s">
        <v>410</v>
      </c>
      <c r="E1839" s="34">
        <v>44951</v>
      </c>
      <c r="F1839" s="34">
        <v>44952</v>
      </c>
      <c r="G1839" s="34">
        <v>44957</v>
      </c>
      <c r="H1839" s="35">
        <v>5.5E-2</v>
      </c>
      <c r="I1839" s="67">
        <v>6.8000000000000005E-2</v>
      </c>
      <c r="J1839" s="67">
        <v>0</v>
      </c>
      <c r="K1839" s="67">
        <v>6.8000000000000005E-2</v>
      </c>
      <c r="L1839" s="36">
        <f>+K1839-((K1839*0.2325*0.125)+(K1839*(1-0.2325)*0.26))</f>
        <v>5.2454350000000004E-2</v>
      </c>
      <c r="M1839" s="64">
        <f t="shared" si="55"/>
        <v>5.2454350000000004E-2</v>
      </c>
      <c r="N1839" s="33" t="s">
        <v>249</v>
      </c>
    </row>
    <row r="1840" spans="1:14" ht="15">
      <c r="A1840" s="12"/>
      <c r="B1840" s="33" t="s">
        <v>168</v>
      </c>
      <c r="C1840" s="92" t="s">
        <v>376</v>
      </c>
      <c r="D1840" s="33" t="s">
        <v>410</v>
      </c>
      <c r="E1840" s="34">
        <v>44951</v>
      </c>
      <c r="F1840" s="34">
        <v>44952</v>
      </c>
      <c r="G1840" s="34">
        <v>44957</v>
      </c>
      <c r="H1840" s="35">
        <v>5.5E-2</v>
      </c>
      <c r="I1840" s="67">
        <v>5.2699999999999997E-2</v>
      </c>
      <c r="J1840" s="67">
        <v>0</v>
      </c>
      <c r="K1840" s="67">
        <v>5.2699999999999997E-2</v>
      </c>
      <c r="L1840" s="36">
        <f>+K1840-((K1840*0.2325*0.125)+(K1840*(1-0.2325)*0.26))</f>
        <v>4.0652121249999992E-2</v>
      </c>
      <c r="M1840" s="64">
        <f t="shared" si="55"/>
        <v>4.0652121249999992E-2</v>
      </c>
      <c r="N1840" s="33" t="s">
        <v>249</v>
      </c>
    </row>
    <row r="1841" spans="1:14" ht="15">
      <c r="A1841" s="12"/>
      <c r="B1841" s="33" t="s">
        <v>136</v>
      </c>
      <c r="C1841" s="92" t="s">
        <v>388</v>
      </c>
      <c r="D1841" s="33" t="s">
        <v>410</v>
      </c>
      <c r="E1841" s="34">
        <v>44951</v>
      </c>
      <c r="F1841" s="34">
        <v>44952</v>
      </c>
      <c r="G1841" s="34">
        <v>44957</v>
      </c>
      <c r="H1841" s="35">
        <v>0.03</v>
      </c>
      <c r="I1841" s="67">
        <v>3.5499999999999997E-2</v>
      </c>
      <c r="J1841" s="67">
        <v>0</v>
      </c>
      <c r="K1841" s="67">
        <v>3.5499999999999997E-2</v>
      </c>
      <c r="L1841" s="36">
        <f t="shared" ref="L1841:L1846" si="56">+K1841-((K1841*0.031*0.125)+(K1841*(1-0.031)*0.26))</f>
        <v>2.6418567499999997E-2</v>
      </c>
      <c r="M1841" s="64">
        <f t="shared" si="55"/>
        <v>2.6418567499999997E-2</v>
      </c>
      <c r="N1841" s="33" t="s">
        <v>249</v>
      </c>
    </row>
    <row r="1842" spans="1:14" ht="15">
      <c r="A1842" s="12"/>
      <c r="B1842" s="33" t="s">
        <v>137</v>
      </c>
      <c r="C1842" s="92" t="s">
        <v>389</v>
      </c>
      <c r="D1842" s="33" t="s">
        <v>410</v>
      </c>
      <c r="E1842" s="34">
        <v>44951</v>
      </c>
      <c r="F1842" s="34">
        <v>44952</v>
      </c>
      <c r="G1842" s="34">
        <v>44957</v>
      </c>
      <c r="H1842" s="35">
        <v>0.04</v>
      </c>
      <c r="I1842" s="67">
        <v>5.2299999999999999E-2</v>
      </c>
      <c r="J1842" s="67">
        <v>0</v>
      </c>
      <c r="K1842" s="67">
        <v>5.2299999999999999E-2</v>
      </c>
      <c r="L1842" s="36">
        <f t="shared" si="56"/>
        <v>3.89208755E-2</v>
      </c>
      <c r="M1842" s="64">
        <f t="shared" si="55"/>
        <v>3.89208755E-2</v>
      </c>
      <c r="N1842" s="33" t="s">
        <v>249</v>
      </c>
    </row>
    <row r="1843" spans="1:14" ht="15">
      <c r="A1843" s="12"/>
      <c r="B1843" s="33" t="s">
        <v>135</v>
      </c>
      <c r="C1843" s="92" t="s">
        <v>390</v>
      </c>
      <c r="D1843" s="33" t="s">
        <v>410</v>
      </c>
      <c r="E1843" s="34">
        <v>44951</v>
      </c>
      <c r="F1843" s="34">
        <v>44952</v>
      </c>
      <c r="G1843" s="34">
        <v>44957</v>
      </c>
      <c r="H1843" s="35">
        <v>4.7500000000000001E-2</v>
      </c>
      <c r="I1843" s="67">
        <v>6.25E-2</v>
      </c>
      <c r="J1843" s="67">
        <v>0</v>
      </c>
      <c r="K1843" s="67">
        <v>6.25E-2</v>
      </c>
      <c r="L1843" s="36">
        <f t="shared" si="56"/>
        <v>4.6511562499999999E-2</v>
      </c>
      <c r="M1843" s="64">
        <f t="shared" si="55"/>
        <v>4.6511562499999999E-2</v>
      </c>
      <c r="N1843" s="33" t="s">
        <v>249</v>
      </c>
    </row>
    <row r="1844" spans="1:14" ht="15">
      <c r="A1844" s="12"/>
      <c r="B1844" s="33" t="s">
        <v>170</v>
      </c>
      <c r="C1844" s="92" t="s">
        <v>391</v>
      </c>
      <c r="D1844" s="33" t="s">
        <v>410</v>
      </c>
      <c r="E1844" s="34">
        <v>44951</v>
      </c>
      <c r="F1844" s="34">
        <v>44952</v>
      </c>
      <c r="G1844" s="34">
        <v>44957</v>
      </c>
      <c r="H1844" s="35">
        <v>0.03</v>
      </c>
      <c r="I1844" s="67">
        <v>3.4599999999999999E-2</v>
      </c>
      <c r="J1844" s="67">
        <v>0</v>
      </c>
      <c r="K1844" s="67">
        <v>3.4599999999999999E-2</v>
      </c>
      <c r="L1844" s="36">
        <f t="shared" si="56"/>
        <v>2.5748800999999998E-2</v>
      </c>
      <c r="M1844" s="64">
        <f t="shared" si="55"/>
        <v>2.5748800999999998E-2</v>
      </c>
      <c r="N1844" s="33" t="s">
        <v>249</v>
      </c>
    </row>
    <row r="1845" spans="1:14" ht="15">
      <c r="A1845" s="12"/>
      <c r="B1845" s="33" t="s">
        <v>171</v>
      </c>
      <c r="C1845" s="92" t="s">
        <v>392</v>
      </c>
      <c r="D1845" s="33" t="s">
        <v>410</v>
      </c>
      <c r="E1845" s="34">
        <v>44951</v>
      </c>
      <c r="F1845" s="34">
        <v>44952</v>
      </c>
      <c r="G1845" s="34">
        <v>44957</v>
      </c>
      <c r="H1845" s="35">
        <v>0.04</v>
      </c>
      <c r="I1845" s="67">
        <v>5.0299999999999997E-2</v>
      </c>
      <c r="J1845" s="67">
        <v>0</v>
      </c>
      <c r="K1845" s="67">
        <v>5.0299999999999997E-2</v>
      </c>
      <c r="L1845" s="36">
        <f t="shared" si="56"/>
        <v>3.7432505499999998E-2</v>
      </c>
      <c r="M1845" s="64">
        <f t="shared" si="55"/>
        <v>3.7432505499999998E-2</v>
      </c>
      <c r="N1845" s="33" t="s">
        <v>249</v>
      </c>
    </row>
    <row r="1846" spans="1:14" ht="15">
      <c r="A1846" s="12"/>
      <c r="B1846" s="33" t="s">
        <v>172</v>
      </c>
      <c r="C1846" s="92" t="s">
        <v>393</v>
      </c>
      <c r="D1846" s="33" t="s">
        <v>410</v>
      </c>
      <c r="E1846" s="34">
        <v>44951</v>
      </c>
      <c r="F1846" s="34">
        <v>44952</v>
      </c>
      <c r="G1846" s="34">
        <v>44957</v>
      </c>
      <c r="H1846" s="35">
        <v>4.7500000000000001E-2</v>
      </c>
      <c r="I1846" s="67">
        <v>6.0600000000000001E-2</v>
      </c>
      <c r="J1846" s="67">
        <v>0</v>
      </c>
      <c r="K1846" s="67">
        <v>6.0600000000000001E-2</v>
      </c>
      <c r="L1846" s="36">
        <f t="shared" si="56"/>
        <v>4.5097611000000003E-2</v>
      </c>
      <c r="M1846" s="64">
        <f t="shared" si="55"/>
        <v>4.5097611000000003E-2</v>
      </c>
      <c r="N1846" s="33" t="s">
        <v>249</v>
      </c>
    </row>
    <row r="1847" spans="1:14" ht="15">
      <c r="A1847" s="12"/>
      <c r="B1847" s="33" t="s">
        <v>169</v>
      </c>
      <c r="C1847" s="92" t="s">
        <v>400</v>
      </c>
      <c r="D1847" s="33" t="s">
        <v>410</v>
      </c>
      <c r="E1847" s="34">
        <v>44951</v>
      </c>
      <c r="F1847" s="34">
        <v>44952</v>
      </c>
      <c r="G1847" s="34">
        <v>44957</v>
      </c>
      <c r="H1847" s="35">
        <v>6.5000000000000002E-2</v>
      </c>
      <c r="I1847" s="67">
        <v>6.3100000000000003E-2</v>
      </c>
      <c r="J1847" s="67">
        <v>0</v>
      </c>
      <c r="K1847" s="67">
        <v>6.3100000000000003E-2</v>
      </c>
      <c r="L1847" s="36">
        <f>+K1847-((K1847*0.1248*0.125)+(K1847*(1-0.1248)*0.26))</f>
        <v>4.7757108800000003E-2</v>
      </c>
      <c r="M1847" s="64">
        <f t="shared" si="55"/>
        <v>4.7757108800000003E-2</v>
      </c>
      <c r="N1847" s="33" t="s">
        <v>249</v>
      </c>
    </row>
    <row r="1848" spans="1:14" ht="15">
      <c r="A1848" s="12"/>
      <c r="B1848" s="33" t="s">
        <v>156</v>
      </c>
      <c r="C1848" s="92" t="s">
        <v>473</v>
      </c>
      <c r="D1848" s="33" t="s">
        <v>496</v>
      </c>
      <c r="E1848" s="34">
        <v>44951</v>
      </c>
      <c r="F1848" s="34">
        <v>44952</v>
      </c>
      <c r="G1848" s="34">
        <v>44957</v>
      </c>
      <c r="H1848" s="35">
        <v>3.5000000000000003E-2</v>
      </c>
      <c r="I1848" s="67">
        <v>8.1500000000000003E-2</v>
      </c>
      <c r="J1848" s="67">
        <v>0</v>
      </c>
      <c r="K1848" s="67">
        <v>8.1500000000000003E-2</v>
      </c>
      <c r="L1848" s="36">
        <f>+K1848-((K1848*0.0000001*0.125)+(K1848*(1-0.0000001)*0.26))</f>
        <v>6.0310001100249998E-2</v>
      </c>
      <c r="M1848" s="64">
        <f t="shared" si="55"/>
        <v>6.0310001100249998E-2</v>
      </c>
      <c r="N1848" s="33" t="s">
        <v>250</v>
      </c>
    </row>
    <row r="1849" spans="1:14" ht="15">
      <c r="A1849" s="12"/>
      <c r="B1849" s="33" t="s">
        <v>178</v>
      </c>
      <c r="C1849" s="92" t="s">
        <v>472</v>
      </c>
      <c r="D1849" s="33" t="s">
        <v>496</v>
      </c>
      <c r="E1849" s="34">
        <v>44951</v>
      </c>
      <c r="F1849" s="34">
        <v>44952</v>
      </c>
      <c r="G1849" s="34">
        <v>44957</v>
      </c>
      <c r="H1849" s="35">
        <v>3.5000000000000003E-2</v>
      </c>
      <c r="I1849" s="67">
        <v>7.0499999999999993E-2</v>
      </c>
      <c r="J1849" s="67">
        <v>0</v>
      </c>
      <c r="K1849" s="67">
        <v>7.0499999999999993E-2</v>
      </c>
      <c r="L1849" s="36">
        <f>+K1849-((K1849*0.0000001*0.125)+(K1849*(1-0.0000001)*0.26))</f>
        <v>5.2170000951749992E-2</v>
      </c>
      <c r="M1849" s="64">
        <f t="shared" ref="M1849:M1912" si="57">J1849+L1849</f>
        <v>5.2170000951749992E-2</v>
      </c>
      <c r="N1849" s="33" t="s">
        <v>250</v>
      </c>
    </row>
    <row r="1850" spans="1:14" ht="15">
      <c r="A1850" s="12"/>
      <c r="B1850" s="33" t="s">
        <v>155</v>
      </c>
      <c r="C1850" s="92" t="s">
        <v>475</v>
      </c>
      <c r="D1850" s="33" t="s">
        <v>496</v>
      </c>
      <c r="E1850" s="34">
        <v>44951</v>
      </c>
      <c r="F1850" s="34">
        <v>44952</v>
      </c>
      <c r="G1850" s="34">
        <v>44957</v>
      </c>
      <c r="H1850" s="35">
        <v>3.5000000000000003E-2</v>
      </c>
      <c r="I1850" s="67">
        <v>9.1800000000000007E-2</v>
      </c>
      <c r="J1850" s="67">
        <v>1.107432E-2</v>
      </c>
      <c r="K1850" s="67">
        <v>8.0725680000000008E-2</v>
      </c>
      <c r="L1850" s="36">
        <f>+K1850-((K1850*0.005*0.125)+(K1850*(1-0.005)*0.26))</f>
        <v>5.9791493034000005E-2</v>
      </c>
      <c r="M1850" s="64">
        <f t="shared" si="57"/>
        <v>7.0865813034000011E-2</v>
      </c>
      <c r="N1850" s="33" t="s">
        <v>250</v>
      </c>
    </row>
    <row r="1851" spans="1:14" ht="15">
      <c r="A1851" s="12"/>
      <c r="B1851" s="33" t="s">
        <v>177</v>
      </c>
      <c r="C1851" s="92" t="s">
        <v>476</v>
      </c>
      <c r="D1851" s="33" t="s">
        <v>496</v>
      </c>
      <c r="E1851" s="34">
        <v>44951</v>
      </c>
      <c r="F1851" s="34">
        <v>44952</v>
      </c>
      <c r="G1851" s="34">
        <v>44957</v>
      </c>
      <c r="H1851" s="35">
        <v>3.5000000000000003E-2</v>
      </c>
      <c r="I1851" s="67">
        <v>9.35E-2</v>
      </c>
      <c r="J1851" s="67">
        <v>1.1185960000000009E-2</v>
      </c>
      <c r="K1851" s="67">
        <v>8.2314039999999991E-2</v>
      </c>
      <c r="L1851" s="36">
        <f>+K1851-((K1851*0.005*0.125)+(K1851*(1-0.005)*0.26))</f>
        <v>6.0967951576999996E-2</v>
      </c>
      <c r="M1851" s="64">
        <f t="shared" si="57"/>
        <v>7.2153911577000004E-2</v>
      </c>
      <c r="N1851" s="33" t="s">
        <v>250</v>
      </c>
    </row>
    <row r="1852" spans="1:14" ht="15">
      <c r="A1852" s="12"/>
      <c r="B1852" s="33" t="s">
        <v>158</v>
      </c>
      <c r="C1852" s="92" t="s">
        <v>373</v>
      </c>
      <c r="D1852" s="33" t="s">
        <v>496</v>
      </c>
      <c r="E1852" s="34">
        <v>44951</v>
      </c>
      <c r="F1852" s="34">
        <v>44952</v>
      </c>
      <c r="G1852" s="34">
        <v>44957</v>
      </c>
      <c r="H1852" s="35">
        <v>5.5E-2</v>
      </c>
      <c r="I1852" s="67">
        <v>9.69E-2</v>
      </c>
      <c r="J1852" s="67">
        <v>3.4807900000000003E-2</v>
      </c>
      <c r="K1852" s="67">
        <v>6.2092099999999997E-2</v>
      </c>
      <c r="L1852" s="36">
        <f>+K1852-((K1852*0.2325*0.125)+(K1852*(1-0.2325)*0.26))</f>
        <v>4.7897069788749996E-2</v>
      </c>
      <c r="M1852" s="64">
        <f t="shared" si="57"/>
        <v>8.2704969788749999E-2</v>
      </c>
      <c r="N1852" s="33" t="s">
        <v>250</v>
      </c>
    </row>
    <row r="1853" spans="1:14" ht="15">
      <c r="A1853" s="12"/>
      <c r="B1853" s="33" t="s">
        <v>157</v>
      </c>
      <c r="C1853" s="92" t="s">
        <v>375</v>
      </c>
      <c r="D1853" s="33" t="s">
        <v>496</v>
      </c>
      <c r="E1853" s="34">
        <v>44951</v>
      </c>
      <c r="F1853" s="34">
        <v>44952</v>
      </c>
      <c r="G1853" s="34">
        <v>44957</v>
      </c>
      <c r="H1853" s="35">
        <v>5.5E-2</v>
      </c>
      <c r="I1853" s="67">
        <v>0.1026</v>
      </c>
      <c r="J1853" s="67">
        <v>2.5028600000000008E-2</v>
      </c>
      <c r="K1853" s="67">
        <v>7.7571399999999985E-2</v>
      </c>
      <c r="L1853" s="36">
        <f>+K1853-((K1853*0.2325*0.125)+(K1853*(1-0.2325)*0.26))</f>
        <v>5.9837608317499985E-2</v>
      </c>
      <c r="M1853" s="64">
        <f t="shared" si="57"/>
        <v>8.4866208317499997E-2</v>
      </c>
      <c r="N1853" s="33" t="s">
        <v>250</v>
      </c>
    </row>
    <row r="1854" spans="1:14" ht="15">
      <c r="A1854" s="12"/>
      <c r="B1854" s="33" t="s">
        <v>154</v>
      </c>
      <c r="C1854" s="92" t="s">
        <v>399</v>
      </c>
      <c r="D1854" s="33" t="s">
        <v>496</v>
      </c>
      <c r="E1854" s="34">
        <v>44951</v>
      </c>
      <c r="F1854" s="34">
        <v>44952</v>
      </c>
      <c r="G1854" s="34">
        <v>44957</v>
      </c>
      <c r="H1854" s="35">
        <v>6.5000000000000002E-2</v>
      </c>
      <c r="I1854" s="67">
        <v>0.1128</v>
      </c>
      <c r="J1854" s="67">
        <v>0</v>
      </c>
      <c r="K1854" s="67">
        <v>0.1128</v>
      </c>
      <c r="L1854" s="36">
        <f>+K1854-((K1854*0.1248*0.125)+(K1854*(1-0.1248)*0.26))</f>
        <v>8.5372454399999992E-2</v>
      </c>
      <c r="M1854" s="64">
        <f t="shared" si="57"/>
        <v>8.5372454399999992E-2</v>
      </c>
      <c r="N1854" s="33" t="s">
        <v>250</v>
      </c>
    </row>
    <row r="1855" spans="1:14" ht="15">
      <c r="A1855" s="12"/>
      <c r="B1855" s="33" t="s">
        <v>310</v>
      </c>
      <c r="C1855" s="92" t="s">
        <v>719</v>
      </c>
      <c r="D1855" s="33" t="s">
        <v>411</v>
      </c>
      <c r="E1855" s="34">
        <v>44957</v>
      </c>
      <c r="F1855" s="34">
        <v>44958</v>
      </c>
      <c r="G1855" s="34">
        <v>44963</v>
      </c>
      <c r="H1855" s="35">
        <v>0.05</v>
      </c>
      <c r="I1855" s="67">
        <v>1.47E-2</v>
      </c>
      <c r="J1855" s="67">
        <v>0</v>
      </c>
      <c r="K1855" s="67">
        <v>1.47E-2</v>
      </c>
      <c r="L1855" s="36">
        <f>+K1855-((K1855*0.0275*0.125)+(K1855*(1-0.0275)*0.26))</f>
        <v>1.0932573750000001E-2</v>
      </c>
      <c r="M1855" s="64">
        <f t="shared" si="57"/>
        <v>1.0932573750000001E-2</v>
      </c>
      <c r="N1855" s="33" t="s">
        <v>718</v>
      </c>
    </row>
    <row r="1856" spans="1:14" ht="15">
      <c r="A1856" s="12"/>
      <c r="B1856" s="33" t="s">
        <v>188</v>
      </c>
      <c r="C1856" s="92" t="s">
        <v>720</v>
      </c>
      <c r="D1856" s="33" t="s">
        <v>411</v>
      </c>
      <c r="E1856" s="34">
        <v>44957</v>
      </c>
      <c r="F1856" s="34">
        <v>44958</v>
      </c>
      <c r="G1856" s="34">
        <v>44963</v>
      </c>
      <c r="H1856" s="35">
        <v>0.05</v>
      </c>
      <c r="I1856" s="67">
        <v>0.25490000000000002</v>
      </c>
      <c r="J1856" s="67">
        <v>0</v>
      </c>
      <c r="K1856" s="67">
        <v>0.25490000000000002</v>
      </c>
      <c r="L1856" s="36">
        <f>+K1856-((K1856*0.0275*0.125)+(K1856*(1-0.0275)*0.26))</f>
        <v>0.18957231624999998</v>
      </c>
      <c r="M1856" s="64">
        <f t="shared" si="57"/>
        <v>0.18957231624999998</v>
      </c>
      <c r="N1856" s="33" t="s">
        <v>718</v>
      </c>
    </row>
    <row r="1857" spans="1:14" ht="15">
      <c r="A1857" s="12"/>
      <c r="B1857" s="33" t="s">
        <v>196</v>
      </c>
      <c r="C1857" s="92" t="s">
        <v>721</v>
      </c>
      <c r="D1857" s="33" t="s">
        <v>411</v>
      </c>
      <c r="E1857" s="34">
        <v>44957</v>
      </c>
      <c r="F1857" s="34">
        <v>44958</v>
      </c>
      <c r="G1857" s="34">
        <v>44963</v>
      </c>
      <c r="H1857" s="35">
        <v>0.05</v>
      </c>
      <c r="I1857" s="67">
        <v>0.26769999999999999</v>
      </c>
      <c r="J1857" s="67">
        <v>0</v>
      </c>
      <c r="K1857" s="67">
        <v>0.26769999999999999</v>
      </c>
      <c r="L1857" s="36">
        <f>+K1857-((K1857*0.0275*0.125)+(K1857*(1-0.0275)*0.26))</f>
        <v>0.19909183624999999</v>
      </c>
      <c r="M1857" s="64">
        <f t="shared" si="57"/>
        <v>0.19909183624999999</v>
      </c>
      <c r="N1857" s="33" t="s">
        <v>718</v>
      </c>
    </row>
    <row r="1858" spans="1:14" ht="15">
      <c r="A1858" s="12"/>
      <c r="B1858" s="33" t="s">
        <v>191</v>
      </c>
      <c r="C1858" s="92" t="s">
        <v>722</v>
      </c>
      <c r="D1858" s="33" t="s">
        <v>411</v>
      </c>
      <c r="E1858" s="34">
        <v>44957</v>
      </c>
      <c r="F1858" s="34">
        <v>44958</v>
      </c>
      <c r="G1858" s="34">
        <v>44963</v>
      </c>
      <c r="H1858" s="35">
        <v>0.03</v>
      </c>
      <c r="I1858" s="67">
        <v>8.6E-3</v>
      </c>
      <c r="J1858" s="67">
        <v>0</v>
      </c>
      <c r="K1858" s="67">
        <v>8.6E-3</v>
      </c>
      <c r="L1858" s="36">
        <f>+K1858-((K1858*0.8105*0.125)+(K1858*(1-0.8105)*0.26))</f>
        <v>7.3049905000000005E-3</v>
      </c>
      <c r="M1858" s="64">
        <f t="shared" si="57"/>
        <v>7.3049905000000005E-3</v>
      </c>
      <c r="N1858" s="33" t="s">
        <v>718</v>
      </c>
    </row>
    <row r="1859" spans="1:14" ht="15">
      <c r="A1859" s="12"/>
      <c r="B1859" s="33" t="s">
        <v>199</v>
      </c>
      <c r="C1859" s="92" t="s">
        <v>723</v>
      </c>
      <c r="D1859" s="33" t="s">
        <v>411</v>
      </c>
      <c r="E1859" s="34">
        <v>44957</v>
      </c>
      <c r="F1859" s="34">
        <v>44958</v>
      </c>
      <c r="G1859" s="34">
        <v>44963</v>
      </c>
      <c r="H1859" s="35">
        <v>0.03</v>
      </c>
      <c r="I1859" s="67">
        <v>8.6E-3</v>
      </c>
      <c r="J1859" s="67">
        <v>0</v>
      </c>
      <c r="K1859" s="67">
        <v>8.6E-3</v>
      </c>
      <c r="L1859" s="36">
        <f>+K1859-((K1859*0.8105*0.125)+(K1859*(1-0.8105)*0.26))</f>
        <v>7.3049905000000005E-3</v>
      </c>
      <c r="M1859" s="64">
        <f t="shared" si="57"/>
        <v>7.3049905000000005E-3</v>
      </c>
      <c r="N1859" s="33" t="s">
        <v>718</v>
      </c>
    </row>
    <row r="1860" spans="1:14" ht="15">
      <c r="A1860" s="12"/>
      <c r="B1860" s="33" t="s">
        <v>306</v>
      </c>
      <c r="C1860" s="92" t="s">
        <v>724</v>
      </c>
      <c r="D1860" s="33" t="s">
        <v>411</v>
      </c>
      <c r="E1860" s="34">
        <v>44957</v>
      </c>
      <c r="F1860" s="34">
        <v>44958</v>
      </c>
      <c r="G1860" s="34">
        <v>44963</v>
      </c>
      <c r="H1860" s="35">
        <v>5.5E-2</v>
      </c>
      <c r="I1860" s="67">
        <v>1.89E-2</v>
      </c>
      <c r="J1860" s="67">
        <v>0</v>
      </c>
      <c r="K1860" s="67">
        <v>1.89E-2</v>
      </c>
      <c r="L1860" s="36">
        <f t="shared" ref="L1860:L1865" si="58">+K1860-((K1860*0.0005*0.125)+(K1860*(1-0.0005)*0.26))</f>
        <v>1.398727575E-2</v>
      </c>
      <c r="M1860" s="64">
        <f t="shared" si="57"/>
        <v>1.398727575E-2</v>
      </c>
      <c r="N1860" s="33" t="s">
        <v>718</v>
      </c>
    </row>
    <row r="1861" spans="1:14" ht="15">
      <c r="A1861" s="12"/>
      <c r="B1861" s="33" t="s">
        <v>184</v>
      </c>
      <c r="C1861" s="92" t="s">
        <v>725</v>
      </c>
      <c r="D1861" s="33" t="s">
        <v>411</v>
      </c>
      <c r="E1861" s="34">
        <v>44957</v>
      </c>
      <c r="F1861" s="34">
        <v>44958</v>
      </c>
      <c r="G1861" s="34">
        <v>44963</v>
      </c>
      <c r="H1861" s="35">
        <v>5.5E-2</v>
      </c>
      <c r="I1861" s="67">
        <v>0.38009999999999999</v>
      </c>
      <c r="J1861" s="67">
        <v>0</v>
      </c>
      <c r="K1861" s="67">
        <v>0.38009999999999999</v>
      </c>
      <c r="L1861" s="36">
        <f t="shared" si="58"/>
        <v>0.28129965675000002</v>
      </c>
      <c r="M1861" s="64">
        <f t="shared" si="57"/>
        <v>0.28129965675000002</v>
      </c>
      <c r="N1861" s="33" t="s">
        <v>718</v>
      </c>
    </row>
    <row r="1862" spans="1:14" ht="15">
      <c r="A1862" s="12"/>
      <c r="B1862" s="33" t="s">
        <v>192</v>
      </c>
      <c r="C1862" s="92" t="s">
        <v>726</v>
      </c>
      <c r="D1862" s="33" t="s">
        <v>411</v>
      </c>
      <c r="E1862" s="34">
        <v>44957</v>
      </c>
      <c r="F1862" s="34">
        <v>44958</v>
      </c>
      <c r="G1862" s="34">
        <v>44963</v>
      </c>
      <c r="H1862" s="35">
        <v>5.5E-2</v>
      </c>
      <c r="I1862" s="67">
        <v>0.3876</v>
      </c>
      <c r="J1862" s="67">
        <v>0</v>
      </c>
      <c r="K1862" s="67">
        <v>0.3876</v>
      </c>
      <c r="L1862" s="36">
        <f t="shared" si="58"/>
        <v>0.28685016299999999</v>
      </c>
      <c r="M1862" s="64">
        <f t="shared" si="57"/>
        <v>0.28685016299999999</v>
      </c>
      <c r="N1862" s="33" t="s">
        <v>718</v>
      </c>
    </row>
    <row r="1863" spans="1:14" ht="15">
      <c r="A1863" s="12"/>
      <c r="B1863" s="33" t="s">
        <v>311</v>
      </c>
      <c r="C1863" s="92" t="s">
        <v>727</v>
      </c>
      <c r="D1863" s="33" t="s">
        <v>411</v>
      </c>
      <c r="E1863" s="34">
        <v>44957</v>
      </c>
      <c r="F1863" s="34">
        <v>44958</v>
      </c>
      <c r="G1863" s="34">
        <v>44963</v>
      </c>
      <c r="H1863" s="35">
        <v>4.2500000000000003E-2</v>
      </c>
      <c r="I1863" s="67">
        <v>1.6E-2</v>
      </c>
      <c r="J1863" s="67">
        <v>0</v>
      </c>
      <c r="K1863" s="67">
        <v>1.6E-2</v>
      </c>
      <c r="L1863" s="36">
        <f t="shared" si="58"/>
        <v>1.184108E-2</v>
      </c>
      <c r="M1863" s="64">
        <f t="shared" si="57"/>
        <v>1.184108E-2</v>
      </c>
      <c r="N1863" s="33" t="s">
        <v>718</v>
      </c>
    </row>
    <row r="1864" spans="1:14" ht="15">
      <c r="A1864" s="12"/>
      <c r="B1864" s="33" t="s">
        <v>189</v>
      </c>
      <c r="C1864" s="92" t="s">
        <v>728</v>
      </c>
      <c r="D1864" s="33" t="s">
        <v>411</v>
      </c>
      <c r="E1864" s="34">
        <v>44957</v>
      </c>
      <c r="F1864" s="34">
        <v>44958</v>
      </c>
      <c r="G1864" s="34">
        <v>44963</v>
      </c>
      <c r="H1864" s="35">
        <v>4.2500000000000003E-2</v>
      </c>
      <c r="I1864" s="67">
        <v>0.29170000000000001</v>
      </c>
      <c r="J1864" s="67">
        <v>0</v>
      </c>
      <c r="K1864" s="67">
        <v>0.29170000000000001</v>
      </c>
      <c r="L1864" s="36">
        <f t="shared" si="58"/>
        <v>0.21587768974999999</v>
      </c>
      <c r="M1864" s="64">
        <f t="shared" si="57"/>
        <v>0.21587768974999999</v>
      </c>
      <c r="N1864" s="33" t="s">
        <v>718</v>
      </c>
    </row>
    <row r="1865" spans="1:14" ht="15">
      <c r="A1865" s="12"/>
      <c r="B1865" s="33" t="s">
        <v>197</v>
      </c>
      <c r="C1865" s="92" t="s">
        <v>729</v>
      </c>
      <c r="D1865" s="33" t="s">
        <v>411</v>
      </c>
      <c r="E1865" s="34">
        <v>44957</v>
      </c>
      <c r="F1865" s="34">
        <v>44958</v>
      </c>
      <c r="G1865" s="34">
        <v>44963</v>
      </c>
      <c r="H1865" s="35">
        <v>4.2500000000000003E-2</v>
      </c>
      <c r="I1865" s="67">
        <v>0.29980000000000001</v>
      </c>
      <c r="J1865" s="67">
        <v>0</v>
      </c>
      <c r="K1865" s="67">
        <v>0.29980000000000001</v>
      </c>
      <c r="L1865" s="36">
        <f t="shared" si="58"/>
        <v>0.22187223649999999</v>
      </c>
      <c r="M1865" s="64">
        <f t="shared" si="57"/>
        <v>0.22187223649999999</v>
      </c>
      <c r="N1865" s="33" t="s">
        <v>718</v>
      </c>
    </row>
    <row r="1866" spans="1:14" ht="15">
      <c r="A1866" s="12"/>
      <c r="B1866" s="33" t="s">
        <v>308</v>
      </c>
      <c r="C1866" s="92" t="s">
        <v>730</v>
      </c>
      <c r="D1866" s="33" t="s">
        <v>411</v>
      </c>
      <c r="E1866" s="34">
        <v>44957</v>
      </c>
      <c r="F1866" s="34">
        <v>44958</v>
      </c>
      <c r="G1866" s="34">
        <v>44963</v>
      </c>
      <c r="H1866" s="35">
        <v>4.2500000000000003E-2</v>
      </c>
      <c r="I1866" s="67">
        <v>1.4500000000000001E-2</v>
      </c>
      <c r="J1866" s="67">
        <v>0</v>
      </c>
      <c r="K1866" s="67">
        <v>1.4500000000000001E-2</v>
      </c>
      <c r="L1866" s="36">
        <f>+K1866-((K1866*0.4775*0.125)+(K1866*(1-0.4775)*0.26))</f>
        <v>1.166470625E-2</v>
      </c>
      <c r="M1866" s="64">
        <f t="shared" si="57"/>
        <v>1.166470625E-2</v>
      </c>
      <c r="N1866" s="33" t="s">
        <v>718</v>
      </c>
    </row>
    <row r="1867" spans="1:14" ht="15">
      <c r="A1867" s="12"/>
      <c r="B1867" s="33" t="s">
        <v>186</v>
      </c>
      <c r="C1867" s="92" t="s">
        <v>731</v>
      </c>
      <c r="D1867" s="33" t="s">
        <v>411</v>
      </c>
      <c r="E1867" s="34">
        <v>44957</v>
      </c>
      <c r="F1867" s="34">
        <v>44958</v>
      </c>
      <c r="G1867" s="34">
        <v>44963</v>
      </c>
      <c r="H1867" s="35">
        <v>4.2500000000000003E-2</v>
      </c>
      <c r="I1867" s="67">
        <v>0.26669999999999999</v>
      </c>
      <c r="J1867" s="67">
        <v>0</v>
      </c>
      <c r="K1867" s="67">
        <v>0.26669999999999999</v>
      </c>
      <c r="L1867" s="36">
        <f>+K1867-((K1867*0.4775*0.125)+(K1867*(1-0.4775)*0.26))</f>
        <v>0.21455014875</v>
      </c>
      <c r="M1867" s="64">
        <f t="shared" si="57"/>
        <v>0.21455014875</v>
      </c>
      <c r="N1867" s="33" t="s">
        <v>718</v>
      </c>
    </row>
    <row r="1868" spans="1:14" ht="15">
      <c r="A1868" s="12"/>
      <c r="B1868" s="33" t="s">
        <v>194</v>
      </c>
      <c r="C1868" s="92" t="s">
        <v>732</v>
      </c>
      <c r="D1868" s="33" t="s">
        <v>411</v>
      </c>
      <c r="E1868" s="34">
        <v>44957</v>
      </c>
      <c r="F1868" s="34">
        <v>44958</v>
      </c>
      <c r="G1868" s="34">
        <v>44963</v>
      </c>
      <c r="H1868" s="35">
        <v>4.2500000000000003E-2</v>
      </c>
      <c r="I1868" s="67">
        <v>0.27589999999999998</v>
      </c>
      <c r="J1868" s="67">
        <v>0</v>
      </c>
      <c r="K1868" s="67">
        <v>0.27589999999999998</v>
      </c>
      <c r="L1868" s="36">
        <f>+K1868-((K1868*0.4775*0.125)+(K1868*(1-0.4775)*0.26))</f>
        <v>0.22195120374999999</v>
      </c>
      <c r="M1868" s="64">
        <f t="shared" si="57"/>
        <v>0.22195120374999999</v>
      </c>
      <c r="N1868" s="33" t="s">
        <v>718</v>
      </c>
    </row>
    <row r="1869" spans="1:14" ht="15">
      <c r="A1869" s="12"/>
      <c r="B1869" s="33" t="s">
        <v>307</v>
      </c>
      <c r="C1869" s="92" t="s">
        <v>733</v>
      </c>
      <c r="D1869" s="33" t="s">
        <v>411</v>
      </c>
      <c r="E1869" s="34">
        <v>44957</v>
      </c>
      <c r="F1869" s="34">
        <v>44958</v>
      </c>
      <c r="G1869" s="34">
        <v>44963</v>
      </c>
      <c r="H1869" s="35">
        <v>4.7500000000000001E-2</v>
      </c>
      <c r="I1869" s="67">
        <v>1.46E-2</v>
      </c>
      <c r="J1869" s="67">
        <v>0</v>
      </c>
      <c r="K1869" s="67">
        <v>1.46E-2</v>
      </c>
      <c r="L1869" s="36">
        <f>+K1869-((K1869*0.596*0.125)+(K1869*(1-0.596)*0.26))</f>
        <v>1.1978716E-2</v>
      </c>
      <c r="M1869" s="64">
        <f t="shared" si="57"/>
        <v>1.1978716E-2</v>
      </c>
      <c r="N1869" s="33" t="s">
        <v>718</v>
      </c>
    </row>
    <row r="1870" spans="1:14" ht="15">
      <c r="A1870" s="12"/>
      <c r="B1870" s="33" t="s">
        <v>185</v>
      </c>
      <c r="C1870" s="92" t="s">
        <v>734</v>
      </c>
      <c r="D1870" s="33" t="s">
        <v>411</v>
      </c>
      <c r="E1870" s="34">
        <v>44957</v>
      </c>
      <c r="F1870" s="34">
        <v>44958</v>
      </c>
      <c r="G1870" s="34">
        <v>44963</v>
      </c>
      <c r="H1870" s="35">
        <v>4.7500000000000001E-2</v>
      </c>
      <c r="I1870" s="67">
        <v>0.24179999999999999</v>
      </c>
      <c r="J1870" s="67">
        <v>0</v>
      </c>
      <c r="K1870" s="67">
        <v>0.24179999999999999</v>
      </c>
      <c r="L1870" s="36">
        <f>+K1870-((K1870*0.596*0.125)+(K1870*(1-0.596)*0.26))</f>
        <v>0.19838722799999997</v>
      </c>
      <c r="M1870" s="64">
        <f t="shared" si="57"/>
        <v>0.19838722799999997</v>
      </c>
      <c r="N1870" s="33" t="s">
        <v>718</v>
      </c>
    </row>
    <row r="1871" spans="1:14" ht="15">
      <c r="A1871" s="12"/>
      <c r="B1871" s="33" t="s">
        <v>193</v>
      </c>
      <c r="C1871" s="92" t="s">
        <v>735</v>
      </c>
      <c r="D1871" s="33" t="s">
        <v>411</v>
      </c>
      <c r="E1871" s="34">
        <v>44957</v>
      </c>
      <c r="F1871" s="34">
        <v>44958</v>
      </c>
      <c r="G1871" s="34">
        <v>44963</v>
      </c>
      <c r="H1871" s="35">
        <v>4.7500000000000001E-2</v>
      </c>
      <c r="I1871" s="67">
        <v>0.23899999999999999</v>
      </c>
      <c r="J1871" s="67">
        <v>0</v>
      </c>
      <c r="K1871" s="67">
        <v>0.23899999999999999</v>
      </c>
      <c r="L1871" s="36">
        <f>+K1871-((K1871*0.596*0.125)+(K1871*(1-0.596)*0.26))</f>
        <v>0.19608993999999999</v>
      </c>
      <c r="M1871" s="64">
        <f t="shared" si="57"/>
        <v>0.19608993999999999</v>
      </c>
      <c r="N1871" s="33" t="s">
        <v>718</v>
      </c>
    </row>
    <row r="1872" spans="1:14" ht="15">
      <c r="A1872" s="12"/>
      <c r="B1872" s="33" t="s">
        <v>309</v>
      </c>
      <c r="C1872" s="92" t="s">
        <v>736</v>
      </c>
      <c r="D1872" s="33" t="s">
        <v>411</v>
      </c>
      <c r="E1872" s="34">
        <v>44957</v>
      </c>
      <c r="F1872" s="34">
        <v>44958</v>
      </c>
      <c r="G1872" s="34">
        <v>44963</v>
      </c>
      <c r="H1872" s="35">
        <v>4.7500000000000001E-2</v>
      </c>
      <c r="I1872" s="67">
        <v>1.5800000000000002E-2</v>
      </c>
      <c r="J1872" s="67">
        <v>0</v>
      </c>
      <c r="K1872" s="67">
        <v>1.5800000000000002E-2</v>
      </c>
      <c r="L1872" s="36">
        <f>+K1872-((K1872*0.0535*0.125)+(K1872*(1-0.0535)*0.26))</f>
        <v>1.1806115500000002E-2</v>
      </c>
      <c r="M1872" s="64">
        <f t="shared" si="57"/>
        <v>1.1806115500000002E-2</v>
      </c>
      <c r="N1872" s="33" t="s">
        <v>718</v>
      </c>
    </row>
    <row r="1873" spans="1:14" ht="15">
      <c r="A1873" s="12"/>
      <c r="B1873" s="33" t="s">
        <v>187</v>
      </c>
      <c r="C1873" s="92" t="s">
        <v>737</v>
      </c>
      <c r="D1873" s="33" t="s">
        <v>411</v>
      </c>
      <c r="E1873" s="34">
        <v>44957</v>
      </c>
      <c r="F1873" s="34">
        <v>44958</v>
      </c>
      <c r="G1873" s="34">
        <v>44963</v>
      </c>
      <c r="H1873" s="35">
        <v>4.7500000000000001E-2</v>
      </c>
      <c r="I1873" s="67">
        <v>0.27729999999999999</v>
      </c>
      <c r="J1873" s="67">
        <v>0</v>
      </c>
      <c r="K1873" s="67">
        <v>0.27729999999999999</v>
      </c>
      <c r="L1873" s="36">
        <f>+K1873-((K1873*0.0535*0.125)+(K1873*(1-0.0535)*0.26))</f>
        <v>0.20720479924999996</v>
      </c>
      <c r="M1873" s="64">
        <f t="shared" si="57"/>
        <v>0.20720479924999996</v>
      </c>
      <c r="N1873" s="33" t="s">
        <v>718</v>
      </c>
    </row>
    <row r="1874" spans="1:14" ht="15">
      <c r="A1874" s="12"/>
      <c r="B1874" s="33" t="s">
        <v>195</v>
      </c>
      <c r="C1874" s="92" t="s">
        <v>738</v>
      </c>
      <c r="D1874" s="33" t="s">
        <v>411</v>
      </c>
      <c r="E1874" s="34">
        <v>44957</v>
      </c>
      <c r="F1874" s="34">
        <v>44958</v>
      </c>
      <c r="G1874" s="34">
        <v>44963</v>
      </c>
      <c r="H1874" s="35">
        <v>4.7500000000000001E-2</v>
      </c>
      <c r="I1874" s="67">
        <v>0.28939999999999999</v>
      </c>
      <c r="J1874" s="67">
        <v>0</v>
      </c>
      <c r="K1874" s="67">
        <v>0.28939999999999999</v>
      </c>
      <c r="L1874" s="36">
        <f>+K1874-((K1874*0.0535*0.125)+(K1874*(1-0.0535)*0.26))</f>
        <v>0.21624619150000002</v>
      </c>
      <c r="M1874" s="64">
        <f t="shared" si="57"/>
        <v>0.21624619150000002</v>
      </c>
      <c r="N1874" s="33" t="s">
        <v>718</v>
      </c>
    </row>
    <row r="1875" spans="1:14" ht="15">
      <c r="A1875" s="12"/>
      <c r="B1875" s="33" t="s">
        <v>312</v>
      </c>
      <c r="C1875" s="92" t="s">
        <v>739</v>
      </c>
      <c r="D1875" s="33" t="s">
        <v>411</v>
      </c>
      <c r="E1875" s="34">
        <v>44957</v>
      </c>
      <c r="F1875" s="34">
        <v>44958</v>
      </c>
      <c r="G1875" s="34">
        <v>44963</v>
      </c>
      <c r="H1875" s="35">
        <v>7.0000000000000007E-2</v>
      </c>
      <c r="I1875" s="67">
        <v>2.1899999999999999E-2</v>
      </c>
      <c r="J1875" s="67">
        <v>0</v>
      </c>
      <c r="K1875" s="67">
        <v>2.1899999999999999E-2</v>
      </c>
      <c r="L1875" s="36">
        <f>+K1875-((K1875*0.08*0.125)+(K1875*(1-0.08)*0.26))</f>
        <v>1.6442519999999999E-2</v>
      </c>
      <c r="M1875" s="64">
        <f t="shared" si="57"/>
        <v>1.6442519999999999E-2</v>
      </c>
      <c r="N1875" s="33" t="s">
        <v>718</v>
      </c>
    </row>
    <row r="1876" spans="1:14" ht="15">
      <c r="A1876" s="12"/>
      <c r="B1876" s="33" t="s">
        <v>190</v>
      </c>
      <c r="C1876" s="92" t="s">
        <v>740</v>
      </c>
      <c r="D1876" s="33" t="s">
        <v>411</v>
      </c>
      <c r="E1876" s="34">
        <v>44957</v>
      </c>
      <c r="F1876" s="34">
        <v>44958</v>
      </c>
      <c r="G1876" s="34">
        <v>44963</v>
      </c>
      <c r="H1876" s="35">
        <v>7.0000000000000007E-2</v>
      </c>
      <c r="I1876" s="67">
        <v>0.41499999999999998</v>
      </c>
      <c r="J1876" s="67">
        <v>0</v>
      </c>
      <c r="K1876" s="67">
        <v>0.41499999999999998</v>
      </c>
      <c r="L1876" s="36">
        <f>+K1876-((K1876*0.08*0.125)+(K1876*(1-0.08)*0.26))</f>
        <v>0.31158199999999997</v>
      </c>
      <c r="M1876" s="64">
        <f t="shared" si="57"/>
        <v>0.31158199999999997</v>
      </c>
      <c r="N1876" s="33" t="s">
        <v>718</v>
      </c>
    </row>
    <row r="1877" spans="1:14" ht="15">
      <c r="A1877" s="12"/>
      <c r="B1877" s="33" t="s">
        <v>198</v>
      </c>
      <c r="C1877" s="92" t="s">
        <v>741</v>
      </c>
      <c r="D1877" s="33" t="s">
        <v>411</v>
      </c>
      <c r="E1877" s="34">
        <v>44957</v>
      </c>
      <c r="F1877" s="34">
        <v>44958</v>
      </c>
      <c r="G1877" s="34">
        <v>44963</v>
      </c>
      <c r="H1877" s="35">
        <v>7.0000000000000007E-2</v>
      </c>
      <c r="I1877" s="67">
        <v>0.4194</v>
      </c>
      <c r="J1877" s="67">
        <v>0</v>
      </c>
      <c r="K1877" s="67">
        <v>0.4194</v>
      </c>
      <c r="L1877" s="36">
        <f>+K1877-((K1877*0.08*0.125)+(K1877*(1-0.08)*0.26))</f>
        <v>0.31488551999999997</v>
      </c>
      <c r="M1877" s="64">
        <f t="shared" si="57"/>
        <v>0.31488551999999997</v>
      </c>
      <c r="N1877" s="33" t="s">
        <v>718</v>
      </c>
    </row>
    <row r="1878" spans="1:14" ht="15">
      <c r="A1878" s="12"/>
      <c r="B1878" s="33" t="s">
        <v>513</v>
      </c>
      <c r="C1878" s="92" t="s">
        <v>742</v>
      </c>
      <c r="D1878" s="33" t="s">
        <v>411</v>
      </c>
      <c r="E1878" s="34">
        <v>44957</v>
      </c>
      <c r="F1878" s="34">
        <v>44958</v>
      </c>
      <c r="G1878" s="34">
        <v>44963</v>
      </c>
      <c r="H1878" s="35">
        <v>0.01</v>
      </c>
      <c r="I1878" s="67">
        <v>5.8099999999999999E-2</v>
      </c>
      <c r="J1878" s="67">
        <v>5.8099999999999999E-2</v>
      </c>
      <c r="K1878" s="67">
        <v>0</v>
      </c>
      <c r="L1878" s="36">
        <f>+K1878-((K1878*0.337*0.125)+(K1878*(1-0.337)*0.26))</f>
        <v>0</v>
      </c>
      <c r="M1878" s="64">
        <f t="shared" si="57"/>
        <v>5.8099999999999999E-2</v>
      </c>
      <c r="N1878" s="33" t="s">
        <v>718</v>
      </c>
    </row>
    <row r="1879" spans="1:14" ht="15">
      <c r="A1879" s="12"/>
      <c r="B1879" s="33" t="s">
        <v>514</v>
      </c>
      <c r="C1879" s="92" t="s">
        <v>743</v>
      </c>
      <c r="D1879" s="33" t="s">
        <v>411</v>
      </c>
      <c r="E1879" s="34">
        <v>44957</v>
      </c>
      <c r="F1879" s="34">
        <v>44958</v>
      </c>
      <c r="G1879" s="34">
        <v>44963</v>
      </c>
      <c r="H1879" s="35">
        <v>0.01</v>
      </c>
      <c r="I1879" s="67">
        <v>5.9400000000000001E-2</v>
      </c>
      <c r="J1879" s="67">
        <v>5.9400000000000001E-2</v>
      </c>
      <c r="K1879" s="67">
        <v>0</v>
      </c>
      <c r="L1879" s="36">
        <f>+K1879-((K1879*0.337*0.125)+(K1879*(1-0.337)*0.26))</f>
        <v>0</v>
      </c>
      <c r="M1879" s="64">
        <f t="shared" si="57"/>
        <v>5.9400000000000001E-2</v>
      </c>
      <c r="N1879" s="33" t="s">
        <v>718</v>
      </c>
    </row>
    <row r="1880" spans="1:14" ht="15">
      <c r="A1880" s="12"/>
      <c r="B1880" s="33" t="s">
        <v>313</v>
      </c>
      <c r="C1880" s="92" t="s">
        <v>744</v>
      </c>
      <c r="D1880" s="33" t="s">
        <v>411</v>
      </c>
      <c r="E1880" s="34">
        <v>44957</v>
      </c>
      <c r="F1880" s="34">
        <v>44958</v>
      </c>
      <c r="G1880" s="34">
        <v>44963</v>
      </c>
      <c r="H1880" s="35">
        <v>4.4999999999999998E-2</v>
      </c>
      <c r="I1880" s="67">
        <v>1.55E-2</v>
      </c>
      <c r="J1880" s="67">
        <v>0</v>
      </c>
      <c r="K1880" s="67">
        <v>1.55E-2</v>
      </c>
      <c r="L1880" s="36">
        <f>+K1880-((K1880*0.2435*0.125)+(K1880*(1-0.2435)*0.26))</f>
        <v>1.197952375E-2</v>
      </c>
      <c r="M1880" s="64">
        <f t="shared" si="57"/>
        <v>1.197952375E-2</v>
      </c>
      <c r="N1880" s="33" t="s">
        <v>718</v>
      </c>
    </row>
    <row r="1881" spans="1:14" ht="15">
      <c r="A1881" s="12"/>
      <c r="B1881" s="33" t="s">
        <v>310</v>
      </c>
      <c r="C1881" s="92" t="s">
        <v>719</v>
      </c>
      <c r="D1881" s="33" t="s">
        <v>411</v>
      </c>
      <c r="E1881" s="34">
        <v>44985</v>
      </c>
      <c r="F1881" s="34">
        <v>44986</v>
      </c>
      <c r="G1881" s="34">
        <v>44991</v>
      </c>
      <c r="H1881" s="35">
        <v>0.05</v>
      </c>
      <c r="I1881" s="67">
        <v>1.47E-2</v>
      </c>
      <c r="J1881" s="67">
        <v>0</v>
      </c>
      <c r="K1881" s="67">
        <v>1.47E-2</v>
      </c>
      <c r="L1881" s="36">
        <f>+K1881-((K1881*0.0275*0.125)+(K1881*(1-0.0275)*0.26))</f>
        <v>1.0932573750000001E-2</v>
      </c>
      <c r="M1881" s="64">
        <f t="shared" si="57"/>
        <v>1.0932573750000001E-2</v>
      </c>
      <c r="N1881" s="33" t="s">
        <v>718</v>
      </c>
    </row>
    <row r="1882" spans="1:14" ht="15">
      <c r="A1882" s="12"/>
      <c r="B1882" s="33" t="s">
        <v>188</v>
      </c>
      <c r="C1882" s="92" t="s">
        <v>720</v>
      </c>
      <c r="D1882" s="33" t="s">
        <v>411</v>
      </c>
      <c r="E1882" s="34">
        <v>44985</v>
      </c>
      <c r="F1882" s="34">
        <v>44986</v>
      </c>
      <c r="G1882" s="34">
        <v>44991</v>
      </c>
      <c r="H1882" s="35">
        <v>0.05</v>
      </c>
      <c r="I1882" s="67">
        <v>0.25490000000000002</v>
      </c>
      <c r="J1882" s="67">
        <v>0</v>
      </c>
      <c r="K1882" s="67">
        <v>0.25490000000000002</v>
      </c>
      <c r="L1882" s="36">
        <f>+K1882-((K1882*0.0275*0.125)+(K1882*(1-0.0275)*0.26))</f>
        <v>0.18957231624999998</v>
      </c>
      <c r="M1882" s="64">
        <f t="shared" si="57"/>
        <v>0.18957231624999998</v>
      </c>
      <c r="N1882" s="33" t="s">
        <v>718</v>
      </c>
    </row>
    <row r="1883" spans="1:14" ht="15">
      <c r="A1883" s="12"/>
      <c r="B1883" s="33" t="s">
        <v>196</v>
      </c>
      <c r="C1883" s="92" t="s">
        <v>721</v>
      </c>
      <c r="D1883" s="33" t="s">
        <v>411</v>
      </c>
      <c r="E1883" s="34">
        <v>44985</v>
      </c>
      <c r="F1883" s="34">
        <v>44986</v>
      </c>
      <c r="G1883" s="34">
        <v>44991</v>
      </c>
      <c r="H1883" s="35">
        <v>0.05</v>
      </c>
      <c r="I1883" s="67">
        <v>0.26769999999999999</v>
      </c>
      <c r="J1883" s="67">
        <v>0</v>
      </c>
      <c r="K1883" s="67">
        <v>0.26769999999999999</v>
      </c>
      <c r="L1883" s="36">
        <f>+K1883-((K1883*0.0275*0.125)+(K1883*(1-0.0275)*0.26))</f>
        <v>0.19909183624999999</v>
      </c>
      <c r="M1883" s="64">
        <f t="shared" si="57"/>
        <v>0.19909183624999999</v>
      </c>
      <c r="N1883" s="33" t="s">
        <v>718</v>
      </c>
    </row>
    <row r="1884" spans="1:14" ht="15">
      <c r="A1884" s="12"/>
      <c r="B1884" s="33" t="s">
        <v>191</v>
      </c>
      <c r="C1884" s="92" t="s">
        <v>722</v>
      </c>
      <c r="D1884" s="33" t="s">
        <v>411</v>
      </c>
      <c r="E1884" s="34">
        <v>44985</v>
      </c>
      <c r="F1884" s="34">
        <v>44986</v>
      </c>
      <c r="G1884" s="34">
        <v>44991</v>
      </c>
      <c r="H1884" s="35">
        <v>0.03</v>
      </c>
      <c r="I1884" s="67">
        <v>8.6E-3</v>
      </c>
      <c r="J1884" s="67">
        <v>0</v>
      </c>
      <c r="K1884" s="67">
        <v>8.6E-3</v>
      </c>
      <c r="L1884" s="36">
        <f>+K1884-((K1884*0.8105*0.125)+(K1884*(1-0.8105)*0.26))</f>
        <v>7.3049905000000005E-3</v>
      </c>
      <c r="M1884" s="64">
        <f t="shared" si="57"/>
        <v>7.3049905000000005E-3</v>
      </c>
      <c r="N1884" s="33" t="s">
        <v>718</v>
      </c>
    </row>
    <row r="1885" spans="1:14" ht="15">
      <c r="A1885" s="12"/>
      <c r="B1885" s="33" t="s">
        <v>199</v>
      </c>
      <c r="C1885" s="92" t="s">
        <v>723</v>
      </c>
      <c r="D1885" s="33" t="s">
        <v>411</v>
      </c>
      <c r="E1885" s="34">
        <v>44985</v>
      </c>
      <c r="F1885" s="34">
        <v>44986</v>
      </c>
      <c r="G1885" s="34">
        <v>44991</v>
      </c>
      <c r="H1885" s="35">
        <v>0.03</v>
      </c>
      <c r="I1885" s="67">
        <v>8.6E-3</v>
      </c>
      <c r="J1885" s="67">
        <v>0</v>
      </c>
      <c r="K1885" s="67">
        <v>8.6E-3</v>
      </c>
      <c r="L1885" s="36">
        <f>+K1885-((K1885*0.8105*0.125)+(K1885*(1-0.8105)*0.26))</f>
        <v>7.3049905000000005E-3</v>
      </c>
      <c r="M1885" s="64">
        <f t="shared" si="57"/>
        <v>7.3049905000000005E-3</v>
      </c>
      <c r="N1885" s="33" t="s">
        <v>718</v>
      </c>
    </row>
    <row r="1886" spans="1:14" ht="15">
      <c r="A1886" s="12"/>
      <c r="B1886" s="33" t="s">
        <v>306</v>
      </c>
      <c r="C1886" s="92" t="s">
        <v>724</v>
      </c>
      <c r="D1886" s="33" t="s">
        <v>411</v>
      </c>
      <c r="E1886" s="34">
        <v>44985</v>
      </c>
      <c r="F1886" s="34">
        <v>44986</v>
      </c>
      <c r="G1886" s="34">
        <v>44991</v>
      </c>
      <c r="H1886" s="35">
        <v>5.5E-2</v>
      </c>
      <c r="I1886" s="67">
        <v>1.89E-2</v>
      </c>
      <c r="J1886" s="67">
        <v>0</v>
      </c>
      <c r="K1886" s="67">
        <v>1.89E-2</v>
      </c>
      <c r="L1886" s="36">
        <f t="shared" ref="L1886:L1891" si="59">+K1886-((K1886*0.0005*0.125)+(K1886*(1-0.0005)*0.26))</f>
        <v>1.398727575E-2</v>
      </c>
      <c r="M1886" s="64">
        <f t="shared" si="57"/>
        <v>1.398727575E-2</v>
      </c>
      <c r="N1886" s="33" t="s">
        <v>718</v>
      </c>
    </row>
    <row r="1887" spans="1:14" ht="15">
      <c r="A1887" s="12"/>
      <c r="B1887" s="33" t="s">
        <v>184</v>
      </c>
      <c r="C1887" s="92" t="s">
        <v>725</v>
      </c>
      <c r="D1887" s="33" t="s">
        <v>411</v>
      </c>
      <c r="E1887" s="34">
        <v>44985</v>
      </c>
      <c r="F1887" s="34">
        <v>44986</v>
      </c>
      <c r="G1887" s="34">
        <v>44991</v>
      </c>
      <c r="H1887" s="35">
        <v>5.5E-2</v>
      </c>
      <c r="I1887" s="67">
        <v>0.38009999999999999</v>
      </c>
      <c r="J1887" s="67">
        <v>0</v>
      </c>
      <c r="K1887" s="67">
        <v>0.38009999999999999</v>
      </c>
      <c r="L1887" s="36">
        <f t="shared" si="59"/>
        <v>0.28129965675000002</v>
      </c>
      <c r="M1887" s="64">
        <f t="shared" si="57"/>
        <v>0.28129965675000002</v>
      </c>
      <c r="N1887" s="33" t="s">
        <v>718</v>
      </c>
    </row>
    <row r="1888" spans="1:14" ht="15">
      <c r="A1888" s="12"/>
      <c r="B1888" s="33" t="s">
        <v>192</v>
      </c>
      <c r="C1888" s="92" t="s">
        <v>726</v>
      </c>
      <c r="D1888" s="33" t="s">
        <v>411</v>
      </c>
      <c r="E1888" s="34">
        <v>44985</v>
      </c>
      <c r="F1888" s="34">
        <v>44986</v>
      </c>
      <c r="G1888" s="34">
        <v>44991</v>
      </c>
      <c r="H1888" s="35">
        <v>5.5E-2</v>
      </c>
      <c r="I1888" s="67">
        <v>0.3876</v>
      </c>
      <c r="J1888" s="67">
        <v>0</v>
      </c>
      <c r="K1888" s="67">
        <v>0.3876</v>
      </c>
      <c r="L1888" s="36">
        <f t="shared" si="59"/>
        <v>0.28685016299999999</v>
      </c>
      <c r="M1888" s="64">
        <f t="shared" si="57"/>
        <v>0.28685016299999999</v>
      </c>
      <c r="N1888" s="33" t="s">
        <v>718</v>
      </c>
    </row>
    <row r="1889" spans="1:14" ht="15">
      <c r="A1889" s="12"/>
      <c r="B1889" s="33" t="s">
        <v>311</v>
      </c>
      <c r="C1889" s="92" t="s">
        <v>727</v>
      </c>
      <c r="D1889" s="33" t="s">
        <v>411</v>
      </c>
      <c r="E1889" s="34">
        <v>44985</v>
      </c>
      <c r="F1889" s="34">
        <v>44986</v>
      </c>
      <c r="G1889" s="34">
        <v>44991</v>
      </c>
      <c r="H1889" s="35">
        <v>4.2500000000000003E-2</v>
      </c>
      <c r="I1889" s="67">
        <v>1.6E-2</v>
      </c>
      <c r="J1889" s="67">
        <v>0</v>
      </c>
      <c r="K1889" s="67">
        <v>1.6E-2</v>
      </c>
      <c r="L1889" s="36">
        <f t="shared" si="59"/>
        <v>1.184108E-2</v>
      </c>
      <c r="M1889" s="64">
        <f t="shared" si="57"/>
        <v>1.184108E-2</v>
      </c>
      <c r="N1889" s="33" t="s">
        <v>718</v>
      </c>
    </row>
    <row r="1890" spans="1:14" ht="15">
      <c r="A1890" s="12"/>
      <c r="B1890" s="33" t="s">
        <v>189</v>
      </c>
      <c r="C1890" s="92" t="s">
        <v>728</v>
      </c>
      <c r="D1890" s="33" t="s">
        <v>411</v>
      </c>
      <c r="E1890" s="34">
        <v>44985</v>
      </c>
      <c r="F1890" s="34">
        <v>44986</v>
      </c>
      <c r="G1890" s="34">
        <v>44991</v>
      </c>
      <c r="H1890" s="35">
        <v>4.2500000000000003E-2</v>
      </c>
      <c r="I1890" s="67">
        <v>0.29170000000000001</v>
      </c>
      <c r="J1890" s="67">
        <v>0</v>
      </c>
      <c r="K1890" s="67">
        <v>0.29170000000000001</v>
      </c>
      <c r="L1890" s="36">
        <f t="shared" si="59"/>
        <v>0.21587768974999999</v>
      </c>
      <c r="M1890" s="64">
        <f t="shared" si="57"/>
        <v>0.21587768974999999</v>
      </c>
      <c r="N1890" s="33" t="s">
        <v>718</v>
      </c>
    </row>
    <row r="1891" spans="1:14" ht="15">
      <c r="A1891" s="12"/>
      <c r="B1891" s="33" t="s">
        <v>197</v>
      </c>
      <c r="C1891" s="92" t="s">
        <v>729</v>
      </c>
      <c r="D1891" s="33" t="s">
        <v>411</v>
      </c>
      <c r="E1891" s="34">
        <v>44985</v>
      </c>
      <c r="F1891" s="34">
        <v>44986</v>
      </c>
      <c r="G1891" s="34">
        <v>44991</v>
      </c>
      <c r="H1891" s="35">
        <v>4.2500000000000003E-2</v>
      </c>
      <c r="I1891" s="67">
        <v>0.29980000000000001</v>
      </c>
      <c r="J1891" s="67">
        <v>0</v>
      </c>
      <c r="K1891" s="67">
        <v>0.29980000000000001</v>
      </c>
      <c r="L1891" s="36">
        <f t="shared" si="59"/>
        <v>0.22187223649999999</v>
      </c>
      <c r="M1891" s="64">
        <f t="shared" si="57"/>
        <v>0.22187223649999999</v>
      </c>
      <c r="N1891" s="33" t="s">
        <v>718</v>
      </c>
    </row>
    <row r="1892" spans="1:14" ht="15">
      <c r="A1892" s="12"/>
      <c r="B1892" s="33" t="s">
        <v>308</v>
      </c>
      <c r="C1892" s="92" t="s">
        <v>730</v>
      </c>
      <c r="D1892" s="33" t="s">
        <v>411</v>
      </c>
      <c r="E1892" s="34">
        <v>44985</v>
      </c>
      <c r="F1892" s="34">
        <v>44986</v>
      </c>
      <c r="G1892" s="34">
        <v>44991</v>
      </c>
      <c r="H1892" s="35">
        <v>4.2500000000000003E-2</v>
      </c>
      <c r="I1892" s="67">
        <v>1.4500000000000001E-2</v>
      </c>
      <c r="J1892" s="67">
        <v>0</v>
      </c>
      <c r="K1892" s="67">
        <v>1.4500000000000001E-2</v>
      </c>
      <c r="L1892" s="36">
        <f>+K1892-((K1892*0.4775*0.125)+(K1892*(1-0.4775)*0.26))</f>
        <v>1.166470625E-2</v>
      </c>
      <c r="M1892" s="64">
        <f t="shared" si="57"/>
        <v>1.166470625E-2</v>
      </c>
      <c r="N1892" s="33" t="s">
        <v>718</v>
      </c>
    </row>
    <row r="1893" spans="1:14" ht="15">
      <c r="A1893" s="12"/>
      <c r="B1893" s="33" t="s">
        <v>186</v>
      </c>
      <c r="C1893" s="92" t="s">
        <v>731</v>
      </c>
      <c r="D1893" s="33" t="s">
        <v>411</v>
      </c>
      <c r="E1893" s="34">
        <v>44985</v>
      </c>
      <c r="F1893" s="34">
        <v>44986</v>
      </c>
      <c r="G1893" s="34">
        <v>44991</v>
      </c>
      <c r="H1893" s="35">
        <v>4.2500000000000003E-2</v>
      </c>
      <c r="I1893" s="67">
        <v>0.26669999999999999</v>
      </c>
      <c r="J1893" s="67">
        <v>0</v>
      </c>
      <c r="K1893" s="67">
        <v>0.26669999999999999</v>
      </c>
      <c r="L1893" s="36">
        <f>+K1893-((K1893*0.4775*0.125)+(K1893*(1-0.4775)*0.26))</f>
        <v>0.21455014875</v>
      </c>
      <c r="M1893" s="64">
        <f t="shared" si="57"/>
        <v>0.21455014875</v>
      </c>
      <c r="N1893" s="33" t="s">
        <v>718</v>
      </c>
    </row>
    <row r="1894" spans="1:14" ht="15">
      <c r="A1894" s="12"/>
      <c r="B1894" s="33" t="s">
        <v>194</v>
      </c>
      <c r="C1894" s="92" t="s">
        <v>732</v>
      </c>
      <c r="D1894" s="33" t="s">
        <v>411</v>
      </c>
      <c r="E1894" s="34">
        <v>44985</v>
      </c>
      <c r="F1894" s="34">
        <v>44986</v>
      </c>
      <c r="G1894" s="34">
        <v>44991</v>
      </c>
      <c r="H1894" s="35">
        <v>4.2500000000000003E-2</v>
      </c>
      <c r="I1894" s="67">
        <v>0.27589999999999998</v>
      </c>
      <c r="J1894" s="67">
        <v>0</v>
      </c>
      <c r="K1894" s="67">
        <v>0.27589999999999998</v>
      </c>
      <c r="L1894" s="36">
        <f>+K1894-((K1894*0.4775*0.125)+(K1894*(1-0.4775)*0.26))</f>
        <v>0.22195120374999999</v>
      </c>
      <c r="M1894" s="64">
        <f t="shared" si="57"/>
        <v>0.22195120374999999</v>
      </c>
      <c r="N1894" s="33" t="s">
        <v>718</v>
      </c>
    </row>
    <row r="1895" spans="1:14" ht="15">
      <c r="A1895" s="12"/>
      <c r="B1895" s="33" t="s">
        <v>307</v>
      </c>
      <c r="C1895" s="92" t="s">
        <v>733</v>
      </c>
      <c r="D1895" s="33" t="s">
        <v>411</v>
      </c>
      <c r="E1895" s="34">
        <v>44985</v>
      </c>
      <c r="F1895" s="34">
        <v>44986</v>
      </c>
      <c r="G1895" s="34">
        <v>44991</v>
      </c>
      <c r="H1895" s="35">
        <v>4.7500000000000001E-2</v>
      </c>
      <c r="I1895" s="67">
        <v>1.46E-2</v>
      </c>
      <c r="J1895" s="67">
        <v>0</v>
      </c>
      <c r="K1895" s="67">
        <v>1.46E-2</v>
      </c>
      <c r="L1895" s="36">
        <f>+K1895-((K1895*0.596*0.125)+(K1895*(1-0.596)*0.26))</f>
        <v>1.1978716E-2</v>
      </c>
      <c r="M1895" s="64">
        <f t="shared" si="57"/>
        <v>1.1978716E-2</v>
      </c>
      <c r="N1895" s="33" t="s">
        <v>718</v>
      </c>
    </row>
    <row r="1896" spans="1:14" ht="15">
      <c r="A1896" s="12"/>
      <c r="B1896" s="33" t="s">
        <v>185</v>
      </c>
      <c r="C1896" s="92" t="s">
        <v>734</v>
      </c>
      <c r="D1896" s="33" t="s">
        <v>411</v>
      </c>
      <c r="E1896" s="34">
        <v>44985</v>
      </c>
      <c r="F1896" s="34">
        <v>44986</v>
      </c>
      <c r="G1896" s="34">
        <v>44991</v>
      </c>
      <c r="H1896" s="35">
        <v>4.7500000000000001E-2</v>
      </c>
      <c r="I1896" s="67">
        <v>0.24179999999999999</v>
      </c>
      <c r="J1896" s="67">
        <v>0</v>
      </c>
      <c r="K1896" s="67">
        <v>0.24179999999999999</v>
      </c>
      <c r="L1896" s="36">
        <f>+K1896-((K1896*0.596*0.125)+(K1896*(1-0.596)*0.26))</f>
        <v>0.19838722799999997</v>
      </c>
      <c r="M1896" s="64">
        <f t="shared" si="57"/>
        <v>0.19838722799999997</v>
      </c>
      <c r="N1896" s="33" t="s">
        <v>718</v>
      </c>
    </row>
    <row r="1897" spans="1:14" ht="15">
      <c r="A1897" s="12"/>
      <c r="B1897" s="33" t="s">
        <v>193</v>
      </c>
      <c r="C1897" s="92" t="s">
        <v>735</v>
      </c>
      <c r="D1897" s="33" t="s">
        <v>411</v>
      </c>
      <c r="E1897" s="34">
        <v>44985</v>
      </c>
      <c r="F1897" s="34">
        <v>44986</v>
      </c>
      <c r="G1897" s="34">
        <v>44991</v>
      </c>
      <c r="H1897" s="35">
        <v>4.7500000000000001E-2</v>
      </c>
      <c r="I1897" s="67">
        <v>0.23899999999999999</v>
      </c>
      <c r="J1897" s="67">
        <v>0</v>
      </c>
      <c r="K1897" s="67">
        <v>0.23899999999999999</v>
      </c>
      <c r="L1897" s="36">
        <f>+K1897-((K1897*0.596*0.125)+(K1897*(1-0.596)*0.26))</f>
        <v>0.19608993999999999</v>
      </c>
      <c r="M1897" s="64">
        <f t="shared" si="57"/>
        <v>0.19608993999999999</v>
      </c>
      <c r="N1897" s="33" t="s">
        <v>718</v>
      </c>
    </row>
    <row r="1898" spans="1:14" ht="15">
      <c r="A1898" s="12"/>
      <c r="B1898" s="33" t="s">
        <v>309</v>
      </c>
      <c r="C1898" s="92" t="s">
        <v>736</v>
      </c>
      <c r="D1898" s="33" t="s">
        <v>411</v>
      </c>
      <c r="E1898" s="34">
        <v>44985</v>
      </c>
      <c r="F1898" s="34">
        <v>44986</v>
      </c>
      <c r="G1898" s="34">
        <v>44991</v>
      </c>
      <c r="H1898" s="35">
        <v>4.7500000000000001E-2</v>
      </c>
      <c r="I1898" s="67">
        <v>1.5800000000000002E-2</v>
      </c>
      <c r="J1898" s="67">
        <v>0</v>
      </c>
      <c r="K1898" s="67">
        <v>1.5800000000000002E-2</v>
      </c>
      <c r="L1898" s="36">
        <f>+K1898-((K1898*0.0535*0.125)+(K1898*(1-0.0535)*0.26))</f>
        <v>1.1806115500000002E-2</v>
      </c>
      <c r="M1898" s="64">
        <f t="shared" si="57"/>
        <v>1.1806115500000002E-2</v>
      </c>
      <c r="N1898" s="33" t="s">
        <v>718</v>
      </c>
    </row>
    <row r="1899" spans="1:14" ht="15">
      <c r="A1899" s="12"/>
      <c r="B1899" s="33" t="s">
        <v>187</v>
      </c>
      <c r="C1899" s="92" t="s">
        <v>737</v>
      </c>
      <c r="D1899" s="33" t="s">
        <v>411</v>
      </c>
      <c r="E1899" s="34">
        <v>44985</v>
      </c>
      <c r="F1899" s="34">
        <v>44986</v>
      </c>
      <c r="G1899" s="34">
        <v>44991</v>
      </c>
      <c r="H1899" s="35">
        <v>4.7500000000000001E-2</v>
      </c>
      <c r="I1899" s="67">
        <v>0.27729999999999999</v>
      </c>
      <c r="J1899" s="67">
        <v>0</v>
      </c>
      <c r="K1899" s="67">
        <v>0.27729999999999999</v>
      </c>
      <c r="L1899" s="36">
        <f>+K1899-((K1899*0.0535*0.125)+(K1899*(1-0.0535)*0.26))</f>
        <v>0.20720479924999996</v>
      </c>
      <c r="M1899" s="64">
        <f t="shared" si="57"/>
        <v>0.20720479924999996</v>
      </c>
      <c r="N1899" s="33" t="s">
        <v>718</v>
      </c>
    </row>
    <row r="1900" spans="1:14" ht="15">
      <c r="A1900" s="12"/>
      <c r="B1900" s="33" t="s">
        <v>195</v>
      </c>
      <c r="C1900" s="92" t="s">
        <v>738</v>
      </c>
      <c r="D1900" s="33" t="s">
        <v>411</v>
      </c>
      <c r="E1900" s="34">
        <v>44985</v>
      </c>
      <c r="F1900" s="34">
        <v>44986</v>
      </c>
      <c r="G1900" s="34">
        <v>44991</v>
      </c>
      <c r="H1900" s="35">
        <v>4.7500000000000001E-2</v>
      </c>
      <c r="I1900" s="67">
        <v>0.28939999999999999</v>
      </c>
      <c r="J1900" s="67">
        <v>0</v>
      </c>
      <c r="K1900" s="67">
        <v>0.28939999999999999</v>
      </c>
      <c r="L1900" s="36">
        <f>+K1900-((K1900*0.0535*0.125)+(K1900*(1-0.0535)*0.26))</f>
        <v>0.21624619150000002</v>
      </c>
      <c r="M1900" s="64">
        <f t="shared" si="57"/>
        <v>0.21624619150000002</v>
      </c>
      <c r="N1900" s="33" t="s">
        <v>718</v>
      </c>
    </row>
    <row r="1901" spans="1:14" ht="15">
      <c r="A1901" s="12"/>
      <c r="B1901" s="33" t="s">
        <v>312</v>
      </c>
      <c r="C1901" s="92" t="s">
        <v>739</v>
      </c>
      <c r="D1901" s="33" t="s">
        <v>411</v>
      </c>
      <c r="E1901" s="34">
        <v>44985</v>
      </c>
      <c r="F1901" s="34">
        <v>44986</v>
      </c>
      <c r="G1901" s="34">
        <v>44991</v>
      </c>
      <c r="H1901" s="35">
        <v>7.0000000000000007E-2</v>
      </c>
      <c r="I1901" s="67">
        <v>2.1899999999999999E-2</v>
      </c>
      <c r="J1901" s="67">
        <v>0</v>
      </c>
      <c r="K1901" s="67">
        <v>2.1899999999999999E-2</v>
      </c>
      <c r="L1901" s="36">
        <f>+K1901-((K1901*0.08*0.125)+(K1901*(1-0.08)*0.26))</f>
        <v>1.6442519999999999E-2</v>
      </c>
      <c r="M1901" s="64">
        <f t="shared" si="57"/>
        <v>1.6442519999999999E-2</v>
      </c>
      <c r="N1901" s="33" t="s">
        <v>718</v>
      </c>
    </row>
    <row r="1902" spans="1:14" ht="15">
      <c r="A1902" s="12"/>
      <c r="B1902" s="33" t="s">
        <v>190</v>
      </c>
      <c r="C1902" s="92" t="s">
        <v>740</v>
      </c>
      <c r="D1902" s="33" t="s">
        <v>411</v>
      </c>
      <c r="E1902" s="34">
        <v>44985</v>
      </c>
      <c r="F1902" s="34">
        <v>44986</v>
      </c>
      <c r="G1902" s="34">
        <v>44991</v>
      </c>
      <c r="H1902" s="35">
        <v>7.0000000000000007E-2</v>
      </c>
      <c r="I1902" s="67">
        <v>0.41499999999999998</v>
      </c>
      <c r="J1902" s="67">
        <v>0</v>
      </c>
      <c r="K1902" s="67">
        <v>0.41499999999999998</v>
      </c>
      <c r="L1902" s="36">
        <f>+K1902-((K1902*0.08*0.125)+(K1902*(1-0.08)*0.26))</f>
        <v>0.31158199999999997</v>
      </c>
      <c r="M1902" s="64">
        <f t="shared" si="57"/>
        <v>0.31158199999999997</v>
      </c>
      <c r="N1902" s="33" t="s">
        <v>718</v>
      </c>
    </row>
    <row r="1903" spans="1:14" ht="15">
      <c r="A1903" s="12"/>
      <c r="B1903" s="33" t="s">
        <v>198</v>
      </c>
      <c r="C1903" s="92" t="s">
        <v>741</v>
      </c>
      <c r="D1903" s="33" t="s">
        <v>411</v>
      </c>
      <c r="E1903" s="34">
        <v>44985</v>
      </c>
      <c r="F1903" s="34">
        <v>44986</v>
      </c>
      <c r="G1903" s="34">
        <v>44991</v>
      </c>
      <c r="H1903" s="35">
        <v>7.0000000000000007E-2</v>
      </c>
      <c r="I1903" s="67">
        <v>0.4194</v>
      </c>
      <c r="J1903" s="67">
        <v>0</v>
      </c>
      <c r="K1903" s="67">
        <v>0.4194</v>
      </c>
      <c r="L1903" s="36">
        <f>+K1903-((K1903*0.08*0.125)+(K1903*(1-0.08)*0.26))</f>
        <v>0.31488551999999997</v>
      </c>
      <c r="M1903" s="64">
        <f t="shared" si="57"/>
        <v>0.31488551999999997</v>
      </c>
      <c r="N1903" s="33" t="s">
        <v>718</v>
      </c>
    </row>
    <row r="1904" spans="1:14" ht="15">
      <c r="A1904" s="12"/>
      <c r="B1904" s="33" t="s">
        <v>513</v>
      </c>
      <c r="C1904" s="92" t="s">
        <v>742</v>
      </c>
      <c r="D1904" s="33" t="s">
        <v>411</v>
      </c>
      <c r="E1904" s="34">
        <v>44985</v>
      </c>
      <c r="F1904" s="34">
        <v>44986</v>
      </c>
      <c r="G1904" s="34">
        <v>44991</v>
      </c>
      <c r="H1904" s="35">
        <v>0.01</v>
      </c>
      <c r="I1904" s="67">
        <v>5.8099999999999999E-2</v>
      </c>
      <c r="J1904" s="67">
        <v>0</v>
      </c>
      <c r="K1904" s="67">
        <v>5.8099999999999999E-2</v>
      </c>
      <c r="L1904" s="36">
        <f>+K1904-((K1904*0.337*0.125)+(K1904*(1-0.337)*0.26))</f>
        <v>4.5637259499999999E-2</v>
      </c>
      <c r="M1904" s="64">
        <f t="shared" si="57"/>
        <v>4.5637259499999999E-2</v>
      </c>
      <c r="N1904" s="33" t="s">
        <v>718</v>
      </c>
    </row>
    <row r="1905" spans="1:14" ht="15">
      <c r="A1905" s="12"/>
      <c r="B1905" s="33" t="s">
        <v>514</v>
      </c>
      <c r="C1905" s="92" t="s">
        <v>743</v>
      </c>
      <c r="D1905" s="33" t="s">
        <v>411</v>
      </c>
      <c r="E1905" s="34">
        <v>44985</v>
      </c>
      <c r="F1905" s="34">
        <v>44986</v>
      </c>
      <c r="G1905" s="34">
        <v>44991</v>
      </c>
      <c r="H1905" s="35">
        <v>0.01</v>
      </c>
      <c r="I1905" s="67">
        <v>5.9400000000000001E-2</v>
      </c>
      <c r="J1905" s="67">
        <v>0</v>
      </c>
      <c r="K1905" s="67">
        <v>5.9400000000000001E-2</v>
      </c>
      <c r="L1905" s="36">
        <f>+K1905-((K1905*0.337*0.125)+(K1905*(1-0.337)*0.26))</f>
        <v>4.6658403000000001E-2</v>
      </c>
      <c r="M1905" s="64">
        <f t="shared" si="57"/>
        <v>4.6658403000000001E-2</v>
      </c>
      <c r="N1905" s="33" t="s">
        <v>718</v>
      </c>
    </row>
    <row r="1906" spans="1:14" ht="15">
      <c r="A1906" s="12"/>
      <c r="B1906" s="33" t="s">
        <v>313</v>
      </c>
      <c r="C1906" s="92" t="s">
        <v>744</v>
      </c>
      <c r="D1906" s="33" t="s">
        <v>411</v>
      </c>
      <c r="E1906" s="34">
        <v>44985</v>
      </c>
      <c r="F1906" s="34">
        <v>44986</v>
      </c>
      <c r="G1906" s="34">
        <v>44991</v>
      </c>
      <c r="H1906" s="35">
        <v>4.4999999999999998E-2</v>
      </c>
      <c r="I1906" s="67">
        <v>1.55E-2</v>
      </c>
      <c r="J1906" s="67">
        <v>0</v>
      </c>
      <c r="K1906" s="67">
        <v>1.55E-2</v>
      </c>
      <c r="L1906" s="36">
        <f>+K1906-((K1906*0.2435*0.125)+(K1906*(1-0.2435)*0.26))</f>
        <v>1.197952375E-2</v>
      </c>
      <c r="M1906" s="64">
        <f t="shared" si="57"/>
        <v>1.197952375E-2</v>
      </c>
      <c r="N1906" s="33" t="s">
        <v>718</v>
      </c>
    </row>
    <row r="1907" spans="1:14" ht="15">
      <c r="A1907" s="12"/>
      <c r="B1907" s="33" t="s">
        <v>174</v>
      </c>
      <c r="C1907" s="92" t="s">
        <v>382</v>
      </c>
      <c r="D1907" s="33" t="s">
        <v>410</v>
      </c>
      <c r="E1907" s="34">
        <v>45015</v>
      </c>
      <c r="F1907" s="34">
        <v>45016</v>
      </c>
      <c r="G1907" s="34">
        <v>45021</v>
      </c>
      <c r="H1907" s="35"/>
      <c r="I1907" s="67">
        <v>3.1129E-2</v>
      </c>
      <c r="J1907" s="67">
        <v>0</v>
      </c>
      <c r="K1907" s="67">
        <v>3.1129E-2</v>
      </c>
      <c r="L1907" s="36">
        <f>+K1907-((K1907*0.025*0.125)+(K1907*(1-0.025)*0.26))</f>
        <v>2.3140520375000001E-2</v>
      </c>
      <c r="M1907" s="64">
        <f t="shared" si="57"/>
        <v>2.3140520375000001E-2</v>
      </c>
      <c r="N1907" s="33" t="s">
        <v>247</v>
      </c>
    </row>
    <row r="1908" spans="1:14" ht="15">
      <c r="A1908" s="12"/>
      <c r="B1908" s="33" t="s">
        <v>176</v>
      </c>
      <c r="C1908" s="92" t="s">
        <v>397</v>
      </c>
      <c r="D1908" s="33" t="s">
        <v>410</v>
      </c>
      <c r="E1908" s="34">
        <v>45015</v>
      </c>
      <c r="F1908" s="34">
        <v>45016</v>
      </c>
      <c r="G1908" s="34">
        <v>45021</v>
      </c>
      <c r="H1908" s="35"/>
      <c r="I1908" s="67">
        <v>3.6437999999999998E-2</v>
      </c>
      <c r="J1908" s="67">
        <v>0</v>
      </c>
      <c r="K1908" s="67">
        <v>3.6437879999999999E-2</v>
      </c>
      <c r="L1908" s="36">
        <f>+K1908-((K1908*0.1985*0.125)+(K1908*(1-0.1985)*0.26))</f>
        <v>2.79404752893E-2</v>
      </c>
      <c r="M1908" s="64">
        <f t="shared" si="57"/>
        <v>2.79404752893E-2</v>
      </c>
      <c r="N1908" s="33" t="s">
        <v>247</v>
      </c>
    </row>
    <row r="1909" spans="1:14" ht="15">
      <c r="A1909" s="12"/>
      <c r="B1909" s="33" t="s">
        <v>175</v>
      </c>
      <c r="C1909" s="92" t="s">
        <v>465</v>
      </c>
      <c r="D1909" s="33" t="s">
        <v>410</v>
      </c>
      <c r="E1909" s="34">
        <v>45015</v>
      </c>
      <c r="F1909" s="34">
        <v>45016</v>
      </c>
      <c r="G1909" s="34">
        <v>45021</v>
      </c>
      <c r="H1909" s="35"/>
      <c r="I1909" s="67">
        <v>6.9297999999999998E-2</v>
      </c>
      <c r="J1909" s="67">
        <v>0</v>
      </c>
      <c r="K1909" s="67">
        <v>6.9297949999999997E-2</v>
      </c>
      <c r="L1909" s="36">
        <f>+K1909-((K1909*0.0915*0.125)+(K1909*(1-0.0915)*0.26))</f>
        <v>5.2136485927374999E-2</v>
      </c>
      <c r="M1909" s="64">
        <f t="shared" si="57"/>
        <v>5.2136485927374999E-2</v>
      </c>
      <c r="N1909" s="33" t="s">
        <v>247</v>
      </c>
    </row>
    <row r="1910" spans="1:14" ht="15">
      <c r="A1910" s="12"/>
      <c r="B1910" s="33" t="s">
        <v>310</v>
      </c>
      <c r="C1910" s="92" t="s">
        <v>719</v>
      </c>
      <c r="D1910" s="33" t="s">
        <v>411</v>
      </c>
      <c r="E1910" s="34">
        <v>45016</v>
      </c>
      <c r="F1910" s="34">
        <v>45019</v>
      </c>
      <c r="G1910" s="34">
        <v>45022</v>
      </c>
      <c r="H1910" s="35">
        <v>0.05</v>
      </c>
      <c r="I1910" s="67">
        <v>1.47E-2</v>
      </c>
      <c r="J1910" s="67">
        <v>0</v>
      </c>
      <c r="K1910" s="67">
        <v>1.47E-2</v>
      </c>
      <c r="L1910" s="36">
        <f>+K1910-((K1910*0.0275*0.125)+(K1910*(1-0.0275)*0.26))</f>
        <v>1.0932573750000001E-2</v>
      </c>
      <c r="M1910" s="64">
        <f t="shared" si="57"/>
        <v>1.0932573750000001E-2</v>
      </c>
      <c r="N1910" s="33" t="s">
        <v>718</v>
      </c>
    </row>
    <row r="1911" spans="1:14" ht="15">
      <c r="A1911" s="12"/>
      <c r="B1911" s="33" t="s">
        <v>188</v>
      </c>
      <c r="C1911" s="92" t="s">
        <v>720</v>
      </c>
      <c r="D1911" s="33" t="s">
        <v>411</v>
      </c>
      <c r="E1911" s="34">
        <v>45016</v>
      </c>
      <c r="F1911" s="34">
        <v>45019</v>
      </c>
      <c r="G1911" s="34">
        <v>45022</v>
      </c>
      <c r="H1911" s="35">
        <v>0.05</v>
      </c>
      <c r="I1911" s="67">
        <v>0.25490000000000002</v>
      </c>
      <c r="J1911" s="67">
        <v>0</v>
      </c>
      <c r="K1911" s="67">
        <v>0.25490000000000002</v>
      </c>
      <c r="L1911" s="36">
        <f>+K1911-((K1911*0.0275*0.125)+(K1911*(1-0.0275)*0.26))</f>
        <v>0.18957231624999998</v>
      </c>
      <c r="M1911" s="64">
        <f t="shared" si="57"/>
        <v>0.18957231624999998</v>
      </c>
      <c r="N1911" s="33" t="s">
        <v>718</v>
      </c>
    </row>
    <row r="1912" spans="1:14" ht="15">
      <c r="A1912" s="12"/>
      <c r="B1912" s="33" t="s">
        <v>196</v>
      </c>
      <c r="C1912" s="92" t="s">
        <v>721</v>
      </c>
      <c r="D1912" s="33" t="s">
        <v>411</v>
      </c>
      <c r="E1912" s="34">
        <v>45016</v>
      </c>
      <c r="F1912" s="34">
        <v>45019</v>
      </c>
      <c r="G1912" s="34">
        <v>45022</v>
      </c>
      <c r="H1912" s="35">
        <v>0.05</v>
      </c>
      <c r="I1912" s="67">
        <v>0.26769999999999999</v>
      </c>
      <c r="J1912" s="67">
        <v>0</v>
      </c>
      <c r="K1912" s="67">
        <v>0.26769999999999999</v>
      </c>
      <c r="L1912" s="36">
        <f>+K1912-((K1912*0.0275*0.125)+(K1912*(1-0.0275)*0.26))</f>
        <v>0.19909183624999999</v>
      </c>
      <c r="M1912" s="64">
        <f t="shared" si="57"/>
        <v>0.19909183624999999</v>
      </c>
      <c r="N1912" s="33" t="s">
        <v>718</v>
      </c>
    </row>
    <row r="1913" spans="1:14" ht="15">
      <c r="A1913" s="12"/>
      <c r="B1913" s="33" t="s">
        <v>191</v>
      </c>
      <c r="C1913" s="92" t="s">
        <v>722</v>
      </c>
      <c r="D1913" s="33" t="s">
        <v>411</v>
      </c>
      <c r="E1913" s="34">
        <v>45016</v>
      </c>
      <c r="F1913" s="34">
        <v>45019</v>
      </c>
      <c r="G1913" s="34">
        <v>45022</v>
      </c>
      <c r="H1913" s="35">
        <v>0.03</v>
      </c>
      <c r="I1913" s="67">
        <v>8.6E-3</v>
      </c>
      <c r="J1913" s="67">
        <v>0</v>
      </c>
      <c r="K1913" s="67">
        <v>8.6E-3</v>
      </c>
      <c r="L1913" s="36">
        <f>+K1913-((K1913*0.8105*0.125)+(K1913*(1-0.8105)*0.26))</f>
        <v>7.3049905000000005E-3</v>
      </c>
      <c r="M1913" s="64">
        <f t="shared" ref="M1913:M1976" si="60">J1913+L1913</f>
        <v>7.3049905000000005E-3</v>
      </c>
      <c r="N1913" s="33" t="s">
        <v>718</v>
      </c>
    </row>
    <row r="1914" spans="1:14" ht="15">
      <c r="A1914" s="12"/>
      <c r="B1914" s="33" t="s">
        <v>199</v>
      </c>
      <c r="C1914" s="92" t="s">
        <v>723</v>
      </c>
      <c r="D1914" s="33" t="s">
        <v>411</v>
      </c>
      <c r="E1914" s="34">
        <v>45016</v>
      </c>
      <c r="F1914" s="34">
        <v>45019</v>
      </c>
      <c r="G1914" s="34">
        <v>45022</v>
      </c>
      <c r="H1914" s="35">
        <v>0.03</v>
      </c>
      <c r="I1914" s="67">
        <v>8.6E-3</v>
      </c>
      <c r="J1914" s="67">
        <v>0</v>
      </c>
      <c r="K1914" s="67">
        <v>8.6E-3</v>
      </c>
      <c r="L1914" s="36">
        <f>+K1914-((K1914*0.8105*0.125)+(K1914*(1-0.8105)*0.26))</f>
        <v>7.3049905000000005E-3</v>
      </c>
      <c r="M1914" s="64">
        <f t="shared" si="60"/>
        <v>7.3049905000000005E-3</v>
      </c>
      <c r="N1914" s="33" t="s">
        <v>718</v>
      </c>
    </row>
    <row r="1915" spans="1:14" ht="15">
      <c r="A1915" s="12"/>
      <c r="B1915" s="33" t="s">
        <v>306</v>
      </c>
      <c r="C1915" s="92" t="s">
        <v>724</v>
      </c>
      <c r="D1915" s="33" t="s">
        <v>411</v>
      </c>
      <c r="E1915" s="34">
        <v>45016</v>
      </c>
      <c r="F1915" s="34">
        <v>45019</v>
      </c>
      <c r="G1915" s="34">
        <v>45022</v>
      </c>
      <c r="H1915" s="35">
        <v>5.5E-2</v>
      </c>
      <c r="I1915" s="67">
        <v>1.89E-2</v>
      </c>
      <c r="J1915" s="67">
        <v>0</v>
      </c>
      <c r="K1915" s="67">
        <v>1.89E-2</v>
      </c>
      <c r="L1915" s="36">
        <f t="shared" ref="L1915:L1920" si="61">+K1915-((K1915*0.0005*0.125)+(K1915*(1-0.0005)*0.26))</f>
        <v>1.398727575E-2</v>
      </c>
      <c r="M1915" s="64">
        <f t="shared" si="60"/>
        <v>1.398727575E-2</v>
      </c>
      <c r="N1915" s="33" t="s">
        <v>718</v>
      </c>
    </row>
    <row r="1916" spans="1:14" ht="15">
      <c r="A1916" s="12"/>
      <c r="B1916" s="33" t="s">
        <v>184</v>
      </c>
      <c r="C1916" s="92" t="s">
        <v>725</v>
      </c>
      <c r="D1916" s="33" t="s">
        <v>411</v>
      </c>
      <c r="E1916" s="34">
        <v>45016</v>
      </c>
      <c r="F1916" s="34">
        <v>45019</v>
      </c>
      <c r="G1916" s="34">
        <v>45022</v>
      </c>
      <c r="H1916" s="35">
        <v>5.5E-2</v>
      </c>
      <c r="I1916" s="67">
        <v>0.38009999999999999</v>
      </c>
      <c r="J1916" s="67">
        <v>0</v>
      </c>
      <c r="K1916" s="67">
        <v>0.38009999999999999</v>
      </c>
      <c r="L1916" s="36">
        <f t="shared" si="61"/>
        <v>0.28129965675000002</v>
      </c>
      <c r="M1916" s="64">
        <f t="shared" si="60"/>
        <v>0.28129965675000002</v>
      </c>
      <c r="N1916" s="33" t="s">
        <v>718</v>
      </c>
    </row>
    <row r="1917" spans="1:14" ht="15">
      <c r="A1917" s="12"/>
      <c r="B1917" s="33" t="s">
        <v>192</v>
      </c>
      <c r="C1917" s="92" t="s">
        <v>726</v>
      </c>
      <c r="D1917" s="33" t="s">
        <v>411</v>
      </c>
      <c r="E1917" s="34">
        <v>45016</v>
      </c>
      <c r="F1917" s="34">
        <v>45019</v>
      </c>
      <c r="G1917" s="34">
        <v>45022</v>
      </c>
      <c r="H1917" s="35">
        <v>5.5E-2</v>
      </c>
      <c r="I1917" s="67">
        <v>0.3876</v>
      </c>
      <c r="J1917" s="67">
        <v>0</v>
      </c>
      <c r="K1917" s="67">
        <v>0.3876</v>
      </c>
      <c r="L1917" s="36">
        <f t="shared" si="61"/>
        <v>0.28685016299999999</v>
      </c>
      <c r="M1917" s="64">
        <f t="shared" si="60"/>
        <v>0.28685016299999999</v>
      </c>
      <c r="N1917" s="33" t="s">
        <v>718</v>
      </c>
    </row>
    <row r="1918" spans="1:14" ht="15">
      <c r="A1918" s="12"/>
      <c r="B1918" s="33" t="s">
        <v>311</v>
      </c>
      <c r="C1918" s="92" t="s">
        <v>727</v>
      </c>
      <c r="D1918" s="33" t="s">
        <v>411</v>
      </c>
      <c r="E1918" s="34">
        <v>45016</v>
      </c>
      <c r="F1918" s="34">
        <v>45019</v>
      </c>
      <c r="G1918" s="34">
        <v>45022</v>
      </c>
      <c r="H1918" s="35">
        <v>4.2500000000000003E-2</v>
      </c>
      <c r="I1918" s="67">
        <v>1.6E-2</v>
      </c>
      <c r="J1918" s="67">
        <v>0</v>
      </c>
      <c r="K1918" s="67">
        <v>1.6E-2</v>
      </c>
      <c r="L1918" s="36">
        <f t="shared" si="61"/>
        <v>1.184108E-2</v>
      </c>
      <c r="M1918" s="64">
        <f t="shared" si="60"/>
        <v>1.184108E-2</v>
      </c>
      <c r="N1918" s="33" t="s">
        <v>718</v>
      </c>
    </row>
    <row r="1919" spans="1:14" ht="15">
      <c r="A1919" s="12"/>
      <c r="B1919" s="33" t="s">
        <v>189</v>
      </c>
      <c r="C1919" s="92" t="s">
        <v>728</v>
      </c>
      <c r="D1919" s="33" t="s">
        <v>411</v>
      </c>
      <c r="E1919" s="34">
        <v>45016</v>
      </c>
      <c r="F1919" s="34">
        <v>45019</v>
      </c>
      <c r="G1919" s="34">
        <v>45022</v>
      </c>
      <c r="H1919" s="35">
        <v>4.2500000000000003E-2</v>
      </c>
      <c r="I1919" s="67">
        <v>0.29170000000000001</v>
      </c>
      <c r="J1919" s="67">
        <v>0</v>
      </c>
      <c r="K1919" s="67">
        <v>0.29170000000000001</v>
      </c>
      <c r="L1919" s="36">
        <f t="shared" si="61"/>
        <v>0.21587768974999999</v>
      </c>
      <c r="M1919" s="64">
        <f t="shared" si="60"/>
        <v>0.21587768974999999</v>
      </c>
      <c r="N1919" s="33" t="s">
        <v>718</v>
      </c>
    </row>
    <row r="1920" spans="1:14" ht="15">
      <c r="A1920" s="12"/>
      <c r="B1920" s="33" t="s">
        <v>197</v>
      </c>
      <c r="C1920" s="92" t="s">
        <v>729</v>
      </c>
      <c r="D1920" s="33" t="s">
        <v>411</v>
      </c>
      <c r="E1920" s="34">
        <v>45016</v>
      </c>
      <c r="F1920" s="34">
        <v>45019</v>
      </c>
      <c r="G1920" s="34">
        <v>45022</v>
      </c>
      <c r="H1920" s="35">
        <v>4.2500000000000003E-2</v>
      </c>
      <c r="I1920" s="67">
        <v>0.29980000000000001</v>
      </c>
      <c r="J1920" s="67">
        <v>0</v>
      </c>
      <c r="K1920" s="67">
        <v>0.29980000000000001</v>
      </c>
      <c r="L1920" s="36">
        <f t="shared" si="61"/>
        <v>0.22187223649999999</v>
      </c>
      <c r="M1920" s="64">
        <f t="shared" si="60"/>
        <v>0.22187223649999999</v>
      </c>
      <c r="N1920" s="33" t="s">
        <v>718</v>
      </c>
    </row>
    <row r="1921" spans="1:14" ht="15">
      <c r="A1921" s="12"/>
      <c r="B1921" s="33" t="s">
        <v>308</v>
      </c>
      <c r="C1921" s="92" t="s">
        <v>730</v>
      </c>
      <c r="D1921" s="33" t="s">
        <v>411</v>
      </c>
      <c r="E1921" s="34">
        <v>45016</v>
      </c>
      <c r="F1921" s="34">
        <v>45019</v>
      </c>
      <c r="G1921" s="34">
        <v>45022</v>
      </c>
      <c r="H1921" s="35">
        <v>4.2500000000000003E-2</v>
      </c>
      <c r="I1921" s="67">
        <v>1.4500000000000001E-2</v>
      </c>
      <c r="J1921" s="67">
        <v>0</v>
      </c>
      <c r="K1921" s="67">
        <v>1.4500000000000001E-2</v>
      </c>
      <c r="L1921" s="36">
        <f>+K1921-((K1921*0.4775*0.125)+(K1921*(1-0.4775)*0.26))</f>
        <v>1.166470625E-2</v>
      </c>
      <c r="M1921" s="64">
        <f t="shared" si="60"/>
        <v>1.166470625E-2</v>
      </c>
      <c r="N1921" s="33" t="s">
        <v>718</v>
      </c>
    </row>
    <row r="1922" spans="1:14" ht="15">
      <c r="A1922" s="12"/>
      <c r="B1922" s="33" t="s">
        <v>186</v>
      </c>
      <c r="C1922" s="92" t="s">
        <v>731</v>
      </c>
      <c r="D1922" s="33" t="s">
        <v>411</v>
      </c>
      <c r="E1922" s="34">
        <v>45016</v>
      </c>
      <c r="F1922" s="34">
        <v>45019</v>
      </c>
      <c r="G1922" s="34">
        <v>45022</v>
      </c>
      <c r="H1922" s="35">
        <v>4.2500000000000003E-2</v>
      </c>
      <c r="I1922" s="67">
        <v>0.26669999999999999</v>
      </c>
      <c r="J1922" s="67">
        <v>0</v>
      </c>
      <c r="K1922" s="67">
        <v>0.26669999999999999</v>
      </c>
      <c r="L1922" s="36">
        <f>+K1922-((K1922*0.4775*0.125)+(K1922*(1-0.4775)*0.26))</f>
        <v>0.21455014875</v>
      </c>
      <c r="M1922" s="64">
        <f t="shared" si="60"/>
        <v>0.21455014875</v>
      </c>
      <c r="N1922" s="33" t="s">
        <v>718</v>
      </c>
    </row>
    <row r="1923" spans="1:14" ht="15">
      <c r="A1923" s="12"/>
      <c r="B1923" s="33" t="s">
        <v>194</v>
      </c>
      <c r="C1923" s="92" t="s">
        <v>732</v>
      </c>
      <c r="D1923" s="33" t="s">
        <v>411</v>
      </c>
      <c r="E1923" s="34">
        <v>45016</v>
      </c>
      <c r="F1923" s="34">
        <v>45019</v>
      </c>
      <c r="G1923" s="34">
        <v>45022</v>
      </c>
      <c r="H1923" s="35">
        <v>4.2500000000000003E-2</v>
      </c>
      <c r="I1923" s="67">
        <v>0.27589999999999998</v>
      </c>
      <c r="J1923" s="67">
        <v>0</v>
      </c>
      <c r="K1923" s="67">
        <v>0.27589999999999998</v>
      </c>
      <c r="L1923" s="36">
        <f>+K1923-((K1923*0.4775*0.125)+(K1923*(1-0.4775)*0.26))</f>
        <v>0.22195120374999999</v>
      </c>
      <c r="M1923" s="64">
        <f t="shared" si="60"/>
        <v>0.22195120374999999</v>
      </c>
      <c r="N1923" s="33" t="s">
        <v>718</v>
      </c>
    </row>
    <row r="1924" spans="1:14" ht="15">
      <c r="A1924" s="12"/>
      <c r="B1924" s="33" t="s">
        <v>307</v>
      </c>
      <c r="C1924" s="92" t="s">
        <v>733</v>
      </c>
      <c r="D1924" s="33" t="s">
        <v>411</v>
      </c>
      <c r="E1924" s="34">
        <v>45016</v>
      </c>
      <c r="F1924" s="34">
        <v>45019</v>
      </c>
      <c r="G1924" s="34">
        <v>45022</v>
      </c>
      <c r="H1924" s="35">
        <v>4.7500000000000001E-2</v>
      </c>
      <c r="I1924" s="67">
        <v>1.46E-2</v>
      </c>
      <c r="J1924" s="67">
        <v>0</v>
      </c>
      <c r="K1924" s="67">
        <v>1.46E-2</v>
      </c>
      <c r="L1924" s="36">
        <f>+K1924-((K1924*0.596*0.125)+(K1924*(1-0.596)*0.26))</f>
        <v>1.1978716E-2</v>
      </c>
      <c r="M1924" s="64">
        <f t="shared" si="60"/>
        <v>1.1978716E-2</v>
      </c>
      <c r="N1924" s="33" t="s">
        <v>718</v>
      </c>
    </row>
    <row r="1925" spans="1:14" ht="15">
      <c r="A1925" s="12"/>
      <c r="B1925" s="33" t="s">
        <v>185</v>
      </c>
      <c r="C1925" s="92" t="s">
        <v>734</v>
      </c>
      <c r="D1925" s="33" t="s">
        <v>411</v>
      </c>
      <c r="E1925" s="34">
        <v>45016</v>
      </c>
      <c r="F1925" s="34">
        <v>45019</v>
      </c>
      <c r="G1925" s="34">
        <v>45022</v>
      </c>
      <c r="H1925" s="35">
        <v>4.7500000000000001E-2</v>
      </c>
      <c r="I1925" s="67">
        <v>0.24179999999999999</v>
      </c>
      <c r="J1925" s="67">
        <v>0</v>
      </c>
      <c r="K1925" s="67">
        <v>0.24179999999999999</v>
      </c>
      <c r="L1925" s="36">
        <f>+K1925-((K1925*0.596*0.125)+(K1925*(1-0.596)*0.26))</f>
        <v>0.19838722799999997</v>
      </c>
      <c r="M1925" s="64">
        <f t="shared" si="60"/>
        <v>0.19838722799999997</v>
      </c>
      <c r="N1925" s="33" t="s">
        <v>718</v>
      </c>
    </row>
    <row r="1926" spans="1:14" ht="15">
      <c r="A1926" s="12"/>
      <c r="B1926" s="33" t="s">
        <v>193</v>
      </c>
      <c r="C1926" s="92" t="s">
        <v>735</v>
      </c>
      <c r="D1926" s="33" t="s">
        <v>411</v>
      </c>
      <c r="E1926" s="34">
        <v>45016</v>
      </c>
      <c r="F1926" s="34">
        <v>45019</v>
      </c>
      <c r="G1926" s="34">
        <v>45022</v>
      </c>
      <c r="H1926" s="35">
        <v>4.7500000000000001E-2</v>
      </c>
      <c r="I1926" s="67">
        <v>0.23899999999999999</v>
      </c>
      <c r="J1926" s="67">
        <v>0</v>
      </c>
      <c r="K1926" s="67">
        <v>0.23899999999999999</v>
      </c>
      <c r="L1926" s="36">
        <f>+K1926-((K1926*0.596*0.125)+(K1926*(1-0.596)*0.26))</f>
        <v>0.19608993999999999</v>
      </c>
      <c r="M1926" s="64">
        <f t="shared" si="60"/>
        <v>0.19608993999999999</v>
      </c>
      <c r="N1926" s="33" t="s">
        <v>718</v>
      </c>
    </row>
    <row r="1927" spans="1:14" ht="15">
      <c r="A1927" s="12"/>
      <c r="B1927" s="33" t="s">
        <v>309</v>
      </c>
      <c r="C1927" s="92" t="s">
        <v>736</v>
      </c>
      <c r="D1927" s="33" t="s">
        <v>411</v>
      </c>
      <c r="E1927" s="34">
        <v>45016</v>
      </c>
      <c r="F1927" s="34">
        <v>45019</v>
      </c>
      <c r="G1927" s="34">
        <v>45022</v>
      </c>
      <c r="H1927" s="35">
        <v>4.7500000000000001E-2</v>
      </c>
      <c r="I1927" s="67">
        <v>1.5800000000000002E-2</v>
      </c>
      <c r="J1927" s="67">
        <v>0</v>
      </c>
      <c r="K1927" s="67">
        <v>1.5800000000000002E-2</v>
      </c>
      <c r="L1927" s="36">
        <f>+K1927-((K1927*0.0535*0.125)+(K1927*(1-0.0535)*0.26))</f>
        <v>1.1806115500000002E-2</v>
      </c>
      <c r="M1927" s="64">
        <f t="shared" si="60"/>
        <v>1.1806115500000002E-2</v>
      </c>
      <c r="N1927" s="33" t="s">
        <v>718</v>
      </c>
    </row>
    <row r="1928" spans="1:14" ht="15">
      <c r="A1928" s="12"/>
      <c r="B1928" s="33" t="s">
        <v>187</v>
      </c>
      <c r="C1928" s="92" t="s">
        <v>737</v>
      </c>
      <c r="D1928" s="33" t="s">
        <v>411</v>
      </c>
      <c r="E1928" s="34">
        <v>45016</v>
      </c>
      <c r="F1928" s="34">
        <v>45019</v>
      </c>
      <c r="G1928" s="34">
        <v>45022</v>
      </c>
      <c r="H1928" s="35">
        <v>4.7500000000000001E-2</v>
      </c>
      <c r="I1928" s="67">
        <v>0.27729999999999999</v>
      </c>
      <c r="J1928" s="67">
        <v>0</v>
      </c>
      <c r="K1928" s="67">
        <v>0.27729999999999999</v>
      </c>
      <c r="L1928" s="36">
        <f>+K1928-((K1928*0.0535*0.125)+(K1928*(1-0.0535)*0.26))</f>
        <v>0.20720479924999996</v>
      </c>
      <c r="M1928" s="64">
        <f t="shared" si="60"/>
        <v>0.20720479924999996</v>
      </c>
      <c r="N1928" s="33" t="s">
        <v>718</v>
      </c>
    </row>
    <row r="1929" spans="1:14" ht="15">
      <c r="A1929" s="12"/>
      <c r="B1929" s="33" t="s">
        <v>195</v>
      </c>
      <c r="C1929" s="92" t="s">
        <v>738</v>
      </c>
      <c r="D1929" s="33" t="s">
        <v>411</v>
      </c>
      <c r="E1929" s="34">
        <v>45016</v>
      </c>
      <c r="F1929" s="34">
        <v>45019</v>
      </c>
      <c r="G1929" s="34">
        <v>45022</v>
      </c>
      <c r="H1929" s="35">
        <v>4.7500000000000001E-2</v>
      </c>
      <c r="I1929" s="67">
        <v>0.28939999999999999</v>
      </c>
      <c r="J1929" s="67">
        <v>0</v>
      </c>
      <c r="K1929" s="67">
        <v>0.28939999999999999</v>
      </c>
      <c r="L1929" s="36">
        <f>+K1929-((K1929*0.0535*0.125)+(K1929*(1-0.0535)*0.26))</f>
        <v>0.21624619150000002</v>
      </c>
      <c r="M1929" s="64">
        <f t="shared" si="60"/>
        <v>0.21624619150000002</v>
      </c>
      <c r="N1929" s="33" t="s">
        <v>718</v>
      </c>
    </row>
    <row r="1930" spans="1:14" ht="15">
      <c r="A1930" s="12"/>
      <c r="B1930" s="33" t="s">
        <v>312</v>
      </c>
      <c r="C1930" s="92" t="s">
        <v>739</v>
      </c>
      <c r="D1930" s="33" t="s">
        <v>411</v>
      </c>
      <c r="E1930" s="34">
        <v>45016</v>
      </c>
      <c r="F1930" s="34">
        <v>45019</v>
      </c>
      <c r="G1930" s="34">
        <v>45022</v>
      </c>
      <c r="H1930" s="35">
        <v>7.0000000000000007E-2</v>
      </c>
      <c r="I1930" s="67">
        <v>2.1899999999999999E-2</v>
      </c>
      <c r="J1930" s="67">
        <v>0</v>
      </c>
      <c r="K1930" s="67">
        <v>2.1899999999999999E-2</v>
      </c>
      <c r="L1930" s="36">
        <f>+K1930-((K1930*0.08*0.125)+(K1930*(1-0.08)*0.26))</f>
        <v>1.6442519999999999E-2</v>
      </c>
      <c r="M1930" s="64">
        <f t="shared" si="60"/>
        <v>1.6442519999999999E-2</v>
      </c>
      <c r="N1930" s="33" t="s">
        <v>718</v>
      </c>
    </row>
    <row r="1931" spans="1:14" ht="15">
      <c r="A1931" s="12"/>
      <c r="B1931" s="33" t="s">
        <v>190</v>
      </c>
      <c r="C1931" s="92" t="s">
        <v>740</v>
      </c>
      <c r="D1931" s="33" t="s">
        <v>411</v>
      </c>
      <c r="E1931" s="34">
        <v>45016</v>
      </c>
      <c r="F1931" s="34">
        <v>45019</v>
      </c>
      <c r="G1931" s="34">
        <v>45022</v>
      </c>
      <c r="H1931" s="35">
        <v>7.0000000000000007E-2</v>
      </c>
      <c r="I1931" s="67">
        <v>0.41499999999999998</v>
      </c>
      <c r="J1931" s="67">
        <v>0</v>
      </c>
      <c r="K1931" s="67">
        <v>0.41499999999999998</v>
      </c>
      <c r="L1931" s="36">
        <f>+K1931-((K1931*0.08*0.125)+(K1931*(1-0.08)*0.26))</f>
        <v>0.31158199999999997</v>
      </c>
      <c r="M1931" s="64">
        <f t="shared" si="60"/>
        <v>0.31158199999999997</v>
      </c>
      <c r="N1931" s="33" t="s">
        <v>718</v>
      </c>
    </row>
    <row r="1932" spans="1:14" ht="15">
      <c r="A1932" s="12"/>
      <c r="B1932" s="33" t="s">
        <v>198</v>
      </c>
      <c r="C1932" s="92" t="s">
        <v>741</v>
      </c>
      <c r="D1932" s="33" t="s">
        <v>411</v>
      </c>
      <c r="E1932" s="34">
        <v>45016</v>
      </c>
      <c r="F1932" s="34">
        <v>45019</v>
      </c>
      <c r="G1932" s="34">
        <v>45022</v>
      </c>
      <c r="H1932" s="35">
        <v>7.0000000000000007E-2</v>
      </c>
      <c r="I1932" s="67">
        <v>0.4194</v>
      </c>
      <c r="J1932" s="67">
        <v>0</v>
      </c>
      <c r="K1932" s="67">
        <v>0.4194</v>
      </c>
      <c r="L1932" s="36">
        <f>+K1932-((K1932*0.08*0.125)+(K1932*(1-0.08)*0.26))</f>
        <v>0.31488551999999997</v>
      </c>
      <c r="M1932" s="64">
        <f t="shared" si="60"/>
        <v>0.31488551999999997</v>
      </c>
      <c r="N1932" s="33" t="s">
        <v>718</v>
      </c>
    </row>
    <row r="1933" spans="1:14" ht="15">
      <c r="A1933" s="12"/>
      <c r="B1933" s="33" t="s">
        <v>513</v>
      </c>
      <c r="C1933" s="92" t="s">
        <v>742</v>
      </c>
      <c r="D1933" s="33" t="s">
        <v>411</v>
      </c>
      <c r="E1933" s="34">
        <v>45016</v>
      </c>
      <c r="F1933" s="34">
        <v>45019</v>
      </c>
      <c r="G1933" s="34">
        <v>45022</v>
      </c>
      <c r="H1933" s="35">
        <v>0.01</v>
      </c>
      <c r="I1933" s="67">
        <v>5.8099999999999999E-2</v>
      </c>
      <c r="J1933" s="67">
        <v>0</v>
      </c>
      <c r="K1933" s="67">
        <v>5.8099999999999999E-2</v>
      </c>
      <c r="L1933" s="36">
        <f>+K1933-((K1933*0.337*0.125)+(K1933*(1-0.337)*0.26))</f>
        <v>4.5637259499999999E-2</v>
      </c>
      <c r="M1933" s="64">
        <f t="shared" si="60"/>
        <v>4.5637259499999999E-2</v>
      </c>
      <c r="N1933" s="33" t="s">
        <v>718</v>
      </c>
    </row>
    <row r="1934" spans="1:14" ht="15">
      <c r="A1934" s="12"/>
      <c r="B1934" s="33" t="s">
        <v>514</v>
      </c>
      <c r="C1934" s="92" t="s">
        <v>743</v>
      </c>
      <c r="D1934" s="33" t="s">
        <v>411</v>
      </c>
      <c r="E1934" s="34">
        <v>45016</v>
      </c>
      <c r="F1934" s="34">
        <v>45019</v>
      </c>
      <c r="G1934" s="34">
        <v>45022</v>
      </c>
      <c r="H1934" s="35">
        <v>0.01</v>
      </c>
      <c r="I1934" s="67">
        <v>5.9400000000000001E-2</v>
      </c>
      <c r="J1934" s="67">
        <v>0</v>
      </c>
      <c r="K1934" s="67">
        <v>5.9400000000000001E-2</v>
      </c>
      <c r="L1934" s="36">
        <f>+K1934-((K1934*0.337*0.125)+(K1934*(1-0.337)*0.26))</f>
        <v>4.6658403000000001E-2</v>
      </c>
      <c r="M1934" s="64">
        <f t="shared" si="60"/>
        <v>4.6658403000000001E-2</v>
      </c>
      <c r="N1934" s="33" t="s">
        <v>718</v>
      </c>
    </row>
    <row r="1935" spans="1:14" ht="15">
      <c r="A1935" s="12"/>
      <c r="B1935" s="33" t="s">
        <v>313</v>
      </c>
      <c r="C1935" s="92" t="s">
        <v>744</v>
      </c>
      <c r="D1935" s="33" t="s">
        <v>411</v>
      </c>
      <c r="E1935" s="34">
        <v>45016</v>
      </c>
      <c r="F1935" s="34">
        <v>45019</v>
      </c>
      <c r="G1935" s="34">
        <v>45022</v>
      </c>
      <c r="H1935" s="35">
        <v>4.4999999999999998E-2</v>
      </c>
      <c r="I1935" s="67">
        <v>1.55E-2</v>
      </c>
      <c r="J1935" s="67">
        <v>0</v>
      </c>
      <c r="K1935" s="67">
        <v>1.55E-2</v>
      </c>
      <c r="L1935" s="36">
        <f>+K1935-((K1935*0.2435*0.125)+(K1935*(1-0.2435)*0.26))</f>
        <v>1.197952375E-2</v>
      </c>
      <c r="M1935" s="64">
        <f t="shared" si="60"/>
        <v>1.197952375E-2</v>
      </c>
      <c r="N1935" s="33" t="s">
        <v>718</v>
      </c>
    </row>
    <row r="1936" spans="1:14" ht="15">
      <c r="A1936" s="12"/>
      <c r="B1936" s="33" t="s">
        <v>298</v>
      </c>
      <c r="C1936" s="92" t="s">
        <v>403</v>
      </c>
      <c r="D1936" s="33" t="s">
        <v>410</v>
      </c>
      <c r="E1936" s="34">
        <v>45016</v>
      </c>
      <c r="F1936" s="34">
        <v>45019</v>
      </c>
      <c r="G1936" s="34">
        <v>45022</v>
      </c>
      <c r="H1936" s="35">
        <v>4.4999999999999998E-2</v>
      </c>
      <c r="I1936" s="67">
        <v>4.24E-2</v>
      </c>
      <c r="J1936" s="67">
        <v>0</v>
      </c>
      <c r="K1936" s="67">
        <v>4.24E-2</v>
      </c>
      <c r="L1936" s="36">
        <f>+K1936-((K1936*0.417*0.125)+(K1936*(1-0.417)*0.26))</f>
        <v>3.3762908000000001E-2</v>
      </c>
      <c r="M1936" s="64">
        <f t="shared" si="60"/>
        <v>3.3762908000000001E-2</v>
      </c>
      <c r="N1936" s="33" t="s">
        <v>248</v>
      </c>
    </row>
    <row r="1937" spans="1:14" ht="15">
      <c r="A1937" s="12"/>
      <c r="B1937" s="33" t="s">
        <v>181</v>
      </c>
      <c r="C1937" s="92" t="s">
        <v>335</v>
      </c>
      <c r="D1937" s="33" t="s">
        <v>410</v>
      </c>
      <c r="E1937" s="34">
        <v>45016</v>
      </c>
      <c r="F1937" s="34">
        <v>45019</v>
      </c>
      <c r="G1937" s="34">
        <v>45022</v>
      </c>
      <c r="H1937" s="35">
        <v>4.4999999999999998E-2</v>
      </c>
      <c r="I1937" s="67">
        <v>0.75519999999999998</v>
      </c>
      <c r="J1937" s="67">
        <v>0</v>
      </c>
      <c r="K1937" s="67">
        <v>0.75519999999999998</v>
      </c>
      <c r="L1937" s="36">
        <f>+K1937-((K1937*0.417*0.125)+(K1937*(1-0.417)*0.26))</f>
        <v>0.60136198399999996</v>
      </c>
      <c r="M1937" s="64">
        <f t="shared" si="60"/>
        <v>0.60136198399999996</v>
      </c>
      <c r="N1937" s="33" t="s">
        <v>248</v>
      </c>
    </row>
    <row r="1938" spans="1:14" ht="15">
      <c r="A1938" s="12"/>
      <c r="B1938" s="33" t="s">
        <v>201</v>
      </c>
      <c r="C1938" s="92" t="s">
        <v>336</v>
      </c>
      <c r="D1938" s="33" t="s">
        <v>410</v>
      </c>
      <c r="E1938" s="34">
        <v>45016</v>
      </c>
      <c r="F1938" s="34">
        <v>45019</v>
      </c>
      <c r="G1938" s="34">
        <v>45022</v>
      </c>
      <c r="H1938" s="35">
        <v>4.4999999999999998E-2</v>
      </c>
      <c r="I1938" s="67">
        <v>0.7722</v>
      </c>
      <c r="J1938" s="67">
        <v>0</v>
      </c>
      <c r="K1938" s="67">
        <v>0.7722</v>
      </c>
      <c r="L1938" s="36">
        <f>+K1938-((K1938*0.417*0.125)+(K1938*(1-0.417)*0.26))</f>
        <v>0.614898999</v>
      </c>
      <c r="M1938" s="64">
        <f t="shared" si="60"/>
        <v>0.614898999</v>
      </c>
      <c r="N1938" s="33" t="s">
        <v>248</v>
      </c>
    </row>
    <row r="1939" spans="1:14" ht="15">
      <c r="A1939" s="12"/>
      <c r="B1939" s="33" t="s">
        <v>138</v>
      </c>
      <c r="C1939" s="92" t="s">
        <v>337</v>
      </c>
      <c r="D1939" s="33" t="s">
        <v>410</v>
      </c>
      <c r="E1939" s="34">
        <v>45016</v>
      </c>
      <c r="F1939" s="34">
        <v>45019</v>
      </c>
      <c r="G1939" s="34">
        <v>45022</v>
      </c>
      <c r="H1939" s="35">
        <v>0.05</v>
      </c>
      <c r="I1939" s="67">
        <v>6.1600000000000002E-2</v>
      </c>
      <c r="J1939" s="67">
        <v>0</v>
      </c>
      <c r="K1939" s="67">
        <v>6.1600000000000002E-2</v>
      </c>
      <c r="L1939" s="36">
        <f>+K1939-((K1939*0.269*0.125)+(K1939*(1-0.269)*0.26))</f>
        <v>4.7821004E-2</v>
      </c>
      <c r="M1939" s="64">
        <f t="shared" si="60"/>
        <v>4.7821004E-2</v>
      </c>
      <c r="N1939" s="33" t="s">
        <v>248</v>
      </c>
    </row>
    <row r="1940" spans="1:14" ht="15">
      <c r="A1940" s="12"/>
      <c r="B1940" s="33" t="s">
        <v>160</v>
      </c>
      <c r="C1940" s="92" t="s">
        <v>338</v>
      </c>
      <c r="D1940" s="33" t="s">
        <v>410</v>
      </c>
      <c r="E1940" s="34">
        <v>45016</v>
      </c>
      <c r="F1940" s="34">
        <v>45019</v>
      </c>
      <c r="G1940" s="34">
        <v>45022</v>
      </c>
      <c r="H1940" s="35">
        <v>0.05</v>
      </c>
      <c r="I1940" s="67">
        <v>6.0100000000000001E-2</v>
      </c>
      <c r="J1940" s="67">
        <v>0</v>
      </c>
      <c r="K1940" s="67">
        <v>6.0100000000000001E-2</v>
      </c>
      <c r="L1940" s="36">
        <f>+K1940-((K1940*0.269*0.125)+(K1940*(1-0.269)*0.26))</f>
        <v>4.6656531500000001E-2</v>
      </c>
      <c r="M1940" s="64">
        <f t="shared" si="60"/>
        <v>4.6656531500000001E-2</v>
      </c>
      <c r="N1940" s="33" t="s">
        <v>248</v>
      </c>
    </row>
    <row r="1941" spans="1:14" ht="15">
      <c r="A1941" s="12"/>
      <c r="B1941" s="33" t="s">
        <v>300</v>
      </c>
      <c r="C1941" s="92" t="s">
        <v>404</v>
      </c>
      <c r="D1941" s="33" t="s">
        <v>410</v>
      </c>
      <c r="E1941" s="34">
        <v>45016</v>
      </c>
      <c r="F1941" s="34">
        <v>45019</v>
      </c>
      <c r="G1941" s="34">
        <v>45022</v>
      </c>
      <c r="H1941" s="35">
        <v>0.05</v>
      </c>
      <c r="I1941" s="67">
        <v>4.7199999999999999E-2</v>
      </c>
      <c r="J1941" s="67">
        <v>0</v>
      </c>
      <c r="K1941" s="67">
        <v>4.7199999999999999E-2</v>
      </c>
      <c r="L1941" s="36">
        <f>+K1941-((K1941*0.269*0.125)+(K1941*(1-0.269)*0.26))</f>
        <v>3.6642068E-2</v>
      </c>
      <c r="M1941" s="64">
        <f t="shared" si="60"/>
        <v>3.6642068E-2</v>
      </c>
      <c r="N1941" s="33" t="s">
        <v>248</v>
      </c>
    </row>
    <row r="1942" spans="1:14" ht="15">
      <c r="A1942" s="12"/>
      <c r="B1942" s="33" t="s">
        <v>142</v>
      </c>
      <c r="C1942" s="92" t="s">
        <v>341</v>
      </c>
      <c r="D1942" s="33" t="s">
        <v>410</v>
      </c>
      <c r="E1942" s="34">
        <v>45016</v>
      </c>
      <c r="F1942" s="34">
        <v>45019</v>
      </c>
      <c r="G1942" s="34">
        <v>45022</v>
      </c>
      <c r="H1942" s="35">
        <v>5.2499999999999998E-2</v>
      </c>
      <c r="I1942" s="67">
        <v>6.93E-2</v>
      </c>
      <c r="J1942" s="67">
        <v>0</v>
      </c>
      <c r="K1942" s="67">
        <v>6.93E-2</v>
      </c>
      <c r="L1942" s="36">
        <f>+K1942-((K1942*0.059*0.125)+(K1942*(1-0.059)*0.26))</f>
        <v>5.1833974500000005E-2</v>
      </c>
      <c r="M1942" s="64">
        <f t="shared" si="60"/>
        <v>5.1833974500000005E-2</v>
      </c>
      <c r="N1942" s="33" t="s">
        <v>248</v>
      </c>
    </row>
    <row r="1943" spans="1:14" ht="15">
      <c r="A1943" s="12"/>
      <c r="B1943" s="33" t="s">
        <v>159</v>
      </c>
      <c r="C1943" s="92" t="s">
        <v>342</v>
      </c>
      <c r="D1943" s="33" t="s">
        <v>410</v>
      </c>
      <c r="E1943" s="34">
        <v>45016</v>
      </c>
      <c r="F1943" s="34">
        <v>45019</v>
      </c>
      <c r="G1943" s="34">
        <v>45022</v>
      </c>
      <c r="H1943" s="35">
        <v>5.2499999999999998E-2</v>
      </c>
      <c r="I1943" s="67">
        <v>6.8099999999999994E-2</v>
      </c>
      <c r="J1943" s="67">
        <v>0</v>
      </c>
      <c r="K1943" s="67">
        <v>6.8099999999999994E-2</v>
      </c>
      <c r="L1943" s="36">
        <f>+K1943-((K1943*0.059*0.125)+(K1943*(1-0.059)*0.26))</f>
        <v>5.0936416499999998E-2</v>
      </c>
      <c r="M1943" s="64">
        <f t="shared" si="60"/>
        <v>5.0936416499999998E-2</v>
      </c>
      <c r="N1943" s="33" t="s">
        <v>248</v>
      </c>
    </row>
    <row r="1944" spans="1:14" ht="15">
      <c r="A1944" s="12"/>
      <c r="B1944" s="33" t="s">
        <v>507</v>
      </c>
      <c r="C1944" s="92" t="s">
        <v>508</v>
      </c>
      <c r="D1944" s="33" t="s">
        <v>410</v>
      </c>
      <c r="E1944" s="34">
        <v>45016</v>
      </c>
      <c r="F1944" s="34">
        <v>45019</v>
      </c>
      <c r="G1944" s="34">
        <v>45022</v>
      </c>
      <c r="H1944" s="35">
        <v>5.2499999999999998E-2</v>
      </c>
      <c r="I1944" s="67">
        <v>5.4600000000000003E-2</v>
      </c>
      <c r="J1944" s="67">
        <v>0</v>
      </c>
      <c r="K1944" s="67">
        <v>5.4600000000000003E-2</v>
      </c>
      <c r="L1944" s="36">
        <f>+K1944-((K1944*0.059*0.125)+(K1944*(1-0.059)*0.26))</f>
        <v>4.0838889000000003E-2</v>
      </c>
      <c r="M1944" s="64">
        <f t="shared" si="60"/>
        <v>4.0838889000000003E-2</v>
      </c>
      <c r="N1944" s="33" t="s">
        <v>248</v>
      </c>
    </row>
    <row r="1945" spans="1:14" ht="15">
      <c r="A1945" s="12"/>
      <c r="B1945" s="33" t="s">
        <v>139</v>
      </c>
      <c r="C1945" s="92" t="s">
        <v>344</v>
      </c>
      <c r="D1945" s="33" t="s">
        <v>410</v>
      </c>
      <c r="E1945" s="34">
        <v>45016</v>
      </c>
      <c r="F1945" s="34">
        <v>45019</v>
      </c>
      <c r="G1945" s="34">
        <v>45022</v>
      </c>
      <c r="H1945" s="35">
        <v>0.03</v>
      </c>
      <c r="I1945" s="67">
        <v>2.7799999999999998E-2</v>
      </c>
      <c r="J1945" s="67">
        <v>0</v>
      </c>
      <c r="K1945" s="67">
        <v>2.7799999999999998E-2</v>
      </c>
      <c r="L1945" s="36">
        <f>+K1945-((K1945*0.8105*0.125)+(K1945*(1-0.8105)*0.26))</f>
        <v>2.3613806500000001E-2</v>
      </c>
      <c r="M1945" s="64">
        <f t="shared" si="60"/>
        <v>2.3613806500000001E-2</v>
      </c>
      <c r="N1945" s="33" t="s">
        <v>248</v>
      </c>
    </row>
    <row r="1946" spans="1:14" ht="15">
      <c r="A1946" s="12"/>
      <c r="B1946" s="33" t="s">
        <v>161</v>
      </c>
      <c r="C1946" s="92" t="s">
        <v>345</v>
      </c>
      <c r="D1946" s="33" t="s">
        <v>410</v>
      </c>
      <c r="E1946" s="34">
        <v>45016</v>
      </c>
      <c r="F1946" s="34">
        <v>45019</v>
      </c>
      <c r="G1946" s="34">
        <v>45022</v>
      </c>
      <c r="H1946" s="35">
        <v>0.03</v>
      </c>
      <c r="I1946" s="67">
        <v>2.7400000000000001E-2</v>
      </c>
      <c r="J1946" s="67">
        <v>0</v>
      </c>
      <c r="K1946" s="67">
        <v>2.7400000000000001E-2</v>
      </c>
      <c r="L1946" s="36">
        <f>+K1946-((K1946*0.8105*0.125)+(K1946*(1-0.8105)*0.26))</f>
        <v>2.32740395E-2</v>
      </c>
      <c r="M1946" s="64">
        <f t="shared" si="60"/>
        <v>2.32740395E-2</v>
      </c>
      <c r="N1946" s="33" t="s">
        <v>248</v>
      </c>
    </row>
    <row r="1947" spans="1:14" ht="15">
      <c r="A1947" s="12"/>
      <c r="B1947" s="33" t="s">
        <v>141</v>
      </c>
      <c r="C1947" s="92" t="s">
        <v>348</v>
      </c>
      <c r="D1947" s="33" t="s">
        <v>410</v>
      </c>
      <c r="E1947" s="34">
        <v>45016</v>
      </c>
      <c r="F1947" s="34">
        <v>45019</v>
      </c>
      <c r="G1947" s="34">
        <v>45022</v>
      </c>
      <c r="H1947" s="35">
        <v>4.4999999999999998E-2</v>
      </c>
      <c r="I1947" s="67">
        <v>3.9399999999999998E-2</v>
      </c>
      <c r="J1947" s="67">
        <v>0</v>
      </c>
      <c r="K1947" s="67">
        <v>3.9399999999999998E-2</v>
      </c>
      <c r="L1947" s="36">
        <f>+K1947-((K1947*0.092*0.125)+(K1947*(1-0.092)*0.26))</f>
        <v>2.9645347999999995E-2</v>
      </c>
      <c r="M1947" s="64">
        <f t="shared" si="60"/>
        <v>2.9645347999999995E-2</v>
      </c>
      <c r="N1947" s="33" t="s">
        <v>248</v>
      </c>
    </row>
    <row r="1948" spans="1:14" ht="15">
      <c r="A1948" s="12"/>
      <c r="B1948" s="33" t="s">
        <v>140</v>
      </c>
      <c r="C1948" s="92" t="s">
        <v>349</v>
      </c>
      <c r="D1948" s="33" t="s">
        <v>410</v>
      </c>
      <c r="E1948" s="34">
        <v>45016</v>
      </c>
      <c r="F1948" s="34">
        <v>45019</v>
      </c>
      <c r="G1948" s="34">
        <v>45022</v>
      </c>
      <c r="H1948" s="35">
        <v>4.4999999999999998E-2</v>
      </c>
      <c r="I1948" s="67">
        <v>4.7899999999999998E-2</v>
      </c>
      <c r="J1948" s="67">
        <v>0</v>
      </c>
      <c r="K1948" s="67">
        <v>4.7899999999999998E-2</v>
      </c>
      <c r="L1948" s="36">
        <f>+K1948-((K1948*0.092*0.125)+(K1948*(1-0.092)*0.26))</f>
        <v>3.6040917999999998E-2</v>
      </c>
      <c r="M1948" s="64">
        <f t="shared" si="60"/>
        <v>3.6040917999999998E-2</v>
      </c>
      <c r="N1948" s="33" t="s">
        <v>248</v>
      </c>
    </row>
    <row r="1949" spans="1:14" ht="15">
      <c r="A1949" s="12"/>
      <c r="B1949" s="33" t="s">
        <v>162</v>
      </c>
      <c r="C1949" s="92" t="s">
        <v>350</v>
      </c>
      <c r="D1949" s="33" t="s">
        <v>410</v>
      </c>
      <c r="E1949" s="34">
        <v>45016</v>
      </c>
      <c r="F1949" s="34">
        <v>45019</v>
      </c>
      <c r="G1949" s="34">
        <v>45022</v>
      </c>
      <c r="H1949" s="35">
        <v>4.4999999999999998E-2</v>
      </c>
      <c r="I1949" s="67">
        <v>4.6800000000000001E-2</v>
      </c>
      <c r="J1949" s="67">
        <v>0</v>
      </c>
      <c r="K1949" s="67">
        <v>4.6800000000000001E-2</v>
      </c>
      <c r="L1949" s="36">
        <f>+K1949-((K1949*0.092*0.125)+(K1949*(1-0.092)*0.26))</f>
        <v>3.5213255999999998E-2</v>
      </c>
      <c r="M1949" s="64">
        <f t="shared" si="60"/>
        <v>3.5213255999999998E-2</v>
      </c>
      <c r="N1949" s="33" t="s">
        <v>248</v>
      </c>
    </row>
    <row r="1950" spans="1:14" ht="15">
      <c r="A1950" s="12"/>
      <c r="B1950" s="33" t="s">
        <v>302</v>
      </c>
      <c r="C1950" s="92" t="s">
        <v>405</v>
      </c>
      <c r="D1950" s="33" t="s">
        <v>410</v>
      </c>
      <c r="E1950" s="34">
        <v>45016</v>
      </c>
      <c r="F1950" s="34">
        <v>45019</v>
      </c>
      <c r="G1950" s="34">
        <v>45022</v>
      </c>
      <c r="H1950" s="35">
        <v>4.4999999999999998E-2</v>
      </c>
      <c r="I1950" s="67">
        <v>4.07E-2</v>
      </c>
      <c r="J1950" s="67">
        <v>0</v>
      </c>
      <c r="K1950" s="67">
        <v>4.07E-2</v>
      </c>
      <c r="L1950" s="36">
        <f>+K1950-((K1950*0.092*0.125)+(K1950*(1-0.092)*0.26))</f>
        <v>3.0623494000000001E-2</v>
      </c>
      <c r="M1950" s="64">
        <f t="shared" si="60"/>
        <v>3.0623494000000001E-2</v>
      </c>
      <c r="N1950" s="33" t="s">
        <v>248</v>
      </c>
    </row>
    <row r="1951" spans="1:14" ht="15">
      <c r="A1951" s="12"/>
      <c r="B1951" s="33" t="s">
        <v>303</v>
      </c>
      <c r="C1951" s="92" t="s">
        <v>406</v>
      </c>
      <c r="D1951" s="33" t="s">
        <v>410</v>
      </c>
      <c r="E1951" s="34">
        <v>45016</v>
      </c>
      <c r="F1951" s="34">
        <v>45019</v>
      </c>
      <c r="G1951" s="34">
        <v>45022</v>
      </c>
      <c r="H1951" s="35">
        <v>4.4999999999999998E-2</v>
      </c>
      <c r="I1951" s="67">
        <v>4.4699999999999997E-2</v>
      </c>
      <c r="J1951" s="67">
        <v>0</v>
      </c>
      <c r="K1951" s="67">
        <v>4.4699999999999997E-2</v>
      </c>
      <c r="L1951" s="36">
        <f>+K1951-((K1951*0.092*0.125)+(K1951*(1-0.092)*0.26))</f>
        <v>3.3633173999999995E-2</v>
      </c>
      <c r="M1951" s="64">
        <f t="shared" si="60"/>
        <v>3.3633173999999995E-2</v>
      </c>
      <c r="N1951" s="33" t="s">
        <v>248</v>
      </c>
    </row>
    <row r="1952" spans="1:14" ht="15">
      <c r="A1952" s="12"/>
      <c r="B1952" s="33" t="s">
        <v>143</v>
      </c>
      <c r="C1952" s="92" t="s">
        <v>351</v>
      </c>
      <c r="D1952" s="33" t="s">
        <v>410</v>
      </c>
      <c r="E1952" s="34">
        <v>45016</v>
      </c>
      <c r="F1952" s="34">
        <v>45019</v>
      </c>
      <c r="G1952" s="34">
        <v>45022</v>
      </c>
      <c r="H1952" s="35">
        <v>2.5000000000000001E-2</v>
      </c>
      <c r="I1952" s="67">
        <v>2.63E-2</v>
      </c>
      <c r="J1952" s="67">
        <v>0</v>
      </c>
      <c r="K1952" s="67">
        <v>2.63E-2</v>
      </c>
      <c r="L1952" s="36">
        <f>+K1952-((K1952*0.5965*0.125)+(K1952*(1-0.5965)*0.26))</f>
        <v>2.1579873249999999E-2</v>
      </c>
      <c r="M1952" s="64">
        <f t="shared" si="60"/>
        <v>2.1579873249999999E-2</v>
      </c>
      <c r="N1952" s="33" t="s">
        <v>248</v>
      </c>
    </row>
    <row r="1953" spans="1:14" ht="15">
      <c r="A1953" s="12"/>
      <c r="B1953" s="33" t="s">
        <v>145</v>
      </c>
      <c r="C1953" s="92" t="s">
        <v>352</v>
      </c>
      <c r="D1953" s="33" t="s">
        <v>410</v>
      </c>
      <c r="E1953" s="34">
        <v>45016</v>
      </c>
      <c r="F1953" s="34">
        <v>45019</v>
      </c>
      <c r="G1953" s="34">
        <v>45022</v>
      </c>
      <c r="H1953" s="35">
        <v>3.5000000000000003E-2</v>
      </c>
      <c r="I1953" s="67">
        <v>3.8300000000000001E-2</v>
      </c>
      <c r="J1953" s="67">
        <v>0</v>
      </c>
      <c r="K1953" s="67">
        <v>3.8300000000000001E-2</v>
      </c>
      <c r="L1953" s="36">
        <f>+K1953-((K1953*0.0075*0.125)+(K1953*(1-0.0075)*0.26))</f>
        <v>2.8380778749999998E-2</v>
      </c>
      <c r="M1953" s="64">
        <f t="shared" si="60"/>
        <v>2.8380778749999998E-2</v>
      </c>
      <c r="N1953" s="33" t="s">
        <v>248</v>
      </c>
    </row>
    <row r="1954" spans="1:14" ht="15">
      <c r="A1954" s="12"/>
      <c r="B1954" s="33" t="s">
        <v>144</v>
      </c>
      <c r="C1954" s="92" t="s">
        <v>353</v>
      </c>
      <c r="D1954" s="33" t="s">
        <v>410</v>
      </c>
      <c r="E1954" s="34">
        <v>45016</v>
      </c>
      <c r="F1954" s="34">
        <v>45019</v>
      </c>
      <c r="G1954" s="34">
        <v>45022</v>
      </c>
      <c r="H1954" s="35">
        <v>0.02</v>
      </c>
      <c r="I1954" s="67">
        <v>2.07E-2</v>
      </c>
      <c r="J1954" s="67">
        <v>0</v>
      </c>
      <c r="K1954" s="67">
        <v>2.07E-2</v>
      </c>
      <c r="L1954" s="36">
        <f>+K1954-((K1954*0.801*0.125)+(K1954*(1-0.801)*0.26))</f>
        <v>1.7556394499999999E-2</v>
      </c>
      <c r="M1954" s="64">
        <f t="shared" si="60"/>
        <v>1.7556394499999999E-2</v>
      </c>
      <c r="N1954" s="33" t="s">
        <v>248</v>
      </c>
    </row>
    <row r="1955" spans="1:14" ht="15">
      <c r="A1955" s="12"/>
      <c r="B1955" s="33" t="s">
        <v>148</v>
      </c>
      <c r="C1955" s="92" t="s">
        <v>362</v>
      </c>
      <c r="D1955" s="33" t="s">
        <v>410</v>
      </c>
      <c r="E1955" s="34">
        <v>45016</v>
      </c>
      <c r="F1955" s="34">
        <v>45019</v>
      </c>
      <c r="G1955" s="34">
        <v>45022</v>
      </c>
      <c r="H1955" s="35">
        <v>4.2500000000000003E-2</v>
      </c>
      <c r="I1955" s="67">
        <v>5.2600000000000001E-2</v>
      </c>
      <c r="J1955" s="67">
        <v>0</v>
      </c>
      <c r="K1955" s="67">
        <v>5.2600000000000001E-2</v>
      </c>
      <c r="L1955" s="36">
        <f>+K1955-((K1955*0.4775*0.125)+(K1955*(1-0.4775)*0.26))</f>
        <v>4.2314727500000003E-2</v>
      </c>
      <c r="M1955" s="64">
        <f t="shared" si="60"/>
        <v>4.2314727500000003E-2</v>
      </c>
      <c r="N1955" s="33" t="s">
        <v>248</v>
      </c>
    </row>
    <row r="1956" spans="1:14" ht="15">
      <c r="A1956" s="12"/>
      <c r="B1956" s="33" t="s">
        <v>200</v>
      </c>
      <c r="C1956" s="92" t="s">
        <v>365</v>
      </c>
      <c r="D1956" s="33" t="s">
        <v>410</v>
      </c>
      <c r="E1956" s="34">
        <v>45016</v>
      </c>
      <c r="F1956" s="34">
        <v>45019</v>
      </c>
      <c r="G1956" s="34">
        <v>45022</v>
      </c>
      <c r="H1956" s="35">
        <v>4.2500000000000003E-2</v>
      </c>
      <c r="I1956" s="67">
        <v>0.87090000000000001</v>
      </c>
      <c r="J1956" s="67">
        <v>0</v>
      </c>
      <c r="K1956" s="67">
        <v>0.87090000000000001</v>
      </c>
      <c r="L1956" s="36">
        <f>+K1956-((K1956*0.4775*0.125)+(K1956*(1-0.4775)*0.26))</f>
        <v>0.70060639125000002</v>
      </c>
      <c r="M1956" s="64">
        <f t="shared" si="60"/>
        <v>0.70060639125000002</v>
      </c>
      <c r="N1956" s="33" t="s">
        <v>248</v>
      </c>
    </row>
    <row r="1957" spans="1:14" ht="15">
      <c r="A1957" s="12"/>
      <c r="B1957" s="33" t="s">
        <v>173</v>
      </c>
      <c r="C1957" s="92" t="s">
        <v>372</v>
      </c>
      <c r="D1957" s="33" t="s">
        <v>410</v>
      </c>
      <c r="E1957" s="34">
        <v>45016</v>
      </c>
      <c r="F1957" s="34">
        <v>45019</v>
      </c>
      <c r="G1957" s="34">
        <v>45022</v>
      </c>
      <c r="H1957" s="35">
        <v>2.5000000000000001E-2</v>
      </c>
      <c r="I1957" s="67">
        <v>3.09E-2</v>
      </c>
      <c r="J1957" s="67">
        <v>0</v>
      </c>
      <c r="K1957" s="67">
        <v>3.09E-2</v>
      </c>
      <c r="L1957" s="36">
        <f>+K1957-((K1957*0.2745*0.125)+(K1957*(1-0.2745)*0.26))</f>
        <v>2.4011076749999999E-2</v>
      </c>
      <c r="M1957" s="64">
        <f t="shared" si="60"/>
        <v>2.4011076749999999E-2</v>
      </c>
      <c r="N1957" s="33" t="s">
        <v>248</v>
      </c>
    </row>
    <row r="1958" spans="1:14" ht="15">
      <c r="A1958" s="12"/>
      <c r="B1958" s="33" t="s">
        <v>150</v>
      </c>
      <c r="C1958" s="92" t="s">
        <v>377</v>
      </c>
      <c r="D1958" s="33" t="s">
        <v>410</v>
      </c>
      <c r="E1958" s="34">
        <v>45016</v>
      </c>
      <c r="F1958" s="34">
        <v>45019</v>
      </c>
      <c r="G1958" s="34">
        <v>45022</v>
      </c>
      <c r="H1958" s="35">
        <v>7.0000000000000007E-2</v>
      </c>
      <c r="I1958" s="67">
        <v>8.1299999999999997E-2</v>
      </c>
      <c r="J1958" s="67">
        <v>8.6770142934707332E-4</v>
      </c>
      <c r="K1958" s="67">
        <v>8.0432298570652927E-2</v>
      </c>
      <c r="L1958" s="36">
        <f>+K1958-((K1958*0.0005*0.125)+(K1958*(1-0.0005)*0.26))</f>
        <v>5.9525330122436687E-2</v>
      </c>
      <c r="M1958" s="64">
        <f t="shared" si="60"/>
        <v>6.0393031551783757E-2</v>
      </c>
      <c r="N1958" s="33" t="s">
        <v>248</v>
      </c>
    </row>
    <row r="1959" spans="1:14" ht="15">
      <c r="A1959" s="12"/>
      <c r="B1959" s="33" t="s">
        <v>510</v>
      </c>
      <c r="C1959" s="92" t="s">
        <v>509</v>
      </c>
      <c r="D1959" s="33" t="s">
        <v>410</v>
      </c>
      <c r="E1959" s="34">
        <v>45016</v>
      </c>
      <c r="F1959" s="34">
        <v>45019</v>
      </c>
      <c r="G1959" s="34">
        <v>45022</v>
      </c>
      <c r="H1959" s="35">
        <v>7.0000000000000007E-2</v>
      </c>
      <c r="I1959" s="67">
        <v>7.1999999999999995E-2</v>
      </c>
      <c r="J1959" s="67">
        <v>3.0182604236077379E-3</v>
      </c>
      <c r="K1959" s="67">
        <v>6.8981739576392254E-2</v>
      </c>
      <c r="L1959" s="36">
        <f>+K1959-((K1959*0.0005*0.125)+(K1959*(1-0.0005)*0.26))</f>
        <v>5.1051143553951676E-2</v>
      </c>
      <c r="M1959" s="64">
        <f t="shared" si="60"/>
        <v>5.4069403977559417E-2</v>
      </c>
      <c r="N1959" s="33" t="s">
        <v>248</v>
      </c>
    </row>
    <row r="1960" spans="1:14" ht="15">
      <c r="A1960" s="12"/>
      <c r="B1960" s="33" t="s">
        <v>441</v>
      </c>
      <c r="C1960" s="92" t="s">
        <v>444</v>
      </c>
      <c r="D1960" s="33" t="s">
        <v>410</v>
      </c>
      <c r="E1960" s="34">
        <v>45016</v>
      </c>
      <c r="F1960" s="34">
        <v>45019</v>
      </c>
      <c r="G1960" s="34">
        <v>45022</v>
      </c>
      <c r="H1960" s="35">
        <v>0.04</v>
      </c>
      <c r="I1960" s="67">
        <v>4.2299999999999997E-2</v>
      </c>
      <c r="J1960" s="67">
        <v>0</v>
      </c>
      <c r="K1960" s="67">
        <v>4.2299999999999997E-2</v>
      </c>
      <c r="L1960" s="36">
        <f>+K1960-((K1960*0.2635*0.125)+(K1960*(1-0.2635)*0.26))</f>
        <v>3.2806716749999999E-2</v>
      </c>
      <c r="M1960" s="64">
        <f t="shared" si="60"/>
        <v>3.2806716749999999E-2</v>
      </c>
      <c r="N1960" s="33" t="s">
        <v>248</v>
      </c>
    </row>
    <row r="1961" spans="1:14" ht="15">
      <c r="A1961" s="12"/>
      <c r="B1961" s="33" t="s">
        <v>440</v>
      </c>
      <c r="C1961" s="92" t="s">
        <v>443</v>
      </c>
      <c r="D1961" s="33" t="s">
        <v>410</v>
      </c>
      <c r="E1961" s="34">
        <v>45016</v>
      </c>
      <c r="F1961" s="34">
        <v>45019</v>
      </c>
      <c r="G1961" s="34">
        <v>45022</v>
      </c>
      <c r="H1961" s="35">
        <v>0.04</v>
      </c>
      <c r="I1961" s="67">
        <v>0.86990000000000001</v>
      </c>
      <c r="J1961" s="67">
        <v>0</v>
      </c>
      <c r="K1961" s="67">
        <v>0.86990000000000001</v>
      </c>
      <c r="L1961" s="36">
        <f>+K1961-((K1961*0.2635*0.125)+(K1961*(1-0.2635)*0.26))</f>
        <v>0.67467051775000009</v>
      </c>
      <c r="M1961" s="64">
        <f t="shared" si="60"/>
        <v>0.67467051775000009</v>
      </c>
      <c r="N1961" s="33" t="s">
        <v>248</v>
      </c>
    </row>
    <row r="1962" spans="1:14" ht="15">
      <c r="A1962" s="12"/>
      <c r="B1962" s="33" t="s">
        <v>299</v>
      </c>
      <c r="C1962" s="92" t="s">
        <v>517</v>
      </c>
      <c r="D1962" s="33" t="s">
        <v>410</v>
      </c>
      <c r="E1962" s="34">
        <v>45016</v>
      </c>
      <c r="F1962" s="34">
        <v>45019</v>
      </c>
      <c r="G1962" s="34">
        <v>45022</v>
      </c>
      <c r="H1962" s="35">
        <v>2.5000000000000001E-2</v>
      </c>
      <c r="I1962" s="67">
        <v>2.7699999999999999E-2</v>
      </c>
      <c r="J1962" s="67">
        <v>0</v>
      </c>
      <c r="K1962" s="67">
        <v>2.7699999999999999E-2</v>
      </c>
      <c r="L1962" s="36">
        <f>+K1962-((K1962*0.393*0.125)+(K1962*(1-0.393)*0.26))</f>
        <v>2.1967623499999998E-2</v>
      </c>
      <c r="M1962" s="64">
        <f t="shared" si="60"/>
        <v>2.1967623499999998E-2</v>
      </c>
      <c r="N1962" s="33" t="s">
        <v>248</v>
      </c>
    </row>
    <row r="1963" spans="1:14" ht="15">
      <c r="A1963" s="12"/>
      <c r="B1963" s="33" t="s">
        <v>182</v>
      </c>
      <c r="C1963" s="92" t="s">
        <v>477</v>
      </c>
      <c r="D1963" s="33" t="s">
        <v>410</v>
      </c>
      <c r="E1963" s="34">
        <v>45016</v>
      </c>
      <c r="F1963" s="34">
        <v>45019</v>
      </c>
      <c r="G1963" s="34">
        <v>45022</v>
      </c>
      <c r="H1963" s="35">
        <v>2.5000000000000001E-2</v>
      </c>
      <c r="I1963" s="67">
        <v>0.53779999999999994</v>
      </c>
      <c r="J1963" s="67">
        <v>0</v>
      </c>
      <c r="K1963" s="67">
        <v>0.53779999999999994</v>
      </c>
      <c r="L1963" s="36">
        <f>+K1963-((K1963*0.393*0.125)+(K1963*(1-0.393)*0.26))</f>
        <v>0.42650497899999995</v>
      </c>
      <c r="M1963" s="64">
        <f t="shared" si="60"/>
        <v>0.42650497899999995</v>
      </c>
      <c r="N1963" s="33" t="s">
        <v>248</v>
      </c>
    </row>
    <row r="1964" spans="1:14" ht="15">
      <c r="A1964" s="12"/>
      <c r="B1964" s="33" t="s">
        <v>202</v>
      </c>
      <c r="C1964" s="92" t="s">
        <v>478</v>
      </c>
      <c r="D1964" s="33" t="s">
        <v>410</v>
      </c>
      <c r="E1964" s="34">
        <v>45016</v>
      </c>
      <c r="F1964" s="34">
        <v>45019</v>
      </c>
      <c r="G1964" s="34">
        <v>45022</v>
      </c>
      <c r="H1964" s="35">
        <v>2.5000000000000001E-2</v>
      </c>
      <c r="I1964" s="67">
        <v>0.54930000000000001</v>
      </c>
      <c r="J1964" s="67">
        <v>0</v>
      </c>
      <c r="K1964" s="67">
        <v>0.54930000000000001</v>
      </c>
      <c r="L1964" s="36">
        <f>+K1964-((K1964*0.393*0.125)+(K1964*(1-0.393)*0.26))</f>
        <v>0.43562511150000005</v>
      </c>
      <c r="M1964" s="64">
        <f t="shared" si="60"/>
        <v>0.43562511150000005</v>
      </c>
      <c r="N1964" s="33" t="s">
        <v>248</v>
      </c>
    </row>
    <row r="1965" spans="1:14" ht="15">
      <c r="A1965" s="12"/>
      <c r="B1965" s="33" t="s">
        <v>146</v>
      </c>
      <c r="C1965" s="92" t="s">
        <v>380</v>
      </c>
      <c r="D1965" s="33" t="s">
        <v>410</v>
      </c>
      <c r="E1965" s="34">
        <v>45016</v>
      </c>
      <c r="F1965" s="34">
        <v>45019</v>
      </c>
      <c r="G1965" s="34">
        <v>45022</v>
      </c>
      <c r="H1965" s="35">
        <v>0.04</v>
      </c>
      <c r="I1965" s="67">
        <v>5.2400000000000002E-2</v>
      </c>
      <c r="J1965" s="67">
        <v>0</v>
      </c>
      <c r="K1965" s="67">
        <v>5.2400000000000002E-2</v>
      </c>
      <c r="L1965" s="36">
        <f>+K1965-((K1965*0.025*0.125)+(K1965*(1-0.025)*0.26))</f>
        <v>3.8952849999999997E-2</v>
      </c>
      <c r="M1965" s="64">
        <f t="shared" si="60"/>
        <v>3.8952849999999997E-2</v>
      </c>
      <c r="N1965" s="33" t="s">
        <v>248</v>
      </c>
    </row>
    <row r="1966" spans="1:14" ht="15">
      <c r="A1966" s="12"/>
      <c r="B1966" s="33" t="s">
        <v>163</v>
      </c>
      <c r="C1966" s="92" t="s">
        <v>381</v>
      </c>
      <c r="D1966" s="33" t="s">
        <v>410</v>
      </c>
      <c r="E1966" s="34">
        <v>45016</v>
      </c>
      <c r="F1966" s="34">
        <v>45019</v>
      </c>
      <c r="G1966" s="34">
        <v>45022</v>
      </c>
      <c r="H1966" s="35">
        <v>0.04</v>
      </c>
      <c r="I1966" s="67">
        <v>4.6699999999999998E-2</v>
      </c>
      <c r="J1966" s="67">
        <v>0</v>
      </c>
      <c r="K1966" s="67">
        <v>4.6699999999999998E-2</v>
      </c>
      <c r="L1966" s="36">
        <f>+K1966-((K1966*0.025*0.125)+(K1966*(1-0.025)*0.26))</f>
        <v>3.47156125E-2</v>
      </c>
      <c r="M1966" s="64">
        <f t="shared" si="60"/>
        <v>3.47156125E-2</v>
      </c>
      <c r="N1966" s="33" t="s">
        <v>248</v>
      </c>
    </row>
    <row r="1967" spans="1:14" ht="15">
      <c r="A1967" s="12"/>
      <c r="B1967" s="33" t="s">
        <v>151</v>
      </c>
      <c r="C1967" s="92" t="s">
        <v>383</v>
      </c>
      <c r="D1967" s="33" t="s">
        <v>410</v>
      </c>
      <c r="E1967" s="34">
        <v>45016</v>
      </c>
      <c r="F1967" s="34">
        <v>45019</v>
      </c>
      <c r="G1967" s="34">
        <v>45022</v>
      </c>
      <c r="H1967" s="35">
        <v>0.04</v>
      </c>
      <c r="I1967" s="67">
        <v>4.0800000000000003E-2</v>
      </c>
      <c r="J1967" s="67">
        <v>0</v>
      </c>
      <c r="K1967" s="67">
        <v>4.0800000000000003E-2</v>
      </c>
      <c r="L1967" s="36">
        <f>+K1967-((K1967*0.034*0.125)+(K1967*(1-0.034)*0.26))</f>
        <v>3.0379271999999999E-2</v>
      </c>
      <c r="M1967" s="64">
        <f t="shared" si="60"/>
        <v>3.0379271999999999E-2</v>
      </c>
      <c r="N1967" s="33" t="s">
        <v>248</v>
      </c>
    </row>
    <row r="1968" spans="1:14" ht="15">
      <c r="A1968" s="12"/>
      <c r="B1968" s="33" t="s">
        <v>166</v>
      </c>
      <c r="C1968" s="92" t="s">
        <v>384</v>
      </c>
      <c r="D1968" s="33" t="s">
        <v>410</v>
      </c>
      <c r="E1968" s="34">
        <v>45016</v>
      </c>
      <c r="F1968" s="34">
        <v>45019</v>
      </c>
      <c r="G1968" s="34">
        <v>45022</v>
      </c>
      <c r="H1968" s="35">
        <v>0.04</v>
      </c>
      <c r="I1968" s="67">
        <v>4.02E-2</v>
      </c>
      <c r="J1968" s="67">
        <v>0</v>
      </c>
      <c r="K1968" s="67">
        <v>4.02E-2</v>
      </c>
      <c r="L1968" s="36">
        <f>+K1968-((K1968*0.034*0.125)+(K1968*(1-0.034)*0.26))</f>
        <v>2.9932517999999998E-2</v>
      </c>
      <c r="M1968" s="64">
        <f t="shared" si="60"/>
        <v>2.9932517999999998E-2</v>
      </c>
      <c r="N1968" s="33" t="s">
        <v>248</v>
      </c>
    </row>
    <row r="1969" spans="1:14" ht="15">
      <c r="A1969" s="12"/>
      <c r="B1969" s="33" t="s">
        <v>149</v>
      </c>
      <c r="C1969" s="92" t="s">
        <v>386</v>
      </c>
      <c r="D1969" s="33" t="s">
        <v>410</v>
      </c>
      <c r="E1969" s="34">
        <v>45016</v>
      </c>
      <c r="F1969" s="34">
        <v>45019</v>
      </c>
      <c r="G1969" s="34">
        <v>45022</v>
      </c>
      <c r="H1969" s="35">
        <v>7.0000000000000007E-2</v>
      </c>
      <c r="I1969" s="67">
        <v>8.9599999999999999E-2</v>
      </c>
      <c r="J1969" s="67">
        <v>0</v>
      </c>
      <c r="K1969" s="67">
        <v>8.9599999999999999E-2</v>
      </c>
      <c r="L1969" s="36">
        <f>+K1969-((K1969*0.08*0.125)+(K1969*(1-0.08)*0.26))</f>
        <v>6.727168E-2</v>
      </c>
      <c r="M1969" s="64">
        <f t="shared" si="60"/>
        <v>6.727168E-2</v>
      </c>
      <c r="N1969" s="33" t="s">
        <v>248</v>
      </c>
    </row>
    <row r="1970" spans="1:14" ht="15">
      <c r="A1970" s="12"/>
      <c r="B1970" s="33" t="s">
        <v>165</v>
      </c>
      <c r="C1970" s="92" t="s">
        <v>387</v>
      </c>
      <c r="D1970" s="33" t="s">
        <v>410</v>
      </c>
      <c r="E1970" s="34">
        <v>45016</v>
      </c>
      <c r="F1970" s="34">
        <v>45019</v>
      </c>
      <c r="G1970" s="34">
        <v>45022</v>
      </c>
      <c r="H1970" s="35">
        <v>7.0000000000000007E-2</v>
      </c>
      <c r="I1970" s="67">
        <v>8.3000000000000004E-2</v>
      </c>
      <c r="J1970" s="67">
        <v>0</v>
      </c>
      <c r="K1970" s="67">
        <v>8.3000000000000004E-2</v>
      </c>
      <c r="L1970" s="36">
        <f>+K1970-((K1970*0.08*0.125)+(K1970*(1-0.08)*0.26))</f>
        <v>6.2316400000000001E-2</v>
      </c>
      <c r="M1970" s="64">
        <f t="shared" si="60"/>
        <v>6.2316400000000001E-2</v>
      </c>
      <c r="N1970" s="33" t="s">
        <v>248</v>
      </c>
    </row>
    <row r="1971" spans="1:14" ht="15">
      <c r="A1971" s="12"/>
      <c r="B1971" s="33" t="s">
        <v>153</v>
      </c>
      <c r="C1971" s="92" t="s">
        <v>394</v>
      </c>
      <c r="D1971" s="33" t="s">
        <v>410</v>
      </c>
      <c r="E1971" s="34">
        <v>45016</v>
      </c>
      <c r="F1971" s="34">
        <v>45019</v>
      </c>
      <c r="G1971" s="34">
        <v>45022</v>
      </c>
      <c r="H1971" s="35">
        <v>5.0999999999999997E-2</v>
      </c>
      <c r="I1971" s="67">
        <v>5.2299999999999999E-2</v>
      </c>
      <c r="J1971" s="67">
        <v>0</v>
      </c>
      <c r="K1971" s="67">
        <v>5.2299999999999999E-2</v>
      </c>
      <c r="L1971" s="36">
        <f>+K1971-((K1971*0.1985*0.125)+(K1971*(1-0.1985)*0.26))</f>
        <v>4.0103509250000002E-2</v>
      </c>
      <c r="M1971" s="64">
        <f t="shared" si="60"/>
        <v>4.0103509250000002E-2</v>
      </c>
      <c r="N1971" s="33" t="s">
        <v>248</v>
      </c>
    </row>
    <row r="1972" spans="1:14" ht="15">
      <c r="A1972" s="12"/>
      <c r="B1972" s="33" t="s">
        <v>152</v>
      </c>
      <c r="C1972" s="92" t="s">
        <v>395</v>
      </c>
      <c r="D1972" s="33" t="s">
        <v>410</v>
      </c>
      <c r="E1972" s="34">
        <v>45016</v>
      </c>
      <c r="F1972" s="34">
        <v>45019</v>
      </c>
      <c r="G1972" s="34">
        <v>45022</v>
      </c>
      <c r="H1972" s="35">
        <v>5.0999999999999997E-2</v>
      </c>
      <c r="I1972" s="67">
        <v>7.8E-2</v>
      </c>
      <c r="J1972" s="67">
        <v>0</v>
      </c>
      <c r="K1972" s="67">
        <v>7.8E-2</v>
      </c>
      <c r="L1972" s="36">
        <f>+K1972-((K1972*0.1985*0.125)+(K1972*(1-0.1985)*0.26))</f>
        <v>5.9810204999999998E-2</v>
      </c>
      <c r="M1972" s="64">
        <f t="shared" si="60"/>
        <v>5.9810204999999998E-2</v>
      </c>
      <c r="N1972" s="33" t="s">
        <v>248</v>
      </c>
    </row>
    <row r="1973" spans="1:14" ht="15">
      <c r="A1973" s="12"/>
      <c r="B1973" s="33" t="s">
        <v>167</v>
      </c>
      <c r="C1973" s="92" t="s">
        <v>396</v>
      </c>
      <c r="D1973" s="33" t="s">
        <v>410</v>
      </c>
      <c r="E1973" s="34">
        <v>45016</v>
      </c>
      <c r="F1973" s="34">
        <v>45019</v>
      </c>
      <c r="G1973" s="34">
        <v>45022</v>
      </c>
      <c r="H1973" s="35">
        <v>5.0999999999999997E-2</v>
      </c>
      <c r="I1973" s="67">
        <v>7.3800000000000004E-2</v>
      </c>
      <c r="J1973" s="67">
        <v>0</v>
      </c>
      <c r="K1973" s="67">
        <v>7.3800000000000004E-2</v>
      </c>
      <c r="L1973" s="36">
        <f>+K1973-((K1973*0.1985*0.125)+(K1973*(1-0.1985)*0.26))</f>
        <v>5.6589655500000002E-2</v>
      </c>
      <c r="M1973" s="64">
        <f t="shared" si="60"/>
        <v>5.6589655500000002E-2</v>
      </c>
      <c r="N1973" s="33" t="s">
        <v>248</v>
      </c>
    </row>
    <row r="1974" spans="1:14" ht="15">
      <c r="A1974" s="12"/>
      <c r="B1974" s="33" t="s">
        <v>301</v>
      </c>
      <c r="C1974" s="92" t="s">
        <v>407</v>
      </c>
      <c r="D1974" s="33" t="s">
        <v>410</v>
      </c>
      <c r="E1974" s="34">
        <v>45016</v>
      </c>
      <c r="F1974" s="34">
        <v>45019</v>
      </c>
      <c r="G1974" s="34">
        <v>45022</v>
      </c>
      <c r="H1974" s="35">
        <v>5.0999999999999997E-2</v>
      </c>
      <c r="I1974" s="67">
        <v>5.8400000000000001E-2</v>
      </c>
      <c r="J1974" s="67">
        <v>0</v>
      </c>
      <c r="K1974" s="67">
        <v>5.8400000000000001E-2</v>
      </c>
      <c r="L1974" s="36">
        <f>+K1974-((K1974*0.1985*0.125)+(K1974*(1-0.1985)*0.26))</f>
        <v>4.4780974000000001E-2</v>
      </c>
      <c r="M1974" s="64">
        <f t="shared" si="60"/>
        <v>4.4780974000000001E-2</v>
      </c>
      <c r="N1974" s="33" t="s">
        <v>248</v>
      </c>
    </row>
    <row r="1975" spans="1:14" ht="15">
      <c r="A1975" s="12"/>
      <c r="B1975" s="33" t="s">
        <v>304</v>
      </c>
      <c r="C1975" s="92" t="s">
        <v>408</v>
      </c>
      <c r="D1975" s="33" t="s">
        <v>410</v>
      </c>
      <c r="E1975" s="34">
        <v>45016</v>
      </c>
      <c r="F1975" s="34">
        <v>45019</v>
      </c>
      <c r="G1975" s="34">
        <v>45022</v>
      </c>
      <c r="H1975" s="35">
        <v>4.4999999999999998E-2</v>
      </c>
      <c r="I1975" s="67">
        <v>4.5699999999999998E-2</v>
      </c>
      <c r="J1975" s="67">
        <v>0</v>
      </c>
      <c r="K1975" s="67">
        <v>4.5699999999999998E-2</v>
      </c>
      <c r="L1975" s="36">
        <f>+K1975-((K1975*0.2435*0.125)+(K1975*(1-0.2435)*0.26))</f>
        <v>3.5320273249999999E-2</v>
      </c>
      <c r="M1975" s="64">
        <f t="shared" si="60"/>
        <v>3.5320273249999999E-2</v>
      </c>
      <c r="N1975" s="33" t="s">
        <v>248</v>
      </c>
    </row>
    <row r="1976" spans="1:14" ht="15">
      <c r="A1976" s="12"/>
      <c r="B1976" s="33" t="s">
        <v>183</v>
      </c>
      <c r="C1976" s="92" t="s">
        <v>398</v>
      </c>
      <c r="D1976" s="33" t="s">
        <v>410</v>
      </c>
      <c r="E1976" s="34">
        <v>45016</v>
      </c>
      <c r="F1976" s="34">
        <v>45019</v>
      </c>
      <c r="G1976" s="34">
        <v>45022</v>
      </c>
      <c r="H1976" s="35">
        <v>4.4999999999999998E-2</v>
      </c>
      <c r="I1976" s="67">
        <v>4.5699999999999998E-2</v>
      </c>
      <c r="J1976" s="67">
        <v>0</v>
      </c>
      <c r="K1976" s="67">
        <v>4.5699999999999998E-2</v>
      </c>
      <c r="L1976" s="36">
        <f>+K1976-((K1976*0.2435*0.125)+(K1976*(1-0.2435)*0.26))</f>
        <v>3.5320273249999999E-2</v>
      </c>
      <c r="M1976" s="64">
        <f t="shared" si="60"/>
        <v>3.5320273249999999E-2</v>
      </c>
      <c r="N1976" s="33" t="s">
        <v>248</v>
      </c>
    </row>
    <row r="1977" spans="1:14" ht="15">
      <c r="A1977" s="12"/>
      <c r="B1977" s="33" t="s">
        <v>305</v>
      </c>
      <c r="C1977" s="92" t="s">
        <v>409</v>
      </c>
      <c r="D1977" s="33" t="s">
        <v>410</v>
      </c>
      <c r="E1977" s="34">
        <v>45016</v>
      </c>
      <c r="F1977" s="34">
        <v>45019</v>
      </c>
      <c r="G1977" s="34">
        <v>45022</v>
      </c>
      <c r="H1977" s="35">
        <v>4.4999999999999998E-2</v>
      </c>
      <c r="I1977" s="67">
        <v>4.6300000000000001E-2</v>
      </c>
      <c r="J1977" s="67">
        <v>0</v>
      </c>
      <c r="K1977" s="67">
        <v>4.6300000000000001E-2</v>
      </c>
      <c r="L1977" s="36">
        <f>+K1977-((K1977*0.2435*0.125)+(K1977*(1-0.2435)*0.26))</f>
        <v>3.5783996750000005E-2</v>
      </c>
      <c r="M1977" s="64">
        <f t="shared" ref="M1977:M2040" si="62">J1977+L1977</f>
        <v>3.5783996750000005E-2</v>
      </c>
      <c r="N1977" s="33" t="s">
        <v>248</v>
      </c>
    </row>
    <row r="1978" spans="1:14" ht="15">
      <c r="A1978" s="12"/>
      <c r="B1978" s="33" t="s">
        <v>147</v>
      </c>
      <c r="C1978" s="92" t="s">
        <v>466</v>
      </c>
      <c r="D1978" s="33" t="s">
        <v>410</v>
      </c>
      <c r="E1978" s="34">
        <v>45016</v>
      </c>
      <c r="F1978" s="34">
        <v>45019</v>
      </c>
      <c r="G1978" s="34">
        <v>45022</v>
      </c>
      <c r="H1978" s="35">
        <v>0.04</v>
      </c>
      <c r="I1978" s="67">
        <v>4.48E-2</v>
      </c>
      <c r="J1978" s="67">
        <v>0</v>
      </c>
      <c r="K1978" s="67">
        <v>4.48E-2</v>
      </c>
      <c r="L1978" s="36">
        <f>+K1978-((K1978*0.0915*0.125)+(K1978*(1-0.0915)*0.26))</f>
        <v>3.3705392000000001E-2</v>
      </c>
      <c r="M1978" s="64">
        <f t="shared" si="62"/>
        <v>3.3705392000000001E-2</v>
      </c>
      <c r="N1978" s="33" t="s">
        <v>248</v>
      </c>
    </row>
    <row r="1979" spans="1:14" ht="15">
      <c r="A1979" s="12"/>
      <c r="B1979" s="33" t="s">
        <v>164</v>
      </c>
      <c r="C1979" s="92" t="s">
        <v>467</v>
      </c>
      <c r="D1979" s="33" t="s">
        <v>410</v>
      </c>
      <c r="E1979" s="34">
        <v>45016</v>
      </c>
      <c r="F1979" s="34">
        <v>45019</v>
      </c>
      <c r="G1979" s="34">
        <v>45022</v>
      </c>
      <c r="H1979" s="35">
        <v>0.04</v>
      </c>
      <c r="I1979" s="67">
        <v>4.1599999999999998E-2</v>
      </c>
      <c r="J1979" s="67">
        <v>0</v>
      </c>
      <c r="K1979" s="67">
        <v>4.1599999999999998E-2</v>
      </c>
      <c r="L1979" s="36">
        <f>+K1979-((K1979*0.0915*0.125)+(K1979*(1-0.0915)*0.26))</f>
        <v>3.1297863999999995E-2</v>
      </c>
      <c r="M1979" s="64">
        <f t="shared" si="62"/>
        <v>3.1297863999999995E-2</v>
      </c>
      <c r="N1979" s="33" t="s">
        <v>248</v>
      </c>
    </row>
    <row r="1980" spans="1:14" ht="15">
      <c r="A1980" s="12"/>
      <c r="B1980" s="33" t="s">
        <v>132</v>
      </c>
      <c r="C1980" s="92" t="s">
        <v>358</v>
      </c>
      <c r="D1980" s="33" t="s">
        <v>410</v>
      </c>
      <c r="E1980" s="34">
        <v>45040</v>
      </c>
      <c r="F1980" s="34">
        <v>45041</v>
      </c>
      <c r="G1980" s="34">
        <v>45044</v>
      </c>
      <c r="H1980" s="35">
        <v>0.04</v>
      </c>
      <c r="I1980" s="67">
        <v>4.3499999999999997E-2</v>
      </c>
      <c r="J1980" s="67">
        <v>0</v>
      </c>
      <c r="K1980" s="67">
        <v>4.3499999999999997E-2</v>
      </c>
      <c r="L1980" s="36">
        <f>+K1980-((K1980*0.2405*0.125)+(K1980*(1-0.2405)*0.26))</f>
        <v>3.3602336249999996E-2</v>
      </c>
      <c r="M1980" s="64">
        <f t="shared" si="62"/>
        <v>3.3602336249999996E-2</v>
      </c>
      <c r="N1980" s="33" t="s">
        <v>249</v>
      </c>
    </row>
    <row r="1981" spans="1:14" ht="15">
      <c r="A1981" s="12"/>
      <c r="B1981" s="33" t="s">
        <v>227</v>
      </c>
      <c r="C1981" s="92" t="s">
        <v>359</v>
      </c>
      <c r="D1981" s="33" t="s">
        <v>410</v>
      </c>
      <c r="E1981" s="34">
        <v>45040</v>
      </c>
      <c r="F1981" s="34">
        <v>45041</v>
      </c>
      <c r="G1981" s="34">
        <v>45044</v>
      </c>
      <c r="H1981" s="35">
        <v>0.04</v>
      </c>
      <c r="I1981" s="67">
        <v>4.2999999999999997E-2</v>
      </c>
      <c r="J1981" s="67">
        <v>0</v>
      </c>
      <c r="K1981" s="67">
        <v>4.2999999999999997E-2</v>
      </c>
      <c r="L1981" s="36">
        <f>+K1981-((K1981*0.2405*0.125)+(K1981*(1-0.2405)*0.26))</f>
        <v>3.3216102499999997E-2</v>
      </c>
      <c r="M1981" s="64">
        <f t="shared" si="62"/>
        <v>3.3216102499999997E-2</v>
      </c>
      <c r="N1981" s="33" t="s">
        <v>249</v>
      </c>
    </row>
    <row r="1982" spans="1:14" ht="15">
      <c r="A1982" s="12"/>
      <c r="B1982" s="33" t="s">
        <v>133</v>
      </c>
      <c r="C1982" s="92" t="s">
        <v>474</v>
      </c>
      <c r="D1982" s="33" t="s">
        <v>410</v>
      </c>
      <c r="E1982" s="34">
        <v>45040</v>
      </c>
      <c r="F1982" s="34">
        <v>45041</v>
      </c>
      <c r="G1982" s="34">
        <v>45044</v>
      </c>
      <c r="H1982" s="35">
        <v>3.5000000000000003E-2</v>
      </c>
      <c r="I1982" s="67">
        <v>4.0800000000000003E-2</v>
      </c>
      <c r="J1982" s="67">
        <v>3.7945400000000068E-3</v>
      </c>
      <c r="K1982" s="67">
        <v>3.7005459999999997E-2</v>
      </c>
      <c r="L1982" s="36">
        <f>+K1982-((K1982*0.005*0.125)+(K1982*(1-0.005)*0.26))</f>
        <v>2.7409019085499996E-2</v>
      </c>
      <c r="M1982" s="64">
        <f t="shared" si="62"/>
        <v>3.1203559085500002E-2</v>
      </c>
      <c r="N1982" s="33" t="s">
        <v>249</v>
      </c>
    </row>
    <row r="1983" spans="1:14" ht="15">
      <c r="A1983" s="12"/>
      <c r="B1983" s="33" t="s">
        <v>134</v>
      </c>
      <c r="C1983" s="92" t="s">
        <v>374</v>
      </c>
      <c r="D1983" s="33" t="s">
        <v>410</v>
      </c>
      <c r="E1983" s="34">
        <v>45040</v>
      </c>
      <c r="F1983" s="34">
        <v>45041</v>
      </c>
      <c r="G1983" s="34">
        <v>45044</v>
      </c>
      <c r="H1983" s="35">
        <v>5.5E-2</v>
      </c>
      <c r="I1983" s="67">
        <v>6.8000000000000005E-2</v>
      </c>
      <c r="J1983" s="67">
        <v>0</v>
      </c>
      <c r="K1983" s="67">
        <v>6.8000000000000005E-2</v>
      </c>
      <c r="L1983" s="36">
        <f>+K1983-((K1983*0.2325*0.125)+(K1983*(1-0.2325)*0.26))</f>
        <v>5.2454350000000004E-2</v>
      </c>
      <c r="M1983" s="64">
        <f t="shared" si="62"/>
        <v>5.2454350000000004E-2</v>
      </c>
      <c r="N1983" s="33" t="s">
        <v>249</v>
      </c>
    </row>
    <row r="1984" spans="1:14" ht="15">
      <c r="A1984" s="12"/>
      <c r="B1984" s="33" t="s">
        <v>168</v>
      </c>
      <c r="C1984" s="92" t="s">
        <v>376</v>
      </c>
      <c r="D1984" s="33" t="s">
        <v>410</v>
      </c>
      <c r="E1984" s="34">
        <v>45040</v>
      </c>
      <c r="F1984" s="34">
        <v>45041</v>
      </c>
      <c r="G1984" s="34">
        <v>45044</v>
      </c>
      <c r="H1984" s="35">
        <v>5.5E-2</v>
      </c>
      <c r="I1984" s="67">
        <v>5.2699999999999997E-2</v>
      </c>
      <c r="J1984" s="67">
        <v>0</v>
      </c>
      <c r="K1984" s="67">
        <v>5.2699999999999997E-2</v>
      </c>
      <c r="L1984" s="36">
        <f>+K1984-((K1984*0.2325*0.125)+(K1984*(1-0.2325)*0.26))</f>
        <v>4.0652121249999992E-2</v>
      </c>
      <c r="M1984" s="64">
        <f t="shared" si="62"/>
        <v>4.0652121249999992E-2</v>
      </c>
      <c r="N1984" s="33" t="s">
        <v>249</v>
      </c>
    </row>
    <row r="1985" spans="1:14" ht="15">
      <c r="A1985" s="12"/>
      <c r="B1985" s="33" t="s">
        <v>136</v>
      </c>
      <c r="C1985" s="92" t="s">
        <v>388</v>
      </c>
      <c r="D1985" s="33" t="s">
        <v>410</v>
      </c>
      <c r="E1985" s="34">
        <v>45040</v>
      </c>
      <c r="F1985" s="34">
        <v>45041</v>
      </c>
      <c r="G1985" s="34">
        <v>45044</v>
      </c>
      <c r="H1985" s="35">
        <v>0.03</v>
      </c>
      <c r="I1985" s="67">
        <v>3.5499999999999997E-2</v>
      </c>
      <c r="J1985" s="67">
        <v>0</v>
      </c>
      <c r="K1985" s="67">
        <v>3.5499999999999997E-2</v>
      </c>
      <c r="L1985" s="36">
        <f t="shared" ref="L1985:L1990" si="63">+K1985-((K1985*0.031*0.125)+(K1985*(1-0.031)*0.26))</f>
        <v>2.6418567499999997E-2</v>
      </c>
      <c r="M1985" s="64">
        <f t="shared" si="62"/>
        <v>2.6418567499999997E-2</v>
      </c>
      <c r="N1985" s="33" t="s">
        <v>249</v>
      </c>
    </row>
    <row r="1986" spans="1:14" ht="15">
      <c r="A1986" s="12"/>
      <c r="B1986" s="33" t="s">
        <v>137</v>
      </c>
      <c r="C1986" s="92" t="s">
        <v>389</v>
      </c>
      <c r="D1986" s="33" t="s">
        <v>410</v>
      </c>
      <c r="E1986" s="34">
        <v>45040</v>
      </c>
      <c r="F1986" s="34">
        <v>45041</v>
      </c>
      <c r="G1986" s="34">
        <v>45044</v>
      </c>
      <c r="H1986" s="35">
        <v>0.04</v>
      </c>
      <c r="I1986" s="67">
        <v>5.2299999999999999E-2</v>
      </c>
      <c r="J1986" s="67">
        <v>0</v>
      </c>
      <c r="K1986" s="67">
        <v>5.2299999999999999E-2</v>
      </c>
      <c r="L1986" s="36">
        <f t="shared" si="63"/>
        <v>3.89208755E-2</v>
      </c>
      <c r="M1986" s="64">
        <f t="shared" si="62"/>
        <v>3.89208755E-2</v>
      </c>
      <c r="N1986" s="33" t="s">
        <v>249</v>
      </c>
    </row>
    <row r="1987" spans="1:14" ht="15">
      <c r="A1987" s="12"/>
      <c r="B1987" s="33" t="s">
        <v>135</v>
      </c>
      <c r="C1987" s="92" t="s">
        <v>390</v>
      </c>
      <c r="D1987" s="33" t="s">
        <v>410</v>
      </c>
      <c r="E1987" s="34">
        <v>45040</v>
      </c>
      <c r="F1987" s="34">
        <v>45041</v>
      </c>
      <c r="G1987" s="34">
        <v>45044</v>
      </c>
      <c r="H1987" s="35">
        <v>4.7500000000000001E-2</v>
      </c>
      <c r="I1987" s="67">
        <v>6.25E-2</v>
      </c>
      <c r="J1987" s="67">
        <v>0</v>
      </c>
      <c r="K1987" s="67">
        <v>6.25E-2</v>
      </c>
      <c r="L1987" s="36">
        <f t="shared" si="63"/>
        <v>4.6511562499999999E-2</v>
      </c>
      <c r="M1987" s="64">
        <f t="shared" si="62"/>
        <v>4.6511562499999999E-2</v>
      </c>
      <c r="N1987" s="33" t="s">
        <v>249</v>
      </c>
    </row>
    <row r="1988" spans="1:14" ht="15">
      <c r="A1988" s="12"/>
      <c r="B1988" s="33" t="s">
        <v>170</v>
      </c>
      <c r="C1988" s="92" t="s">
        <v>391</v>
      </c>
      <c r="D1988" s="33" t="s">
        <v>410</v>
      </c>
      <c r="E1988" s="34">
        <v>45040</v>
      </c>
      <c r="F1988" s="34">
        <v>45041</v>
      </c>
      <c r="G1988" s="34">
        <v>45044</v>
      </c>
      <c r="H1988" s="35">
        <v>0.03</v>
      </c>
      <c r="I1988" s="67">
        <v>3.4599999999999999E-2</v>
      </c>
      <c r="J1988" s="67">
        <v>0</v>
      </c>
      <c r="K1988" s="67">
        <v>3.4599999999999999E-2</v>
      </c>
      <c r="L1988" s="36">
        <f t="shared" si="63"/>
        <v>2.5748800999999998E-2</v>
      </c>
      <c r="M1988" s="64">
        <f t="shared" si="62"/>
        <v>2.5748800999999998E-2</v>
      </c>
      <c r="N1988" s="33" t="s">
        <v>249</v>
      </c>
    </row>
    <row r="1989" spans="1:14" ht="15">
      <c r="A1989" s="12"/>
      <c r="B1989" s="33" t="s">
        <v>171</v>
      </c>
      <c r="C1989" s="92" t="s">
        <v>392</v>
      </c>
      <c r="D1989" s="33" t="s">
        <v>410</v>
      </c>
      <c r="E1989" s="34">
        <v>45040</v>
      </c>
      <c r="F1989" s="34">
        <v>45041</v>
      </c>
      <c r="G1989" s="34">
        <v>45044</v>
      </c>
      <c r="H1989" s="35">
        <v>0.04</v>
      </c>
      <c r="I1989" s="67">
        <v>5.0299999999999997E-2</v>
      </c>
      <c r="J1989" s="67">
        <v>0</v>
      </c>
      <c r="K1989" s="67">
        <v>5.0299999999999997E-2</v>
      </c>
      <c r="L1989" s="36">
        <f t="shared" si="63"/>
        <v>3.7432505499999998E-2</v>
      </c>
      <c r="M1989" s="64">
        <f t="shared" si="62"/>
        <v>3.7432505499999998E-2</v>
      </c>
      <c r="N1989" s="33" t="s">
        <v>249</v>
      </c>
    </row>
    <row r="1990" spans="1:14" ht="15">
      <c r="A1990" s="12"/>
      <c r="B1990" s="33" t="s">
        <v>172</v>
      </c>
      <c r="C1990" s="92" t="s">
        <v>393</v>
      </c>
      <c r="D1990" s="33" t="s">
        <v>410</v>
      </c>
      <c r="E1990" s="34">
        <v>45040</v>
      </c>
      <c r="F1990" s="34">
        <v>45041</v>
      </c>
      <c r="G1990" s="34">
        <v>45044</v>
      </c>
      <c r="H1990" s="35">
        <v>4.7500000000000001E-2</v>
      </c>
      <c r="I1990" s="67">
        <v>6.0600000000000001E-2</v>
      </c>
      <c r="J1990" s="67">
        <v>0</v>
      </c>
      <c r="K1990" s="67">
        <v>6.0600000000000001E-2</v>
      </c>
      <c r="L1990" s="36">
        <f t="shared" si="63"/>
        <v>4.5097611000000003E-2</v>
      </c>
      <c r="M1990" s="64">
        <f t="shared" si="62"/>
        <v>4.5097611000000003E-2</v>
      </c>
      <c r="N1990" s="33" t="s">
        <v>249</v>
      </c>
    </row>
    <row r="1991" spans="1:14" ht="15">
      <c r="A1991" s="12"/>
      <c r="B1991" s="33" t="s">
        <v>169</v>
      </c>
      <c r="C1991" s="92" t="s">
        <v>400</v>
      </c>
      <c r="D1991" s="33" t="s">
        <v>410</v>
      </c>
      <c r="E1991" s="34">
        <v>45040</v>
      </c>
      <c r="F1991" s="34">
        <v>45041</v>
      </c>
      <c r="G1991" s="34">
        <v>45044</v>
      </c>
      <c r="H1991" s="35">
        <v>6.5000000000000002E-2</v>
      </c>
      <c r="I1991" s="67">
        <v>6.3100000000000003E-2</v>
      </c>
      <c r="J1991" s="67">
        <v>0</v>
      </c>
      <c r="K1991" s="67">
        <v>6.3100000000000003E-2</v>
      </c>
      <c r="L1991" s="36">
        <f>+K1991-((K1991*0.1248*0.125)+(K1991*(1-0.1248)*0.26))</f>
        <v>4.7757108800000003E-2</v>
      </c>
      <c r="M1991" s="64">
        <f t="shared" si="62"/>
        <v>4.7757108800000003E-2</v>
      </c>
      <c r="N1991" s="33" t="s">
        <v>249</v>
      </c>
    </row>
    <row r="1992" spans="1:14" ht="15">
      <c r="A1992" s="12"/>
      <c r="B1992" s="33" t="s">
        <v>310</v>
      </c>
      <c r="C1992" s="92" t="s">
        <v>719</v>
      </c>
      <c r="D1992" s="33" t="s">
        <v>411</v>
      </c>
      <c r="E1992" s="34">
        <v>45044</v>
      </c>
      <c r="F1992" s="34">
        <v>45048</v>
      </c>
      <c r="G1992" s="34">
        <v>45051</v>
      </c>
      <c r="H1992" s="35">
        <v>0.05</v>
      </c>
      <c r="I1992" s="67">
        <v>1.47E-2</v>
      </c>
      <c r="J1992" s="67">
        <v>0</v>
      </c>
      <c r="K1992" s="67">
        <v>1.47E-2</v>
      </c>
      <c r="L1992" s="36">
        <f>+K1992-((K1992*0.0275*0.125)+(K1992*(1-0.0275)*0.26))</f>
        <v>1.0932573750000001E-2</v>
      </c>
      <c r="M1992" s="64">
        <f t="shared" si="62"/>
        <v>1.0932573750000001E-2</v>
      </c>
      <c r="N1992" s="33" t="s">
        <v>718</v>
      </c>
    </row>
    <row r="1993" spans="1:14" ht="15">
      <c r="A1993" s="12"/>
      <c r="B1993" s="33" t="s">
        <v>188</v>
      </c>
      <c r="C1993" s="92" t="s">
        <v>720</v>
      </c>
      <c r="D1993" s="33" t="s">
        <v>411</v>
      </c>
      <c r="E1993" s="34">
        <v>45044</v>
      </c>
      <c r="F1993" s="34">
        <v>45048</v>
      </c>
      <c r="G1993" s="34">
        <v>45051</v>
      </c>
      <c r="H1993" s="35">
        <v>0.05</v>
      </c>
      <c r="I1993" s="67">
        <v>0.25490000000000002</v>
      </c>
      <c r="J1993" s="67">
        <v>0</v>
      </c>
      <c r="K1993" s="67">
        <v>0.25490000000000002</v>
      </c>
      <c r="L1993" s="36">
        <f>+K1993-((K1993*0.0275*0.125)+(K1993*(1-0.0275)*0.26))</f>
        <v>0.18957231624999998</v>
      </c>
      <c r="M1993" s="64">
        <f t="shared" si="62"/>
        <v>0.18957231624999998</v>
      </c>
      <c r="N1993" s="33" t="s">
        <v>718</v>
      </c>
    </row>
    <row r="1994" spans="1:14" ht="15">
      <c r="A1994" s="12"/>
      <c r="B1994" s="33" t="s">
        <v>196</v>
      </c>
      <c r="C1994" s="92" t="s">
        <v>721</v>
      </c>
      <c r="D1994" s="33" t="s">
        <v>411</v>
      </c>
      <c r="E1994" s="34">
        <v>45044</v>
      </c>
      <c r="F1994" s="34">
        <v>45048</v>
      </c>
      <c r="G1994" s="34">
        <v>45051</v>
      </c>
      <c r="H1994" s="35">
        <v>0.05</v>
      </c>
      <c r="I1994" s="67">
        <v>0.26769999999999999</v>
      </c>
      <c r="J1994" s="67">
        <v>0</v>
      </c>
      <c r="K1994" s="67">
        <v>0.26769999999999999</v>
      </c>
      <c r="L1994" s="36">
        <f>+K1994-((K1994*0.0275*0.125)+(K1994*(1-0.0275)*0.26))</f>
        <v>0.19909183624999999</v>
      </c>
      <c r="M1994" s="64">
        <f t="shared" si="62"/>
        <v>0.19909183624999999</v>
      </c>
      <c r="N1994" s="33" t="s">
        <v>718</v>
      </c>
    </row>
    <row r="1995" spans="1:14" ht="15">
      <c r="A1995" s="12"/>
      <c r="B1995" s="33" t="s">
        <v>191</v>
      </c>
      <c r="C1995" s="92" t="s">
        <v>722</v>
      </c>
      <c r="D1995" s="33" t="s">
        <v>411</v>
      </c>
      <c r="E1995" s="34">
        <v>45044</v>
      </c>
      <c r="F1995" s="34">
        <v>45048</v>
      </c>
      <c r="G1995" s="34">
        <v>45051</v>
      </c>
      <c r="H1995" s="35">
        <v>0.03</v>
      </c>
      <c r="I1995" s="67">
        <v>8.6E-3</v>
      </c>
      <c r="J1995" s="67">
        <v>0</v>
      </c>
      <c r="K1995" s="67">
        <v>8.6E-3</v>
      </c>
      <c r="L1995" s="36">
        <f>+K1995-((K1995*0.8105*0.125)+(K1995*(1-0.8105)*0.26))</f>
        <v>7.3049905000000005E-3</v>
      </c>
      <c r="M1995" s="64">
        <f t="shared" si="62"/>
        <v>7.3049905000000005E-3</v>
      </c>
      <c r="N1995" s="33" t="s">
        <v>718</v>
      </c>
    </row>
    <row r="1996" spans="1:14" ht="15">
      <c r="A1996" s="12"/>
      <c r="B1996" s="33" t="s">
        <v>199</v>
      </c>
      <c r="C1996" s="92" t="s">
        <v>723</v>
      </c>
      <c r="D1996" s="33" t="s">
        <v>411</v>
      </c>
      <c r="E1996" s="34">
        <v>45044</v>
      </c>
      <c r="F1996" s="34">
        <v>45048</v>
      </c>
      <c r="G1996" s="34">
        <v>45051</v>
      </c>
      <c r="H1996" s="35">
        <v>0.03</v>
      </c>
      <c r="I1996" s="67">
        <v>8.6E-3</v>
      </c>
      <c r="J1996" s="67">
        <v>0</v>
      </c>
      <c r="K1996" s="67">
        <v>8.6E-3</v>
      </c>
      <c r="L1996" s="36">
        <f>+K1996-((K1996*0.8105*0.125)+(K1996*(1-0.8105)*0.26))</f>
        <v>7.3049905000000005E-3</v>
      </c>
      <c r="M1996" s="64">
        <f t="shared" si="62"/>
        <v>7.3049905000000005E-3</v>
      </c>
      <c r="N1996" s="33" t="s">
        <v>718</v>
      </c>
    </row>
    <row r="1997" spans="1:14" ht="15">
      <c r="A1997" s="12"/>
      <c r="B1997" s="33" t="s">
        <v>306</v>
      </c>
      <c r="C1997" s="92" t="s">
        <v>724</v>
      </c>
      <c r="D1997" s="33" t="s">
        <v>411</v>
      </c>
      <c r="E1997" s="34">
        <v>45044</v>
      </c>
      <c r="F1997" s="34">
        <v>45048</v>
      </c>
      <c r="G1997" s="34">
        <v>45051</v>
      </c>
      <c r="H1997" s="35">
        <v>5.5E-2</v>
      </c>
      <c r="I1997" s="67">
        <v>1.89E-2</v>
      </c>
      <c r="J1997" s="67">
        <v>0</v>
      </c>
      <c r="K1997" s="67">
        <v>1.89E-2</v>
      </c>
      <c r="L1997" s="36">
        <f t="shared" ref="L1997:L2002" si="64">+K1997-((K1997*0.0005*0.125)+(K1997*(1-0.0005)*0.26))</f>
        <v>1.398727575E-2</v>
      </c>
      <c r="M1997" s="64">
        <f t="shared" si="62"/>
        <v>1.398727575E-2</v>
      </c>
      <c r="N1997" s="33" t="s">
        <v>718</v>
      </c>
    </row>
    <row r="1998" spans="1:14" ht="15">
      <c r="A1998" s="12"/>
      <c r="B1998" s="33" t="s">
        <v>184</v>
      </c>
      <c r="C1998" s="92" t="s">
        <v>725</v>
      </c>
      <c r="D1998" s="33" t="s">
        <v>411</v>
      </c>
      <c r="E1998" s="34">
        <v>45044</v>
      </c>
      <c r="F1998" s="34">
        <v>45048</v>
      </c>
      <c r="G1998" s="34">
        <v>45051</v>
      </c>
      <c r="H1998" s="35">
        <v>5.5E-2</v>
      </c>
      <c r="I1998" s="67">
        <v>0.38009999999999999</v>
      </c>
      <c r="J1998" s="67">
        <v>0</v>
      </c>
      <c r="K1998" s="67">
        <v>0.38009999999999999</v>
      </c>
      <c r="L1998" s="36">
        <f t="shared" si="64"/>
        <v>0.28129965675000002</v>
      </c>
      <c r="M1998" s="64">
        <f t="shared" si="62"/>
        <v>0.28129965675000002</v>
      </c>
      <c r="N1998" s="33" t="s">
        <v>718</v>
      </c>
    </row>
    <row r="1999" spans="1:14" ht="15">
      <c r="A1999" s="12"/>
      <c r="B1999" s="33" t="s">
        <v>192</v>
      </c>
      <c r="C1999" s="92" t="s">
        <v>726</v>
      </c>
      <c r="D1999" s="33" t="s">
        <v>411</v>
      </c>
      <c r="E1999" s="34">
        <v>45044</v>
      </c>
      <c r="F1999" s="34">
        <v>45048</v>
      </c>
      <c r="G1999" s="34">
        <v>45051</v>
      </c>
      <c r="H1999" s="35">
        <v>5.5E-2</v>
      </c>
      <c r="I1999" s="67">
        <v>0.3876</v>
      </c>
      <c r="J1999" s="67">
        <v>0</v>
      </c>
      <c r="K1999" s="67">
        <v>0.3876</v>
      </c>
      <c r="L1999" s="36">
        <f t="shared" si="64"/>
        <v>0.28685016299999999</v>
      </c>
      <c r="M1999" s="64">
        <f t="shared" si="62"/>
        <v>0.28685016299999999</v>
      </c>
      <c r="N1999" s="33" t="s">
        <v>718</v>
      </c>
    </row>
    <row r="2000" spans="1:14" ht="15">
      <c r="A2000" s="12"/>
      <c r="B2000" s="33" t="s">
        <v>311</v>
      </c>
      <c r="C2000" s="92" t="s">
        <v>727</v>
      </c>
      <c r="D2000" s="33" t="s">
        <v>411</v>
      </c>
      <c r="E2000" s="34">
        <v>45044</v>
      </c>
      <c r="F2000" s="34">
        <v>45048</v>
      </c>
      <c r="G2000" s="34">
        <v>45051</v>
      </c>
      <c r="H2000" s="35">
        <v>4.2500000000000003E-2</v>
      </c>
      <c r="I2000" s="67">
        <v>1.6E-2</v>
      </c>
      <c r="J2000" s="67">
        <v>0</v>
      </c>
      <c r="K2000" s="67">
        <v>1.6E-2</v>
      </c>
      <c r="L2000" s="36">
        <f t="shared" si="64"/>
        <v>1.184108E-2</v>
      </c>
      <c r="M2000" s="64">
        <f t="shared" si="62"/>
        <v>1.184108E-2</v>
      </c>
      <c r="N2000" s="33" t="s">
        <v>718</v>
      </c>
    </row>
    <row r="2001" spans="1:14" ht="15">
      <c r="A2001" s="12"/>
      <c r="B2001" s="33" t="s">
        <v>189</v>
      </c>
      <c r="C2001" s="92" t="s">
        <v>728</v>
      </c>
      <c r="D2001" s="33" t="s">
        <v>411</v>
      </c>
      <c r="E2001" s="34">
        <v>45044</v>
      </c>
      <c r="F2001" s="34">
        <v>45048</v>
      </c>
      <c r="G2001" s="34">
        <v>45051</v>
      </c>
      <c r="H2001" s="35">
        <v>4.2500000000000003E-2</v>
      </c>
      <c r="I2001" s="67">
        <v>0.29170000000000001</v>
      </c>
      <c r="J2001" s="67">
        <v>0</v>
      </c>
      <c r="K2001" s="67">
        <v>0.29170000000000001</v>
      </c>
      <c r="L2001" s="36">
        <f t="shared" si="64"/>
        <v>0.21587768974999999</v>
      </c>
      <c r="M2001" s="64">
        <f t="shared" si="62"/>
        <v>0.21587768974999999</v>
      </c>
      <c r="N2001" s="33" t="s">
        <v>718</v>
      </c>
    </row>
    <row r="2002" spans="1:14" ht="15">
      <c r="A2002" s="12"/>
      <c r="B2002" s="33" t="s">
        <v>197</v>
      </c>
      <c r="C2002" s="92" t="s">
        <v>729</v>
      </c>
      <c r="D2002" s="33" t="s">
        <v>411</v>
      </c>
      <c r="E2002" s="34">
        <v>45044</v>
      </c>
      <c r="F2002" s="34">
        <v>45048</v>
      </c>
      <c r="G2002" s="34">
        <v>45051</v>
      </c>
      <c r="H2002" s="35">
        <v>4.2500000000000003E-2</v>
      </c>
      <c r="I2002" s="67">
        <v>0.29980000000000001</v>
      </c>
      <c r="J2002" s="67">
        <v>0</v>
      </c>
      <c r="K2002" s="67">
        <v>0.29980000000000001</v>
      </c>
      <c r="L2002" s="36">
        <f t="shared" si="64"/>
        <v>0.22187223649999999</v>
      </c>
      <c r="M2002" s="64">
        <f t="shared" si="62"/>
        <v>0.22187223649999999</v>
      </c>
      <c r="N2002" s="33" t="s">
        <v>718</v>
      </c>
    </row>
    <row r="2003" spans="1:14" ht="15">
      <c r="A2003" s="12"/>
      <c r="B2003" s="33" t="s">
        <v>308</v>
      </c>
      <c r="C2003" s="92" t="s">
        <v>730</v>
      </c>
      <c r="D2003" s="33" t="s">
        <v>411</v>
      </c>
      <c r="E2003" s="34">
        <v>45044</v>
      </c>
      <c r="F2003" s="34">
        <v>45048</v>
      </c>
      <c r="G2003" s="34">
        <v>45051</v>
      </c>
      <c r="H2003" s="35">
        <v>4.2500000000000003E-2</v>
      </c>
      <c r="I2003" s="67">
        <v>1.4500000000000001E-2</v>
      </c>
      <c r="J2003" s="67">
        <v>0</v>
      </c>
      <c r="K2003" s="67">
        <v>1.4500000000000001E-2</v>
      </c>
      <c r="L2003" s="36">
        <f>+K2003-((K2003*0.4775*0.125)+(K2003*(1-0.4775)*0.26))</f>
        <v>1.166470625E-2</v>
      </c>
      <c r="M2003" s="64">
        <f t="shared" si="62"/>
        <v>1.166470625E-2</v>
      </c>
      <c r="N2003" s="33" t="s">
        <v>718</v>
      </c>
    </row>
    <row r="2004" spans="1:14" ht="15">
      <c r="A2004" s="12"/>
      <c r="B2004" s="33" t="s">
        <v>186</v>
      </c>
      <c r="C2004" s="92" t="s">
        <v>731</v>
      </c>
      <c r="D2004" s="33" t="s">
        <v>411</v>
      </c>
      <c r="E2004" s="34">
        <v>45044</v>
      </c>
      <c r="F2004" s="34">
        <v>45048</v>
      </c>
      <c r="G2004" s="34">
        <v>45051</v>
      </c>
      <c r="H2004" s="35">
        <v>4.2500000000000003E-2</v>
      </c>
      <c r="I2004" s="67">
        <v>0.26669999999999999</v>
      </c>
      <c r="J2004" s="67">
        <v>0</v>
      </c>
      <c r="K2004" s="67">
        <v>0.26669999999999999</v>
      </c>
      <c r="L2004" s="36">
        <f>+K2004-((K2004*0.4775*0.125)+(K2004*(1-0.4775)*0.26))</f>
        <v>0.21455014875</v>
      </c>
      <c r="M2004" s="64">
        <f t="shared" si="62"/>
        <v>0.21455014875</v>
      </c>
      <c r="N2004" s="33" t="s">
        <v>718</v>
      </c>
    </row>
    <row r="2005" spans="1:14" ht="15">
      <c r="A2005" s="12"/>
      <c r="B2005" s="33" t="s">
        <v>194</v>
      </c>
      <c r="C2005" s="92" t="s">
        <v>732</v>
      </c>
      <c r="D2005" s="33" t="s">
        <v>411</v>
      </c>
      <c r="E2005" s="34">
        <v>45044</v>
      </c>
      <c r="F2005" s="34">
        <v>45048</v>
      </c>
      <c r="G2005" s="34">
        <v>45051</v>
      </c>
      <c r="H2005" s="35">
        <v>4.2500000000000003E-2</v>
      </c>
      <c r="I2005" s="67">
        <v>0.27589999999999998</v>
      </c>
      <c r="J2005" s="67">
        <v>0</v>
      </c>
      <c r="K2005" s="67">
        <v>0.27589999999999998</v>
      </c>
      <c r="L2005" s="36">
        <f>+K2005-((K2005*0.4775*0.125)+(K2005*(1-0.4775)*0.26))</f>
        <v>0.22195120374999999</v>
      </c>
      <c r="M2005" s="64">
        <f t="shared" si="62"/>
        <v>0.22195120374999999</v>
      </c>
      <c r="N2005" s="33" t="s">
        <v>718</v>
      </c>
    </row>
    <row r="2006" spans="1:14" ht="15">
      <c r="A2006" s="12"/>
      <c r="B2006" s="33" t="s">
        <v>307</v>
      </c>
      <c r="C2006" s="92" t="s">
        <v>733</v>
      </c>
      <c r="D2006" s="33" t="s">
        <v>411</v>
      </c>
      <c r="E2006" s="34">
        <v>45044</v>
      </c>
      <c r="F2006" s="34">
        <v>45048</v>
      </c>
      <c r="G2006" s="34">
        <v>45051</v>
      </c>
      <c r="H2006" s="35">
        <v>4.7500000000000001E-2</v>
      </c>
      <c r="I2006" s="67">
        <v>1.46E-2</v>
      </c>
      <c r="J2006" s="67">
        <v>0</v>
      </c>
      <c r="K2006" s="67">
        <v>1.46E-2</v>
      </c>
      <c r="L2006" s="36">
        <f>+K2006-((K2006*0.596*0.125)+(K2006*(1-0.596)*0.26))</f>
        <v>1.1978716E-2</v>
      </c>
      <c r="M2006" s="64">
        <f t="shared" si="62"/>
        <v>1.1978716E-2</v>
      </c>
      <c r="N2006" s="33" t="s">
        <v>718</v>
      </c>
    </row>
    <row r="2007" spans="1:14" ht="15">
      <c r="A2007" s="12"/>
      <c r="B2007" s="33" t="s">
        <v>185</v>
      </c>
      <c r="C2007" s="92" t="s">
        <v>734</v>
      </c>
      <c r="D2007" s="33" t="s">
        <v>411</v>
      </c>
      <c r="E2007" s="34">
        <v>45044</v>
      </c>
      <c r="F2007" s="34">
        <v>45048</v>
      </c>
      <c r="G2007" s="34">
        <v>45051</v>
      </c>
      <c r="H2007" s="35">
        <v>4.7500000000000001E-2</v>
      </c>
      <c r="I2007" s="67">
        <v>0.24179999999999999</v>
      </c>
      <c r="J2007" s="67">
        <v>0</v>
      </c>
      <c r="K2007" s="67">
        <v>0.24179999999999999</v>
      </c>
      <c r="L2007" s="36">
        <f>+K2007-((K2007*0.596*0.125)+(K2007*(1-0.596)*0.26))</f>
        <v>0.19838722799999997</v>
      </c>
      <c r="M2007" s="64">
        <f t="shared" si="62"/>
        <v>0.19838722799999997</v>
      </c>
      <c r="N2007" s="33" t="s">
        <v>718</v>
      </c>
    </row>
    <row r="2008" spans="1:14" ht="15">
      <c r="A2008" s="12"/>
      <c r="B2008" s="33" t="s">
        <v>193</v>
      </c>
      <c r="C2008" s="92" t="s">
        <v>735</v>
      </c>
      <c r="D2008" s="33" t="s">
        <v>411</v>
      </c>
      <c r="E2008" s="34">
        <v>45044</v>
      </c>
      <c r="F2008" s="34">
        <v>45048</v>
      </c>
      <c r="G2008" s="34">
        <v>45051</v>
      </c>
      <c r="H2008" s="35">
        <v>4.7500000000000001E-2</v>
      </c>
      <c r="I2008" s="67">
        <v>0.23899999999999999</v>
      </c>
      <c r="J2008" s="67">
        <v>0</v>
      </c>
      <c r="K2008" s="67">
        <v>0.23899999999999999</v>
      </c>
      <c r="L2008" s="36">
        <f>+K2008-((K2008*0.596*0.125)+(K2008*(1-0.596)*0.26))</f>
        <v>0.19608993999999999</v>
      </c>
      <c r="M2008" s="64">
        <f t="shared" si="62"/>
        <v>0.19608993999999999</v>
      </c>
      <c r="N2008" s="33" t="s">
        <v>718</v>
      </c>
    </row>
    <row r="2009" spans="1:14" ht="15">
      <c r="A2009" s="12"/>
      <c r="B2009" s="33" t="s">
        <v>309</v>
      </c>
      <c r="C2009" s="92" t="s">
        <v>736</v>
      </c>
      <c r="D2009" s="33" t="s">
        <v>411</v>
      </c>
      <c r="E2009" s="34">
        <v>45044</v>
      </c>
      <c r="F2009" s="34">
        <v>45048</v>
      </c>
      <c r="G2009" s="34">
        <v>45051</v>
      </c>
      <c r="H2009" s="35">
        <v>4.7500000000000001E-2</v>
      </c>
      <c r="I2009" s="67">
        <v>1.5800000000000002E-2</v>
      </c>
      <c r="J2009" s="67">
        <v>0</v>
      </c>
      <c r="K2009" s="67">
        <v>1.5800000000000002E-2</v>
      </c>
      <c r="L2009" s="36">
        <f>+K2009-((K2009*0.0535*0.125)+(K2009*(1-0.0535)*0.26))</f>
        <v>1.1806115500000002E-2</v>
      </c>
      <c r="M2009" s="64">
        <f t="shared" si="62"/>
        <v>1.1806115500000002E-2</v>
      </c>
      <c r="N2009" s="33" t="s">
        <v>718</v>
      </c>
    </row>
    <row r="2010" spans="1:14" ht="15">
      <c r="A2010" s="12"/>
      <c r="B2010" s="33" t="s">
        <v>187</v>
      </c>
      <c r="C2010" s="92" t="s">
        <v>737</v>
      </c>
      <c r="D2010" s="33" t="s">
        <v>411</v>
      </c>
      <c r="E2010" s="34">
        <v>45044</v>
      </c>
      <c r="F2010" s="34">
        <v>45048</v>
      </c>
      <c r="G2010" s="34">
        <v>45051</v>
      </c>
      <c r="H2010" s="35">
        <v>4.7500000000000001E-2</v>
      </c>
      <c r="I2010" s="67">
        <v>0.27729999999999999</v>
      </c>
      <c r="J2010" s="67">
        <v>0</v>
      </c>
      <c r="K2010" s="67">
        <v>0.27729999999999999</v>
      </c>
      <c r="L2010" s="36">
        <f>+K2010-((K2010*0.0535*0.125)+(K2010*(1-0.0535)*0.26))</f>
        <v>0.20720479924999996</v>
      </c>
      <c r="M2010" s="64">
        <f t="shared" si="62"/>
        <v>0.20720479924999996</v>
      </c>
      <c r="N2010" s="33" t="s">
        <v>718</v>
      </c>
    </row>
    <row r="2011" spans="1:14" ht="15">
      <c r="A2011" s="12"/>
      <c r="B2011" s="33" t="s">
        <v>195</v>
      </c>
      <c r="C2011" s="92" t="s">
        <v>738</v>
      </c>
      <c r="D2011" s="33" t="s">
        <v>411</v>
      </c>
      <c r="E2011" s="34">
        <v>45044</v>
      </c>
      <c r="F2011" s="34">
        <v>45048</v>
      </c>
      <c r="G2011" s="34">
        <v>45051</v>
      </c>
      <c r="H2011" s="35">
        <v>4.7500000000000001E-2</v>
      </c>
      <c r="I2011" s="67">
        <v>0.28939999999999999</v>
      </c>
      <c r="J2011" s="67">
        <v>0</v>
      </c>
      <c r="K2011" s="67">
        <v>0.28939999999999999</v>
      </c>
      <c r="L2011" s="36">
        <f>+K2011-((K2011*0.0535*0.125)+(K2011*(1-0.0535)*0.26))</f>
        <v>0.21624619150000002</v>
      </c>
      <c r="M2011" s="64">
        <f t="shared" si="62"/>
        <v>0.21624619150000002</v>
      </c>
      <c r="N2011" s="33" t="s">
        <v>718</v>
      </c>
    </row>
    <row r="2012" spans="1:14" ht="15">
      <c r="A2012" s="12"/>
      <c r="B2012" s="33" t="s">
        <v>312</v>
      </c>
      <c r="C2012" s="92" t="s">
        <v>739</v>
      </c>
      <c r="D2012" s="33" t="s">
        <v>411</v>
      </c>
      <c r="E2012" s="34">
        <v>45044</v>
      </c>
      <c r="F2012" s="34">
        <v>45048</v>
      </c>
      <c r="G2012" s="34">
        <v>45051</v>
      </c>
      <c r="H2012" s="35">
        <v>7.0000000000000007E-2</v>
      </c>
      <c r="I2012" s="67">
        <v>2.1899999999999999E-2</v>
      </c>
      <c r="J2012" s="67">
        <v>0</v>
      </c>
      <c r="K2012" s="67">
        <v>2.1899999999999999E-2</v>
      </c>
      <c r="L2012" s="36">
        <f>+K2012-((K2012*0.08*0.125)+(K2012*(1-0.08)*0.26))</f>
        <v>1.6442519999999999E-2</v>
      </c>
      <c r="M2012" s="64">
        <f t="shared" si="62"/>
        <v>1.6442519999999999E-2</v>
      </c>
      <c r="N2012" s="33" t="s">
        <v>718</v>
      </c>
    </row>
    <row r="2013" spans="1:14" ht="15">
      <c r="A2013" s="12"/>
      <c r="B2013" s="33" t="s">
        <v>190</v>
      </c>
      <c r="C2013" s="92" t="s">
        <v>740</v>
      </c>
      <c r="D2013" s="33" t="s">
        <v>411</v>
      </c>
      <c r="E2013" s="34">
        <v>45044</v>
      </c>
      <c r="F2013" s="34">
        <v>45048</v>
      </c>
      <c r="G2013" s="34">
        <v>45051</v>
      </c>
      <c r="H2013" s="35">
        <v>7.0000000000000007E-2</v>
      </c>
      <c r="I2013" s="67">
        <v>0.41499999999999998</v>
      </c>
      <c r="J2013" s="67">
        <v>0</v>
      </c>
      <c r="K2013" s="67">
        <v>0.41499999999999998</v>
      </c>
      <c r="L2013" s="36">
        <f>+K2013-((K2013*0.08*0.125)+(K2013*(1-0.08)*0.26))</f>
        <v>0.31158199999999997</v>
      </c>
      <c r="M2013" s="64">
        <f t="shared" si="62"/>
        <v>0.31158199999999997</v>
      </c>
      <c r="N2013" s="33" t="s">
        <v>718</v>
      </c>
    </row>
    <row r="2014" spans="1:14" ht="15">
      <c r="A2014" s="12"/>
      <c r="B2014" s="33" t="s">
        <v>198</v>
      </c>
      <c r="C2014" s="92" t="s">
        <v>741</v>
      </c>
      <c r="D2014" s="33" t="s">
        <v>411</v>
      </c>
      <c r="E2014" s="34">
        <v>45044</v>
      </c>
      <c r="F2014" s="34">
        <v>45048</v>
      </c>
      <c r="G2014" s="34">
        <v>45051</v>
      </c>
      <c r="H2014" s="35">
        <v>7.0000000000000007E-2</v>
      </c>
      <c r="I2014" s="67">
        <v>0.4194</v>
      </c>
      <c r="J2014" s="67">
        <v>0</v>
      </c>
      <c r="K2014" s="67">
        <v>0.4194</v>
      </c>
      <c r="L2014" s="36">
        <f>+K2014-((K2014*0.08*0.125)+(K2014*(1-0.08)*0.26))</f>
        <v>0.31488551999999997</v>
      </c>
      <c r="M2014" s="64">
        <f t="shared" si="62"/>
        <v>0.31488551999999997</v>
      </c>
      <c r="N2014" s="33" t="s">
        <v>718</v>
      </c>
    </row>
    <row r="2015" spans="1:14" ht="15">
      <c r="A2015" s="12"/>
      <c r="B2015" s="33" t="s">
        <v>513</v>
      </c>
      <c r="C2015" s="92" t="s">
        <v>742</v>
      </c>
      <c r="D2015" s="33" t="s">
        <v>411</v>
      </c>
      <c r="E2015" s="34">
        <v>45044</v>
      </c>
      <c r="F2015" s="34">
        <v>45048</v>
      </c>
      <c r="G2015" s="34">
        <v>45051</v>
      </c>
      <c r="H2015" s="35">
        <v>0.01</v>
      </c>
      <c r="I2015" s="67">
        <v>5.8099999999999999E-2</v>
      </c>
      <c r="J2015" s="67">
        <v>0</v>
      </c>
      <c r="K2015" s="67">
        <v>5.8099999999999999E-2</v>
      </c>
      <c r="L2015" s="36">
        <f>+K2015-((K2015*0.337*0.125)+(K2015*(1-0.337)*0.26))</f>
        <v>4.5637259499999999E-2</v>
      </c>
      <c r="M2015" s="64">
        <f t="shared" si="62"/>
        <v>4.5637259499999999E-2</v>
      </c>
      <c r="N2015" s="33" t="s">
        <v>718</v>
      </c>
    </row>
    <row r="2016" spans="1:14" ht="15">
      <c r="A2016" s="12"/>
      <c r="B2016" s="33" t="s">
        <v>514</v>
      </c>
      <c r="C2016" s="92" t="s">
        <v>743</v>
      </c>
      <c r="D2016" s="33" t="s">
        <v>411</v>
      </c>
      <c r="E2016" s="34">
        <v>45044</v>
      </c>
      <c r="F2016" s="34">
        <v>45048</v>
      </c>
      <c r="G2016" s="34">
        <v>45051</v>
      </c>
      <c r="H2016" s="35">
        <v>0.01</v>
      </c>
      <c r="I2016" s="67">
        <v>5.9400000000000001E-2</v>
      </c>
      <c r="J2016" s="67">
        <v>0</v>
      </c>
      <c r="K2016" s="67">
        <v>5.9400000000000001E-2</v>
      </c>
      <c r="L2016" s="36">
        <f>+K2016-((K2016*0.337*0.125)+(K2016*(1-0.337)*0.26))</f>
        <v>4.6658403000000001E-2</v>
      </c>
      <c r="M2016" s="64">
        <f t="shared" si="62"/>
        <v>4.6658403000000001E-2</v>
      </c>
      <c r="N2016" s="33" t="s">
        <v>718</v>
      </c>
    </row>
    <row r="2017" spans="1:14" ht="15">
      <c r="A2017" s="12"/>
      <c r="B2017" s="33" t="s">
        <v>313</v>
      </c>
      <c r="C2017" s="92" t="s">
        <v>744</v>
      </c>
      <c r="D2017" s="33" t="s">
        <v>411</v>
      </c>
      <c r="E2017" s="34">
        <v>45044</v>
      </c>
      <c r="F2017" s="34">
        <v>45048</v>
      </c>
      <c r="G2017" s="34">
        <v>45051</v>
      </c>
      <c r="H2017" s="35">
        <v>4.4999999999999998E-2</v>
      </c>
      <c r="I2017" s="67">
        <v>1.55E-2</v>
      </c>
      <c r="J2017" s="67">
        <v>0</v>
      </c>
      <c r="K2017" s="67">
        <v>1.55E-2</v>
      </c>
      <c r="L2017" s="36">
        <f>+K2017-((K2017*0.2435*0.125)+(K2017*(1-0.2435)*0.26))</f>
        <v>1.197952375E-2</v>
      </c>
      <c r="M2017" s="64">
        <f t="shared" si="62"/>
        <v>1.197952375E-2</v>
      </c>
      <c r="N2017" s="33" t="s">
        <v>718</v>
      </c>
    </row>
    <row r="2018" spans="1:14" ht="15">
      <c r="A2018" s="12"/>
      <c r="B2018" s="33" t="s">
        <v>310</v>
      </c>
      <c r="C2018" s="92" t="s">
        <v>719</v>
      </c>
      <c r="D2018" s="33" t="s">
        <v>411</v>
      </c>
      <c r="E2018" s="34">
        <v>45077</v>
      </c>
      <c r="F2018" s="34">
        <v>45078</v>
      </c>
      <c r="G2018" s="34">
        <v>45083</v>
      </c>
      <c r="H2018" s="35">
        <v>0.05</v>
      </c>
      <c r="I2018" s="67">
        <v>1.47E-2</v>
      </c>
      <c r="J2018" s="67">
        <v>0</v>
      </c>
      <c r="K2018" s="67">
        <v>1.47E-2</v>
      </c>
      <c r="L2018" s="36">
        <f>+K2018-((K2018*0.0275*0.125)+(K2018*(1-0.0275)*0.26))</f>
        <v>1.0932573750000001E-2</v>
      </c>
      <c r="M2018" s="64">
        <f t="shared" si="62"/>
        <v>1.0932573750000001E-2</v>
      </c>
      <c r="N2018" s="33" t="s">
        <v>718</v>
      </c>
    </row>
    <row r="2019" spans="1:14" ht="15">
      <c r="A2019" s="12"/>
      <c r="B2019" s="33" t="s">
        <v>188</v>
      </c>
      <c r="C2019" s="92" t="s">
        <v>720</v>
      </c>
      <c r="D2019" s="33" t="s">
        <v>411</v>
      </c>
      <c r="E2019" s="34">
        <v>45077</v>
      </c>
      <c r="F2019" s="34">
        <v>45078</v>
      </c>
      <c r="G2019" s="34">
        <v>45083</v>
      </c>
      <c r="H2019" s="35">
        <v>0.05</v>
      </c>
      <c r="I2019" s="67">
        <v>0.25490000000000002</v>
      </c>
      <c r="J2019" s="67">
        <v>0</v>
      </c>
      <c r="K2019" s="67">
        <v>0.25490000000000002</v>
      </c>
      <c r="L2019" s="36">
        <f>+K2019-((K2019*0.0275*0.125)+(K2019*(1-0.0275)*0.26))</f>
        <v>0.18957231624999998</v>
      </c>
      <c r="M2019" s="64">
        <f t="shared" si="62"/>
        <v>0.18957231624999998</v>
      </c>
      <c r="N2019" s="33" t="s">
        <v>718</v>
      </c>
    </row>
    <row r="2020" spans="1:14" ht="15">
      <c r="A2020" s="12"/>
      <c r="B2020" s="33" t="s">
        <v>196</v>
      </c>
      <c r="C2020" s="92" t="s">
        <v>721</v>
      </c>
      <c r="D2020" s="33" t="s">
        <v>411</v>
      </c>
      <c r="E2020" s="34">
        <v>45077</v>
      </c>
      <c r="F2020" s="34">
        <v>45078</v>
      </c>
      <c r="G2020" s="34">
        <v>45083</v>
      </c>
      <c r="H2020" s="35">
        <v>0.05</v>
      </c>
      <c r="I2020" s="67">
        <v>0.26769999999999999</v>
      </c>
      <c r="J2020" s="67">
        <v>0</v>
      </c>
      <c r="K2020" s="67">
        <v>0.26769999999999999</v>
      </c>
      <c r="L2020" s="36">
        <f>+K2020-((K2020*0.0275*0.125)+(K2020*(1-0.0275)*0.26))</f>
        <v>0.19909183624999999</v>
      </c>
      <c r="M2020" s="64">
        <f t="shared" si="62"/>
        <v>0.19909183624999999</v>
      </c>
      <c r="N2020" s="33" t="s">
        <v>718</v>
      </c>
    </row>
    <row r="2021" spans="1:14" ht="15">
      <c r="A2021" s="12"/>
      <c r="B2021" s="33" t="s">
        <v>191</v>
      </c>
      <c r="C2021" s="92" t="s">
        <v>722</v>
      </c>
      <c r="D2021" s="33" t="s">
        <v>411</v>
      </c>
      <c r="E2021" s="34">
        <v>45077</v>
      </c>
      <c r="F2021" s="34">
        <v>45078</v>
      </c>
      <c r="G2021" s="34">
        <v>45083</v>
      </c>
      <c r="H2021" s="35">
        <v>0.03</v>
      </c>
      <c r="I2021" s="67">
        <v>8.6E-3</v>
      </c>
      <c r="J2021" s="67">
        <v>0</v>
      </c>
      <c r="K2021" s="67">
        <v>8.6E-3</v>
      </c>
      <c r="L2021" s="36">
        <f>+K2021-((K2021*0.8105*0.125)+(K2021*(1-0.8105)*0.26))</f>
        <v>7.3049905000000005E-3</v>
      </c>
      <c r="M2021" s="64">
        <f t="shared" si="62"/>
        <v>7.3049905000000005E-3</v>
      </c>
      <c r="N2021" s="33" t="s">
        <v>718</v>
      </c>
    </row>
    <row r="2022" spans="1:14" ht="15">
      <c r="A2022" s="12"/>
      <c r="B2022" s="33" t="s">
        <v>199</v>
      </c>
      <c r="C2022" s="92" t="s">
        <v>723</v>
      </c>
      <c r="D2022" s="33" t="s">
        <v>411</v>
      </c>
      <c r="E2022" s="34">
        <v>45077</v>
      </c>
      <c r="F2022" s="34">
        <v>45078</v>
      </c>
      <c r="G2022" s="34">
        <v>45083</v>
      </c>
      <c r="H2022" s="35">
        <v>0.03</v>
      </c>
      <c r="I2022" s="67">
        <v>8.6E-3</v>
      </c>
      <c r="J2022" s="67">
        <v>0</v>
      </c>
      <c r="K2022" s="67">
        <v>8.6E-3</v>
      </c>
      <c r="L2022" s="36">
        <f>+K2022-((K2022*0.8105*0.125)+(K2022*(1-0.8105)*0.26))</f>
        <v>7.3049905000000005E-3</v>
      </c>
      <c r="M2022" s="64">
        <f t="shared" si="62"/>
        <v>7.3049905000000005E-3</v>
      </c>
      <c r="N2022" s="33" t="s">
        <v>718</v>
      </c>
    </row>
    <row r="2023" spans="1:14" ht="15">
      <c r="A2023" s="12"/>
      <c r="B2023" s="33" t="s">
        <v>306</v>
      </c>
      <c r="C2023" s="92" t="s">
        <v>724</v>
      </c>
      <c r="D2023" s="33" t="s">
        <v>411</v>
      </c>
      <c r="E2023" s="34">
        <v>45077</v>
      </c>
      <c r="F2023" s="34">
        <v>45078</v>
      </c>
      <c r="G2023" s="34">
        <v>45083</v>
      </c>
      <c r="H2023" s="35">
        <v>5.5E-2</v>
      </c>
      <c r="I2023" s="67">
        <v>1.89E-2</v>
      </c>
      <c r="J2023" s="67">
        <v>0</v>
      </c>
      <c r="K2023" s="67">
        <v>1.89E-2</v>
      </c>
      <c r="L2023" s="36">
        <f t="shared" ref="L2023:L2028" si="65">+K2023-((K2023*0.0005*0.125)+(K2023*(1-0.0005)*0.26))</f>
        <v>1.398727575E-2</v>
      </c>
      <c r="M2023" s="64">
        <f t="shared" si="62"/>
        <v>1.398727575E-2</v>
      </c>
      <c r="N2023" s="33" t="s">
        <v>718</v>
      </c>
    </row>
    <row r="2024" spans="1:14" ht="15">
      <c r="A2024" s="12"/>
      <c r="B2024" s="33" t="s">
        <v>184</v>
      </c>
      <c r="C2024" s="92" t="s">
        <v>725</v>
      </c>
      <c r="D2024" s="33" t="s">
        <v>411</v>
      </c>
      <c r="E2024" s="34">
        <v>45077</v>
      </c>
      <c r="F2024" s="34">
        <v>45078</v>
      </c>
      <c r="G2024" s="34">
        <v>45083</v>
      </c>
      <c r="H2024" s="35">
        <v>5.5E-2</v>
      </c>
      <c r="I2024" s="67">
        <v>0.38009999999999999</v>
      </c>
      <c r="J2024" s="67">
        <v>0</v>
      </c>
      <c r="K2024" s="67">
        <v>0.38009999999999999</v>
      </c>
      <c r="L2024" s="36">
        <f t="shared" si="65"/>
        <v>0.28129965675000002</v>
      </c>
      <c r="M2024" s="64">
        <f t="shared" si="62"/>
        <v>0.28129965675000002</v>
      </c>
      <c r="N2024" s="33" t="s">
        <v>718</v>
      </c>
    </row>
    <row r="2025" spans="1:14" ht="15">
      <c r="A2025" s="12"/>
      <c r="B2025" s="33" t="s">
        <v>192</v>
      </c>
      <c r="C2025" s="92" t="s">
        <v>726</v>
      </c>
      <c r="D2025" s="33" t="s">
        <v>411</v>
      </c>
      <c r="E2025" s="34">
        <v>45077</v>
      </c>
      <c r="F2025" s="34">
        <v>45078</v>
      </c>
      <c r="G2025" s="34">
        <v>45083</v>
      </c>
      <c r="H2025" s="35">
        <v>5.5E-2</v>
      </c>
      <c r="I2025" s="67">
        <v>0.3876</v>
      </c>
      <c r="J2025" s="67">
        <v>0</v>
      </c>
      <c r="K2025" s="67">
        <v>0.3876</v>
      </c>
      <c r="L2025" s="36">
        <f t="shared" si="65"/>
        <v>0.28685016299999999</v>
      </c>
      <c r="M2025" s="64">
        <f t="shared" si="62"/>
        <v>0.28685016299999999</v>
      </c>
      <c r="N2025" s="33" t="s">
        <v>718</v>
      </c>
    </row>
    <row r="2026" spans="1:14" ht="15">
      <c r="A2026" s="12"/>
      <c r="B2026" s="33" t="s">
        <v>311</v>
      </c>
      <c r="C2026" s="92" t="s">
        <v>727</v>
      </c>
      <c r="D2026" s="33" t="s">
        <v>411</v>
      </c>
      <c r="E2026" s="34">
        <v>45077</v>
      </c>
      <c r="F2026" s="34">
        <v>45078</v>
      </c>
      <c r="G2026" s="34">
        <v>45083</v>
      </c>
      <c r="H2026" s="35">
        <v>4.2500000000000003E-2</v>
      </c>
      <c r="I2026" s="67">
        <v>1.6E-2</v>
      </c>
      <c r="J2026" s="67">
        <v>0</v>
      </c>
      <c r="K2026" s="67">
        <v>1.6E-2</v>
      </c>
      <c r="L2026" s="36">
        <f t="shared" si="65"/>
        <v>1.184108E-2</v>
      </c>
      <c r="M2026" s="64">
        <f t="shared" si="62"/>
        <v>1.184108E-2</v>
      </c>
      <c r="N2026" s="33" t="s">
        <v>718</v>
      </c>
    </row>
    <row r="2027" spans="1:14" ht="15">
      <c r="A2027" s="12"/>
      <c r="B2027" s="33" t="s">
        <v>189</v>
      </c>
      <c r="C2027" s="92" t="s">
        <v>728</v>
      </c>
      <c r="D2027" s="33" t="s">
        <v>411</v>
      </c>
      <c r="E2027" s="34">
        <v>45077</v>
      </c>
      <c r="F2027" s="34">
        <v>45078</v>
      </c>
      <c r="G2027" s="34">
        <v>45083</v>
      </c>
      <c r="H2027" s="35">
        <v>4.2500000000000003E-2</v>
      </c>
      <c r="I2027" s="67">
        <v>0.29170000000000001</v>
      </c>
      <c r="J2027" s="67">
        <v>0</v>
      </c>
      <c r="K2027" s="67">
        <v>0.29170000000000001</v>
      </c>
      <c r="L2027" s="36">
        <f t="shared" si="65"/>
        <v>0.21587768974999999</v>
      </c>
      <c r="M2027" s="64">
        <f t="shared" si="62"/>
        <v>0.21587768974999999</v>
      </c>
      <c r="N2027" s="33" t="s">
        <v>718</v>
      </c>
    </row>
    <row r="2028" spans="1:14" ht="15">
      <c r="A2028" s="12"/>
      <c r="B2028" s="33" t="s">
        <v>197</v>
      </c>
      <c r="C2028" s="92" t="s">
        <v>729</v>
      </c>
      <c r="D2028" s="33" t="s">
        <v>411</v>
      </c>
      <c r="E2028" s="34">
        <v>45077</v>
      </c>
      <c r="F2028" s="34">
        <v>45078</v>
      </c>
      <c r="G2028" s="34">
        <v>45083</v>
      </c>
      <c r="H2028" s="35">
        <v>4.2500000000000003E-2</v>
      </c>
      <c r="I2028" s="67">
        <v>0.29980000000000001</v>
      </c>
      <c r="J2028" s="67">
        <v>0</v>
      </c>
      <c r="K2028" s="67">
        <v>0.29980000000000001</v>
      </c>
      <c r="L2028" s="36">
        <f t="shared" si="65"/>
        <v>0.22187223649999999</v>
      </c>
      <c r="M2028" s="64">
        <f t="shared" si="62"/>
        <v>0.22187223649999999</v>
      </c>
      <c r="N2028" s="33" t="s">
        <v>718</v>
      </c>
    </row>
    <row r="2029" spans="1:14" ht="15">
      <c r="A2029" s="12"/>
      <c r="B2029" s="33" t="s">
        <v>308</v>
      </c>
      <c r="C2029" s="92" t="s">
        <v>730</v>
      </c>
      <c r="D2029" s="33" t="s">
        <v>411</v>
      </c>
      <c r="E2029" s="34">
        <v>45077</v>
      </c>
      <c r="F2029" s="34">
        <v>45078</v>
      </c>
      <c r="G2029" s="34">
        <v>45083</v>
      </c>
      <c r="H2029" s="35">
        <v>4.2500000000000003E-2</v>
      </c>
      <c r="I2029" s="67">
        <v>1.4500000000000001E-2</v>
      </c>
      <c r="J2029" s="67">
        <v>0</v>
      </c>
      <c r="K2029" s="67">
        <v>1.4500000000000001E-2</v>
      </c>
      <c r="L2029" s="36">
        <f>+K2029-((K2029*0.4775*0.125)+(K2029*(1-0.4775)*0.26))</f>
        <v>1.166470625E-2</v>
      </c>
      <c r="M2029" s="64">
        <f t="shared" si="62"/>
        <v>1.166470625E-2</v>
      </c>
      <c r="N2029" s="33" t="s">
        <v>718</v>
      </c>
    </row>
    <row r="2030" spans="1:14" ht="15">
      <c r="A2030" s="12"/>
      <c r="B2030" s="33" t="s">
        <v>186</v>
      </c>
      <c r="C2030" s="92" t="s">
        <v>731</v>
      </c>
      <c r="D2030" s="33" t="s">
        <v>411</v>
      </c>
      <c r="E2030" s="34">
        <v>45077</v>
      </c>
      <c r="F2030" s="34">
        <v>45078</v>
      </c>
      <c r="G2030" s="34">
        <v>45083</v>
      </c>
      <c r="H2030" s="35">
        <v>4.2500000000000003E-2</v>
      </c>
      <c r="I2030" s="67">
        <v>0.26669999999999999</v>
      </c>
      <c r="J2030" s="67">
        <v>0</v>
      </c>
      <c r="K2030" s="67">
        <v>0.26669999999999999</v>
      </c>
      <c r="L2030" s="36">
        <f>+K2030-((K2030*0.4775*0.125)+(K2030*(1-0.4775)*0.26))</f>
        <v>0.21455014875</v>
      </c>
      <c r="M2030" s="64">
        <f t="shared" si="62"/>
        <v>0.21455014875</v>
      </c>
      <c r="N2030" s="33" t="s">
        <v>718</v>
      </c>
    </row>
    <row r="2031" spans="1:14" ht="15">
      <c r="A2031" s="12"/>
      <c r="B2031" s="33" t="s">
        <v>194</v>
      </c>
      <c r="C2031" s="92" t="s">
        <v>732</v>
      </c>
      <c r="D2031" s="33" t="s">
        <v>411</v>
      </c>
      <c r="E2031" s="34">
        <v>45077</v>
      </c>
      <c r="F2031" s="34">
        <v>45078</v>
      </c>
      <c r="G2031" s="34">
        <v>45083</v>
      </c>
      <c r="H2031" s="35">
        <v>4.2500000000000003E-2</v>
      </c>
      <c r="I2031" s="67">
        <v>0.27589999999999998</v>
      </c>
      <c r="J2031" s="67">
        <v>0</v>
      </c>
      <c r="K2031" s="67">
        <v>0.27589999999999998</v>
      </c>
      <c r="L2031" s="36">
        <f>+K2031-((K2031*0.4775*0.125)+(K2031*(1-0.4775)*0.26))</f>
        <v>0.22195120374999999</v>
      </c>
      <c r="M2031" s="64">
        <f t="shared" si="62"/>
        <v>0.22195120374999999</v>
      </c>
      <c r="N2031" s="33" t="s">
        <v>718</v>
      </c>
    </row>
    <row r="2032" spans="1:14" ht="15">
      <c r="A2032" s="12"/>
      <c r="B2032" s="33" t="s">
        <v>307</v>
      </c>
      <c r="C2032" s="92" t="s">
        <v>733</v>
      </c>
      <c r="D2032" s="33" t="s">
        <v>411</v>
      </c>
      <c r="E2032" s="34">
        <v>45077</v>
      </c>
      <c r="F2032" s="34">
        <v>45078</v>
      </c>
      <c r="G2032" s="34">
        <v>45083</v>
      </c>
      <c r="H2032" s="35">
        <v>4.7500000000000001E-2</v>
      </c>
      <c r="I2032" s="67">
        <v>1.46E-2</v>
      </c>
      <c r="J2032" s="67">
        <v>0</v>
      </c>
      <c r="K2032" s="67">
        <v>1.46E-2</v>
      </c>
      <c r="L2032" s="36">
        <f>+K2032-((K2032*0.596*0.125)+(K2032*(1-0.596)*0.26))</f>
        <v>1.1978716E-2</v>
      </c>
      <c r="M2032" s="64">
        <f t="shared" si="62"/>
        <v>1.1978716E-2</v>
      </c>
      <c r="N2032" s="33" t="s">
        <v>718</v>
      </c>
    </row>
    <row r="2033" spans="1:14" ht="15">
      <c r="A2033" s="12"/>
      <c r="B2033" s="33" t="s">
        <v>185</v>
      </c>
      <c r="C2033" s="92" t="s">
        <v>734</v>
      </c>
      <c r="D2033" s="33" t="s">
        <v>411</v>
      </c>
      <c r="E2033" s="34">
        <v>45077</v>
      </c>
      <c r="F2033" s="34">
        <v>45078</v>
      </c>
      <c r="G2033" s="34">
        <v>45083</v>
      </c>
      <c r="H2033" s="35">
        <v>4.7500000000000001E-2</v>
      </c>
      <c r="I2033" s="67">
        <v>0.24179999999999999</v>
      </c>
      <c r="J2033" s="67">
        <v>0</v>
      </c>
      <c r="K2033" s="67">
        <v>0.24179999999999999</v>
      </c>
      <c r="L2033" s="36">
        <f>+K2033-((K2033*0.596*0.125)+(K2033*(1-0.596)*0.26))</f>
        <v>0.19838722799999997</v>
      </c>
      <c r="M2033" s="64">
        <f t="shared" si="62"/>
        <v>0.19838722799999997</v>
      </c>
      <c r="N2033" s="33" t="s">
        <v>718</v>
      </c>
    </row>
    <row r="2034" spans="1:14" ht="15">
      <c r="A2034" s="12"/>
      <c r="B2034" s="33" t="s">
        <v>193</v>
      </c>
      <c r="C2034" s="92" t="s">
        <v>735</v>
      </c>
      <c r="D2034" s="33" t="s">
        <v>411</v>
      </c>
      <c r="E2034" s="34">
        <v>45077</v>
      </c>
      <c r="F2034" s="34">
        <v>45078</v>
      </c>
      <c r="G2034" s="34">
        <v>45083</v>
      </c>
      <c r="H2034" s="35">
        <v>4.7500000000000001E-2</v>
      </c>
      <c r="I2034" s="67">
        <v>0.23899999999999999</v>
      </c>
      <c r="J2034" s="67">
        <v>0</v>
      </c>
      <c r="K2034" s="67">
        <v>0.23899999999999999</v>
      </c>
      <c r="L2034" s="36">
        <f>+K2034-((K2034*0.596*0.125)+(K2034*(1-0.596)*0.26))</f>
        <v>0.19608993999999999</v>
      </c>
      <c r="M2034" s="64">
        <f t="shared" si="62"/>
        <v>0.19608993999999999</v>
      </c>
      <c r="N2034" s="33" t="s">
        <v>718</v>
      </c>
    </row>
    <row r="2035" spans="1:14" ht="15">
      <c r="A2035" s="12"/>
      <c r="B2035" s="33" t="s">
        <v>309</v>
      </c>
      <c r="C2035" s="92" t="s">
        <v>736</v>
      </c>
      <c r="D2035" s="33" t="s">
        <v>411</v>
      </c>
      <c r="E2035" s="34">
        <v>45077</v>
      </c>
      <c r="F2035" s="34">
        <v>45078</v>
      </c>
      <c r="G2035" s="34">
        <v>45083</v>
      </c>
      <c r="H2035" s="35">
        <v>4.7500000000000001E-2</v>
      </c>
      <c r="I2035" s="67">
        <v>1.5800000000000002E-2</v>
      </c>
      <c r="J2035" s="67">
        <v>0</v>
      </c>
      <c r="K2035" s="67">
        <v>1.5800000000000002E-2</v>
      </c>
      <c r="L2035" s="36">
        <f>+K2035-((K2035*0.0535*0.125)+(K2035*(1-0.0535)*0.26))</f>
        <v>1.1806115500000002E-2</v>
      </c>
      <c r="M2035" s="64">
        <f t="shared" si="62"/>
        <v>1.1806115500000002E-2</v>
      </c>
      <c r="N2035" s="33" t="s">
        <v>718</v>
      </c>
    </row>
    <row r="2036" spans="1:14" ht="15">
      <c r="A2036" s="12"/>
      <c r="B2036" s="33" t="s">
        <v>187</v>
      </c>
      <c r="C2036" s="92" t="s">
        <v>737</v>
      </c>
      <c r="D2036" s="33" t="s">
        <v>411</v>
      </c>
      <c r="E2036" s="34">
        <v>45077</v>
      </c>
      <c r="F2036" s="34">
        <v>45078</v>
      </c>
      <c r="G2036" s="34">
        <v>45083</v>
      </c>
      <c r="H2036" s="35">
        <v>4.7500000000000001E-2</v>
      </c>
      <c r="I2036" s="67">
        <v>0.27729999999999999</v>
      </c>
      <c r="J2036" s="67">
        <v>0</v>
      </c>
      <c r="K2036" s="67">
        <v>0.27729999999999999</v>
      </c>
      <c r="L2036" s="36">
        <f>+K2036-((K2036*0.0535*0.125)+(K2036*(1-0.0535)*0.26))</f>
        <v>0.20720479924999996</v>
      </c>
      <c r="M2036" s="64">
        <f t="shared" si="62"/>
        <v>0.20720479924999996</v>
      </c>
      <c r="N2036" s="33" t="s">
        <v>718</v>
      </c>
    </row>
    <row r="2037" spans="1:14" ht="15">
      <c r="A2037" s="12"/>
      <c r="B2037" s="33" t="s">
        <v>195</v>
      </c>
      <c r="C2037" s="92" t="s">
        <v>738</v>
      </c>
      <c r="D2037" s="33" t="s">
        <v>411</v>
      </c>
      <c r="E2037" s="34">
        <v>45077</v>
      </c>
      <c r="F2037" s="34">
        <v>45078</v>
      </c>
      <c r="G2037" s="34">
        <v>45083</v>
      </c>
      <c r="H2037" s="35">
        <v>4.7500000000000001E-2</v>
      </c>
      <c r="I2037" s="67">
        <v>0.28939999999999999</v>
      </c>
      <c r="J2037" s="67">
        <v>0</v>
      </c>
      <c r="K2037" s="67">
        <v>0.28939999999999999</v>
      </c>
      <c r="L2037" s="36">
        <f>+K2037-((K2037*0.0535*0.125)+(K2037*(1-0.0535)*0.26))</f>
        <v>0.21624619150000002</v>
      </c>
      <c r="M2037" s="64">
        <f t="shared" si="62"/>
        <v>0.21624619150000002</v>
      </c>
      <c r="N2037" s="33" t="s">
        <v>718</v>
      </c>
    </row>
    <row r="2038" spans="1:14" ht="15">
      <c r="A2038" s="12"/>
      <c r="B2038" s="33" t="s">
        <v>312</v>
      </c>
      <c r="C2038" s="92" t="s">
        <v>739</v>
      </c>
      <c r="D2038" s="33" t="s">
        <v>411</v>
      </c>
      <c r="E2038" s="34">
        <v>45077</v>
      </c>
      <c r="F2038" s="34">
        <v>45078</v>
      </c>
      <c r="G2038" s="34">
        <v>45083</v>
      </c>
      <c r="H2038" s="35">
        <v>7.0000000000000007E-2</v>
      </c>
      <c r="I2038" s="67">
        <v>2.1899999999999999E-2</v>
      </c>
      <c r="J2038" s="67">
        <v>0</v>
      </c>
      <c r="K2038" s="67">
        <v>2.1899999999999999E-2</v>
      </c>
      <c r="L2038" s="36">
        <f>+K2038-((K2038*0.08*0.125)+(K2038*(1-0.08)*0.26))</f>
        <v>1.6442519999999999E-2</v>
      </c>
      <c r="M2038" s="64">
        <f t="shared" si="62"/>
        <v>1.6442519999999999E-2</v>
      </c>
      <c r="N2038" s="33" t="s">
        <v>718</v>
      </c>
    </row>
    <row r="2039" spans="1:14" ht="15">
      <c r="A2039" s="12"/>
      <c r="B2039" s="33" t="s">
        <v>190</v>
      </c>
      <c r="C2039" s="92" t="s">
        <v>740</v>
      </c>
      <c r="D2039" s="33" t="s">
        <v>411</v>
      </c>
      <c r="E2039" s="34">
        <v>45077</v>
      </c>
      <c r="F2039" s="34">
        <v>45078</v>
      </c>
      <c r="G2039" s="34">
        <v>45083</v>
      </c>
      <c r="H2039" s="35">
        <v>7.0000000000000007E-2</v>
      </c>
      <c r="I2039" s="67">
        <v>0.41499999999999998</v>
      </c>
      <c r="J2039" s="67">
        <v>0</v>
      </c>
      <c r="K2039" s="67">
        <v>0.41499999999999998</v>
      </c>
      <c r="L2039" s="36">
        <f>+K2039-((K2039*0.08*0.125)+(K2039*(1-0.08)*0.26))</f>
        <v>0.31158199999999997</v>
      </c>
      <c r="M2039" s="64">
        <f t="shared" si="62"/>
        <v>0.31158199999999997</v>
      </c>
      <c r="N2039" s="33" t="s">
        <v>718</v>
      </c>
    </row>
    <row r="2040" spans="1:14" ht="15">
      <c r="A2040" s="12"/>
      <c r="B2040" s="33" t="s">
        <v>198</v>
      </c>
      <c r="C2040" s="92" t="s">
        <v>741</v>
      </c>
      <c r="D2040" s="33" t="s">
        <v>411</v>
      </c>
      <c r="E2040" s="34">
        <v>45077</v>
      </c>
      <c r="F2040" s="34">
        <v>45078</v>
      </c>
      <c r="G2040" s="34">
        <v>45083</v>
      </c>
      <c r="H2040" s="35">
        <v>7.0000000000000007E-2</v>
      </c>
      <c r="I2040" s="67">
        <v>0.4194</v>
      </c>
      <c r="J2040" s="67">
        <v>0</v>
      </c>
      <c r="K2040" s="67">
        <v>0.4194</v>
      </c>
      <c r="L2040" s="36">
        <f>+K2040-((K2040*0.08*0.125)+(K2040*(1-0.08)*0.26))</f>
        <v>0.31488551999999997</v>
      </c>
      <c r="M2040" s="64">
        <f t="shared" si="62"/>
        <v>0.31488551999999997</v>
      </c>
      <c r="N2040" s="33" t="s">
        <v>718</v>
      </c>
    </row>
    <row r="2041" spans="1:14" ht="15">
      <c r="A2041" s="12"/>
      <c r="B2041" s="33" t="s">
        <v>513</v>
      </c>
      <c r="C2041" s="92" t="s">
        <v>742</v>
      </c>
      <c r="D2041" s="33" t="s">
        <v>411</v>
      </c>
      <c r="E2041" s="34">
        <v>45077</v>
      </c>
      <c r="F2041" s="34">
        <v>45078</v>
      </c>
      <c r="G2041" s="34">
        <v>45083</v>
      </c>
      <c r="H2041" s="35">
        <v>0.01</v>
      </c>
      <c r="I2041" s="67">
        <v>5.8099999999999999E-2</v>
      </c>
      <c r="J2041" s="67">
        <v>0</v>
      </c>
      <c r="K2041" s="67">
        <v>5.8099999999999999E-2</v>
      </c>
      <c r="L2041" s="36">
        <f>+K2041-((K2041*0.337*0.125)+(K2041*(1-0.337)*0.26))</f>
        <v>4.5637259499999999E-2</v>
      </c>
      <c r="M2041" s="64">
        <f t="shared" ref="M2041:M2104" si="66">J2041+L2041</f>
        <v>4.5637259499999999E-2</v>
      </c>
      <c r="N2041" s="33" t="s">
        <v>718</v>
      </c>
    </row>
    <row r="2042" spans="1:14" ht="15">
      <c r="A2042" s="12"/>
      <c r="B2042" s="33" t="s">
        <v>514</v>
      </c>
      <c r="C2042" s="92" t="s">
        <v>743</v>
      </c>
      <c r="D2042" s="33" t="s">
        <v>411</v>
      </c>
      <c r="E2042" s="34">
        <v>45077</v>
      </c>
      <c r="F2042" s="34">
        <v>45078</v>
      </c>
      <c r="G2042" s="34">
        <v>45083</v>
      </c>
      <c r="H2042" s="35">
        <v>0.01</v>
      </c>
      <c r="I2042" s="67">
        <v>5.9400000000000001E-2</v>
      </c>
      <c r="J2042" s="67">
        <v>0</v>
      </c>
      <c r="K2042" s="67">
        <v>5.9400000000000001E-2</v>
      </c>
      <c r="L2042" s="36">
        <f>+K2042-((K2042*0.337*0.125)+(K2042*(1-0.337)*0.26))</f>
        <v>4.6658403000000001E-2</v>
      </c>
      <c r="M2042" s="64">
        <f t="shared" si="66"/>
        <v>4.6658403000000001E-2</v>
      </c>
      <c r="N2042" s="33" t="s">
        <v>718</v>
      </c>
    </row>
    <row r="2043" spans="1:14" ht="15">
      <c r="A2043" s="12"/>
      <c r="B2043" s="33" t="s">
        <v>313</v>
      </c>
      <c r="C2043" s="92" t="s">
        <v>744</v>
      </c>
      <c r="D2043" s="33" t="s">
        <v>411</v>
      </c>
      <c r="E2043" s="34">
        <v>45077</v>
      </c>
      <c r="F2043" s="34">
        <v>45078</v>
      </c>
      <c r="G2043" s="34">
        <v>45083</v>
      </c>
      <c r="H2043" s="35">
        <v>4.4999999999999998E-2</v>
      </c>
      <c r="I2043" s="67">
        <v>1.55E-2</v>
      </c>
      <c r="J2043" s="67">
        <v>0</v>
      </c>
      <c r="K2043" s="67">
        <v>1.55E-2</v>
      </c>
      <c r="L2043" s="36">
        <f>+K2043-((K2043*0.2435*0.125)+(K2043*(1-0.2435)*0.26))</f>
        <v>1.197952375E-2</v>
      </c>
      <c r="M2043" s="64">
        <f t="shared" si="66"/>
        <v>1.197952375E-2</v>
      </c>
      <c r="N2043" s="33" t="s">
        <v>718</v>
      </c>
    </row>
    <row r="2044" spans="1:14" ht="15">
      <c r="A2044" s="12"/>
      <c r="B2044" s="33" t="s">
        <v>174</v>
      </c>
      <c r="C2044" s="92" t="s">
        <v>382</v>
      </c>
      <c r="D2044" s="33" t="s">
        <v>410</v>
      </c>
      <c r="E2044" s="34">
        <v>45106</v>
      </c>
      <c r="F2044" s="34">
        <v>45107</v>
      </c>
      <c r="G2044" s="34">
        <v>45112</v>
      </c>
      <c r="H2044" s="35"/>
      <c r="I2044" s="67">
        <v>3.4463000000000001E-2</v>
      </c>
      <c r="J2044" s="67">
        <v>0</v>
      </c>
      <c r="K2044" s="67">
        <v>3.4462769999999997E-2</v>
      </c>
      <c r="L2044" s="36">
        <f>+K2044-((K2044*0.025*0.125)+(K2044*(1-0.025)*0.26))</f>
        <v>2.5618761648749995E-2</v>
      </c>
      <c r="M2044" s="64">
        <f t="shared" si="66"/>
        <v>2.5618761648749995E-2</v>
      </c>
      <c r="N2044" s="33" t="s">
        <v>247</v>
      </c>
    </row>
    <row r="2045" spans="1:14" ht="15">
      <c r="A2045" s="12"/>
      <c r="B2045" s="33" t="s">
        <v>176</v>
      </c>
      <c r="C2045" s="92" t="s">
        <v>397</v>
      </c>
      <c r="D2045" s="33" t="s">
        <v>410</v>
      </c>
      <c r="E2045" s="34">
        <v>45106</v>
      </c>
      <c r="F2045" s="34">
        <v>45107</v>
      </c>
      <c r="G2045" s="34">
        <v>45112</v>
      </c>
      <c r="H2045" s="35"/>
      <c r="I2045" s="67">
        <v>3.1382E-2</v>
      </c>
      <c r="J2045" s="67">
        <v>0</v>
      </c>
      <c r="K2045" s="67">
        <v>3.1381619999999999E-2</v>
      </c>
      <c r="L2045" s="36">
        <f>+K2045-((K2045*0.1985*0.125)+(K2045*(1-0.1985)*0.26))</f>
        <v>2.4063347761949998E-2</v>
      </c>
      <c r="M2045" s="64">
        <f t="shared" si="66"/>
        <v>2.4063347761949998E-2</v>
      </c>
      <c r="N2045" s="33" t="s">
        <v>247</v>
      </c>
    </row>
    <row r="2046" spans="1:14" ht="15">
      <c r="A2046" s="12"/>
      <c r="B2046" s="33" t="s">
        <v>175</v>
      </c>
      <c r="C2046" s="92" t="s">
        <v>465</v>
      </c>
      <c r="D2046" s="33" t="s">
        <v>410</v>
      </c>
      <c r="E2046" s="34">
        <v>45106</v>
      </c>
      <c r="F2046" s="34">
        <v>45107</v>
      </c>
      <c r="G2046" s="34">
        <v>45112</v>
      </c>
      <c r="H2046" s="35"/>
      <c r="I2046" s="67">
        <v>5.1820999999999999E-2</v>
      </c>
      <c r="J2046" s="67">
        <v>0</v>
      </c>
      <c r="K2046" s="67">
        <v>5.1820989999999997E-2</v>
      </c>
      <c r="L2046" s="36">
        <f>+K2046-((K2046*0.0915*0.125)+(K2046*(1-0.0915)*0.26))</f>
        <v>3.8987651378975002E-2</v>
      </c>
      <c r="M2046" s="64">
        <f t="shared" si="66"/>
        <v>3.8987651378975002E-2</v>
      </c>
      <c r="N2046" s="33" t="s">
        <v>247</v>
      </c>
    </row>
    <row r="2047" spans="1:14" ht="15">
      <c r="A2047" s="12"/>
      <c r="B2047" s="33" t="s">
        <v>310</v>
      </c>
      <c r="C2047" s="92" t="s">
        <v>719</v>
      </c>
      <c r="D2047" s="33" t="s">
        <v>411</v>
      </c>
      <c r="E2047" s="34">
        <v>45107</v>
      </c>
      <c r="F2047" s="34">
        <v>45110</v>
      </c>
      <c r="G2047" s="34">
        <v>45113</v>
      </c>
      <c r="H2047" s="35">
        <v>0.05</v>
      </c>
      <c r="I2047" s="67">
        <v>1.47E-2</v>
      </c>
      <c r="J2047" s="67">
        <v>0</v>
      </c>
      <c r="K2047" s="67">
        <v>1.47E-2</v>
      </c>
      <c r="L2047" s="36">
        <f>+K2047-((K2047*0.0275*0.125)+(K2047*(1-0.0275)*0.26))</f>
        <v>1.0932573750000001E-2</v>
      </c>
      <c r="M2047" s="64">
        <f t="shared" si="66"/>
        <v>1.0932573750000001E-2</v>
      </c>
      <c r="N2047" s="33" t="s">
        <v>718</v>
      </c>
    </row>
    <row r="2048" spans="1:14" ht="15">
      <c r="A2048" s="12"/>
      <c r="B2048" s="33" t="s">
        <v>188</v>
      </c>
      <c r="C2048" s="92" t="s">
        <v>720</v>
      </c>
      <c r="D2048" s="33" t="s">
        <v>411</v>
      </c>
      <c r="E2048" s="34">
        <v>45107</v>
      </c>
      <c r="F2048" s="34">
        <v>45110</v>
      </c>
      <c r="G2048" s="34">
        <v>45113</v>
      </c>
      <c r="H2048" s="35">
        <v>0.05</v>
      </c>
      <c r="I2048" s="67">
        <v>0.25490000000000002</v>
      </c>
      <c r="J2048" s="67">
        <v>0</v>
      </c>
      <c r="K2048" s="67">
        <v>0.25490000000000002</v>
      </c>
      <c r="L2048" s="36">
        <f>+K2048-((K2048*0.0275*0.125)+(K2048*(1-0.0275)*0.26))</f>
        <v>0.18957231624999998</v>
      </c>
      <c r="M2048" s="64">
        <f t="shared" si="66"/>
        <v>0.18957231624999998</v>
      </c>
      <c r="N2048" s="33" t="s">
        <v>718</v>
      </c>
    </row>
    <row r="2049" spans="1:14" ht="15">
      <c r="A2049" s="12"/>
      <c r="B2049" s="33" t="s">
        <v>196</v>
      </c>
      <c r="C2049" s="92" t="s">
        <v>721</v>
      </c>
      <c r="D2049" s="33" t="s">
        <v>411</v>
      </c>
      <c r="E2049" s="34">
        <v>45107</v>
      </c>
      <c r="F2049" s="34">
        <v>45110</v>
      </c>
      <c r="G2049" s="34">
        <v>45113</v>
      </c>
      <c r="H2049" s="35">
        <v>0.05</v>
      </c>
      <c r="I2049" s="67">
        <v>0.26769999999999999</v>
      </c>
      <c r="J2049" s="67">
        <v>0</v>
      </c>
      <c r="K2049" s="67">
        <v>0.26769999999999999</v>
      </c>
      <c r="L2049" s="36">
        <f>+K2049-((K2049*0.0275*0.125)+(K2049*(1-0.0275)*0.26))</f>
        <v>0.19909183624999999</v>
      </c>
      <c r="M2049" s="64">
        <f t="shared" si="66"/>
        <v>0.19909183624999999</v>
      </c>
      <c r="N2049" s="33" t="s">
        <v>718</v>
      </c>
    </row>
    <row r="2050" spans="1:14" ht="15">
      <c r="A2050" s="12"/>
      <c r="B2050" s="33" t="s">
        <v>191</v>
      </c>
      <c r="C2050" s="92" t="s">
        <v>722</v>
      </c>
      <c r="D2050" s="33" t="s">
        <v>411</v>
      </c>
      <c r="E2050" s="34">
        <v>45107</v>
      </c>
      <c r="F2050" s="34">
        <v>45110</v>
      </c>
      <c r="G2050" s="34">
        <v>45113</v>
      </c>
      <c r="H2050" s="35">
        <v>0.03</v>
      </c>
      <c r="I2050" s="67">
        <v>8.6E-3</v>
      </c>
      <c r="J2050" s="67">
        <v>0</v>
      </c>
      <c r="K2050" s="67">
        <v>8.6E-3</v>
      </c>
      <c r="L2050" s="36">
        <f>+K2050-((K2050*0.8105*0.125)+(K2050*(1-0.8105)*0.26))</f>
        <v>7.3049905000000005E-3</v>
      </c>
      <c r="M2050" s="64">
        <f t="shared" si="66"/>
        <v>7.3049905000000005E-3</v>
      </c>
      <c r="N2050" s="33" t="s">
        <v>718</v>
      </c>
    </row>
    <row r="2051" spans="1:14" ht="15">
      <c r="A2051" s="12"/>
      <c r="B2051" s="33" t="s">
        <v>199</v>
      </c>
      <c r="C2051" s="92" t="s">
        <v>723</v>
      </c>
      <c r="D2051" s="33" t="s">
        <v>411</v>
      </c>
      <c r="E2051" s="34">
        <v>45107</v>
      </c>
      <c r="F2051" s="34">
        <v>45110</v>
      </c>
      <c r="G2051" s="34">
        <v>45113</v>
      </c>
      <c r="H2051" s="35">
        <v>0.03</v>
      </c>
      <c r="I2051" s="67">
        <v>8.6E-3</v>
      </c>
      <c r="J2051" s="67">
        <v>0</v>
      </c>
      <c r="K2051" s="67">
        <v>8.6E-3</v>
      </c>
      <c r="L2051" s="36">
        <f>+K2051-((K2051*0.8105*0.125)+(K2051*(1-0.8105)*0.26))</f>
        <v>7.3049905000000005E-3</v>
      </c>
      <c r="M2051" s="64">
        <f t="shared" si="66"/>
        <v>7.3049905000000005E-3</v>
      </c>
      <c r="N2051" s="33" t="s">
        <v>718</v>
      </c>
    </row>
    <row r="2052" spans="1:14" ht="15">
      <c r="A2052" s="12"/>
      <c r="B2052" s="33" t="s">
        <v>306</v>
      </c>
      <c r="C2052" s="92" t="s">
        <v>724</v>
      </c>
      <c r="D2052" s="33" t="s">
        <v>411</v>
      </c>
      <c r="E2052" s="34">
        <v>45107</v>
      </c>
      <c r="F2052" s="34">
        <v>45110</v>
      </c>
      <c r="G2052" s="34">
        <v>45113</v>
      </c>
      <c r="H2052" s="35">
        <v>5.5E-2</v>
      </c>
      <c r="I2052" s="67">
        <v>1.89E-2</v>
      </c>
      <c r="J2052" s="67">
        <v>0</v>
      </c>
      <c r="K2052" s="67">
        <v>1.89E-2</v>
      </c>
      <c r="L2052" s="36">
        <f t="shared" ref="L2052:L2057" si="67">+K2052-((K2052*0.0005*0.125)+(K2052*(1-0.0005)*0.26))</f>
        <v>1.398727575E-2</v>
      </c>
      <c r="M2052" s="64">
        <f t="shared" si="66"/>
        <v>1.398727575E-2</v>
      </c>
      <c r="N2052" s="33" t="s">
        <v>718</v>
      </c>
    </row>
    <row r="2053" spans="1:14" ht="15">
      <c r="A2053" s="12"/>
      <c r="B2053" s="33" t="s">
        <v>184</v>
      </c>
      <c r="C2053" s="92" t="s">
        <v>725</v>
      </c>
      <c r="D2053" s="33" t="s">
        <v>411</v>
      </c>
      <c r="E2053" s="34">
        <v>45107</v>
      </c>
      <c r="F2053" s="34">
        <v>45110</v>
      </c>
      <c r="G2053" s="34">
        <v>45113</v>
      </c>
      <c r="H2053" s="35">
        <v>5.5E-2</v>
      </c>
      <c r="I2053" s="67">
        <v>0.38009999999999999</v>
      </c>
      <c r="J2053" s="67">
        <v>0</v>
      </c>
      <c r="K2053" s="67">
        <v>0.38009999999999999</v>
      </c>
      <c r="L2053" s="36">
        <f t="shared" si="67"/>
        <v>0.28129965675000002</v>
      </c>
      <c r="M2053" s="64">
        <f t="shared" si="66"/>
        <v>0.28129965675000002</v>
      </c>
      <c r="N2053" s="33" t="s">
        <v>718</v>
      </c>
    </row>
    <row r="2054" spans="1:14" ht="15">
      <c r="A2054" s="12"/>
      <c r="B2054" s="33" t="s">
        <v>192</v>
      </c>
      <c r="C2054" s="92" t="s">
        <v>726</v>
      </c>
      <c r="D2054" s="33" t="s">
        <v>411</v>
      </c>
      <c r="E2054" s="34">
        <v>45107</v>
      </c>
      <c r="F2054" s="34">
        <v>45110</v>
      </c>
      <c r="G2054" s="34">
        <v>45113</v>
      </c>
      <c r="H2054" s="35">
        <v>5.5E-2</v>
      </c>
      <c r="I2054" s="67">
        <v>0.3876</v>
      </c>
      <c r="J2054" s="67">
        <v>0</v>
      </c>
      <c r="K2054" s="67">
        <v>0.3876</v>
      </c>
      <c r="L2054" s="36">
        <f t="shared" si="67"/>
        <v>0.28685016299999999</v>
      </c>
      <c r="M2054" s="64">
        <f t="shared" si="66"/>
        <v>0.28685016299999999</v>
      </c>
      <c r="N2054" s="33" t="s">
        <v>718</v>
      </c>
    </row>
    <row r="2055" spans="1:14" ht="15">
      <c r="A2055" s="12"/>
      <c r="B2055" s="33" t="s">
        <v>311</v>
      </c>
      <c r="C2055" s="92" t="s">
        <v>727</v>
      </c>
      <c r="D2055" s="33" t="s">
        <v>411</v>
      </c>
      <c r="E2055" s="34">
        <v>45107</v>
      </c>
      <c r="F2055" s="34">
        <v>45110</v>
      </c>
      <c r="G2055" s="34">
        <v>45113</v>
      </c>
      <c r="H2055" s="35">
        <v>4.2500000000000003E-2</v>
      </c>
      <c r="I2055" s="67">
        <v>1.6E-2</v>
      </c>
      <c r="J2055" s="67">
        <v>0</v>
      </c>
      <c r="K2055" s="67">
        <v>1.6E-2</v>
      </c>
      <c r="L2055" s="36">
        <f t="shared" si="67"/>
        <v>1.184108E-2</v>
      </c>
      <c r="M2055" s="64">
        <f t="shared" si="66"/>
        <v>1.184108E-2</v>
      </c>
      <c r="N2055" s="33" t="s">
        <v>718</v>
      </c>
    </row>
    <row r="2056" spans="1:14" ht="15">
      <c r="A2056" s="12"/>
      <c r="B2056" s="33" t="s">
        <v>189</v>
      </c>
      <c r="C2056" s="92" t="s">
        <v>728</v>
      </c>
      <c r="D2056" s="33" t="s">
        <v>411</v>
      </c>
      <c r="E2056" s="34">
        <v>45107</v>
      </c>
      <c r="F2056" s="34">
        <v>45110</v>
      </c>
      <c r="G2056" s="34">
        <v>45113</v>
      </c>
      <c r="H2056" s="35">
        <v>4.2500000000000003E-2</v>
      </c>
      <c r="I2056" s="67">
        <v>0.29170000000000001</v>
      </c>
      <c r="J2056" s="67">
        <v>0</v>
      </c>
      <c r="K2056" s="67">
        <v>0.29170000000000001</v>
      </c>
      <c r="L2056" s="36">
        <f t="shared" si="67"/>
        <v>0.21587768974999999</v>
      </c>
      <c r="M2056" s="64">
        <f t="shared" si="66"/>
        <v>0.21587768974999999</v>
      </c>
      <c r="N2056" s="33" t="s">
        <v>718</v>
      </c>
    </row>
    <row r="2057" spans="1:14" ht="15">
      <c r="A2057" s="12"/>
      <c r="B2057" s="33" t="s">
        <v>197</v>
      </c>
      <c r="C2057" s="92" t="s">
        <v>729</v>
      </c>
      <c r="D2057" s="33" t="s">
        <v>411</v>
      </c>
      <c r="E2057" s="34">
        <v>45107</v>
      </c>
      <c r="F2057" s="34">
        <v>45110</v>
      </c>
      <c r="G2057" s="34">
        <v>45113</v>
      </c>
      <c r="H2057" s="35">
        <v>4.2500000000000003E-2</v>
      </c>
      <c r="I2057" s="67">
        <v>0.29980000000000001</v>
      </c>
      <c r="J2057" s="67">
        <v>0</v>
      </c>
      <c r="K2057" s="67">
        <v>0.29980000000000001</v>
      </c>
      <c r="L2057" s="36">
        <f t="shared" si="67"/>
        <v>0.22187223649999999</v>
      </c>
      <c r="M2057" s="64">
        <f t="shared" si="66"/>
        <v>0.22187223649999999</v>
      </c>
      <c r="N2057" s="33" t="s">
        <v>718</v>
      </c>
    </row>
    <row r="2058" spans="1:14" ht="15">
      <c r="A2058" s="12"/>
      <c r="B2058" s="33" t="s">
        <v>308</v>
      </c>
      <c r="C2058" s="92" t="s">
        <v>730</v>
      </c>
      <c r="D2058" s="33" t="s">
        <v>411</v>
      </c>
      <c r="E2058" s="34">
        <v>45107</v>
      </c>
      <c r="F2058" s="34">
        <v>45110</v>
      </c>
      <c r="G2058" s="34">
        <v>45113</v>
      </c>
      <c r="H2058" s="35">
        <v>4.2500000000000003E-2</v>
      </c>
      <c r="I2058" s="67">
        <v>1.4500000000000001E-2</v>
      </c>
      <c r="J2058" s="67">
        <v>0</v>
      </c>
      <c r="K2058" s="67">
        <v>1.4500000000000001E-2</v>
      </c>
      <c r="L2058" s="36">
        <f>+K2058-((K2058*0.4775*0.125)+(K2058*(1-0.4775)*0.26))</f>
        <v>1.166470625E-2</v>
      </c>
      <c r="M2058" s="64">
        <f t="shared" si="66"/>
        <v>1.166470625E-2</v>
      </c>
      <c r="N2058" s="33" t="s">
        <v>718</v>
      </c>
    </row>
    <row r="2059" spans="1:14" ht="15">
      <c r="A2059" s="12"/>
      <c r="B2059" s="33" t="s">
        <v>186</v>
      </c>
      <c r="C2059" s="92" t="s">
        <v>731</v>
      </c>
      <c r="D2059" s="33" t="s">
        <v>411</v>
      </c>
      <c r="E2059" s="34">
        <v>45107</v>
      </c>
      <c r="F2059" s="34">
        <v>45110</v>
      </c>
      <c r="G2059" s="34">
        <v>45113</v>
      </c>
      <c r="H2059" s="35">
        <v>4.2500000000000003E-2</v>
      </c>
      <c r="I2059" s="67">
        <v>0.26669999999999999</v>
      </c>
      <c r="J2059" s="67">
        <v>0</v>
      </c>
      <c r="K2059" s="67">
        <v>0.26669999999999999</v>
      </c>
      <c r="L2059" s="36">
        <f>+K2059-((K2059*0.4775*0.125)+(K2059*(1-0.4775)*0.26))</f>
        <v>0.21455014875</v>
      </c>
      <c r="M2059" s="64">
        <f t="shared" si="66"/>
        <v>0.21455014875</v>
      </c>
      <c r="N2059" s="33" t="s">
        <v>718</v>
      </c>
    </row>
    <row r="2060" spans="1:14" ht="15">
      <c r="A2060" s="12"/>
      <c r="B2060" s="33" t="s">
        <v>194</v>
      </c>
      <c r="C2060" s="92" t="s">
        <v>732</v>
      </c>
      <c r="D2060" s="33" t="s">
        <v>411</v>
      </c>
      <c r="E2060" s="34">
        <v>45107</v>
      </c>
      <c r="F2060" s="34">
        <v>45110</v>
      </c>
      <c r="G2060" s="34">
        <v>45113</v>
      </c>
      <c r="H2060" s="35">
        <v>4.2500000000000003E-2</v>
      </c>
      <c r="I2060" s="67">
        <v>0.27589999999999998</v>
      </c>
      <c r="J2060" s="67">
        <v>0</v>
      </c>
      <c r="K2060" s="67">
        <v>0.27589999999999998</v>
      </c>
      <c r="L2060" s="36">
        <f>+K2060-((K2060*0.4775*0.125)+(K2060*(1-0.4775)*0.26))</f>
        <v>0.22195120374999999</v>
      </c>
      <c r="M2060" s="64">
        <f t="shared" si="66"/>
        <v>0.22195120374999999</v>
      </c>
      <c r="N2060" s="33" t="s">
        <v>718</v>
      </c>
    </row>
    <row r="2061" spans="1:14" ht="15">
      <c r="A2061" s="12"/>
      <c r="B2061" s="33" t="s">
        <v>307</v>
      </c>
      <c r="C2061" s="92" t="s">
        <v>733</v>
      </c>
      <c r="D2061" s="33" t="s">
        <v>411</v>
      </c>
      <c r="E2061" s="34">
        <v>45107</v>
      </c>
      <c r="F2061" s="34">
        <v>45110</v>
      </c>
      <c r="G2061" s="34">
        <v>45113</v>
      </c>
      <c r="H2061" s="35">
        <v>4.7500000000000001E-2</v>
      </c>
      <c r="I2061" s="67">
        <v>1.46E-2</v>
      </c>
      <c r="J2061" s="67">
        <v>0</v>
      </c>
      <c r="K2061" s="67">
        <v>1.46E-2</v>
      </c>
      <c r="L2061" s="36">
        <f>+K2061-((K2061*0.596*0.125)+(K2061*(1-0.596)*0.26))</f>
        <v>1.1978716E-2</v>
      </c>
      <c r="M2061" s="64">
        <f t="shared" si="66"/>
        <v>1.1978716E-2</v>
      </c>
      <c r="N2061" s="33" t="s">
        <v>718</v>
      </c>
    </row>
    <row r="2062" spans="1:14" ht="15">
      <c r="A2062" s="12"/>
      <c r="B2062" s="33" t="s">
        <v>185</v>
      </c>
      <c r="C2062" s="92" t="s">
        <v>734</v>
      </c>
      <c r="D2062" s="33" t="s">
        <v>411</v>
      </c>
      <c r="E2062" s="34">
        <v>45107</v>
      </c>
      <c r="F2062" s="34">
        <v>45110</v>
      </c>
      <c r="G2062" s="34">
        <v>45113</v>
      </c>
      <c r="H2062" s="35">
        <v>4.7500000000000001E-2</v>
      </c>
      <c r="I2062" s="67">
        <v>0.24179999999999999</v>
      </c>
      <c r="J2062" s="67">
        <v>0</v>
      </c>
      <c r="K2062" s="67">
        <v>0.24179999999999999</v>
      </c>
      <c r="L2062" s="36">
        <f>+K2062-((K2062*0.596*0.125)+(K2062*(1-0.596)*0.26))</f>
        <v>0.19838722799999997</v>
      </c>
      <c r="M2062" s="64">
        <f t="shared" si="66"/>
        <v>0.19838722799999997</v>
      </c>
      <c r="N2062" s="33" t="s">
        <v>718</v>
      </c>
    </row>
    <row r="2063" spans="1:14" ht="15">
      <c r="A2063" s="12"/>
      <c r="B2063" s="33" t="s">
        <v>193</v>
      </c>
      <c r="C2063" s="92" t="s">
        <v>735</v>
      </c>
      <c r="D2063" s="33" t="s">
        <v>411</v>
      </c>
      <c r="E2063" s="34">
        <v>45107</v>
      </c>
      <c r="F2063" s="34">
        <v>45110</v>
      </c>
      <c r="G2063" s="34">
        <v>45113</v>
      </c>
      <c r="H2063" s="35">
        <v>4.7500000000000001E-2</v>
      </c>
      <c r="I2063" s="67">
        <v>0.23899999999999999</v>
      </c>
      <c r="J2063" s="67">
        <v>0</v>
      </c>
      <c r="K2063" s="67">
        <v>0.23899999999999999</v>
      </c>
      <c r="L2063" s="36">
        <f>+K2063-((K2063*0.596*0.125)+(K2063*(1-0.596)*0.26))</f>
        <v>0.19608993999999999</v>
      </c>
      <c r="M2063" s="64">
        <f t="shared" si="66"/>
        <v>0.19608993999999999</v>
      </c>
      <c r="N2063" s="33" t="s">
        <v>718</v>
      </c>
    </row>
    <row r="2064" spans="1:14" ht="15">
      <c r="A2064" s="12"/>
      <c r="B2064" s="33" t="s">
        <v>309</v>
      </c>
      <c r="C2064" s="92" t="s">
        <v>736</v>
      </c>
      <c r="D2064" s="33" t="s">
        <v>411</v>
      </c>
      <c r="E2064" s="34">
        <v>45107</v>
      </c>
      <c r="F2064" s="34">
        <v>45110</v>
      </c>
      <c r="G2064" s="34">
        <v>45113</v>
      </c>
      <c r="H2064" s="35">
        <v>4.7500000000000001E-2</v>
      </c>
      <c r="I2064" s="67">
        <v>1.5800000000000002E-2</v>
      </c>
      <c r="J2064" s="67">
        <v>0</v>
      </c>
      <c r="K2064" s="67">
        <v>1.5800000000000002E-2</v>
      </c>
      <c r="L2064" s="36">
        <f>+K2064-((K2064*0.0535*0.125)+(K2064*(1-0.0535)*0.26))</f>
        <v>1.1806115500000002E-2</v>
      </c>
      <c r="M2064" s="64">
        <f t="shared" si="66"/>
        <v>1.1806115500000002E-2</v>
      </c>
      <c r="N2064" s="33" t="s">
        <v>718</v>
      </c>
    </row>
    <row r="2065" spans="1:14" ht="15">
      <c r="A2065" s="12"/>
      <c r="B2065" s="33" t="s">
        <v>187</v>
      </c>
      <c r="C2065" s="92" t="s">
        <v>737</v>
      </c>
      <c r="D2065" s="33" t="s">
        <v>411</v>
      </c>
      <c r="E2065" s="34">
        <v>45107</v>
      </c>
      <c r="F2065" s="34">
        <v>45110</v>
      </c>
      <c r="G2065" s="34">
        <v>45113</v>
      </c>
      <c r="H2065" s="35">
        <v>4.7500000000000001E-2</v>
      </c>
      <c r="I2065" s="67">
        <v>0.27729999999999999</v>
      </c>
      <c r="J2065" s="67">
        <v>0</v>
      </c>
      <c r="K2065" s="67">
        <v>0.27729999999999999</v>
      </c>
      <c r="L2065" s="36">
        <f>+K2065-((K2065*0.0535*0.125)+(K2065*(1-0.0535)*0.26))</f>
        <v>0.20720479924999996</v>
      </c>
      <c r="M2065" s="64">
        <f t="shared" si="66"/>
        <v>0.20720479924999996</v>
      </c>
      <c r="N2065" s="33" t="s">
        <v>718</v>
      </c>
    </row>
    <row r="2066" spans="1:14" ht="15">
      <c r="A2066" s="12"/>
      <c r="B2066" s="33" t="s">
        <v>195</v>
      </c>
      <c r="C2066" s="92" t="s">
        <v>738</v>
      </c>
      <c r="D2066" s="33" t="s">
        <v>411</v>
      </c>
      <c r="E2066" s="34">
        <v>45107</v>
      </c>
      <c r="F2066" s="34">
        <v>45110</v>
      </c>
      <c r="G2066" s="34">
        <v>45113</v>
      </c>
      <c r="H2066" s="35">
        <v>4.7500000000000001E-2</v>
      </c>
      <c r="I2066" s="67">
        <v>0.28939999999999999</v>
      </c>
      <c r="J2066" s="67">
        <v>0</v>
      </c>
      <c r="K2066" s="67">
        <v>0.28939999999999999</v>
      </c>
      <c r="L2066" s="36">
        <f>+K2066-((K2066*0.0535*0.125)+(K2066*(1-0.0535)*0.26))</f>
        <v>0.21624619150000002</v>
      </c>
      <c r="M2066" s="64">
        <f t="shared" si="66"/>
        <v>0.21624619150000002</v>
      </c>
      <c r="N2066" s="33" t="s">
        <v>718</v>
      </c>
    </row>
    <row r="2067" spans="1:14" ht="15">
      <c r="A2067" s="12"/>
      <c r="B2067" s="33" t="s">
        <v>312</v>
      </c>
      <c r="C2067" s="92" t="s">
        <v>739</v>
      </c>
      <c r="D2067" s="33" t="s">
        <v>411</v>
      </c>
      <c r="E2067" s="34">
        <v>45107</v>
      </c>
      <c r="F2067" s="34">
        <v>45110</v>
      </c>
      <c r="G2067" s="34">
        <v>45113</v>
      </c>
      <c r="H2067" s="35">
        <v>7.0000000000000007E-2</v>
      </c>
      <c r="I2067" s="67">
        <v>2.1899999999999999E-2</v>
      </c>
      <c r="J2067" s="67">
        <v>0</v>
      </c>
      <c r="K2067" s="67">
        <v>2.1899999999999999E-2</v>
      </c>
      <c r="L2067" s="36">
        <f>+K2067-((K2067*0.08*0.125)+(K2067*(1-0.08)*0.26))</f>
        <v>1.6442519999999999E-2</v>
      </c>
      <c r="M2067" s="64">
        <f t="shared" si="66"/>
        <v>1.6442519999999999E-2</v>
      </c>
      <c r="N2067" s="33" t="s">
        <v>718</v>
      </c>
    </row>
    <row r="2068" spans="1:14" ht="15">
      <c r="A2068" s="12"/>
      <c r="B2068" s="33" t="s">
        <v>190</v>
      </c>
      <c r="C2068" s="92" t="s">
        <v>740</v>
      </c>
      <c r="D2068" s="33" t="s">
        <v>411</v>
      </c>
      <c r="E2068" s="34">
        <v>45107</v>
      </c>
      <c r="F2068" s="34">
        <v>45110</v>
      </c>
      <c r="G2068" s="34">
        <v>45113</v>
      </c>
      <c r="H2068" s="35">
        <v>7.0000000000000007E-2</v>
      </c>
      <c r="I2068" s="67">
        <v>0.41499999999999998</v>
      </c>
      <c r="J2068" s="67">
        <v>0</v>
      </c>
      <c r="K2068" s="67">
        <v>0.41499999999999998</v>
      </c>
      <c r="L2068" s="36">
        <f>+K2068-((K2068*0.08*0.125)+(K2068*(1-0.08)*0.26))</f>
        <v>0.31158199999999997</v>
      </c>
      <c r="M2068" s="64">
        <f t="shared" si="66"/>
        <v>0.31158199999999997</v>
      </c>
      <c r="N2068" s="33" t="s">
        <v>718</v>
      </c>
    </row>
    <row r="2069" spans="1:14" ht="15">
      <c r="A2069" s="12"/>
      <c r="B2069" s="33" t="s">
        <v>198</v>
      </c>
      <c r="C2069" s="92" t="s">
        <v>741</v>
      </c>
      <c r="D2069" s="33" t="s">
        <v>411</v>
      </c>
      <c r="E2069" s="34">
        <v>45107</v>
      </c>
      <c r="F2069" s="34">
        <v>45110</v>
      </c>
      <c r="G2069" s="34">
        <v>45113</v>
      </c>
      <c r="H2069" s="35">
        <v>7.0000000000000007E-2</v>
      </c>
      <c r="I2069" s="67">
        <v>0.4194</v>
      </c>
      <c r="J2069" s="67">
        <v>0</v>
      </c>
      <c r="K2069" s="67">
        <v>0.4194</v>
      </c>
      <c r="L2069" s="36">
        <f>+K2069-((K2069*0.08*0.125)+(K2069*(1-0.08)*0.26))</f>
        <v>0.31488551999999997</v>
      </c>
      <c r="M2069" s="64">
        <f t="shared" si="66"/>
        <v>0.31488551999999997</v>
      </c>
      <c r="N2069" s="33" t="s">
        <v>718</v>
      </c>
    </row>
    <row r="2070" spans="1:14" ht="15">
      <c r="A2070" s="12"/>
      <c r="B2070" s="33" t="s">
        <v>513</v>
      </c>
      <c r="C2070" s="92" t="s">
        <v>742</v>
      </c>
      <c r="D2070" s="33" t="s">
        <v>411</v>
      </c>
      <c r="E2070" s="34">
        <v>45107</v>
      </c>
      <c r="F2070" s="34">
        <v>45110</v>
      </c>
      <c r="G2070" s="34">
        <v>45113</v>
      </c>
      <c r="H2070" s="35">
        <v>0.01</v>
      </c>
      <c r="I2070" s="67">
        <v>5.8099999999999999E-2</v>
      </c>
      <c r="J2070" s="67">
        <v>0</v>
      </c>
      <c r="K2070" s="67">
        <v>5.8099999999999999E-2</v>
      </c>
      <c r="L2070" s="36">
        <f>+K2070-((K2070*0.337*0.125)+(K2070*(1-0.337)*0.26))</f>
        <v>4.5637259499999999E-2</v>
      </c>
      <c r="M2070" s="64">
        <f t="shared" si="66"/>
        <v>4.5637259499999999E-2</v>
      </c>
      <c r="N2070" s="33" t="s">
        <v>718</v>
      </c>
    </row>
    <row r="2071" spans="1:14" ht="15">
      <c r="A2071" s="12"/>
      <c r="B2071" s="33" t="s">
        <v>514</v>
      </c>
      <c r="C2071" s="92" t="s">
        <v>743</v>
      </c>
      <c r="D2071" s="33" t="s">
        <v>411</v>
      </c>
      <c r="E2071" s="34">
        <v>45107</v>
      </c>
      <c r="F2071" s="34">
        <v>45110</v>
      </c>
      <c r="G2071" s="34">
        <v>45113</v>
      </c>
      <c r="H2071" s="35">
        <v>0.01</v>
      </c>
      <c r="I2071" s="67">
        <v>5.9400000000000001E-2</v>
      </c>
      <c r="J2071" s="67">
        <v>0</v>
      </c>
      <c r="K2071" s="67">
        <v>5.9400000000000001E-2</v>
      </c>
      <c r="L2071" s="36">
        <f>+K2071-((K2071*0.337*0.125)+(K2071*(1-0.337)*0.26))</f>
        <v>4.6658403000000001E-2</v>
      </c>
      <c r="M2071" s="64">
        <f t="shared" si="66"/>
        <v>4.6658403000000001E-2</v>
      </c>
      <c r="N2071" s="33" t="s">
        <v>718</v>
      </c>
    </row>
    <row r="2072" spans="1:14" ht="15">
      <c r="A2072" s="12"/>
      <c r="B2072" s="33" t="s">
        <v>313</v>
      </c>
      <c r="C2072" s="92" t="s">
        <v>744</v>
      </c>
      <c r="D2072" s="33" t="s">
        <v>411</v>
      </c>
      <c r="E2072" s="34">
        <v>45107</v>
      </c>
      <c r="F2072" s="34">
        <v>45110</v>
      </c>
      <c r="G2072" s="34">
        <v>45113</v>
      </c>
      <c r="H2072" s="35">
        <v>4.4999999999999998E-2</v>
      </c>
      <c r="I2072" s="67">
        <v>1.55E-2</v>
      </c>
      <c r="J2072" s="67">
        <v>0</v>
      </c>
      <c r="K2072" s="67">
        <v>1.55E-2</v>
      </c>
      <c r="L2072" s="36">
        <f>+K2072-((K2072*0.2435*0.125)+(K2072*(1-0.2435)*0.26))</f>
        <v>1.197952375E-2</v>
      </c>
      <c r="M2072" s="64">
        <f t="shared" si="66"/>
        <v>1.197952375E-2</v>
      </c>
      <c r="N2072" s="33" t="s">
        <v>718</v>
      </c>
    </row>
    <row r="2073" spans="1:14" ht="15">
      <c r="A2073" s="12"/>
      <c r="B2073" s="33" t="s">
        <v>298</v>
      </c>
      <c r="C2073" s="92" t="s">
        <v>403</v>
      </c>
      <c r="D2073" s="33" t="s">
        <v>410</v>
      </c>
      <c r="E2073" s="34">
        <v>45107</v>
      </c>
      <c r="F2073" s="34">
        <v>45110</v>
      </c>
      <c r="G2073" s="34">
        <v>45113</v>
      </c>
      <c r="H2073" s="35">
        <v>4.4999999999999998E-2</v>
      </c>
      <c r="I2073" s="67">
        <v>4.24E-2</v>
      </c>
      <c r="J2073" s="67">
        <v>0</v>
      </c>
      <c r="K2073" s="67">
        <v>4.24E-2</v>
      </c>
      <c r="L2073" s="36">
        <f>+K2073-((K2073*0.417*0.125)+(K2073*(1-0.417)*0.26))</f>
        <v>3.3762908000000001E-2</v>
      </c>
      <c r="M2073" s="64">
        <f t="shared" si="66"/>
        <v>3.3762908000000001E-2</v>
      </c>
      <c r="N2073" s="33" t="s">
        <v>248</v>
      </c>
    </row>
    <row r="2074" spans="1:14" ht="15">
      <c r="A2074" s="12"/>
      <c r="B2074" s="33" t="s">
        <v>181</v>
      </c>
      <c r="C2074" s="92" t="s">
        <v>335</v>
      </c>
      <c r="D2074" s="33" t="s">
        <v>410</v>
      </c>
      <c r="E2074" s="34">
        <v>45107</v>
      </c>
      <c r="F2074" s="34">
        <v>45110</v>
      </c>
      <c r="G2074" s="34">
        <v>45113</v>
      </c>
      <c r="H2074" s="35">
        <v>4.4999999999999998E-2</v>
      </c>
      <c r="I2074" s="67">
        <v>0.75519999999999998</v>
      </c>
      <c r="J2074" s="67">
        <v>0</v>
      </c>
      <c r="K2074" s="67">
        <v>0.75519999999999998</v>
      </c>
      <c r="L2074" s="36">
        <f>+K2074-((K2074*0.417*0.125)+(K2074*(1-0.417)*0.26))</f>
        <v>0.60136198399999996</v>
      </c>
      <c r="M2074" s="64">
        <f t="shared" si="66"/>
        <v>0.60136198399999996</v>
      </c>
      <c r="N2074" s="33" t="s">
        <v>248</v>
      </c>
    </row>
    <row r="2075" spans="1:14" ht="15">
      <c r="A2075" s="12"/>
      <c r="B2075" s="33" t="s">
        <v>201</v>
      </c>
      <c r="C2075" s="92" t="s">
        <v>336</v>
      </c>
      <c r="D2075" s="33" t="s">
        <v>410</v>
      </c>
      <c r="E2075" s="34">
        <v>45107</v>
      </c>
      <c r="F2075" s="34">
        <v>45110</v>
      </c>
      <c r="G2075" s="34">
        <v>45113</v>
      </c>
      <c r="H2075" s="35">
        <v>4.4999999999999998E-2</v>
      </c>
      <c r="I2075" s="67">
        <v>0.7722</v>
      </c>
      <c r="J2075" s="67">
        <v>0</v>
      </c>
      <c r="K2075" s="67">
        <v>0.7722</v>
      </c>
      <c r="L2075" s="36">
        <f>+K2075-((K2075*0.417*0.125)+(K2075*(1-0.417)*0.26))</f>
        <v>0.614898999</v>
      </c>
      <c r="M2075" s="64">
        <f t="shared" si="66"/>
        <v>0.614898999</v>
      </c>
      <c r="N2075" s="33" t="s">
        <v>248</v>
      </c>
    </row>
    <row r="2076" spans="1:14" ht="15">
      <c r="A2076" s="12"/>
      <c r="B2076" s="33" t="s">
        <v>138</v>
      </c>
      <c r="C2076" s="92" t="s">
        <v>337</v>
      </c>
      <c r="D2076" s="33" t="s">
        <v>410</v>
      </c>
      <c r="E2076" s="34">
        <v>45107</v>
      </c>
      <c r="F2076" s="34">
        <v>45110</v>
      </c>
      <c r="G2076" s="34">
        <v>45113</v>
      </c>
      <c r="H2076" s="35">
        <v>0.05</v>
      </c>
      <c r="I2076" s="67">
        <v>6.1600000000000002E-2</v>
      </c>
      <c r="J2076" s="67">
        <v>0</v>
      </c>
      <c r="K2076" s="67">
        <v>6.1600000000000002E-2</v>
      </c>
      <c r="L2076" s="36">
        <f>+K2076-((K2076*0.269*0.125)+(K2076*(1-0.269)*0.26))</f>
        <v>4.7821004E-2</v>
      </c>
      <c r="M2076" s="64">
        <f t="shared" si="66"/>
        <v>4.7821004E-2</v>
      </c>
      <c r="N2076" s="33" t="s">
        <v>248</v>
      </c>
    </row>
    <row r="2077" spans="1:14" ht="15">
      <c r="A2077" s="12"/>
      <c r="B2077" s="33" t="s">
        <v>160</v>
      </c>
      <c r="C2077" s="92" t="s">
        <v>338</v>
      </c>
      <c r="D2077" s="33" t="s">
        <v>410</v>
      </c>
      <c r="E2077" s="34">
        <v>45107</v>
      </c>
      <c r="F2077" s="34">
        <v>45110</v>
      </c>
      <c r="G2077" s="34">
        <v>45113</v>
      </c>
      <c r="H2077" s="35">
        <v>0.05</v>
      </c>
      <c r="I2077" s="67">
        <v>6.0100000000000001E-2</v>
      </c>
      <c r="J2077" s="67">
        <v>0</v>
      </c>
      <c r="K2077" s="67">
        <v>6.0100000000000001E-2</v>
      </c>
      <c r="L2077" s="36">
        <f>+K2077-((K2077*0.269*0.125)+(K2077*(1-0.269)*0.26))</f>
        <v>4.6656531500000001E-2</v>
      </c>
      <c r="M2077" s="64">
        <f t="shared" si="66"/>
        <v>4.6656531500000001E-2</v>
      </c>
      <c r="N2077" s="33" t="s">
        <v>248</v>
      </c>
    </row>
    <row r="2078" spans="1:14" ht="15">
      <c r="A2078" s="12"/>
      <c r="B2078" s="33" t="s">
        <v>300</v>
      </c>
      <c r="C2078" s="92" t="s">
        <v>404</v>
      </c>
      <c r="D2078" s="33" t="s">
        <v>410</v>
      </c>
      <c r="E2078" s="34">
        <v>45107</v>
      </c>
      <c r="F2078" s="34">
        <v>45110</v>
      </c>
      <c r="G2078" s="34">
        <v>45113</v>
      </c>
      <c r="H2078" s="35">
        <v>0.05</v>
      </c>
      <c r="I2078" s="67">
        <v>4.7199999999999999E-2</v>
      </c>
      <c r="J2078" s="67">
        <v>0</v>
      </c>
      <c r="K2078" s="67">
        <v>4.7199999999999999E-2</v>
      </c>
      <c r="L2078" s="36">
        <f>+K2078-((K2078*0.269*0.125)+(K2078*(1-0.269)*0.26))</f>
        <v>3.6642068E-2</v>
      </c>
      <c r="M2078" s="64">
        <f t="shared" si="66"/>
        <v>3.6642068E-2</v>
      </c>
      <c r="N2078" s="33" t="s">
        <v>248</v>
      </c>
    </row>
    <row r="2079" spans="1:14" ht="15">
      <c r="A2079" s="12"/>
      <c r="B2079" s="33" t="s">
        <v>142</v>
      </c>
      <c r="C2079" s="92" t="s">
        <v>341</v>
      </c>
      <c r="D2079" s="33" t="s">
        <v>410</v>
      </c>
      <c r="E2079" s="34">
        <v>45107</v>
      </c>
      <c r="F2079" s="34">
        <v>45110</v>
      </c>
      <c r="G2079" s="34">
        <v>45113</v>
      </c>
      <c r="H2079" s="35">
        <v>5.2499999999999998E-2</v>
      </c>
      <c r="I2079" s="67">
        <v>6.93E-2</v>
      </c>
      <c r="J2079" s="67">
        <v>0</v>
      </c>
      <c r="K2079" s="67">
        <v>6.93E-2</v>
      </c>
      <c r="L2079" s="36">
        <f>+K2079-((K2079*0.059*0.125)+(K2079*(1-0.059)*0.26))</f>
        <v>5.1833974500000005E-2</v>
      </c>
      <c r="M2079" s="64">
        <f t="shared" si="66"/>
        <v>5.1833974500000005E-2</v>
      </c>
      <c r="N2079" s="33" t="s">
        <v>248</v>
      </c>
    </row>
    <row r="2080" spans="1:14" ht="15">
      <c r="A2080" s="12"/>
      <c r="B2080" s="33" t="s">
        <v>159</v>
      </c>
      <c r="C2080" s="92" t="s">
        <v>342</v>
      </c>
      <c r="D2080" s="33" t="s">
        <v>410</v>
      </c>
      <c r="E2080" s="34">
        <v>45107</v>
      </c>
      <c r="F2080" s="34">
        <v>45110</v>
      </c>
      <c r="G2080" s="34">
        <v>45113</v>
      </c>
      <c r="H2080" s="35">
        <v>5.2499999999999998E-2</v>
      </c>
      <c r="I2080" s="67">
        <v>6.8099999999999994E-2</v>
      </c>
      <c r="J2080" s="67">
        <v>0</v>
      </c>
      <c r="K2080" s="67">
        <v>6.8099999999999994E-2</v>
      </c>
      <c r="L2080" s="36">
        <f>+K2080-((K2080*0.059*0.125)+(K2080*(1-0.059)*0.26))</f>
        <v>5.0936416499999998E-2</v>
      </c>
      <c r="M2080" s="64">
        <f t="shared" si="66"/>
        <v>5.0936416499999998E-2</v>
      </c>
      <c r="N2080" s="33" t="s">
        <v>248</v>
      </c>
    </row>
    <row r="2081" spans="1:14" ht="15">
      <c r="A2081" s="12"/>
      <c r="B2081" s="33" t="s">
        <v>507</v>
      </c>
      <c r="C2081" s="92" t="s">
        <v>508</v>
      </c>
      <c r="D2081" s="33" t="s">
        <v>410</v>
      </c>
      <c r="E2081" s="34">
        <v>45107</v>
      </c>
      <c r="F2081" s="34">
        <v>45110</v>
      </c>
      <c r="G2081" s="34">
        <v>45113</v>
      </c>
      <c r="H2081" s="35">
        <v>5.2499999999999998E-2</v>
      </c>
      <c r="I2081" s="67">
        <v>5.4600000000000003E-2</v>
      </c>
      <c r="J2081" s="67">
        <v>0</v>
      </c>
      <c r="K2081" s="67">
        <v>5.4600000000000003E-2</v>
      </c>
      <c r="L2081" s="36">
        <f>+K2081-((K2081*0.059*0.125)+(K2081*(1-0.059)*0.26))</f>
        <v>4.0838889000000003E-2</v>
      </c>
      <c r="M2081" s="64">
        <f t="shared" si="66"/>
        <v>4.0838889000000003E-2</v>
      </c>
      <c r="N2081" s="33" t="s">
        <v>248</v>
      </c>
    </row>
    <row r="2082" spans="1:14" ht="15">
      <c r="A2082" s="12"/>
      <c r="B2082" s="33" t="s">
        <v>139</v>
      </c>
      <c r="C2082" s="92" t="s">
        <v>344</v>
      </c>
      <c r="D2082" s="33" t="s">
        <v>410</v>
      </c>
      <c r="E2082" s="34">
        <v>45107</v>
      </c>
      <c r="F2082" s="34">
        <v>45110</v>
      </c>
      <c r="G2082" s="34">
        <v>45113</v>
      </c>
      <c r="H2082" s="35">
        <v>0.03</v>
      </c>
      <c r="I2082" s="67">
        <v>2.7799999999999998E-2</v>
      </c>
      <c r="J2082" s="67">
        <v>0</v>
      </c>
      <c r="K2082" s="67">
        <v>2.7799999999999998E-2</v>
      </c>
      <c r="L2082" s="36">
        <f>+K2082-((K2082*0.8105*0.125)+(K2082*(1-0.8105)*0.26))</f>
        <v>2.3613806500000001E-2</v>
      </c>
      <c r="M2082" s="64">
        <f t="shared" si="66"/>
        <v>2.3613806500000001E-2</v>
      </c>
      <c r="N2082" s="33" t="s">
        <v>248</v>
      </c>
    </row>
    <row r="2083" spans="1:14" ht="15">
      <c r="A2083" s="12"/>
      <c r="B2083" s="33" t="s">
        <v>161</v>
      </c>
      <c r="C2083" s="92" t="s">
        <v>345</v>
      </c>
      <c r="D2083" s="33" t="s">
        <v>410</v>
      </c>
      <c r="E2083" s="34">
        <v>45107</v>
      </c>
      <c r="F2083" s="34">
        <v>45110</v>
      </c>
      <c r="G2083" s="34">
        <v>45113</v>
      </c>
      <c r="H2083" s="35">
        <v>0.03</v>
      </c>
      <c r="I2083" s="67">
        <v>2.7400000000000001E-2</v>
      </c>
      <c r="J2083" s="67">
        <v>0</v>
      </c>
      <c r="K2083" s="67">
        <v>2.7400000000000001E-2</v>
      </c>
      <c r="L2083" s="36">
        <f>+K2083-((K2083*0.8105*0.125)+(K2083*(1-0.8105)*0.26))</f>
        <v>2.32740395E-2</v>
      </c>
      <c r="M2083" s="64">
        <f t="shared" si="66"/>
        <v>2.32740395E-2</v>
      </c>
      <c r="N2083" s="33" t="s">
        <v>248</v>
      </c>
    </row>
    <row r="2084" spans="1:14" ht="15">
      <c r="A2084" s="12"/>
      <c r="B2084" s="33" t="s">
        <v>141</v>
      </c>
      <c r="C2084" s="92" t="s">
        <v>348</v>
      </c>
      <c r="D2084" s="33" t="s">
        <v>410</v>
      </c>
      <c r="E2084" s="34">
        <v>45107</v>
      </c>
      <c r="F2084" s="34">
        <v>45110</v>
      </c>
      <c r="G2084" s="34">
        <v>45113</v>
      </c>
      <c r="H2084" s="35">
        <v>4.4999999999999998E-2</v>
      </c>
      <c r="I2084" s="67">
        <v>3.9399999999999998E-2</v>
      </c>
      <c r="J2084" s="67">
        <v>0</v>
      </c>
      <c r="K2084" s="67">
        <v>3.9399999999999998E-2</v>
      </c>
      <c r="L2084" s="36">
        <f>+K2084-((K2084*0.092*0.125)+(K2084*(1-0.092)*0.26))</f>
        <v>2.9645347999999995E-2</v>
      </c>
      <c r="M2084" s="64">
        <f t="shared" si="66"/>
        <v>2.9645347999999995E-2</v>
      </c>
      <c r="N2084" s="33" t="s">
        <v>248</v>
      </c>
    </row>
    <row r="2085" spans="1:14" ht="15">
      <c r="A2085" s="12"/>
      <c r="B2085" s="33" t="s">
        <v>140</v>
      </c>
      <c r="C2085" s="92" t="s">
        <v>349</v>
      </c>
      <c r="D2085" s="33" t="s">
        <v>410</v>
      </c>
      <c r="E2085" s="34">
        <v>45107</v>
      </c>
      <c r="F2085" s="34">
        <v>45110</v>
      </c>
      <c r="G2085" s="34">
        <v>45113</v>
      </c>
      <c r="H2085" s="35">
        <v>4.4999999999999998E-2</v>
      </c>
      <c r="I2085" s="67">
        <v>4.7899999999999998E-2</v>
      </c>
      <c r="J2085" s="67">
        <v>0</v>
      </c>
      <c r="K2085" s="67">
        <v>4.7899999999999998E-2</v>
      </c>
      <c r="L2085" s="36">
        <f>+K2085-((K2085*0.092*0.125)+(K2085*(1-0.092)*0.26))</f>
        <v>3.6040917999999998E-2</v>
      </c>
      <c r="M2085" s="64">
        <f t="shared" si="66"/>
        <v>3.6040917999999998E-2</v>
      </c>
      <c r="N2085" s="33" t="s">
        <v>248</v>
      </c>
    </row>
    <row r="2086" spans="1:14" ht="15">
      <c r="A2086" s="12"/>
      <c r="B2086" s="33" t="s">
        <v>162</v>
      </c>
      <c r="C2086" s="92" t="s">
        <v>350</v>
      </c>
      <c r="D2086" s="33" t="s">
        <v>410</v>
      </c>
      <c r="E2086" s="34">
        <v>45107</v>
      </c>
      <c r="F2086" s="34">
        <v>45110</v>
      </c>
      <c r="G2086" s="34">
        <v>45113</v>
      </c>
      <c r="H2086" s="35">
        <v>4.4999999999999998E-2</v>
      </c>
      <c r="I2086" s="67">
        <v>4.6800000000000001E-2</v>
      </c>
      <c r="J2086" s="67">
        <v>0</v>
      </c>
      <c r="K2086" s="67">
        <v>4.6800000000000001E-2</v>
      </c>
      <c r="L2086" s="36">
        <f>+K2086-((K2086*0.092*0.125)+(K2086*(1-0.092)*0.26))</f>
        <v>3.5213255999999998E-2</v>
      </c>
      <c r="M2086" s="64">
        <f t="shared" si="66"/>
        <v>3.5213255999999998E-2</v>
      </c>
      <c r="N2086" s="33" t="s">
        <v>248</v>
      </c>
    </row>
    <row r="2087" spans="1:14" ht="15">
      <c r="A2087" s="12"/>
      <c r="B2087" s="33" t="s">
        <v>302</v>
      </c>
      <c r="C2087" s="92" t="s">
        <v>405</v>
      </c>
      <c r="D2087" s="33" t="s">
        <v>410</v>
      </c>
      <c r="E2087" s="34">
        <v>45107</v>
      </c>
      <c r="F2087" s="34">
        <v>45110</v>
      </c>
      <c r="G2087" s="34">
        <v>45113</v>
      </c>
      <c r="H2087" s="35">
        <v>4.4999999999999998E-2</v>
      </c>
      <c r="I2087" s="67">
        <v>4.07E-2</v>
      </c>
      <c r="J2087" s="67">
        <v>0</v>
      </c>
      <c r="K2087" s="67">
        <v>4.07E-2</v>
      </c>
      <c r="L2087" s="36">
        <f>+K2087-((K2087*0.092*0.125)+(K2087*(1-0.092)*0.26))</f>
        <v>3.0623494000000001E-2</v>
      </c>
      <c r="M2087" s="64">
        <f t="shared" si="66"/>
        <v>3.0623494000000001E-2</v>
      </c>
      <c r="N2087" s="33" t="s">
        <v>248</v>
      </c>
    </row>
    <row r="2088" spans="1:14" ht="15">
      <c r="A2088" s="12"/>
      <c r="B2088" s="33" t="s">
        <v>303</v>
      </c>
      <c r="C2088" s="92" t="s">
        <v>406</v>
      </c>
      <c r="D2088" s="33" t="s">
        <v>410</v>
      </c>
      <c r="E2088" s="34">
        <v>45107</v>
      </c>
      <c r="F2088" s="34">
        <v>45110</v>
      </c>
      <c r="G2088" s="34">
        <v>45113</v>
      </c>
      <c r="H2088" s="35">
        <v>4.4999999999999998E-2</v>
      </c>
      <c r="I2088" s="67">
        <v>4.4699999999999997E-2</v>
      </c>
      <c r="J2088" s="67">
        <v>0</v>
      </c>
      <c r="K2088" s="67">
        <v>4.4699999999999997E-2</v>
      </c>
      <c r="L2088" s="36">
        <f>+K2088-((K2088*0.092*0.125)+(K2088*(1-0.092)*0.26))</f>
        <v>3.3633173999999995E-2</v>
      </c>
      <c r="M2088" s="64">
        <f t="shared" si="66"/>
        <v>3.3633173999999995E-2</v>
      </c>
      <c r="N2088" s="33" t="s">
        <v>248</v>
      </c>
    </row>
    <row r="2089" spans="1:14" ht="15">
      <c r="A2089" s="12"/>
      <c r="B2089" s="33" t="s">
        <v>143</v>
      </c>
      <c r="C2089" s="92" t="s">
        <v>351</v>
      </c>
      <c r="D2089" s="33" t="s">
        <v>410</v>
      </c>
      <c r="E2089" s="34">
        <v>45107</v>
      </c>
      <c r="F2089" s="34">
        <v>45110</v>
      </c>
      <c r="G2089" s="34">
        <v>45113</v>
      </c>
      <c r="H2089" s="35">
        <v>2.5000000000000001E-2</v>
      </c>
      <c r="I2089" s="67">
        <v>2.63E-2</v>
      </c>
      <c r="J2089" s="67">
        <v>0</v>
      </c>
      <c r="K2089" s="67">
        <v>2.63E-2</v>
      </c>
      <c r="L2089" s="36">
        <f>+K2089-((K2089*0.5965*0.125)+(K2089*(1-0.5965)*0.26))</f>
        <v>2.1579873249999999E-2</v>
      </c>
      <c r="M2089" s="64">
        <f t="shared" si="66"/>
        <v>2.1579873249999999E-2</v>
      </c>
      <c r="N2089" s="33" t="s">
        <v>248</v>
      </c>
    </row>
    <row r="2090" spans="1:14" ht="15">
      <c r="A2090" s="12"/>
      <c r="B2090" s="33" t="s">
        <v>145</v>
      </c>
      <c r="C2090" s="92" t="s">
        <v>352</v>
      </c>
      <c r="D2090" s="33" t="s">
        <v>410</v>
      </c>
      <c r="E2090" s="34">
        <v>45107</v>
      </c>
      <c r="F2090" s="34">
        <v>45110</v>
      </c>
      <c r="G2090" s="34">
        <v>45113</v>
      </c>
      <c r="H2090" s="35">
        <v>3.5000000000000003E-2</v>
      </c>
      <c r="I2090" s="67">
        <v>3.8300000000000001E-2</v>
      </c>
      <c r="J2090" s="67">
        <v>0</v>
      </c>
      <c r="K2090" s="67">
        <v>3.8300000000000001E-2</v>
      </c>
      <c r="L2090" s="36">
        <f>+K2090-((K2090*0.0075*0.125)+(K2090*(1-0.0075)*0.26))</f>
        <v>2.8380778749999998E-2</v>
      </c>
      <c r="M2090" s="64">
        <f t="shared" si="66"/>
        <v>2.8380778749999998E-2</v>
      </c>
      <c r="N2090" s="33" t="s">
        <v>248</v>
      </c>
    </row>
    <row r="2091" spans="1:14" ht="15">
      <c r="A2091" s="12"/>
      <c r="B2091" s="33" t="s">
        <v>144</v>
      </c>
      <c r="C2091" s="92" t="s">
        <v>353</v>
      </c>
      <c r="D2091" s="33" t="s">
        <v>410</v>
      </c>
      <c r="E2091" s="34">
        <v>45107</v>
      </c>
      <c r="F2091" s="34">
        <v>45110</v>
      </c>
      <c r="G2091" s="34">
        <v>45113</v>
      </c>
      <c r="H2091" s="35">
        <v>0.02</v>
      </c>
      <c r="I2091" s="67">
        <v>2.07E-2</v>
      </c>
      <c r="J2091" s="67">
        <v>0</v>
      </c>
      <c r="K2091" s="67">
        <v>2.07E-2</v>
      </c>
      <c r="L2091" s="36">
        <f>+K2091-((K2091*0.801*0.125)+(K2091*(1-0.801)*0.26))</f>
        <v>1.7556394499999999E-2</v>
      </c>
      <c r="M2091" s="64">
        <f t="shared" si="66"/>
        <v>1.7556394499999999E-2</v>
      </c>
      <c r="N2091" s="33" t="s">
        <v>248</v>
      </c>
    </row>
    <row r="2092" spans="1:14" ht="15">
      <c r="A2092" s="12"/>
      <c r="B2092" s="33" t="s">
        <v>148</v>
      </c>
      <c r="C2092" s="92" t="s">
        <v>362</v>
      </c>
      <c r="D2092" s="33" t="s">
        <v>410</v>
      </c>
      <c r="E2092" s="34">
        <v>45107</v>
      </c>
      <c r="F2092" s="34">
        <v>45110</v>
      </c>
      <c r="G2092" s="34">
        <v>45113</v>
      </c>
      <c r="H2092" s="35">
        <v>4.2500000000000003E-2</v>
      </c>
      <c r="I2092" s="67">
        <v>5.2600000000000001E-2</v>
      </c>
      <c r="J2092" s="67">
        <v>0</v>
      </c>
      <c r="K2092" s="67">
        <v>5.2600000000000001E-2</v>
      </c>
      <c r="L2092" s="36">
        <f>+K2092-((K2092*0.4775*0.125)+(K2092*(1-0.4775)*0.26))</f>
        <v>4.2314727500000003E-2</v>
      </c>
      <c r="M2092" s="64">
        <f t="shared" si="66"/>
        <v>4.2314727500000003E-2</v>
      </c>
      <c r="N2092" s="33" t="s">
        <v>248</v>
      </c>
    </row>
    <row r="2093" spans="1:14" ht="15">
      <c r="A2093" s="12"/>
      <c r="B2093" s="33" t="s">
        <v>200</v>
      </c>
      <c r="C2093" s="92" t="s">
        <v>365</v>
      </c>
      <c r="D2093" s="33" t="s">
        <v>410</v>
      </c>
      <c r="E2093" s="34">
        <v>45107</v>
      </c>
      <c r="F2093" s="34">
        <v>45110</v>
      </c>
      <c r="G2093" s="34">
        <v>45113</v>
      </c>
      <c r="H2093" s="35">
        <v>4.2500000000000003E-2</v>
      </c>
      <c r="I2093" s="67">
        <v>0.87090000000000001</v>
      </c>
      <c r="J2093" s="67">
        <v>0</v>
      </c>
      <c r="K2093" s="67">
        <v>0.87090000000000001</v>
      </c>
      <c r="L2093" s="36">
        <f>+K2093-((K2093*0.4775*0.125)+(K2093*(1-0.4775)*0.26))</f>
        <v>0.70060639125000002</v>
      </c>
      <c r="M2093" s="64">
        <f t="shared" si="66"/>
        <v>0.70060639125000002</v>
      </c>
      <c r="N2093" s="33" t="s">
        <v>248</v>
      </c>
    </row>
    <row r="2094" spans="1:14" ht="15">
      <c r="A2094" s="12"/>
      <c r="B2094" s="33" t="s">
        <v>173</v>
      </c>
      <c r="C2094" s="92" t="s">
        <v>372</v>
      </c>
      <c r="D2094" s="33" t="s">
        <v>410</v>
      </c>
      <c r="E2094" s="34">
        <v>45107</v>
      </c>
      <c r="F2094" s="34">
        <v>45110</v>
      </c>
      <c r="G2094" s="34">
        <v>45113</v>
      </c>
      <c r="H2094" s="35">
        <v>2.5000000000000001E-2</v>
      </c>
      <c r="I2094" s="67">
        <v>3.09E-2</v>
      </c>
      <c r="J2094" s="67">
        <v>0</v>
      </c>
      <c r="K2094" s="67">
        <v>3.09E-2</v>
      </c>
      <c r="L2094" s="36">
        <f>+K2094-((K2094*0.2745*0.125)+(K2094*(1-0.2745)*0.26))</f>
        <v>2.4011076749999999E-2</v>
      </c>
      <c r="M2094" s="64">
        <f t="shared" si="66"/>
        <v>2.4011076749999999E-2</v>
      </c>
      <c r="N2094" s="33" t="s">
        <v>248</v>
      </c>
    </row>
    <row r="2095" spans="1:14" ht="15">
      <c r="A2095" s="12"/>
      <c r="B2095" s="33" t="s">
        <v>150</v>
      </c>
      <c r="C2095" s="92" t="s">
        <v>377</v>
      </c>
      <c r="D2095" s="33" t="s">
        <v>410</v>
      </c>
      <c r="E2095" s="34">
        <v>45107</v>
      </c>
      <c r="F2095" s="34">
        <v>45110</v>
      </c>
      <c r="G2095" s="34">
        <v>45113</v>
      </c>
      <c r="H2095" s="35">
        <v>7.0000000000000007E-2</v>
      </c>
      <c r="I2095" s="67">
        <v>8.1299999999999997E-2</v>
      </c>
      <c r="J2095" s="67">
        <v>0</v>
      </c>
      <c r="K2095" s="67">
        <v>8.1299999999999997E-2</v>
      </c>
      <c r="L2095" s="36">
        <f>+K2095-((K2095*0.0005*0.125)+(K2095*(1-0.0005)*0.26))</f>
        <v>6.0167487749999998E-2</v>
      </c>
      <c r="M2095" s="64">
        <f t="shared" si="66"/>
        <v>6.0167487749999998E-2</v>
      </c>
      <c r="N2095" s="33" t="s">
        <v>248</v>
      </c>
    </row>
    <row r="2096" spans="1:14" ht="15">
      <c r="A2096" s="12"/>
      <c r="B2096" s="33" t="s">
        <v>510</v>
      </c>
      <c r="C2096" s="92" t="s">
        <v>509</v>
      </c>
      <c r="D2096" s="33" t="s">
        <v>410</v>
      </c>
      <c r="E2096" s="34">
        <v>45107</v>
      </c>
      <c r="F2096" s="34">
        <v>45110</v>
      </c>
      <c r="G2096" s="34">
        <v>45113</v>
      </c>
      <c r="H2096" s="35">
        <v>7.0000000000000007E-2</v>
      </c>
      <c r="I2096" s="67">
        <v>7.1999999999999995E-2</v>
      </c>
      <c r="J2096" s="67">
        <v>0</v>
      </c>
      <c r="K2096" s="67">
        <v>7.1999999999999995E-2</v>
      </c>
      <c r="L2096" s="36">
        <f>+K2096-((K2096*0.0005*0.125)+(K2096*(1-0.0005)*0.26))</f>
        <v>5.3284859999999989E-2</v>
      </c>
      <c r="M2096" s="64">
        <f t="shared" si="66"/>
        <v>5.3284859999999989E-2</v>
      </c>
      <c r="N2096" s="33" t="s">
        <v>248</v>
      </c>
    </row>
    <row r="2097" spans="1:14" ht="15">
      <c r="A2097" s="12"/>
      <c r="B2097" s="33" t="s">
        <v>441</v>
      </c>
      <c r="C2097" s="92" t="s">
        <v>444</v>
      </c>
      <c r="D2097" s="33" t="s">
        <v>410</v>
      </c>
      <c r="E2097" s="34">
        <v>45107</v>
      </c>
      <c r="F2097" s="34">
        <v>45110</v>
      </c>
      <c r="G2097" s="34">
        <v>45113</v>
      </c>
      <c r="H2097" s="35">
        <v>0.04</v>
      </c>
      <c r="I2097" s="67">
        <v>4.2299999999999997E-2</v>
      </c>
      <c r="J2097" s="67">
        <v>0</v>
      </c>
      <c r="K2097" s="67">
        <v>4.2299999999999997E-2</v>
      </c>
      <c r="L2097" s="36">
        <f>+K2097-((K2097*0.2635*0.125)+(K2097*(1-0.2635)*0.26))</f>
        <v>3.2806716749999999E-2</v>
      </c>
      <c r="M2097" s="64">
        <f t="shared" si="66"/>
        <v>3.2806716749999999E-2</v>
      </c>
      <c r="N2097" s="33" t="s">
        <v>248</v>
      </c>
    </row>
    <row r="2098" spans="1:14" ht="15">
      <c r="A2098" s="12"/>
      <c r="B2098" s="33" t="s">
        <v>440</v>
      </c>
      <c r="C2098" s="92" t="s">
        <v>443</v>
      </c>
      <c r="D2098" s="33" t="s">
        <v>410</v>
      </c>
      <c r="E2098" s="34">
        <v>45107</v>
      </c>
      <c r="F2098" s="34">
        <v>45110</v>
      </c>
      <c r="G2098" s="34">
        <v>45113</v>
      </c>
      <c r="H2098" s="35">
        <v>0.04</v>
      </c>
      <c r="I2098" s="67">
        <v>0.86990000000000001</v>
      </c>
      <c r="J2098" s="67">
        <v>0</v>
      </c>
      <c r="K2098" s="67">
        <v>0.86990000000000001</v>
      </c>
      <c r="L2098" s="36">
        <f>+K2098-((K2098*0.2635*0.125)+(K2098*(1-0.2635)*0.26))</f>
        <v>0.67467051775000009</v>
      </c>
      <c r="M2098" s="64">
        <f t="shared" si="66"/>
        <v>0.67467051775000009</v>
      </c>
      <c r="N2098" s="33" t="s">
        <v>248</v>
      </c>
    </row>
    <row r="2099" spans="1:14" ht="15">
      <c r="A2099" s="12"/>
      <c r="B2099" s="33" t="s">
        <v>299</v>
      </c>
      <c r="C2099" s="92" t="s">
        <v>517</v>
      </c>
      <c r="D2099" s="33" t="s">
        <v>410</v>
      </c>
      <c r="E2099" s="34">
        <v>45107</v>
      </c>
      <c r="F2099" s="34">
        <v>45110</v>
      </c>
      <c r="G2099" s="34">
        <v>45113</v>
      </c>
      <c r="H2099" s="35">
        <v>2.5000000000000001E-2</v>
      </c>
      <c r="I2099" s="67">
        <v>2.7699999999999999E-2</v>
      </c>
      <c r="J2099" s="67">
        <v>0</v>
      </c>
      <c r="K2099" s="67">
        <v>2.7699999999999999E-2</v>
      </c>
      <c r="L2099" s="36">
        <f>+K2099-((K2099*0.393*0.125)+(K2099*(1-0.393)*0.26))</f>
        <v>2.1967623499999998E-2</v>
      </c>
      <c r="M2099" s="64">
        <f t="shared" si="66"/>
        <v>2.1967623499999998E-2</v>
      </c>
      <c r="N2099" s="33" t="s">
        <v>248</v>
      </c>
    </row>
    <row r="2100" spans="1:14" ht="15">
      <c r="A2100" s="12"/>
      <c r="B2100" s="33" t="s">
        <v>182</v>
      </c>
      <c r="C2100" s="92" t="s">
        <v>477</v>
      </c>
      <c r="D2100" s="33" t="s">
        <v>410</v>
      </c>
      <c r="E2100" s="34">
        <v>45107</v>
      </c>
      <c r="F2100" s="34">
        <v>45110</v>
      </c>
      <c r="G2100" s="34">
        <v>45113</v>
      </c>
      <c r="H2100" s="35">
        <v>2.5000000000000001E-2</v>
      </c>
      <c r="I2100" s="67">
        <v>0.53779999999999994</v>
      </c>
      <c r="J2100" s="67">
        <v>0</v>
      </c>
      <c r="K2100" s="67">
        <v>0.53779999999999994</v>
      </c>
      <c r="L2100" s="36">
        <f>+K2100-((K2100*0.393*0.125)+(K2100*(1-0.393)*0.26))</f>
        <v>0.42650497899999995</v>
      </c>
      <c r="M2100" s="64">
        <f t="shared" si="66"/>
        <v>0.42650497899999995</v>
      </c>
      <c r="N2100" s="33" t="s">
        <v>248</v>
      </c>
    </row>
    <row r="2101" spans="1:14" ht="15">
      <c r="A2101" s="12"/>
      <c r="B2101" s="33" t="s">
        <v>202</v>
      </c>
      <c r="C2101" s="92" t="s">
        <v>478</v>
      </c>
      <c r="D2101" s="33" t="s">
        <v>410</v>
      </c>
      <c r="E2101" s="34">
        <v>45107</v>
      </c>
      <c r="F2101" s="34">
        <v>45110</v>
      </c>
      <c r="G2101" s="34">
        <v>45113</v>
      </c>
      <c r="H2101" s="35">
        <v>2.5000000000000001E-2</v>
      </c>
      <c r="I2101" s="67">
        <v>0.54930000000000001</v>
      </c>
      <c r="J2101" s="67">
        <v>0</v>
      </c>
      <c r="K2101" s="67">
        <v>0.54930000000000001</v>
      </c>
      <c r="L2101" s="36">
        <f>+K2101-((K2101*0.393*0.125)+(K2101*(1-0.393)*0.26))</f>
        <v>0.43562511150000005</v>
      </c>
      <c r="M2101" s="64">
        <f t="shared" si="66"/>
        <v>0.43562511150000005</v>
      </c>
      <c r="N2101" s="33" t="s">
        <v>248</v>
      </c>
    </row>
    <row r="2102" spans="1:14" ht="15">
      <c r="A2102" s="12"/>
      <c r="B2102" s="33" t="s">
        <v>146</v>
      </c>
      <c r="C2102" s="92" t="s">
        <v>380</v>
      </c>
      <c r="D2102" s="33" t="s">
        <v>410</v>
      </c>
      <c r="E2102" s="34">
        <v>45107</v>
      </c>
      <c r="F2102" s="34">
        <v>45110</v>
      </c>
      <c r="G2102" s="34">
        <v>45113</v>
      </c>
      <c r="H2102" s="35">
        <v>0.04</v>
      </c>
      <c r="I2102" s="67">
        <v>5.2400000000000002E-2</v>
      </c>
      <c r="J2102" s="67">
        <v>0</v>
      </c>
      <c r="K2102" s="67">
        <v>5.2400000000000002E-2</v>
      </c>
      <c r="L2102" s="36">
        <f>+K2102-((K2102*0.025*0.125)+(K2102*(1-0.025)*0.26))</f>
        <v>3.8952849999999997E-2</v>
      </c>
      <c r="M2102" s="64">
        <f t="shared" si="66"/>
        <v>3.8952849999999997E-2</v>
      </c>
      <c r="N2102" s="33" t="s">
        <v>248</v>
      </c>
    </row>
    <row r="2103" spans="1:14" ht="15">
      <c r="A2103" s="12"/>
      <c r="B2103" s="33" t="s">
        <v>163</v>
      </c>
      <c r="C2103" s="92" t="s">
        <v>381</v>
      </c>
      <c r="D2103" s="33" t="s">
        <v>410</v>
      </c>
      <c r="E2103" s="34">
        <v>45107</v>
      </c>
      <c r="F2103" s="34">
        <v>45110</v>
      </c>
      <c r="G2103" s="34">
        <v>45113</v>
      </c>
      <c r="H2103" s="35">
        <v>0.04</v>
      </c>
      <c r="I2103" s="67">
        <v>4.6699999999999998E-2</v>
      </c>
      <c r="J2103" s="67">
        <v>0</v>
      </c>
      <c r="K2103" s="67">
        <v>4.6699999999999998E-2</v>
      </c>
      <c r="L2103" s="36">
        <f>+K2103-((K2103*0.025*0.125)+(K2103*(1-0.025)*0.26))</f>
        <v>3.47156125E-2</v>
      </c>
      <c r="M2103" s="64">
        <f t="shared" si="66"/>
        <v>3.47156125E-2</v>
      </c>
      <c r="N2103" s="33" t="s">
        <v>248</v>
      </c>
    </row>
    <row r="2104" spans="1:14" ht="15">
      <c r="A2104" s="12"/>
      <c r="B2104" s="33" t="s">
        <v>151</v>
      </c>
      <c r="C2104" s="92" t="s">
        <v>383</v>
      </c>
      <c r="D2104" s="33" t="s">
        <v>410</v>
      </c>
      <c r="E2104" s="34">
        <v>45107</v>
      </c>
      <c r="F2104" s="34">
        <v>45110</v>
      </c>
      <c r="G2104" s="34">
        <v>45113</v>
      </c>
      <c r="H2104" s="35">
        <v>0.04</v>
      </c>
      <c r="I2104" s="67">
        <v>4.0800000000000003E-2</v>
      </c>
      <c r="J2104" s="67">
        <v>0</v>
      </c>
      <c r="K2104" s="67">
        <v>4.0800000000000003E-2</v>
      </c>
      <c r="L2104" s="36">
        <f>+K2104-((K2104*0.034*0.125)+(K2104*(1-0.034)*0.26))</f>
        <v>3.0379271999999999E-2</v>
      </c>
      <c r="M2104" s="64">
        <f t="shared" si="66"/>
        <v>3.0379271999999999E-2</v>
      </c>
      <c r="N2104" s="33" t="s">
        <v>248</v>
      </c>
    </row>
    <row r="2105" spans="1:14" ht="15">
      <c r="A2105" s="12"/>
      <c r="B2105" s="33" t="s">
        <v>166</v>
      </c>
      <c r="C2105" s="92" t="s">
        <v>384</v>
      </c>
      <c r="D2105" s="33" t="s">
        <v>410</v>
      </c>
      <c r="E2105" s="34">
        <v>45107</v>
      </c>
      <c r="F2105" s="34">
        <v>45110</v>
      </c>
      <c r="G2105" s="34">
        <v>45113</v>
      </c>
      <c r="H2105" s="35">
        <v>0.04</v>
      </c>
      <c r="I2105" s="67">
        <v>4.02E-2</v>
      </c>
      <c r="J2105" s="67">
        <v>0</v>
      </c>
      <c r="K2105" s="67">
        <v>4.02E-2</v>
      </c>
      <c r="L2105" s="36">
        <f>+K2105-((K2105*0.034*0.125)+(K2105*(1-0.034)*0.26))</f>
        <v>2.9932517999999998E-2</v>
      </c>
      <c r="M2105" s="64">
        <f t="shared" ref="M2105:M2168" si="68">J2105+L2105</f>
        <v>2.9932517999999998E-2</v>
      </c>
      <c r="N2105" s="33" t="s">
        <v>248</v>
      </c>
    </row>
    <row r="2106" spans="1:14" ht="15">
      <c r="A2106" s="12"/>
      <c r="B2106" s="33" t="s">
        <v>149</v>
      </c>
      <c r="C2106" s="92" t="s">
        <v>386</v>
      </c>
      <c r="D2106" s="33" t="s">
        <v>410</v>
      </c>
      <c r="E2106" s="34">
        <v>45107</v>
      </c>
      <c r="F2106" s="34">
        <v>45110</v>
      </c>
      <c r="G2106" s="34">
        <v>45113</v>
      </c>
      <c r="H2106" s="35">
        <v>7.0000000000000007E-2</v>
      </c>
      <c r="I2106" s="67">
        <v>8.9599999999999999E-2</v>
      </c>
      <c r="J2106" s="67">
        <v>0</v>
      </c>
      <c r="K2106" s="67">
        <v>8.9599999999999999E-2</v>
      </c>
      <c r="L2106" s="36">
        <f>+K2106-((K2106*0.08*0.125)+(K2106*(1-0.08)*0.26))</f>
        <v>6.727168E-2</v>
      </c>
      <c r="M2106" s="64">
        <f t="shared" si="68"/>
        <v>6.727168E-2</v>
      </c>
      <c r="N2106" s="33" t="s">
        <v>248</v>
      </c>
    </row>
    <row r="2107" spans="1:14" ht="15">
      <c r="A2107" s="12"/>
      <c r="B2107" s="33" t="s">
        <v>165</v>
      </c>
      <c r="C2107" s="92" t="s">
        <v>387</v>
      </c>
      <c r="D2107" s="33" t="s">
        <v>410</v>
      </c>
      <c r="E2107" s="34">
        <v>45107</v>
      </c>
      <c r="F2107" s="34">
        <v>45110</v>
      </c>
      <c r="G2107" s="34">
        <v>45113</v>
      </c>
      <c r="H2107" s="35">
        <v>7.0000000000000007E-2</v>
      </c>
      <c r="I2107" s="67">
        <v>8.3000000000000004E-2</v>
      </c>
      <c r="J2107" s="67">
        <v>0</v>
      </c>
      <c r="K2107" s="67">
        <v>8.3000000000000004E-2</v>
      </c>
      <c r="L2107" s="36">
        <f>+K2107-((K2107*0.08*0.125)+(K2107*(1-0.08)*0.26))</f>
        <v>6.2316400000000001E-2</v>
      </c>
      <c r="M2107" s="64">
        <f t="shared" si="68"/>
        <v>6.2316400000000001E-2</v>
      </c>
      <c r="N2107" s="33" t="s">
        <v>248</v>
      </c>
    </row>
    <row r="2108" spans="1:14" ht="15">
      <c r="A2108" s="12"/>
      <c r="B2108" s="33" t="s">
        <v>153</v>
      </c>
      <c r="C2108" s="92" t="s">
        <v>394</v>
      </c>
      <c r="D2108" s="33" t="s">
        <v>410</v>
      </c>
      <c r="E2108" s="34">
        <v>45107</v>
      </c>
      <c r="F2108" s="34">
        <v>45110</v>
      </c>
      <c r="G2108" s="34">
        <v>45113</v>
      </c>
      <c r="H2108" s="35">
        <v>5.0999999999999997E-2</v>
      </c>
      <c r="I2108" s="67">
        <v>5.2299999999999999E-2</v>
      </c>
      <c r="J2108" s="67">
        <v>0</v>
      </c>
      <c r="K2108" s="67">
        <v>5.2299999999999999E-2</v>
      </c>
      <c r="L2108" s="36">
        <f>+K2108-((K2108*0.1985*0.125)+(K2108*(1-0.1985)*0.26))</f>
        <v>4.0103509250000002E-2</v>
      </c>
      <c r="M2108" s="64">
        <f t="shared" si="68"/>
        <v>4.0103509250000002E-2</v>
      </c>
      <c r="N2108" s="33" t="s">
        <v>248</v>
      </c>
    </row>
    <row r="2109" spans="1:14" ht="15">
      <c r="A2109" s="12"/>
      <c r="B2109" s="33" t="s">
        <v>152</v>
      </c>
      <c r="C2109" s="92" t="s">
        <v>395</v>
      </c>
      <c r="D2109" s="33" t="s">
        <v>410</v>
      </c>
      <c r="E2109" s="34">
        <v>45107</v>
      </c>
      <c r="F2109" s="34">
        <v>45110</v>
      </c>
      <c r="G2109" s="34">
        <v>45113</v>
      </c>
      <c r="H2109" s="35">
        <v>5.0999999999999997E-2</v>
      </c>
      <c r="I2109" s="67">
        <v>7.8E-2</v>
      </c>
      <c r="J2109" s="67">
        <v>0</v>
      </c>
      <c r="K2109" s="67">
        <v>7.8E-2</v>
      </c>
      <c r="L2109" s="36">
        <f>+K2109-((K2109*0.1985*0.125)+(K2109*(1-0.1985)*0.26))</f>
        <v>5.9810204999999998E-2</v>
      </c>
      <c r="M2109" s="64">
        <f t="shared" si="68"/>
        <v>5.9810204999999998E-2</v>
      </c>
      <c r="N2109" s="33" t="s">
        <v>248</v>
      </c>
    </row>
    <row r="2110" spans="1:14" ht="15">
      <c r="A2110" s="12"/>
      <c r="B2110" s="33" t="s">
        <v>167</v>
      </c>
      <c r="C2110" s="92" t="s">
        <v>396</v>
      </c>
      <c r="D2110" s="33" t="s">
        <v>410</v>
      </c>
      <c r="E2110" s="34">
        <v>45107</v>
      </c>
      <c r="F2110" s="34">
        <v>45110</v>
      </c>
      <c r="G2110" s="34">
        <v>45113</v>
      </c>
      <c r="H2110" s="35">
        <v>5.0999999999999997E-2</v>
      </c>
      <c r="I2110" s="67">
        <v>7.3800000000000004E-2</v>
      </c>
      <c r="J2110" s="67">
        <v>0</v>
      </c>
      <c r="K2110" s="67">
        <v>7.3800000000000004E-2</v>
      </c>
      <c r="L2110" s="36">
        <f>+K2110-((K2110*0.1985*0.125)+(K2110*(1-0.1985)*0.26))</f>
        <v>5.6589655500000002E-2</v>
      </c>
      <c r="M2110" s="64">
        <f t="shared" si="68"/>
        <v>5.6589655500000002E-2</v>
      </c>
      <c r="N2110" s="33" t="s">
        <v>248</v>
      </c>
    </row>
    <row r="2111" spans="1:14" ht="15">
      <c r="A2111" s="12"/>
      <c r="B2111" s="33" t="s">
        <v>301</v>
      </c>
      <c r="C2111" s="92" t="s">
        <v>407</v>
      </c>
      <c r="D2111" s="33" t="s">
        <v>410</v>
      </c>
      <c r="E2111" s="34">
        <v>45107</v>
      </c>
      <c r="F2111" s="34">
        <v>45110</v>
      </c>
      <c r="G2111" s="34">
        <v>45113</v>
      </c>
      <c r="H2111" s="35">
        <v>5.0999999999999997E-2</v>
      </c>
      <c r="I2111" s="67">
        <v>5.8400000000000001E-2</v>
      </c>
      <c r="J2111" s="67">
        <v>0</v>
      </c>
      <c r="K2111" s="67">
        <v>5.8400000000000001E-2</v>
      </c>
      <c r="L2111" s="36">
        <f>+K2111-((K2111*0.1985*0.125)+(K2111*(1-0.1985)*0.26))</f>
        <v>4.4780974000000001E-2</v>
      </c>
      <c r="M2111" s="64">
        <f t="shared" si="68"/>
        <v>4.4780974000000001E-2</v>
      </c>
      <c r="N2111" s="33" t="s">
        <v>248</v>
      </c>
    </row>
    <row r="2112" spans="1:14" ht="15">
      <c r="A2112" s="12"/>
      <c r="B2112" s="33" t="s">
        <v>304</v>
      </c>
      <c r="C2112" s="92" t="s">
        <v>408</v>
      </c>
      <c r="D2112" s="33" t="s">
        <v>410</v>
      </c>
      <c r="E2112" s="34">
        <v>45107</v>
      </c>
      <c r="F2112" s="34">
        <v>45110</v>
      </c>
      <c r="G2112" s="34">
        <v>45113</v>
      </c>
      <c r="H2112" s="35">
        <v>4.4999999999999998E-2</v>
      </c>
      <c r="I2112" s="67">
        <v>4.5699999999999998E-2</v>
      </c>
      <c r="J2112" s="67">
        <v>0</v>
      </c>
      <c r="K2112" s="67">
        <v>4.5699999999999998E-2</v>
      </c>
      <c r="L2112" s="36">
        <f>+K2112-((K2112*0.2435*0.125)+(K2112*(1-0.2435)*0.26))</f>
        <v>3.5320273249999999E-2</v>
      </c>
      <c r="M2112" s="64">
        <f t="shared" si="68"/>
        <v>3.5320273249999999E-2</v>
      </c>
      <c r="N2112" s="33" t="s">
        <v>248</v>
      </c>
    </row>
    <row r="2113" spans="1:14" ht="15">
      <c r="A2113" s="12"/>
      <c r="B2113" s="33" t="s">
        <v>183</v>
      </c>
      <c r="C2113" s="92" t="s">
        <v>398</v>
      </c>
      <c r="D2113" s="33" t="s">
        <v>410</v>
      </c>
      <c r="E2113" s="34">
        <v>45107</v>
      </c>
      <c r="F2113" s="34">
        <v>45110</v>
      </c>
      <c r="G2113" s="34">
        <v>45113</v>
      </c>
      <c r="H2113" s="35">
        <v>4.4999999999999998E-2</v>
      </c>
      <c r="I2113" s="67">
        <v>4.5699999999999998E-2</v>
      </c>
      <c r="J2113" s="67">
        <v>0</v>
      </c>
      <c r="K2113" s="67">
        <v>4.5699999999999998E-2</v>
      </c>
      <c r="L2113" s="36">
        <f>+K2113-((K2113*0.2435*0.125)+(K2113*(1-0.2435)*0.26))</f>
        <v>3.5320273249999999E-2</v>
      </c>
      <c r="M2113" s="64">
        <f t="shared" si="68"/>
        <v>3.5320273249999999E-2</v>
      </c>
      <c r="N2113" s="33" t="s">
        <v>248</v>
      </c>
    </row>
    <row r="2114" spans="1:14" ht="15">
      <c r="A2114" s="12"/>
      <c r="B2114" s="33" t="s">
        <v>305</v>
      </c>
      <c r="C2114" s="92" t="s">
        <v>409</v>
      </c>
      <c r="D2114" s="33" t="s">
        <v>410</v>
      </c>
      <c r="E2114" s="34">
        <v>45107</v>
      </c>
      <c r="F2114" s="34">
        <v>45110</v>
      </c>
      <c r="G2114" s="34">
        <v>45113</v>
      </c>
      <c r="H2114" s="35">
        <v>4.4999999999999998E-2</v>
      </c>
      <c r="I2114" s="67">
        <v>4.6300000000000001E-2</v>
      </c>
      <c r="J2114" s="67">
        <v>0</v>
      </c>
      <c r="K2114" s="67">
        <v>4.6300000000000001E-2</v>
      </c>
      <c r="L2114" s="36">
        <f>+K2114-((K2114*0.2435*0.125)+(K2114*(1-0.2435)*0.26))</f>
        <v>3.5783996750000005E-2</v>
      </c>
      <c r="M2114" s="64">
        <f t="shared" si="68"/>
        <v>3.5783996750000005E-2</v>
      </c>
      <c r="N2114" s="33" t="s">
        <v>248</v>
      </c>
    </row>
    <row r="2115" spans="1:14" ht="15">
      <c r="A2115" s="12"/>
      <c r="B2115" s="33" t="s">
        <v>147</v>
      </c>
      <c r="C2115" s="92" t="s">
        <v>466</v>
      </c>
      <c r="D2115" s="33" t="s">
        <v>410</v>
      </c>
      <c r="E2115" s="34">
        <v>45107</v>
      </c>
      <c r="F2115" s="34">
        <v>45110</v>
      </c>
      <c r="G2115" s="34">
        <v>45113</v>
      </c>
      <c r="H2115" s="35">
        <v>0.04</v>
      </c>
      <c r="I2115" s="67">
        <v>4.48E-2</v>
      </c>
      <c r="J2115" s="67">
        <v>0</v>
      </c>
      <c r="K2115" s="67">
        <v>4.48E-2</v>
      </c>
      <c r="L2115" s="36">
        <f>+K2115-((K2115*0.0915*0.125)+(K2115*(1-0.0915)*0.26))</f>
        <v>3.3705392000000001E-2</v>
      </c>
      <c r="M2115" s="64">
        <f t="shared" si="68"/>
        <v>3.3705392000000001E-2</v>
      </c>
      <c r="N2115" s="33" t="s">
        <v>248</v>
      </c>
    </row>
    <row r="2116" spans="1:14" ht="15">
      <c r="A2116" s="12"/>
      <c r="B2116" s="33" t="s">
        <v>164</v>
      </c>
      <c r="C2116" s="92" t="s">
        <v>467</v>
      </c>
      <c r="D2116" s="33" t="s">
        <v>410</v>
      </c>
      <c r="E2116" s="34">
        <v>45107</v>
      </c>
      <c r="F2116" s="34">
        <v>45110</v>
      </c>
      <c r="G2116" s="34">
        <v>45113</v>
      </c>
      <c r="H2116" s="35">
        <v>0.04</v>
      </c>
      <c r="I2116" s="67">
        <v>4.1599999999999998E-2</v>
      </c>
      <c r="J2116" s="67">
        <v>0</v>
      </c>
      <c r="K2116" s="67">
        <v>4.1599999999999998E-2</v>
      </c>
      <c r="L2116" s="36">
        <f>+K2116-((K2116*0.0915*0.125)+(K2116*(1-0.0915)*0.26))</f>
        <v>3.1297863999999995E-2</v>
      </c>
      <c r="M2116" s="64">
        <f t="shared" si="68"/>
        <v>3.1297863999999995E-2</v>
      </c>
      <c r="N2116" s="33" t="s">
        <v>248</v>
      </c>
    </row>
    <row r="2117" spans="1:14" ht="15">
      <c r="A2117" s="12"/>
      <c r="B2117" s="33" t="s">
        <v>132</v>
      </c>
      <c r="C2117" s="92" t="s">
        <v>358</v>
      </c>
      <c r="D2117" s="33" t="s">
        <v>410</v>
      </c>
      <c r="E2117" s="34">
        <v>45132</v>
      </c>
      <c r="F2117" s="34">
        <v>45133</v>
      </c>
      <c r="G2117" s="34">
        <v>45138</v>
      </c>
      <c r="H2117" s="35">
        <v>0.04</v>
      </c>
      <c r="I2117" s="67">
        <v>4.3499999999999997E-2</v>
      </c>
      <c r="J2117" s="67">
        <v>0</v>
      </c>
      <c r="K2117" s="67">
        <v>4.3499999999999997E-2</v>
      </c>
      <c r="L2117" s="36">
        <f>+K2117-((K2117*0.223*0.125)+(K2117*(1-0.223)*0.26))</f>
        <v>3.3499567499999994E-2</v>
      </c>
      <c r="M2117" s="64">
        <f t="shared" si="68"/>
        <v>3.3499567499999994E-2</v>
      </c>
      <c r="N2117" s="33" t="s">
        <v>249</v>
      </c>
    </row>
    <row r="2118" spans="1:14" ht="15">
      <c r="A2118" s="12"/>
      <c r="B2118" s="33" t="s">
        <v>227</v>
      </c>
      <c r="C2118" s="92" t="s">
        <v>359</v>
      </c>
      <c r="D2118" s="33" t="s">
        <v>410</v>
      </c>
      <c r="E2118" s="34">
        <v>45132</v>
      </c>
      <c r="F2118" s="34">
        <v>45133</v>
      </c>
      <c r="G2118" s="34">
        <v>45138</v>
      </c>
      <c r="H2118" s="35">
        <v>0.04</v>
      </c>
      <c r="I2118" s="67">
        <v>4.2999999999999997E-2</v>
      </c>
      <c r="J2118" s="67">
        <v>0</v>
      </c>
      <c r="K2118" s="67">
        <v>4.2999999999999997E-2</v>
      </c>
      <c r="L2118" s="36">
        <f>+K2118-((K2118*0.223*0.125)+(K2118*(1-0.223)*0.26))</f>
        <v>3.3114514999999997E-2</v>
      </c>
      <c r="M2118" s="64">
        <f t="shared" si="68"/>
        <v>3.3114514999999997E-2</v>
      </c>
      <c r="N2118" s="33" t="s">
        <v>249</v>
      </c>
    </row>
    <row r="2119" spans="1:14" ht="15">
      <c r="A2119" s="12"/>
      <c r="B2119" s="33" t="s">
        <v>133</v>
      </c>
      <c r="C2119" s="92" t="s">
        <v>474</v>
      </c>
      <c r="D2119" s="33" t="s">
        <v>410</v>
      </c>
      <c r="E2119" s="34">
        <v>45132</v>
      </c>
      <c r="F2119" s="34">
        <v>45133</v>
      </c>
      <c r="G2119" s="34">
        <v>45138</v>
      </c>
      <c r="H2119" s="35">
        <v>3.5000000000000003E-2</v>
      </c>
      <c r="I2119" s="67">
        <v>4.0800000000000003E-2</v>
      </c>
      <c r="J2119" s="67">
        <v>0</v>
      </c>
      <c r="K2119" s="67">
        <v>4.0800000000000003E-2</v>
      </c>
      <c r="L2119" s="36">
        <f>+K2119-((K2119*0.0035*0.125)+(K2119*(1-0.0035)*0.26))</f>
        <v>3.0211278000000001E-2</v>
      </c>
      <c r="M2119" s="64">
        <f t="shared" si="68"/>
        <v>3.0211278000000001E-2</v>
      </c>
      <c r="N2119" s="33" t="s">
        <v>249</v>
      </c>
    </row>
    <row r="2120" spans="1:14" ht="15">
      <c r="A2120" s="12"/>
      <c r="B2120" s="33" t="s">
        <v>134</v>
      </c>
      <c r="C2120" s="92" t="s">
        <v>374</v>
      </c>
      <c r="D2120" s="33" t="s">
        <v>410</v>
      </c>
      <c r="E2120" s="34">
        <v>45132</v>
      </c>
      <c r="F2120" s="34">
        <v>45133</v>
      </c>
      <c r="G2120" s="34">
        <v>45138</v>
      </c>
      <c r="H2120" s="35">
        <v>5.5E-2</v>
      </c>
      <c r="I2120" s="67">
        <v>6.8000000000000005E-2</v>
      </c>
      <c r="J2120" s="67">
        <v>0</v>
      </c>
      <c r="K2120" s="67">
        <v>6.8000000000000005E-2</v>
      </c>
      <c r="L2120" s="36">
        <f>+K2120-((K2120*0.2155*0.125)+(K2120*(1-0.2155)*0.26))</f>
        <v>5.2298290000000004E-2</v>
      </c>
      <c r="M2120" s="64">
        <f t="shared" si="68"/>
        <v>5.2298290000000004E-2</v>
      </c>
      <c r="N2120" s="33" t="s">
        <v>249</v>
      </c>
    </row>
    <row r="2121" spans="1:14" ht="15">
      <c r="A2121" s="12"/>
      <c r="B2121" s="33" t="s">
        <v>168</v>
      </c>
      <c r="C2121" s="92" t="s">
        <v>376</v>
      </c>
      <c r="D2121" s="33" t="s">
        <v>410</v>
      </c>
      <c r="E2121" s="34">
        <v>45132</v>
      </c>
      <c r="F2121" s="34">
        <v>45133</v>
      </c>
      <c r="G2121" s="34">
        <v>45138</v>
      </c>
      <c r="H2121" s="35">
        <v>5.5E-2</v>
      </c>
      <c r="I2121" s="67">
        <v>5.2699999999999997E-2</v>
      </c>
      <c r="J2121" s="67">
        <v>0</v>
      </c>
      <c r="K2121" s="67">
        <v>5.2699999999999997E-2</v>
      </c>
      <c r="L2121" s="36">
        <f>+K2121-((K2121*0.2155*0.125)+(K2121*(1-0.2155)*0.26))</f>
        <v>4.0531174749999996E-2</v>
      </c>
      <c r="M2121" s="64">
        <f t="shared" si="68"/>
        <v>4.0531174749999996E-2</v>
      </c>
      <c r="N2121" s="33" t="s">
        <v>249</v>
      </c>
    </row>
    <row r="2122" spans="1:14" ht="15">
      <c r="A2122" s="12"/>
      <c r="B2122" s="33" t="s">
        <v>136</v>
      </c>
      <c r="C2122" s="92" t="s">
        <v>388</v>
      </c>
      <c r="D2122" s="33" t="s">
        <v>410</v>
      </c>
      <c r="E2122" s="34">
        <v>45132</v>
      </c>
      <c r="F2122" s="34">
        <v>45133</v>
      </c>
      <c r="G2122" s="34">
        <v>45138</v>
      </c>
      <c r="H2122" s="35">
        <v>0.03</v>
      </c>
      <c r="I2122" s="67">
        <v>3.5499999999999997E-2</v>
      </c>
      <c r="J2122" s="67">
        <v>0</v>
      </c>
      <c r="K2122" s="67">
        <v>3.5499999999999997E-2</v>
      </c>
      <c r="L2122" s="36">
        <f t="shared" ref="L2122:L2127" si="69">+K2122-((K2122*0.1155*0.125)+(K2122*(1-0.1155)*0.26))</f>
        <v>2.6823533749999996E-2</v>
      </c>
      <c r="M2122" s="64">
        <f t="shared" si="68"/>
        <v>2.6823533749999996E-2</v>
      </c>
      <c r="N2122" s="33" t="s">
        <v>249</v>
      </c>
    </row>
    <row r="2123" spans="1:14" ht="15">
      <c r="A2123" s="12"/>
      <c r="B2123" s="33" t="s">
        <v>137</v>
      </c>
      <c r="C2123" s="92" t="s">
        <v>389</v>
      </c>
      <c r="D2123" s="33" t="s">
        <v>410</v>
      </c>
      <c r="E2123" s="34">
        <v>45132</v>
      </c>
      <c r="F2123" s="34">
        <v>45133</v>
      </c>
      <c r="G2123" s="34">
        <v>45138</v>
      </c>
      <c r="H2123" s="35">
        <v>0.04</v>
      </c>
      <c r="I2123" s="67">
        <v>5.2299999999999999E-2</v>
      </c>
      <c r="J2123" s="67">
        <v>0</v>
      </c>
      <c r="K2123" s="67">
        <v>5.2299999999999999E-2</v>
      </c>
      <c r="L2123" s="36">
        <f t="shared" si="69"/>
        <v>3.9517487749999997E-2</v>
      </c>
      <c r="M2123" s="64">
        <f t="shared" si="68"/>
        <v>3.9517487749999997E-2</v>
      </c>
      <c r="N2123" s="33" t="s">
        <v>249</v>
      </c>
    </row>
    <row r="2124" spans="1:14" ht="15">
      <c r="A2124" s="12"/>
      <c r="B2124" s="33" t="s">
        <v>135</v>
      </c>
      <c r="C2124" s="92" t="s">
        <v>390</v>
      </c>
      <c r="D2124" s="33" t="s">
        <v>410</v>
      </c>
      <c r="E2124" s="34">
        <v>45132</v>
      </c>
      <c r="F2124" s="34">
        <v>45133</v>
      </c>
      <c r="G2124" s="34">
        <v>45138</v>
      </c>
      <c r="H2124" s="35">
        <v>4.7500000000000001E-2</v>
      </c>
      <c r="I2124" s="67">
        <v>6.25E-2</v>
      </c>
      <c r="J2124" s="67">
        <v>0</v>
      </c>
      <c r="K2124" s="67">
        <v>6.25E-2</v>
      </c>
      <c r="L2124" s="36">
        <f t="shared" si="69"/>
        <v>4.722453125E-2</v>
      </c>
      <c r="M2124" s="64">
        <f t="shared" si="68"/>
        <v>4.722453125E-2</v>
      </c>
      <c r="N2124" s="33" t="s">
        <v>249</v>
      </c>
    </row>
    <row r="2125" spans="1:14" ht="15">
      <c r="A2125" s="12"/>
      <c r="B2125" s="33" t="s">
        <v>170</v>
      </c>
      <c r="C2125" s="92" t="s">
        <v>391</v>
      </c>
      <c r="D2125" s="33" t="s">
        <v>410</v>
      </c>
      <c r="E2125" s="34">
        <v>45132</v>
      </c>
      <c r="F2125" s="34">
        <v>45133</v>
      </c>
      <c r="G2125" s="34">
        <v>45138</v>
      </c>
      <c r="H2125" s="35">
        <v>0.03</v>
      </c>
      <c r="I2125" s="67">
        <v>3.4599999999999999E-2</v>
      </c>
      <c r="J2125" s="67">
        <v>0</v>
      </c>
      <c r="K2125" s="67">
        <v>3.4599999999999999E-2</v>
      </c>
      <c r="L2125" s="36">
        <f t="shared" si="69"/>
        <v>2.61435005E-2</v>
      </c>
      <c r="M2125" s="64">
        <f t="shared" si="68"/>
        <v>2.61435005E-2</v>
      </c>
      <c r="N2125" s="33" t="s">
        <v>249</v>
      </c>
    </row>
    <row r="2126" spans="1:14" ht="15">
      <c r="A2126" s="12"/>
      <c r="B2126" s="33" t="s">
        <v>171</v>
      </c>
      <c r="C2126" s="92" t="s">
        <v>392</v>
      </c>
      <c r="D2126" s="33" t="s">
        <v>410</v>
      </c>
      <c r="E2126" s="34">
        <v>45132</v>
      </c>
      <c r="F2126" s="34">
        <v>45133</v>
      </c>
      <c r="G2126" s="34">
        <v>45138</v>
      </c>
      <c r="H2126" s="35">
        <v>0.04</v>
      </c>
      <c r="I2126" s="67">
        <v>5.0299999999999997E-2</v>
      </c>
      <c r="J2126" s="67">
        <v>0</v>
      </c>
      <c r="K2126" s="67">
        <v>5.0299999999999997E-2</v>
      </c>
      <c r="L2126" s="36">
        <f t="shared" si="69"/>
        <v>3.8006302749999998E-2</v>
      </c>
      <c r="M2126" s="64">
        <f t="shared" si="68"/>
        <v>3.8006302749999998E-2</v>
      </c>
      <c r="N2126" s="33" t="s">
        <v>249</v>
      </c>
    </row>
    <row r="2127" spans="1:14" ht="15">
      <c r="A2127" s="12"/>
      <c r="B2127" s="33" t="s">
        <v>172</v>
      </c>
      <c r="C2127" s="92" t="s">
        <v>393</v>
      </c>
      <c r="D2127" s="33" t="s">
        <v>410</v>
      </c>
      <c r="E2127" s="34">
        <v>45132</v>
      </c>
      <c r="F2127" s="34">
        <v>45133</v>
      </c>
      <c r="G2127" s="34">
        <v>45138</v>
      </c>
      <c r="H2127" s="35">
        <v>4.7500000000000001E-2</v>
      </c>
      <c r="I2127" s="67">
        <v>6.0600000000000001E-2</v>
      </c>
      <c r="J2127" s="67">
        <v>0</v>
      </c>
      <c r="K2127" s="67">
        <v>6.0600000000000001E-2</v>
      </c>
      <c r="L2127" s="36">
        <f t="shared" si="69"/>
        <v>4.5788905500000004E-2</v>
      </c>
      <c r="M2127" s="64">
        <f t="shared" si="68"/>
        <v>4.5788905500000004E-2</v>
      </c>
      <c r="N2127" s="33" t="s">
        <v>249</v>
      </c>
    </row>
    <row r="2128" spans="1:14" ht="15">
      <c r="A2128" s="12"/>
      <c r="B2128" s="33" t="s">
        <v>169</v>
      </c>
      <c r="C2128" s="92" t="s">
        <v>400</v>
      </c>
      <c r="D2128" s="33" t="s">
        <v>410</v>
      </c>
      <c r="E2128" s="34">
        <v>45132</v>
      </c>
      <c r="F2128" s="34">
        <v>45133</v>
      </c>
      <c r="G2128" s="34">
        <v>45138</v>
      </c>
      <c r="H2128" s="35">
        <v>6.5000000000000002E-2</v>
      </c>
      <c r="I2128" s="67">
        <v>6.3100000000000003E-2</v>
      </c>
      <c r="J2128" s="67">
        <v>0</v>
      </c>
      <c r="K2128" s="67">
        <v>6.3100000000000003E-2</v>
      </c>
      <c r="L2128" s="36">
        <f>+K2128-((K2128*0.1015*0.125)+(K2128*(1-0.1015)*0.26))</f>
        <v>4.7558627750000006E-2</v>
      </c>
      <c r="M2128" s="64">
        <f t="shared" si="68"/>
        <v>4.7558627750000006E-2</v>
      </c>
      <c r="N2128" s="33" t="s">
        <v>249</v>
      </c>
    </row>
    <row r="2129" spans="1:14" ht="15">
      <c r="A2129" s="12"/>
      <c r="B2129" s="33" t="s">
        <v>156</v>
      </c>
      <c r="C2129" s="92" t="s">
        <v>473</v>
      </c>
      <c r="D2129" s="33" t="s">
        <v>496</v>
      </c>
      <c r="E2129" s="34">
        <v>45132</v>
      </c>
      <c r="F2129" s="34">
        <v>45133</v>
      </c>
      <c r="G2129" s="34">
        <v>45138</v>
      </c>
      <c r="H2129" s="35">
        <v>3.5000000000000003E-2</v>
      </c>
      <c r="I2129" s="67">
        <v>8.1500000000000003E-2</v>
      </c>
      <c r="J2129" s="67">
        <v>0</v>
      </c>
      <c r="K2129" s="67">
        <v>8.1500000000000003E-2</v>
      </c>
      <c r="L2129" s="36">
        <f>+K2129-((K2129*0.0000001*0.125)+(K2129*(1-0.0000001)*0.26))</f>
        <v>6.0310001100249998E-2</v>
      </c>
      <c r="M2129" s="64">
        <f t="shared" si="68"/>
        <v>6.0310001100249998E-2</v>
      </c>
      <c r="N2129" s="33" t="s">
        <v>250</v>
      </c>
    </row>
    <row r="2130" spans="1:14" ht="15">
      <c r="A2130" s="12"/>
      <c r="B2130" s="33" t="s">
        <v>178</v>
      </c>
      <c r="C2130" s="92" t="s">
        <v>472</v>
      </c>
      <c r="D2130" s="33" t="s">
        <v>496</v>
      </c>
      <c r="E2130" s="34">
        <v>45132</v>
      </c>
      <c r="F2130" s="34">
        <v>45133</v>
      </c>
      <c r="G2130" s="34">
        <v>45138</v>
      </c>
      <c r="H2130" s="35">
        <v>3.5000000000000003E-2</v>
      </c>
      <c r="I2130" s="67">
        <v>7.0499999999999993E-2</v>
      </c>
      <c r="J2130" s="67">
        <v>0</v>
      </c>
      <c r="K2130" s="67">
        <v>7.0499999999999993E-2</v>
      </c>
      <c r="L2130" s="36">
        <f>+K2130-((K2130*0.0000001*0.125)+(K2130*(1-0.0000001)*0.26))</f>
        <v>5.2170000951749992E-2</v>
      </c>
      <c r="M2130" s="64">
        <f t="shared" si="68"/>
        <v>5.2170000951749992E-2</v>
      </c>
      <c r="N2130" s="33" t="s">
        <v>250</v>
      </c>
    </row>
    <row r="2131" spans="1:14" ht="15">
      <c r="A2131" s="12"/>
      <c r="B2131" s="33" t="s">
        <v>155</v>
      </c>
      <c r="C2131" s="92" t="s">
        <v>475</v>
      </c>
      <c r="D2131" s="33" t="s">
        <v>496</v>
      </c>
      <c r="E2131" s="34">
        <v>45132</v>
      </c>
      <c r="F2131" s="34">
        <v>45133</v>
      </c>
      <c r="G2131" s="34">
        <v>45138</v>
      </c>
      <c r="H2131" s="35">
        <v>3.5000000000000003E-2</v>
      </c>
      <c r="I2131" s="67">
        <v>9.1800000000000007E-2</v>
      </c>
      <c r="J2131" s="67">
        <v>0</v>
      </c>
      <c r="K2131" s="67">
        <v>9.1800000000000007E-2</v>
      </c>
      <c r="L2131" s="36">
        <f>+K2131-((K2131*0.0035*0.125)+(K2131*(1-0.0035)*0.26))</f>
        <v>6.7975375500000004E-2</v>
      </c>
      <c r="M2131" s="64">
        <f t="shared" si="68"/>
        <v>6.7975375500000004E-2</v>
      </c>
      <c r="N2131" s="33" t="s">
        <v>250</v>
      </c>
    </row>
    <row r="2132" spans="1:14" ht="15">
      <c r="A2132" s="12"/>
      <c r="B2132" s="33" t="s">
        <v>177</v>
      </c>
      <c r="C2132" s="92" t="s">
        <v>476</v>
      </c>
      <c r="D2132" s="33" t="s">
        <v>496</v>
      </c>
      <c r="E2132" s="34">
        <v>45132</v>
      </c>
      <c r="F2132" s="34">
        <v>45133</v>
      </c>
      <c r="G2132" s="34">
        <v>45138</v>
      </c>
      <c r="H2132" s="35">
        <v>3.5000000000000003E-2</v>
      </c>
      <c r="I2132" s="67">
        <v>9.35E-2</v>
      </c>
      <c r="J2132" s="67">
        <v>0</v>
      </c>
      <c r="K2132" s="67">
        <v>9.35E-2</v>
      </c>
      <c r="L2132" s="36">
        <f>+K2132-((K2132*0.0035*0.125)+(K2132*(1-0.0035)*0.26))</f>
        <v>6.923417875E-2</v>
      </c>
      <c r="M2132" s="64">
        <f t="shared" si="68"/>
        <v>6.923417875E-2</v>
      </c>
      <c r="N2132" s="33" t="s">
        <v>250</v>
      </c>
    </row>
    <row r="2133" spans="1:14" ht="15">
      <c r="A2133" s="12"/>
      <c r="B2133" s="33" t="s">
        <v>158</v>
      </c>
      <c r="C2133" s="92" t="s">
        <v>373</v>
      </c>
      <c r="D2133" s="33" t="s">
        <v>496</v>
      </c>
      <c r="E2133" s="34">
        <v>45132</v>
      </c>
      <c r="F2133" s="34">
        <v>45133</v>
      </c>
      <c r="G2133" s="34">
        <v>45138</v>
      </c>
      <c r="H2133" s="35">
        <v>5.5E-2</v>
      </c>
      <c r="I2133" s="67">
        <v>9.69E-2</v>
      </c>
      <c r="J2133" s="67">
        <v>0</v>
      </c>
      <c r="K2133" s="67">
        <v>9.69E-2</v>
      </c>
      <c r="L2133" s="36">
        <f>+K2133-((K2133*0.2155*0.125)+(K2133*(1-0.2155)*0.26))</f>
        <v>7.4525063249999995E-2</v>
      </c>
      <c r="M2133" s="64">
        <f t="shared" si="68"/>
        <v>7.4525063249999995E-2</v>
      </c>
      <c r="N2133" s="33" t="s">
        <v>250</v>
      </c>
    </row>
    <row r="2134" spans="1:14" ht="15">
      <c r="A2134" s="12"/>
      <c r="B2134" s="33" t="s">
        <v>157</v>
      </c>
      <c r="C2134" s="92" t="s">
        <v>375</v>
      </c>
      <c r="D2134" s="33" t="s">
        <v>496</v>
      </c>
      <c r="E2134" s="34">
        <v>45132</v>
      </c>
      <c r="F2134" s="34">
        <v>45133</v>
      </c>
      <c r="G2134" s="34">
        <v>45138</v>
      </c>
      <c r="H2134" s="35">
        <v>5.5E-2</v>
      </c>
      <c r="I2134" s="67">
        <v>0.1026</v>
      </c>
      <c r="J2134" s="67">
        <v>0</v>
      </c>
      <c r="K2134" s="67">
        <v>0.1026</v>
      </c>
      <c r="L2134" s="36">
        <f>+K2134-((K2134*0.2155*0.125)+(K2134*(1-0.2155)*0.26))</f>
        <v>7.8908890499999995E-2</v>
      </c>
      <c r="M2134" s="64">
        <f t="shared" si="68"/>
        <v>7.8908890499999995E-2</v>
      </c>
      <c r="N2134" s="33" t="s">
        <v>250</v>
      </c>
    </row>
    <row r="2135" spans="1:14" ht="15">
      <c r="A2135" s="12"/>
      <c r="B2135" s="33" t="s">
        <v>154</v>
      </c>
      <c r="C2135" s="92" t="s">
        <v>399</v>
      </c>
      <c r="D2135" s="33" t="s">
        <v>496</v>
      </c>
      <c r="E2135" s="34">
        <v>45132</v>
      </c>
      <c r="F2135" s="34">
        <v>45133</v>
      </c>
      <c r="G2135" s="34">
        <v>45138</v>
      </c>
      <c r="H2135" s="35">
        <v>6.5000000000000002E-2</v>
      </c>
      <c r="I2135" s="67">
        <v>0.1128</v>
      </c>
      <c r="J2135" s="67">
        <v>0</v>
      </c>
      <c r="K2135" s="67">
        <v>0.1128</v>
      </c>
      <c r="L2135" s="36">
        <f>+K2135-((K2135*0.1015*0.125)+(K2135*(1-0.1015)*0.26))</f>
        <v>8.5017642000000004E-2</v>
      </c>
      <c r="M2135" s="64">
        <f t="shared" si="68"/>
        <v>8.5017642000000004E-2</v>
      </c>
      <c r="N2135" s="33" t="s">
        <v>250</v>
      </c>
    </row>
    <row r="2136" spans="1:14" ht="15">
      <c r="A2136" s="12"/>
      <c r="B2136" s="33" t="s">
        <v>310</v>
      </c>
      <c r="C2136" s="92" t="s">
        <v>719</v>
      </c>
      <c r="D2136" s="33" t="s">
        <v>411</v>
      </c>
      <c r="E2136" s="34">
        <v>45138</v>
      </c>
      <c r="F2136" s="34">
        <v>45139</v>
      </c>
      <c r="G2136" s="34">
        <v>45142</v>
      </c>
      <c r="H2136" s="35">
        <v>0.05</v>
      </c>
      <c r="I2136" s="67">
        <v>1.47E-2</v>
      </c>
      <c r="J2136" s="67">
        <v>1.2210241770359272E-3</v>
      </c>
      <c r="K2136" s="67">
        <v>1.3478975822964073E-2</v>
      </c>
      <c r="L2136" s="36">
        <f>+K2136-((K2136*0.051*0.125)+(K2136*(1-0.051)*0.26))</f>
        <v>1.0067244857534522E-2</v>
      </c>
      <c r="M2136" s="64">
        <f t="shared" si="68"/>
        <v>1.1288269034570449E-2</v>
      </c>
      <c r="N2136" s="33" t="s">
        <v>718</v>
      </c>
    </row>
    <row r="2137" spans="1:14" ht="15">
      <c r="A2137" s="12"/>
      <c r="B2137" s="33" t="s">
        <v>188</v>
      </c>
      <c r="C2137" s="92" t="s">
        <v>720</v>
      </c>
      <c r="D2137" s="33" t="s">
        <v>411</v>
      </c>
      <c r="E2137" s="34">
        <v>45138</v>
      </c>
      <c r="F2137" s="34">
        <v>45139</v>
      </c>
      <c r="G2137" s="34">
        <v>45142</v>
      </c>
      <c r="H2137" s="35">
        <v>0.05</v>
      </c>
      <c r="I2137" s="67">
        <v>0.25490000000000002</v>
      </c>
      <c r="J2137" s="67">
        <v>2.9058950151456799E-2</v>
      </c>
      <c r="K2137" s="67">
        <v>0.22584104984854322</v>
      </c>
      <c r="L2137" s="36">
        <f>+K2137-((K2137*0.051*0.125)+(K2137*(1-0.051)*0.26))</f>
        <v>0.1686772925161292</v>
      </c>
      <c r="M2137" s="64">
        <f t="shared" si="68"/>
        <v>0.19773624266758599</v>
      </c>
      <c r="N2137" s="33" t="s">
        <v>718</v>
      </c>
    </row>
    <row r="2138" spans="1:14" ht="15">
      <c r="A2138" s="12"/>
      <c r="B2138" s="33" t="s">
        <v>196</v>
      </c>
      <c r="C2138" s="92" t="s">
        <v>721</v>
      </c>
      <c r="D2138" s="33" t="s">
        <v>411</v>
      </c>
      <c r="E2138" s="34">
        <v>45138</v>
      </c>
      <c r="F2138" s="34">
        <v>45139</v>
      </c>
      <c r="G2138" s="34">
        <v>45142</v>
      </c>
      <c r="H2138" s="35">
        <v>0.05</v>
      </c>
      <c r="I2138" s="67">
        <v>0.26769999999999999</v>
      </c>
      <c r="J2138" s="67">
        <v>3.4239961214749402E-3</v>
      </c>
      <c r="K2138" s="67">
        <v>0.26427600387852507</v>
      </c>
      <c r="L2138" s="36">
        <f>+K2138-((K2138*0.051*0.125)+(K2138*(1-0.051)*0.26))</f>
        <v>0.19738378315681218</v>
      </c>
      <c r="M2138" s="64">
        <f t="shared" si="68"/>
        <v>0.20080777927828714</v>
      </c>
      <c r="N2138" s="33" t="s">
        <v>718</v>
      </c>
    </row>
    <row r="2139" spans="1:14" ht="15">
      <c r="A2139" s="12"/>
      <c r="B2139" s="33" t="s">
        <v>191</v>
      </c>
      <c r="C2139" s="92" t="s">
        <v>722</v>
      </c>
      <c r="D2139" s="33" t="s">
        <v>411</v>
      </c>
      <c r="E2139" s="34">
        <v>45138</v>
      </c>
      <c r="F2139" s="34">
        <v>45139</v>
      </c>
      <c r="G2139" s="34">
        <v>45142</v>
      </c>
      <c r="H2139" s="35">
        <v>0.03</v>
      </c>
      <c r="I2139" s="67">
        <v>8.6E-3</v>
      </c>
      <c r="J2139" s="67">
        <v>0</v>
      </c>
      <c r="K2139" s="67">
        <v>8.6E-3</v>
      </c>
      <c r="L2139" s="36">
        <f>+K2139-((K2139*0.794*0.125)+(K2139*(1-0.794)*0.26))</f>
        <v>7.2858339999999997E-3</v>
      </c>
      <c r="M2139" s="64">
        <f t="shared" si="68"/>
        <v>7.2858339999999997E-3</v>
      </c>
      <c r="N2139" s="33" t="s">
        <v>718</v>
      </c>
    </row>
    <row r="2140" spans="1:14" ht="15">
      <c r="A2140" s="12"/>
      <c r="B2140" s="33" t="s">
        <v>199</v>
      </c>
      <c r="C2140" s="92" t="s">
        <v>723</v>
      </c>
      <c r="D2140" s="33" t="s">
        <v>411</v>
      </c>
      <c r="E2140" s="34">
        <v>45138</v>
      </c>
      <c r="F2140" s="34">
        <v>45139</v>
      </c>
      <c r="G2140" s="34">
        <v>45142</v>
      </c>
      <c r="H2140" s="35">
        <v>0.03</v>
      </c>
      <c r="I2140" s="67">
        <v>8.6E-3</v>
      </c>
      <c r="J2140" s="67">
        <v>0</v>
      </c>
      <c r="K2140" s="67">
        <v>8.6E-3</v>
      </c>
      <c r="L2140" s="36">
        <f>+K2140-((K2140*0.794*0.125)+(K2140*(1-0.794)*0.26))</f>
        <v>7.2858339999999997E-3</v>
      </c>
      <c r="M2140" s="64">
        <f t="shared" si="68"/>
        <v>7.2858339999999997E-3</v>
      </c>
      <c r="N2140" s="33" t="s">
        <v>718</v>
      </c>
    </row>
    <row r="2141" spans="1:14" ht="15">
      <c r="A2141" s="12"/>
      <c r="B2141" s="33" t="s">
        <v>306</v>
      </c>
      <c r="C2141" s="92" t="s">
        <v>724</v>
      </c>
      <c r="D2141" s="33" t="s">
        <v>411</v>
      </c>
      <c r="E2141" s="34">
        <v>45138</v>
      </c>
      <c r="F2141" s="34">
        <v>45139</v>
      </c>
      <c r="G2141" s="34">
        <v>45142</v>
      </c>
      <c r="H2141" s="35">
        <v>5.5E-2</v>
      </c>
      <c r="I2141" s="67">
        <v>1.89E-2</v>
      </c>
      <c r="J2141" s="67">
        <v>8.9286380380638151E-3</v>
      </c>
      <c r="K2141" s="67">
        <v>9.971361961936185E-3</v>
      </c>
      <c r="L2141" s="36">
        <f>+K2141-((K2141*0.0395*0.125)+(K2141*(1-0.0395)*0.26))</f>
        <v>7.4319801394948006E-3</v>
      </c>
      <c r="M2141" s="64">
        <f t="shared" si="68"/>
        <v>1.6360618177558614E-2</v>
      </c>
      <c r="N2141" s="33" t="s">
        <v>718</v>
      </c>
    </row>
    <row r="2142" spans="1:14" ht="15">
      <c r="A2142" s="12"/>
      <c r="B2142" s="33" t="s">
        <v>184</v>
      </c>
      <c r="C2142" s="92" t="s">
        <v>725</v>
      </c>
      <c r="D2142" s="33" t="s">
        <v>411</v>
      </c>
      <c r="E2142" s="34">
        <v>45138</v>
      </c>
      <c r="F2142" s="34">
        <v>45139</v>
      </c>
      <c r="G2142" s="34">
        <v>45142</v>
      </c>
      <c r="H2142" s="35">
        <v>5.5E-2</v>
      </c>
      <c r="I2142" s="67">
        <v>0.38009999999999999</v>
      </c>
      <c r="J2142" s="67">
        <v>0.19024653438649416</v>
      </c>
      <c r="K2142" s="67">
        <v>0.18985346561350583</v>
      </c>
      <c r="L2142" s="36">
        <f>+K2142-((K2142*0.0395*0.125)+(K2142*(1-0.0395)*0.26))</f>
        <v>0.14150395815937833</v>
      </c>
      <c r="M2142" s="64">
        <f t="shared" si="68"/>
        <v>0.33175049254587252</v>
      </c>
      <c r="N2142" s="33" t="s">
        <v>718</v>
      </c>
    </row>
    <row r="2143" spans="1:14" ht="15">
      <c r="A2143" s="12"/>
      <c r="B2143" s="33" t="s">
        <v>192</v>
      </c>
      <c r="C2143" s="92" t="s">
        <v>726</v>
      </c>
      <c r="D2143" s="33" t="s">
        <v>411</v>
      </c>
      <c r="E2143" s="34">
        <v>45138</v>
      </c>
      <c r="F2143" s="34">
        <v>45139</v>
      </c>
      <c r="G2143" s="34">
        <v>45142</v>
      </c>
      <c r="H2143" s="35">
        <v>5.5E-2</v>
      </c>
      <c r="I2143" s="67">
        <v>0.3876</v>
      </c>
      <c r="J2143" s="67">
        <v>0.16155624985362071</v>
      </c>
      <c r="K2143" s="67">
        <v>0.22604375014637929</v>
      </c>
      <c r="L2143" s="36">
        <f>+K2143-((K2143*0.0395*0.125)+(K2143*(1-0.0395)*0.26))</f>
        <v>0.16847775340597623</v>
      </c>
      <c r="M2143" s="64">
        <f t="shared" si="68"/>
        <v>0.33003400325959698</v>
      </c>
      <c r="N2143" s="33" t="s">
        <v>718</v>
      </c>
    </row>
    <row r="2144" spans="1:14" ht="15">
      <c r="A2144" s="12"/>
      <c r="B2144" s="33" t="s">
        <v>311</v>
      </c>
      <c r="C2144" s="92" t="s">
        <v>727</v>
      </c>
      <c r="D2144" s="33" t="s">
        <v>411</v>
      </c>
      <c r="E2144" s="34">
        <v>45138</v>
      </c>
      <c r="F2144" s="34">
        <v>45139</v>
      </c>
      <c r="G2144" s="34">
        <v>45142</v>
      </c>
      <c r="H2144" s="35">
        <v>4.2500000000000003E-2</v>
      </c>
      <c r="I2144" s="67">
        <v>1.6E-2</v>
      </c>
      <c r="J2144" s="67">
        <v>4.1879860333240608E-3</v>
      </c>
      <c r="K2144" s="67">
        <v>1.181201396667594E-2</v>
      </c>
      <c r="L2144" s="36">
        <f>+K2144-((K2144*0.01*0.125)+(K2144*(1-0.01)*0.26))</f>
        <v>8.7568365541952076E-3</v>
      </c>
      <c r="M2144" s="64">
        <f t="shared" si="68"/>
        <v>1.2944822587519268E-2</v>
      </c>
      <c r="N2144" s="33" t="s">
        <v>718</v>
      </c>
    </row>
    <row r="2145" spans="1:14" ht="15">
      <c r="A2145" s="12"/>
      <c r="B2145" s="33" t="s">
        <v>189</v>
      </c>
      <c r="C2145" s="92" t="s">
        <v>728</v>
      </c>
      <c r="D2145" s="33" t="s">
        <v>411</v>
      </c>
      <c r="E2145" s="34">
        <v>45138</v>
      </c>
      <c r="F2145" s="34">
        <v>45139</v>
      </c>
      <c r="G2145" s="34">
        <v>45142</v>
      </c>
      <c r="H2145" s="35">
        <v>4.2500000000000003E-2</v>
      </c>
      <c r="I2145" s="67">
        <v>0.29170000000000001</v>
      </c>
      <c r="J2145" s="67">
        <v>8.6469822618639586E-2</v>
      </c>
      <c r="K2145" s="67">
        <v>0.20523017738136043</v>
      </c>
      <c r="L2145" s="36">
        <f>+K2145-((K2145*0.01*0.125)+(K2145*(1-0.01)*0.26))</f>
        <v>0.15214739200167154</v>
      </c>
      <c r="M2145" s="64">
        <f t="shared" si="68"/>
        <v>0.23861721462031113</v>
      </c>
      <c r="N2145" s="33" t="s">
        <v>718</v>
      </c>
    </row>
    <row r="2146" spans="1:14" ht="15">
      <c r="A2146" s="12"/>
      <c r="B2146" s="33" t="s">
        <v>197</v>
      </c>
      <c r="C2146" s="92" t="s">
        <v>729</v>
      </c>
      <c r="D2146" s="33" t="s">
        <v>411</v>
      </c>
      <c r="E2146" s="34">
        <v>45138</v>
      </c>
      <c r="F2146" s="34">
        <v>45139</v>
      </c>
      <c r="G2146" s="34">
        <v>45142</v>
      </c>
      <c r="H2146" s="35">
        <v>4.2500000000000003E-2</v>
      </c>
      <c r="I2146" s="67">
        <v>0.29980000000000001</v>
      </c>
      <c r="J2146" s="67">
        <v>5.605267078121666E-2</v>
      </c>
      <c r="K2146" s="67">
        <v>0.24374732921878334</v>
      </c>
      <c r="L2146" s="36">
        <f>+K2146-((K2146*0.01*0.125)+(K2146*(1-0.01)*0.26))</f>
        <v>0.18070208251634501</v>
      </c>
      <c r="M2146" s="64">
        <f t="shared" si="68"/>
        <v>0.23675475329756168</v>
      </c>
      <c r="N2146" s="33" t="s">
        <v>718</v>
      </c>
    </row>
    <row r="2147" spans="1:14" ht="15">
      <c r="A2147" s="12"/>
      <c r="B2147" s="33" t="s">
        <v>308</v>
      </c>
      <c r="C2147" s="92" t="s">
        <v>730</v>
      </c>
      <c r="D2147" s="33" t="s">
        <v>411</v>
      </c>
      <c r="E2147" s="34">
        <v>45138</v>
      </c>
      <c r="F2147" s="34">
        <v>45139</v>
      </c>
      <c r="G2147" s="34">
        <v>45142</v>
      </c>
      <c r="H2147" s="35">
        <v>4.2500000000000003E-2</v>
      </c>
      <c r="I2147" s="67">
        <v>1.4500000000000001E-2</v>
      </c>
      <c r="J2147" s="67">
        <v>8.6151147265000009E-3</v>
      </c>
      <c r="K2147" s="67">
        <v>5.8848852734999998E-3</v>
      </c>
      <c r="L2147" s="36">
        <f>+K2147-((K2147*0.49*0.125)+(K2147*(1-0.49)*0.26))</f>
        <v>4.7441002632320249E-3</v>
      </c>
      <c r="M2147" s="64">
        <f t="shared" si="68"/>
        <v>1.3359214989732027E-2</v>
      </c>
      <c r="N2147" s="33" t="s">
        <v>718</v>
      </c>
    </row>
    <row r="2148" spans="1:14" ht="15">
      <c r="A2148" s="12"/>
      <c r="B2148" s="33" t="s">
        <v>186</v>
      </c>
      <c r="C2148" s="92" t="s">
        <v>731</v>
      </c>
      <c r="D2148" s="33" t="s">
        <v>411</v>
      </c>
      <c r="E2148" s="34">
        <v>45138</v>
      </c>
      <c r="F2148" s="34">
        <v>45139</v>
      </c>
      <c r="G2148" s="34">
        <v>45142</v>
      </c>
      <c r="H2148" s="35">
        <v>4.2500000000000003E-2</v>
      </c>
      <c r="I2148" s="67">
        <v>0.26669999999999999</v>
      </c>
      <c r="J2148" s="67">
        <v>0.16948540439569004</v>
      </c>
      <c r="K2148" s="67">
        <v>9.721459560430995E-2</v>
      </c>
      <c r="L2148" s="36">
        <f>+K2148-((K2148*0.49*0.125)+(K2148*(1-0.49)*0.26))</f>
        <v>7.8369546246414457E-2</v>
      </c>
      <c r="M2148" s="64">
        <f t="shared" si="68"/>
        <v>0.2478549506421045</v>
      </c>
      <c r="N2148" s="33" t="s">
        <v>718</v>
      </c>
    </row>
    <row r="2149" spans="1:14" ht="15">
      <c r="A2149" s="12"/>
      <c r="B2149" s="33" t="s">
        <v>194</v>
      </c>
      <c r="C2149" s="92" t="s">
        <v>732</v>
      </c>
      <c r="D2149" s="33" t="s">
        <v>411</v>
      </c>
      <c r="E2149" s="34">
        <v>45138</v>
      </c>
      <c r="F2149" s="34">
        <v>45139</v>
      </c>
      <c r="G2149" s="34">
        <v>45142</v>
      </c>
      <c r="H2149" s="35">
        <v>4.2500000000000003E-2</v>
      </c>
      <c r="I2149" s="67">
        <v>0.27589999999999998</v>
      </c>
      <c r="J2149" s="67">
        <v>0.14189588983530066</v>
      </c>
      <c r="K2149" s="67">
        <v>0.13400411016469935</v>
      </c>
      <c r="L2149" s="36">
        <f>+K2149-((K2149*0.49*0.125)+(K2149*(1-0.49)*0.26))</f>
        <v>0.10802741340927238</v>
      </c>
      <c r="M2149" s="64">
        <f t="shared" si="68"/>
        <v>0.24992330324457304</v>
      </c>
      <c r="N2149" s="33" t="s">
        <v>718</v>
      </c>
    </row>
    <row r="2150" spans="1:14" ht="15">
      <c r="A2150" s="12"/>
      <c r="B2150" s="33" t="s">
        <v>307</v>
      </c>
      <c r="C2150" s="92" t="s">
        <v>733</v>
      </c>
      <c r="D2150" s="33" t="s">
        <v>411</v>
      </c>
      <c r="E2150" s="34">
        <v>45138</v>
      </c>
      <c r="F2150" s="34">
        <v>45139</v>
      </c>
      <c r="G2150" s="34">
        <v>45142</v>
      </c>
      <c r="H2150" s="35">
        <v>4.7500000000000001E-2</v>
      </c>
      <c r="I2150" s="67">
        <v>1.46E-2</v>
      </c>
      <c r="J2150" s="67">
        <v>9.5487373704735284E-3</v>
      </c>
      <c r="K2150" s="67">
        <v>5.0512626295264726E-3</v>
      </c>
      <c r="L2150" s="36">
        <f>+K2150-((K2150*0.5965*0.125)+(K2150*(1-0.5965)*0.26))</f>
        <v>4.1446998972487822E-3</v>
      </c>
      <c r="M2150" s="64">
        <f t="shared" si="68"/>
        <v>1.3693437267722311E-2</v>
      </c>
      <c r="N2150" s="33" t="s">
        <v>718</v>
      </c>
    </row>
    <row r="2151" spans="1:14" ht="15">
      <c r="A2151" s="12"/>
      <c r="B2151" s="33" t="s">
        <v>185</v>
      </c>
      <c r="C2151" s="92" t="s">
        <v>734</v>
      </c>
      <c r="D2151" s="33" t="s">
        <v>411</v>
      </c>
      <c r="E2151" s="34">
        <v>45138</v>
      </c>
      <c r="F2151" s="34">
        <v>45139</v>
      </c>
      <c r="G2151" s="34">
        <v>45142</v>
      </c>
      <c r="H2151" s="35">
        <v>4.7500000000000001E-2</v>
      </c>
      <c r="I2151" s="67">
        <v>0.24179999999999999</v>
      </c>
      <c r="J2151" s="67">
        <v>0.16694534026557412</v>
      </c>
      <c r="K2151" s="67">
        <v>7.4854659734425871E-2</v>
      </c>
      <c r="L2151" s="36">
        <f>+K2151-((K2151*0.5965*0.125)+(K2151*(1-0.5965)*0.26))</f>
        <v>6.142030681523912E-2</v>
      </c>
      <c r="M2151" s="64">
        <f t="shared" si="68"/>
        <v>0.22836564708081325</v>
      </c>
      <c r="N2151" s="33" t="s">
        <v>718</v>
      </c>
    </row>
    <row r="2152" spans="1:14" ht="15">
      <c r="A2152" s="12"/>
      <c r="B2152" s="33" t="s">
        <v>193</v>
      </c>
      <c r="C2152" s="92" t="s">
        <v>735</v>
      </c>
      <c r="D2152" s="33" t="s">
        <v>411</v>
      </c>
      <c r="E2152" s="34">
        <v>45138</v>
      </c>
      <c r="F2152" s="34">
        <v>45139</v>
      </c>
      <c r="G2152" s="34">
        <v>45142</v>
      </c>
      <c r="H2152" s="35">
        <v>4.7500000000000001E-2</v>
      </c>
      <c r="I2152" s="67">
        <v>0.23899999999999999</v>
      </c>
      <c r="J2152" s="67">
        <v>0.13957396446790477</v>
      </c>
      <c r="K2152" s="67">
        <v>9.9426035532095225E-2</v>
      </c>
      <c r="L2152" s="36">
        <f>+K2152-((K2152*0.5965*0.125)+(K2152*(1-0.5965)*0.26))</f>
        <v>8.1581796370061271E-2</v>
      </c>
      <c r="M2152" s="64">
        <f t="shared" si="68"/>
        <v>0.22115576083796604</v>
      </c>
      <c r="N2152" s="33" t="s">
        <v>718</v>
      </c>
    </row>
    <row r="2153" spans="1:14" ht="15">
      <c r="A2153" s="12"/>
      <c r="B2153" s="33" t="s">
        <v>309</v>
      </c>
      <c r="C2153" s="92" t="s">
        <v>736</v>
      </c>
      <c r="D2153" s="33" t="s">
        <v>411</v>
      </c>
      <c r="E2153" s="34">
        <v>45138</v>
      </c>
      <c r="F2153" s="34">
        <v>45139</v>
      </c>
      <c r="G2153" s="34">
        <v>45142</v>
      </c>
      <c r="H2153" s="35">
        <v>4.7500000000000001E-2</v>
      </c>
      <c r="I2153" s="67">
        <v>1.5800000000000002E-2</v>
      </c>
      <c r="J2153" s="67">
        <v>1.0213570756189444E-2</v>
      </c>
      <c r="K2153" s="67">
        <v>5.5864292438105563E-3</v>
      </c>
      <c r="L2153" s="36">
        <f>+K2153-((K2153*0.08*0.125)+(K2153*(1-0.08)*0.26))</f>
        <v>4.1942910762529659E-3</v>
      </c>
      <c r="M2153" s="64">
        <f t="shared" si="68"/>
        <v>1.4407861832442411E-2</v>
      </c>
      <c r="N2153" s="33" t="s">
        <v>718</v>
      </c>
    </row>
    <row r="2154" spans="1:14" ht="15">
      <c r="A2154" s="12"/>
      <c r="B2154" s="33" t="s">
        <v>187</v>
      </c>
      <c r="C2154" s="92" t="s">
        <v>737</v>
      </c>
      <c r="D2154" s="33" t="s">
        <v>411</v>
      </c>
      <c r="E2154" s="34">
        <v>45138</v>
      </c>
      <c r="F2154" s="34">
        <v>45139</v>
      </c>
      <c r="G2154" s="34">
        <v>45142</v>
      </c>
      <c r="H2154" s="35">
        <v>4.7500000000000001E-2</v>
      </c>
      <c r="I2154" s="67">
        <v>0.27729999999999999</v>
      </c>
      <c r="J2154" s="67">
        <v>0.18879878193669952</v>
      </c>
      <c r="K2154" s="67">
        <v>8.8501218063300469E-2</v>
      </c>
      <c r="L2154" s="36">
        <f>+K2154-((K2154*0.08*0.125)+(K2154*(1-0.08)*0.26))</f>
        <v>6.6446714521925992E-2</v>
      </c>
      <c r="M2154" s="64">
        <f t="shared" si="68"/>
        <v>0.25524549645862549</v>
      </c>
      <c r="N2154" s="33" t="s">
        <v>718</v>
      </c>
    </row>
    <row r="2155" spans="1:14" ht="15">
      <c r="A2155" s="12"/>
      <c r="B2155" s="33" t="s">
        <v>195</v>
      </c>
      <c r="C2155" s="92" t="s">
        <v>738</v>
      </c>
      <c r="D2155" s="33" t="s">
        <v>411</v>
      </c>
      <c r="E2155" s="34">
        <v>45138</v>
      </c>
      <c r="F2155" s="34">
        <v>45139</v>
      </c>
      <c r="G2155" s="34">
        <v>45142</v>
      </c>
      <c r="H2155" s="35">
        <v>4.7500000000000001E-2</v>
      </c>
      <c r="I2155" s="67">
        <v>0.28939999999999999</v>
      </c>
      <c r="J2155" s="67">
        <v>0.16596744582241596</v>
      </c>
      <c r="K2155" s="67">
        <v>0.12343255417758403</v>
      </c>
      <c r="L2155" s="36">
        <f>+K2155-((K2155*0.08*0.125)+(K2155*(1-0.08)*0.26))</f>
        <v>9.2673161676530086E-2</v>
      </c>
      <c r="M2155" s="64">
        <f t="shared" si="68"/>
        <v>0.25864060749894602</v>
      </c>
      <c r="N2155" s="33" t="s">
        <v>718</v>
      </c>
    </row>
    <row r="2156" spans="1:14" ht="15">
      <c r="A2156" s="12"/>
      <c r="B2156" s="33" t="s">
        <v>312</v>
      </c>
      <c r="C2156" s="92" t="s">
        <v>739</v>
      </c>
      <c r="D2156" s="33" t="s">
        <v>411</v>
      </c>
      <c r="E2156" s="34">
        <v>45138</v>
      </c>
      <c r="F2156" s="34">
        <v>45139</v>
      </c>
      <c r="G2156" s="34">
        <v>45142</v>
      </c>
      <c r="H2156" s="35">
        <v>7.0000000000000007E-2</v>
      </c>
      <c r="I2156" s="67">
        <v>2.1899999999999999E-2</v>
      </c>
      <c r="J2156" s="67">
        <v>2.7400622160617082E-3</v>
      </c>
      <c r="K2156" s="67">
        <v>1.9159937783938291E-2</v>
      </c>
      <c r="L2156" s="36">
        <f>+K2156-((K2156*0.00000000001*0.125)+(K2156*(1-0.000000001)*0.26))</f>
        <v>1.417835396507197E-2</v>
      </c>
      <c r="M2156" s="64">
        <f t="shared" si="68"/>
        <v>1.6918416181133676E-2</v>
      </c>
      <c r="N2156" s="33" t="s">
        <v>718</v>
      </c>
    </row>
    <row r="2157" spans="1:14" ht="15">
      <c r="A2157" s="12"/>
      <c r="B2157" s="33" t="s">
        <v>190</v>
      </c>
      <c r="C2157" s="92" t="s">
        <v>740</v>
      </c>
      <c r="D2157" s="33" t="s">
        <v>411</v>
      </c>
      <c r="E2157" s="34">
        <v>45138</v>
      </c>
      <c r="F2157" s="34">
        <v>45139</v>
      </c>
      <c r="G2157" s="34">
        <v>45142</v>
      </c>
      <c r="H2157" s="35">
        <v>7.0000000000000007E-2</v>
      </c>
      <c r="I2157" s="67">
        <v>0.41499999999999998</v>
      </c>
      <c r="J2157" s="67">
        <v>6.2448177394241959E-2</v>
      </c>
      <c r="K2157" s="67">
        <v>0.35255182260575801</v>
      </c>
      <c r="L2157" s="36">
        <f>+K2157-((K2157*0.00000000001*0.125)+(K2157*(1-0.000000001)*0.26))</f>
        <v>0.2608883488194837</v>
      </c>
      <c r="M2157" s="64">
        <f t="shared" si="68"/>
        <v>0.32333652621372566</v>
      </c>
      <c r="N2157" s="33" t="s">
        <v>718</v>
      </c>
    </row>
    <row r="2158" spans="1:14" ht="15">
      <c r="A2158" s="12"/>
      <c r="B2158" s="33" t="s">
        <v>198</v>
      </c>
      <c r="C2158" s="92" t="s">
        <v>741</v>
      </c>
      <c r="D2158" s="33" t="s">
        <v>411</v>
      </c>
      <c r="E2158" s="34">
        <v>45138</v>
      </c>
      <c r="F2158" s="34">
        <v>45139</v>
      </c>
      <c r="G2158" s="34">
        <v>45142</v>
      </c>
      <c r="H2158" s="35">
        <v>7.0000000000000007E-2</v>
      </c>
      <c r="I2158" s="67">
        <v>0.4194</v>
      </c>
      <c r="J2158" s="67">
        <v>3.2286105109703242E-2</v>
      </c>
      <c r="K2158" s="67">
        <v>0.38711389489029674</v>
      </c>
      <c r="L2158" s="36">
        <f>+K2158-((K2158*0.00000000001*0.125)+(K2158*(1-0.000000001)*0.26))</f>
        <v>0.2864642823189853</v>
      </c>
      <c r="M2158" s="64">
        <f t="shared" si="68"/>
        <v>0.31875038742868855</v>
      </c>
      <c r="N2158" s="33" t="s">
        <v>718</v>
      </c>
    </row>
    <row r="2159" spans="1:14" ht="15">
      <c r="A2159" s="12"/>
      <c r="B2159" s="33" t="s">
        <v>513</v>
      </c>
      <c r="C2159" s="92" t="s">
        <v>742</v>
      </c>
      <c r="D2159" s="33" t="s">
        <v>411</v>
      </c>
      <c r="E2159" s="34">
        <v>45138</v>
      </c>
      <c r="F2159" s="34">
        <v>45139</v>
      </c>
      <c r="G2159" s="34">
        <v>45142</v>
      </c>
      <c r="H2159" s="35">
        <v>0.01</v>
      </c>
      <c r="I2159" s="67">
        <v>5.8099999999999999E-2</v>
      </c>
      <c r="J2159" s="67">
        <v>5.8099999999999999E-2</v>
      </c>
      <c r="K2159" s="67">
        <v>0</v>
      </c>
      <c r="L2159" s="36">
        <f>+K2159-((K2159*0.1875*0.125)+(K2159*(1-0.1875)*0.26))</f>
        <v>0</v>
      </c>
      <c r="M2159" s="64">
        <f t="shared" si="68"/>
        <v>5.8099999999999999E-2</v>
      </c>
      <c r="N2159" s="33" t="s">
        <v>718</v>
      </c>
    </row>
    <row r="2160" spans="1:14" ht="15">
      <c r="A2160" s="12"/>
      <c r="B2160" s="33" t="s">
        <v>514</v>
      </c>
      <c r="C2160" s="92" t="s">
        <v>743</v>
      </c>
      <c r="D2160" s="33" t="s">
        <v>411</v>
      </c>
      <c r="E2160" s="34">
        <v>45138</v>
      </c>
      <c r="F2160" s="34">
        <v>45139</v>
      </c>
      <c r="G2160" s="34">
        <v>45142</v>
      </c>
      <c r="H2160" s="35">
        <v>0.01</v>
      </c>
      <c r="I2160" s="67">
        <v>5.9400000000000001E-2</v>
      </c>
      <c r="J2160" s="67">
        <v>5.9400000000000001E-2</v>
      </c>
      <c r="K2160" s="67">
        <v>0</v>
      </c>
      <c r="L2160" s="36">
        <f>+K2160-((K2160*0.1875*0.125)+(K2160*(1-0.1875)*0.26))</f>
        <v>0</v>
      </c>
      <c r="M2160" s="64">
        <f t="shared" si="68"/>
        <v>5.9400000000000001E-2</v>
      </c>
      <c r="N2160" s="33" t="s">
        <v>718</v>
      </c>
    </row>
    <row r="2161" spans="1:14" ht="15">
      <c r="A2161" s="12"/>
      <c r="B2161" s="33" t="s">
        <v>313</v>
      </c>
      <c r="C2161" s="92" t="s">
        <v>744</v>
      </c>
      <c r="D2161" s="33" t="s">
        <v>411</v>
      </c>
      <c r="E2161" s="34">
        <v>45138</v>
      </c>
      <c r="F2161" s="34">
        <v>45139</v>
      </c>
      <c r="G2161" s="34">
        <v>45142</v>
      </c>
      <c r="H2161" s="35">
        <v>4.4999999999999998E-2</v>
      </c>
      <c r="I2161" s="67">
        <v>1.55E-2</v>
      </c>
      <c r="J2161" s="67">
        <v>5.1928600877276876E-3</v>
      </c>
      <c r="K2161" s="67">
        <v>1.0307139912272313E-2</v>
      </c>
      <c r="L2161" s="36">
        <f>+K2161-((K2161*0.288*0.125)+(K2161*(1-0.288)*0.26))</f>
        <v>8.0280251348706592E-3</v>
      </c>
      <c r="M2161" s="64">
        <f t="shared" si="68"/>
        <v>1.3220885222598348E-2</v>
      </c>
      <c r="N2161" s="33" t="s">
        <v>718</v>
      </c>
    </row>
    <row r="2162" spans="1:14" ht="15">
      <c r="A2162" s="12"/>
      <c r="B2162" s="33" t="s">
        <v>310</v>
      </c>
      <c r="C2162" s="92" t="s">
        <v>719</v>
      </c>
      <c r="D2162" s="33" t="s">
        <v>411</v>
      </c>
      <c r="E2162" s="34">
        <v>45169</v>
      </c>
      <c r="F2162" s="34">
        <v>45170</v>
      </c>
      <c r="G2162" s="34">
        <v>45175</v>
      </c>
      <c r="H2162" s="35">
        <v>0.05</v>
      </c>
      <c r="I2162" s="67">
        <v>1.47E-2</v>
      </c>
      <c r="J2162" s="67">
        <v>0</v>
      </c>
      <c r="K2162" s="67">
        <v>1.47E-2</v>
      </c>
      <c r="L2162" s="36">
        <f>+K2162-((K2162*0.051*0.125)+(K2162*(1-0.051)*0.26))</f>
        <v>1.09792095E-2</v>
      </c>
      <c r="M2162" s="64">
        <f t="shared" si="68"/>
        <v>1.09792095E-2</v>
      </c>
      <c r="N2162" s="33" t="s">
        <v>718</v>
      </c>
    </row>
    <row r="2163" spans="1:14" ht="15">
      <c r="A2163" s="12"/>
      <c r="B2163" s="33" t="s">
        <v>188</v>
      </c>
      <c r="C2163" s="92" t="s">
        <v>720</v>
      </c>
      <c r="D2163" s="33" t="s">
        <v>411</v>
      </c>
      <c r="E2163" s="34">
        <v>45169</v>
      </c>
      <c r="F2163" s="34">
        <v>45170</v>
      </c>
      <c r="G2163" s="34">
        <v>45175</v>
      </c>
      <c r="H2163" s="35">
        <v>0.05</v>
      </c>
      <c r="I2163" s="67">
        <v>0.25490000000000002</v>
      </c>
      <c r="J2163" s="67">
        <v>0</v>
      </c>
      <c r="K2163" s="67">
        <v>0.25490000000000002</v>
      </c>
      <c r="L2163" s="36">
        <f>+K2163-((K2163*0.051*0.125)+(K2163*(1-0.051)*0.26))</f>
        <v>0.19038098650000002</v>
      </c>
      <c r="M2163" s="64">
        <f t="shared" si="68"/>
        <v>0.19038098650000002</v>
      </c>
      <c r="N2163" s="33" t="s">
        <v>718</v>
      </c>
    </row>
    <row r="2164" spans="1:14" ht="15">
      <c r="A2164" s="12"/>
      <c r="B2164" s="33" t="s">
        <v>196</v>
      </c>
      <c r="C2164" s="92" t="s">
        <v>721</v>
      </c>
      <c r="D2164" s="33" t="s">
        <v>411</v>
      </c>
      <c r="E2164" s="34">
        <v>45169</v>
      </c>
      <c r="F2164" s="34">
        <v>45170</v>
      </c>
      <c r="G2164" s="34">
        <v>45175</v>
      </c>
      <c r="H2164" s="35">
        <v>0.05</v>
      </c>
      <c r="I2164" s="67">
        <v>0.26769999999999999</v>
      </c>
      <c r="J2164" s="67">
        <v>0</v>
      </c>
      <c r="K2164" s="67">
        <v>0.26769999999999999</v>
      </c>
      <c r="L2164" s="36">
        <f>+K2164-((K2164*0.051*0.125)+(K2164*(1-0.051)*0.26))</f>
        <v>0.19994111450000002</v>
      </c>
      <c r="M2164" s="64">
        <f t="shared" si="68"/>
        <v>0.19994111450000002</v>
      </c>
      <c r="N2164" s="33" t="s">
        <v>718</v>
      </c>
    </row>
    <row r="2165" spans="1:14" ht="15">
      <c r="A2165" s="12"/>
      <c r="B2165" s="33" t="s">
        <v>191</v>
      </c>
      <c r="C2165" s="92" t="s">
        <v>722</v>
      </c>
      <c r="D2165" s="33" t="s">
        <v>411</v>
      </c>
      <c r="E2165" s="34">
        <v>45169</v>
      </c>
      <c r="F2165" s="34">
        <v>45170</v>
      </c>
      <c r="G2165" s="34">
        <v>45175</v>
      </c>
      <c r="H2165" s="35">
        <v>0.03</v>
      </c>
      <c r="I2165" s="67">
        <v>8.6E-3</v>
      </c>
      <c r="J2165" s="67">
        <v>0</v>
      </c>
      <c r="K2165" s="67">
        <v>8.6E-3</v>
      </c>
      <c r="L2165" s="36">
        <f>+K2165-((K2165*0.794*0.125)+(K2165*(1-0.794)*0.26))</f>
        <v>7.2858339999999997E-3</v>
      </c>
      <c r="M2165" s="64">
        <f t="shared" si="68"/>
        <v>7.2858339999999997E-3</v>
      </c>
      <c r="N2165" s="33" t="s">
        <v>718</v>
      </c>
    </row>
    <row r="2166" spans="1:14" ht="15">
      <c r="A2166" s="12"/>
      <c r="B2166" s="33" t="s">
        <v>199</v>
      </c>
      <c r="C2166" s="92" t="s">
        <v>723</v>
      </c>
      <c r="D2166" s="33" t="s">
        <v>411</v>
      </c>
      <c r="E2166" s="34">
        <v>45169</v>
      </c>
      <c r="F2166" s="34">
        <v>45170</v>
      </c>
      <c r="G2166" s="34">
        <v>45175</v>
      </c>
      <c r="H2166" s="35">
        <v>0.03</v>
      </c>
      <c r="I2166" s="67">
        <v>8.6E-3</v>
      </c>
      <c r="J2166" s="67">
        <v>0</v>
      </c>
      <c r="K2166" s="67">
        <v>8.6E-3</v>
      </c>
      <c r="L2166" s="36">
        <f>+K2166-((K2166*0.794*0.125)+(K2166*(1-0.794)*0.26))</f>
        <v>7.2858339999999997E-3</v>
      </c>
      <c r="M2166" s="64">
        <f t="shared" si="68"/>
        <v>7.2858339999999997E-3</v>
      </c>
      <c r="N2166" s="33" t="s">
        <v>718</v>
      </c>
    </row>
    <row r="2167" spans="1:14" ht="15">
      <c r="A2167" s="12"/>
      <c r="B2167" s="33" t="s">
        <v>306</v>
      </c>
      <c r="C2167" s="92" t="s">
        <v>724</v>
      </c>
      <c r="D2167" s="33" t="s">
        <v>411</v>
      </c>
      <c r="E2167" s="34">
        <v>45169</v>
      </c>
      <c r="F2167" s="34">
        <v>45170</v>
      </c>
      <c r="G2167" s="34">
        <v>45175</v>
      </c>
      <c r="H2167" s="35">
        <v>5.5E-2</v>
      </c>
      <c r="I2167" s="67">
        <v>1.89E-2</v>
      </c>
      <c r="J2167" s="67">
        <v>1.1016297415142597E-3</v>
      </c>
      <c r="K2167" s="67">
        <v>1.7798370258485741E-2</v>
      </c>
      <c r="L2167" s="36">
        <f>+K2167-((K2167*0.0395*0.125)+(K2167*(1-0.0395)*0.26))</f>
        <v>1.3265703800682822E-2</v>
      </c>
      <c r="M2167" s="64">
        <f t="shared" si="68"/>
        <v>1.4367333542197082E-2</v>
      </c>
      <c r="N2167" s="33" t="s">
        <v>718</v>
      </c>
    </row>
    <row r="2168" spans="1:14" ht="15">
      <c r="A2168" s="12"/>
      <c r="B2168" s="33" t="s">
        <v>184</v>
      </c>
      <c r="C2168" s="92" t="s">
        <v>725</v>
      </c>
      <c r="D2168" s="33" t="s">
        <v>411</v>
      </c>
      <c r="E2168" s="34">
        <v>45169</v>
      </c>
      <c r="F2168" s="34">
        <v>45170</v>
      </c>
      <c r="G2168" s="34">
        <v>45175</v>
      </c>
      <c r="H2168" s="35">
        <v>5.5E-2</v>
      </c>
      <c r="I2168" s="67">
        <v>0.38009999999999999</v>
      </c>
      <c r="J2168" s="67">
        <v>2.2508370555149638E-2</v>
      </c>
      <c r="K2168" s="67">
        <v>0.35759162944485035</v>
      </c>
      <c r="L2168" s="36">
        <f>+K2168-((K2168*0.0395*0.125)+(K2168*(1-0.0395)*0.26))</f>
        <v>0.26652466315320389</v>
      </c>
      <c r="M2168" s="64">
        <f t="shared" si="68"/>
        <v>0.28903303370835354</v>
      </c>
      <c r="N2168" s="33" t="s">
        <v>718</v>
      </c>
    </row>
    <row r="2169" spans="1:14" ht="15">
      <c r="A2169" s="12"/>
      <c r="B2169" s="33" t="s">
        <v>192</v>
      </c>
      <c r="C2169" s="92" t="s">
        <v>726</v>
      </c>
      <c r="D2169" s="33" t="s">
        <v>411</v>
      </c>
      <c r="E2169" s="34">
        <v>45169</v>
      </c>
      <c r="F2169" s="34">
        <v>45170</v>
      </c>
      <c r="G2169" s="34">
        <v>45175</v>
      </c>
      <c r="H2169" s="35">
        <v>5.5E-2</v>
      </c>
      <c r="I2169" s="67">
        <v>0.3876</v>
      </c>
      <c r="J2169" s="67">
        <v>2.2967749065760525E-2</v>
      </c>
      <c r="K2169" s="67">
        <v>0.36463225093423945</v>
      </c>
      <c r="L2169" s="36">
        <f>+K2169-((K2169*0.0395*0.125)+(K2169*(1-0.0395)*0.26))</f>
        <v>0.27177226716944403</v>
      </c>
      <c r="M2169" s="64">
        <f t="shared" ref="M2169:M2232" si="70">J2169+L2169</f>
        <v>0.29474001623520457</v>
      </c>
      <c r="N2169" s="33" t="s">
        <v>718</v>
      </c>
    </row>
    <row r="2170" spans="1:14" ht="15">
      <c r="A2170" s="12"/>
      <c r="B2170" s="33" t="s">
        <v>311</v>
      </c>
      <c r="C2170" s="92" t="s">
        <v>727</v>
      </c>
      <c r="D2170" s="33" t="s">
        <v>411</v>
      </c>
      <c r="E2170" s="34">
        <v>45169</v>
      </c>
      <c r="F2170" s="34">
        <v>45170</v>
      </c>
      <c r="G2170" s="34">
        <v>45175</v>
      </c>
      <c r="H2170" s="35">
        <v>4.2500000000000003E-2</v>
      </c>
      <c r="I2170" s="67">
        <v>1.6E-2</v>
      </c>
      <c r="J2170" s="67">
        <v>0</v>
      </c>
      <c r="K2170" s="67">
        <v>1.6E-2</v>
      </c>
      <c r="L2170" s="36">
        <f>+K2170-((K2170*0.01*0.125)+(K2170*(1-0.01)*0.26))</f>
        <v>1.18616E-2</v>
      </c>
      <c r="M2170" s="64">
        <f t="shared" si="70"/>
        <v>1.18616E-2</v>
      </c>
      <c r="N2170" s="33" t="s">
        <v>718</v>
      </c>
    </row>
    <row r="2171" spans="1:14" ht="15">
      <c r="A2171" s="12"/>
      <c r="B2171" s="33" t="s">
        <v>189</v>
      </c>
      <c r="C2171" s="92" t="s">
        <v>728</v>
      </c>
      <c r="D2171" s="33" t="s">
        <v>411</v>
      </c>
      <c r="E2171" s="34">
        <v>45169</v>
      </c>
      <c r="F2171" s="34">
        <v>45170</v>
      </c>
      <c r="G2171" s="34">
        <v>45175</v>
      </c>
      <c r="H2171" s="35">
        <v>4.2500000000000003E-2</v>
      </c>
      <c r="I2171" s="67">
        <v>0.29170000000000001</v>
      </c>
      <c r="J2171" s="67">
        <v>0</v>
      </c>
      <c r="K2171" s="67">
        <v>0.29170000000000001</v>
      </c>
      <c r="L2171" s="36">
        <f>+K2171-((K2171*0.01*0.125)+(K2171*(1-0.01)*0.26))</f>
        <v>0.21625179500000002</v>
      </c>
      <c r="M2171" s="64">
        <f t="shared" si="70"/>
        <v>0.21625179500000002</v>
      </c>
      <c r="N2171" s="33" t="s">
        <v>718</v>
      </c>
    </row>
    <row r="2172" spans="1:14" ht="15">
      <c r="A2172" s="12"/>
      <c r="B2172" s="33" t="s">
        <v>197</v>
      </c>
      <c r="C2172" s="92" t="s">
        <v>729</v>
      </c>
      <c r="D2172" s="33" t="s">
        <v>411</v>
      </c>
      <c r="E2172" s="34">
        <v>45169</v>
      </c>
      <c r="F2172" s="34">
        <v>45170</v>
      </c>
      <c r="G2172" s="34">
        <v>45175</v>
      </c>
      <c r="H2172" s="35">
        <v>4.2500000000000003E-2</v>
      </c>
      <c r="I2172" s="67">
        <v>0.29980000000000001</v>
      </c>
      <c r="J2172" s="67">
        <v>0</v>
      </c>
      <c r="K2172" s="67">
        <v>0.29980000000000001</v>
      </c>
      <c r="L2172" s="36">
        <f>+K2172-((K2172*0.01*0.125)+(K2172*(1-0.01)*0.26))</f>
        <v>0.22225673000000001</v>
      </c>
      <c r="M2172" s="64">
        <f t="shared" si="70"/>
        <v>0.22225673000000001</v>
      </c>
      <c r="N2172" s="33" t="s">
        <v>718</v>
      </c>
    </row>
    <row r="2173" spans="1:14" ht="15">
      <c r="A2173" s="12"/>
      <c r="B2173" s="33" t="s">
        <v>308</v>
      </c>
      <c r="C2173" s="92" t="s">
        <v>730</v>
      </c>
      <c r="D2173" s="33" t="s">
        <v>411</v>
      </c>
      <c r="E2173" s="34">
        <v>45169</v>
      </c>
      <c r="F2173" s="34">
        <v>45170</v>
      </c>
      <c r="G2173" s="34">
        <v>45175</v>
      </c>
      <c r="H2173" s="35">
        <v>4.2500000000000003E-2</v>
      </c>
      <c r="I2173" s="67">
        <v>1.4500000000000001E-2</v>
      </c>
      <c r="J2173" s="67">
        <v>1.5472930045000066E-3</v>
      </c>
      <c r="K2173" s="67">
        <v>1.2952706995499995E-2</v>
      </c>
      <c r="L2173" s="36">
        <f>+K2173-((K2173*0.49*0.125)+(K2173*(1-0.49)*0.26))</f>
        <v>1.0441824744422321E-2</v>
      </c>
      <c r="M2173" s="64">
        <f t="shared" si="70"/>
        <v>1.1989117748922327E-2</v>
      </c>
      <c r="N2173" s="33" t="s">
        <v>718</v>
      </c>
    </row>
    <row r="2174" spans="1:14" ht="15">
      <c r="A2174" s="12"/>
      <c r="B2174" s="33" t="s">
        <v>186</v>
      </c>
      <c r="C2174" s="92" t="s">
        <v>731</v>
      </c>
      <c r="D2174" s="33" t="s">
        <v>411</v>
      </c>
      <c r="E2174" s="34">
        <v>45169</v>
      </c>
      <c r="F2174" s="34">
        <v>45170</v>
      </c>
      <c r="G2174" s="34">
        <v>45175</v>
      </c>
      <c r="H2174" s="35">
        <v>4.2500000000000003E-2</v>
      </c>
      <c r="I2174" s="67">
        <v>0.26669999999999999</v>
      </c>
      <c r="J2174" s="67">
        <v>2.8916289404386574E-2</v>
      </c>
      <c r="K2174" s="67">
        <v>0.23778371059561343</v>
      </c>
      <c r="L2174" s="36">
        <f>+K2174-((K2174*0.49*0.125)+(K2174*(1-0.49)*0.26))</f>
        <v>0.19168933829665377</v>
      </c>
      <c r="M2174" s="64">
        <f t="shared" si="70"/>
        <v>0.22060562770104034</v>
      </c>
      <c r="N2174" s="33" t="s">
        <v>718</v>
      </c>
    </row>
    <row r="2175" spans="1:14" ht="15">
      <c r="A2175" s="12"/>
      <c r="B2175" s="33" t="s">
        <v>194</v>
      </c>
      <c r="C2175" s="92" t="s">
        <v>732</v>
      </c>
      <c r="D2175" s="33" t="s">
        <v>411</v>
      </c>
      <c r="E2175" s="34">
        <v>45169</v>
      </c>
      <c r="F2175" s="34">
        <v>45170</v>
      </c>
      <c r="G2175" s="34">
        <v>45175</v>
      </c>
      <c r="H2175" s="35">
        <v>4.2500000000000003E-2</v>
      </c>
      <c r="I2175" s="67">
        <v>0.27589999999999998</v>
      </c>
      <c r="J2175" s="67">
        <v>3.0988795258735755E-2</v>
      </c>
      <c r="K2175" s="67">
        <v>0.24491120474126421</v>
      </c>
      <c r="L2175" s="36">
        <f>+K2175-((K2175*0.49*0.125)+(K2175*(1-0.49)*0.26))</f>
        <v>0.19743516770217012</v>
      </c>
      <c r="M2175" s="64">
        <f t="shared" si="70"/>
        <v>0.22842396296090589</v>
      </c>
      <c r="N2175" s="33" t="s">
        <v>718</v>
      </c>
    </row>
    <row r="2176" spans="1:14" ht="15">
      <c r="A2176" s="12"/>
      <c r="B2176" s="33" t="s">
        <v>307</v>
      </c>
      <c r="C2176" s="92" t="s">
        <v>733</v>
      </c>
      <c r="D2176" s="33" t="s">
        <v>411</v>
      </c>
      <c r="E2176" s="34">
        <v>45169</v>
      </c>
      <c r="F2176" s="34">
        <v>45170</v>
      </c>
      <c r="G2176" s="34">
        <v>45175</v>
      </c>
      <c r="H2176" s="35">
        <v>4.7500000000000001E-2</v>
      </c>
      <c r="I2176" s="67">
        <v>1.46E-2</v>
      </c>
      <c r="J2176" s="67">
        <v>2.8228247987119263E-3</v>
      </c>
      <c r="K2176" s="67">
        <v>1.1777175201288074E-2</v>
      </c>
      <c r="L2176" s="36">
        <f>+K2176-((K2176*0.5965*0.125)+(K2176*(1-0.5965)*0.26))</f>
        <v>9.6634961249748991E-3</v>
      </c>
      <c r="M2176" s="64">
        <f t="shared" si="70"/>
        <v>1.2486320923686825E-2</v>
      </c>
      <c r="N2176" s="33" t="s">
        <v>718</v>
      </c>
    </row>
    <row r="2177" spans="1:14" ht="15">
      <c r="A2177" s="12"/>
      <c r="B2177" s="33" t="s">
        <v>185</v>
      </c>
      <c r="C2177" s="92" t="s">
        <v>734</v>
      </c>
      <c r="D2177" s="33" t="s">
        <v>411</v>
      </c>
      <c r="E2177" s="34">
        <v>45169</v>
      </c>
      <c r="F2177" s="34">
        <v>45170</v>
      </c>
      <c r="G2177" s="34">
        <v>45175</v>
      </c>
      <c r="H2177" s="35">
        <v>4.7500000000000001E-2</v>
      </c>
      <c r="I2177" s="67">
        <v>0.24179999999999999</v>
      </c>
      <c r="J2177" s="67">
        <v>4.6538267042283213E-2</v>
      </c>
      <c r="K2177" s="67">
        <v>0.19526173295771676</v>
      </c>
      <c r="L2177" s="36">
        <f>+K2177-((K2177*0.5965*0.125)+(K2177*(1-0.5965)*0.26))</f>
        <v>0.16021762158946296</v>
      </c>
      <c r="M2177" s="64">
        <f t="shared" si="70"/>
        <v>0.20675588863174615</v>
      </c>
      <c r="N2177" s="33" t="s">
        <v>718</v>
      </c>
    </row>
    <row r="2178" spans="1:14" ht="15">
      <c r="A2178" s="12"/>
      <c r="B2178" s="33" t="s">
        <v>193</v>
      </c>
      <c r="C2178" s="92" t="s">
        <v>735</v>
      </c>
      <c r="D2178" s="33" t="s">
        <v>411</v>
      </c>
      <c r="E2178" s="34">
        <v>45169</v>
      </c>
      <c r="F2178" s="34">
        <v>45170</v>
      </c>
      <c r="G2178" s="34">
        <v>45175</v>
      </c>
      <c r="H2178" s="35">
        <v>4.7500000000000001E-2</v>
      </c>
      <c r="I2178" s="67">
        <v>0.23899999999999999</v>
      </c>
      <c r="J2178" s="67">
        <v>4.704098481679498E-2</v>
      </c>
      <c r="K2178" s="67">
        <v>0.19195901518320502</v>
      </c>
      <c r="L2178" s="36">
        <f>+K2178-((K2178*0.5965*0.125)+(K2178*(1-0.5965)*0.26))</f>
        <v>0.15750765083073726</v>
      </c>
      <c r="M2178" s="64">
        <f t="shared" si="70"/>
        <v>0.20454863564753223</v>
      </c>
      <c r="N2178" s="33" t="s">
        <v>718</v>
      </c>
    </row>
    <row r="2179" spans="1:14" ht="15">
      <c r="A2179" s="12"/>
      <c r="B2179" s="33" t="s">
        <v>309</v>
      </c>
      <c r="C2179" s="92" t="s">
        <v>736</v>
      </c>
      <c r="D2179" s="33" t="s">
        <v>411</v>
      </c>
      <c r="E2179" s="34">
        <v>45169</v>
      </c>
      <c r="F2179" s="34">
        <v>45170</v>
      </c>
      <c r="G2179" s="34">
        <v>45175</v>
      </c>
      <c r="H2179" s="35">
        <v>4.7500000000000001E-2</v>
      </c>
      <c r="I2179" s="67">
        <v>1.5800000000000002E-2</v>
      </c>
      <c r="J2179" s="67">
        <v>1.2389643576227937E-3</v>
      </c>
      <c r="K2179" s="67">
        <v>1.4561035642377207E-2</v>
      </c>
      <c r="L2179" s="36">
        <f>+K2179-((K2179*0.08*0.125)+(K2179*(1-0.08)*0.26))</f>
        <v>1.0932425560296806E-2</v>
      </c>
      <c r="M2179" s="64">
        <f t="shared" si="70"/>
        <v>1.2171389917919599E-2</v>
      </c>
      <c r="N2179" s="33" t="s">
        <v>718</v>
      </c>
    </row>
    <row r="2180" spans="1:14" ht="15">
      <c r="A2180" s="12"/>
      <c r="B2180" s="33" t="s">
        <v>187</v>
      </c>
      <c r="C2180" s="92" t="s">
        <v>737</v>
      </c>
      <c r="D2180" s="33" t="s">
        <v>411</v>
      </c>
      <c r="E2180" s="34">
        <v>45169</v>
      </c>
      <c r="F2180" s="34">
        <v>45170</v>
      </c>
      <c r="G2180" s="34">
        <v>45175</v>
      </c>
      <c r="H2180" s="35">
        <v>4.7500000000000001E-2</v>
      </c>
      <c r="I2180" s="67">
        <v>0.27729999999999999</v>
      </c>
      <c r="J2180" s="67">
        <v>2.0631555952351943E-2</v>
      </c>
      <c r="K2180" s="67">
        <v>0.25666844404764805</v>
      </c>
      <c r="L2180" s="36">
        <f>+K2180-((K2180*0.08*0.125)+(K2180*(1-0.08)*0.26))</f>
        <v>0.19270666779097415</v>
      </c>
      <c r="M2180" s="64">
        <f t="shared" si="70"/>
        <v>0.21333822374332609</v>
      </c>
      <c r="N2180" s="33" t="s">
        <v>718</v>
      </c>
    </row>
    <row r="2181" spans="1:14" ht="15">
      <c r="A2181" s="12"/>
      <c r="B2181" s="33" t="s">
        <v>195</v>
      </c>
      <c r="C2181" s="92" t="s">
        <v>738</v>
      </c>
      <c r="D2181" s="33" t="s">
        <v>411</v>
      </c>
      <c r="E2181" s="34">
        <v>45169</v>
      </c>
      <c r="F2181" s="34">
        <v>45170</v>
      </c>
      <c r="G2181" s="34">
        <v>45175</v>
      </c>
      <c r="H2181" s="35">
        <v>4.7500000000000001E-2</v>
      </c>
      <c r="I2181" s="67">
        <v>0.28939999999999999</v>
      </c>
      <c r="J2181" s="67">
        <v>2.2863002767918209E-2</v>
      </c>
      <c r="K2181" s="67">
        <v>0.2665369972320818</v>
      </c>
      <c r="L2181" s="36">
        <f>+K2181-((K2181*0.08*0.125)+(K2181*(1-0.08)*0.26))</f>
        <v>0.20011597752184701</v>
      </c>
      <c r="M2181" s="64">
        <f t="shared" si="70"/>
        <v>0.22297898028976521</v>
      </c>
      <c r="N2181" s="33" t="s">
        <v>718</v>
      </c>
    </row>
    <row r="2182" spans="1:14" ht="15">
      <c r="A2182" s="12"/>
      <c r="B2182" s="33" t="s">
        <v>312</v>
      </c>
      <c r="C2182" s="92" t="s">
        <v>739</v>
      </c>
      <c r="D2182" s="33" t="s">
        <v>411</v>
      </c>
      <c r="E2182" s="34">
        <v>45169</v>
      </c>
      <c r="F2182" s="34">
        <v>45170</v>
      </c>
      <c r="G2182" s="34">
        <v>45175</v>
      </c>
      <c r="H2182" s="35">
        <v>7.0000000000000007E-2</v>
      </c>
      <c r="I2182" s="67">
        <v>2.1899999999999999E-2</v>
      </c>
      <c r="J2182" s="67">
        <v>6.648920128698638E-5</v>
      </c>
      <c r="K2182" s="67">
        <v>2.1833510798713013E-2</v>
      </c>
      <c r="L2182" s="36">
        <f>+K2182-((K2182*0.00000000001*0.125)+(K2182*(1-0.000000001)*0.26))</f>
        <v>1.6156797996697052E-2</v>
      </c>
      <c r="M2182" s="64">
        <f t="shared" si="70"/>
        <v>1.6223287197984038E-2</v>
      </c>
      <c r="N2182" s="33" t="s">
        <v>718</v>
      </c>
    </row>
    <row r="2183" spans="1:14" ht="15">
      <c r="A2183" s="12"/>
      <c r="B2183" s="33" t="s">
        <v>190</v>
      </c>
      <c r="C2183" s="92" t="s">
        <v>740</v>
      </c>
      <c r="D2183" s="33" t="s">
        <v>411</v>
      </c>
      <c r="E2183" s="34">
        <v>45169</v>
      </c>
      <c r="F2183" s="34">
        <v>45170</v>
      </c>
      <c r="G2183" s="34">
        <v>45175</v>
      </c>
      <c r="H2183" s="35">
        <v>7.0000000000000007E-2</v>
      </c>
      <c r="I2183" s="67">
        <v>0.41499999999999998</v>
      </c>
      <c r="J2183" s="67">
        <v>2.5062120300371536E-3</v>
      </c>
      <c r="K2183" s="67">
        <v>0.41249378796996283</v>
      </c>
      <c r="L2183" s="36">
        <f>+K2183-((K2183*0.00000000001*0.125)+(K2183*(1-0.000000001)*0.26))</f>
        <v>0.30524540320450527</v>
      </c>
      <c r="M2183" s="64">
        <f t="shared" si="70"/>
        <v>0.30775161523454242</v>
      </c>
      <c r="N2183" s="33" t="s">
        <v>718</v>
      </c>
    </row>
    <row r="2184" spans="1:14" ht="15">
      <c r="A2184" s="12"/>
      <c r="B2184" s="33" t="s">
        <v>198</v>
      </c>
      <c r="C2184" s="92" t="s">
        <v>741</v>
      </c>
      <c r="D2184" s="33" t="s">
        <v>411</v>
      </c>
      <c r="E2184" s="34">
        <v>45169</v>
      </c>
      <c r="F2184" s="34">
        <v>45170</v>
      </c>
      <c r="G2184" s="34">
        <v>45175</v>
      </c>
      <c r="H2184" s="35">
        <v>7.0000000000000007E-2</v>
      </c>
      <c r="I2184" s="67">
        <v>0.4194</v>
      </c>
      <c r="J2184" s="67">
        <v>2.1789542643002517E-3</v>
      </c>
      <c r="K2184" s="67">
        <v>0.41722104573569974</v>
      </c>
      <c r="L2184" s="36">
        <f>+K2184-((K2184*0.00000000001*0.125)+(K2184*(1-0.000000001)*0.26))</f>
        <v>0.30874357395237373</v>
      </c>
      <c r="M2184" s="64">
        <f t="shared" si="70"/>
        <v>0.31092252821667399</v>
      </c>
      <c r="N2184" s="33" t="s">
        <v>718</v>
      </c>
    </row>
    <row r="2185" spans="1:14" ht="15">
      <c r="A2185" s="12"/>
      <c r="B2185" s="33" t="s">
        <v>513</v>
      </c>
      <c r="C2185" s="92" t="s">
        <v>742</v>
      </c>
      <c r="D2185" s="33" t="s">
        <v>411</v>
      </c>
      <c r="E2185" s="34">
        <v>45169</v>
      </c>
      <c r="F2185" s="34">
        <v>45170</v>
      </c>
      <c r="G2185" s="34">
        <v>45175</v>
      </c>
      <c r="H2185" s="35">
        <v>0.01</v>
      </c>
      <c r="I2185" s="67">
        <v>5.8099999999999999E-2</v>
      </c>
      <c r="J2185" s="67">
        <v>0</v>
      </c>
      <c r="K2185" s="67">
        <v>5.8099999999999999E-2</v>
      </c>
      <c r="L2185" s="36">
        <f>+K2185-((K2185*0.1875*0.125)+(K2185*(1-0.1875)*0.26))</f>
        <v>4.4464656249999998E-2</v>
      </c>
      <c r="M2185" s="64">
        <f t="shared" si="70"/>
        <v>4.4464656249999998E-2</v>
      </c>
      <c r="N2185" s="33" t="s">
        <v>718</v>
      </c>
    </row>
    <row r="2186" spans="1:14" ht="15">
      <c r="A2186" s="12"/>
      <c r="B2186" s="33" t="s">
        <v>514</v>
      </c>
      <c r="C2186" s="92" t="s">
        <v>743</v>
      </c>
      <c r="D2186" s="33" t="s">
        <v>411</v>
      </c>
      <c r="E2186" s="34">
        <v>45169</v>
      </c>
      <c r="F2186" s="34">
        <v>45170</v>
      </c>
      <c r="G2186" s="34">
        <v>45175</v>
      </c>
      <c r="H2186" s="35">
        <v>0.01</v>
      </c>
      <c r="I2186" s="67">
        <v>5.9400000000000001E-2</v>
      </c>
      <c r="J2186" s="67">
        <v>0</v>
      </c>
      <c r="K2186" s="67">
        <v>5.9400000000000001E-2</v>
      </c>
      <c r="L2186" s="36">
        <f>+K2186-((K2186*0.1875*0.125)+(K2186*(1-0.1875)*0.26))</f>
        <v>4.5459562500000002E-2</v>
      </c>
      <c r="M2186" s="64">
        <f t="shared" si="70"/>
        <v>4.5459562500000002E-2</v>
      </c>
      <c r="N2186" s="33" t="s">
        <v>718</v>
      </c>
    </row>
    <row r="2187" spans="1:14" ht="15">
      <c r="A2187" s="12"/>
      <c r="B2187" s="33" t="s">
        <v>313</v>
      </c>
      <c r="C2187" s="92" t="s">
        <v>744</v>
      </c>
      <c r="D2187" s="33" t="s">
        <v>411</v>
      </c>
      <c r="E2187" s="34">
        <v>45169</v>
      </c>
      <c r="F2187" s="34">
        <v>45170</v>
      </c>
      <c r="G2187" s="34">
        <v>45175</v>
      </c>
      <c r="H2187" s="35">
        <v>4.4999999999999998E-2</v>
      </c>
      <c r="I2187" s="67">
        <v>1.55E-2</v>
      </c>
      <c r="J2187" s="67">
        <v>0</v>
      </c>
      <c r="K2187" s="67">
        <v>1.55E-2</v>
      </c>
      <c r="L2187" s="36">
        <f>+K2187-((K2187*0.288*0.125)+(K2187*(1-0.288)*0.26))</f>
        <v>1.2072640000000001E-2</v>
      </c>
      <c r="M2187" s="64">
        <f t="shared" si="70"/>
        <v>1.2072640000000001E-2</v>
      </c>
      <c r="N2187" s="33" t="s">
        <v>718</v>
      </c>
    </row>
    <row r="2188" spans="1:14" ht="15">
      <c r="A2188" s="12"/>
      <c r="B2188" s="33" t="s">
        <v>745</v>
      </c>
      <c r="C2188" s="92" t="s">
        <v>746</v>
      </c>
      <c r="D2188" s="33" t="s">
        <v>412</v>
      </c>
      <c r="E2188" s="34">
        <v>45188</v>
      </c>
      <c r="F2188" s="34">
        <v>45189</v>
      </c>
      <c r="G2188" s="34">
        <v>45194</v>
      </c>
      <c r="H2188" s="35"/>
      <c r="I2188" s="67">
        <v>0.05</v>
      </c>
      <c r="J2188" s="67">
        <v>0</v>
      </c>
      <c r="K2188" s="67">
        <v>0.05</v>
      </c>
      <c r="L2188" s="36">
        <f>+K2188-((K2188*0.281*0.125)+(K2188*(1-0.281)*0.26))</f>
        <v>3.8896750000000001E-2</v>
      </c>
      <c r="M2188" s="64">
        <f t="shared" si="70"/>
        <v>3.8896750000000001E-2</v>
      </c>
      <c r="N2188" s="33" t="s">
        <v>288</v>
      </c>
    </row>
    <row r="2189" spans="1:14" ht="15">
      <c r="A2189" s="12"/>
      <c r="B2189" s="33" t="s">
        <v>747</v>
      </c>
      <c r="C2189" s="92" t="s">
        <v>748</v>
      </c>
      <c r="D2189" s="33" t="s">
        <v>412</v>
      </c>
      <c r="E2189" s="34">
        <v>45188</v>
      </c>
      <c r="F2189" s="34">
        <v>45189</v>
      </c>
      <c r="G2189" s="34">
        <v>45194</v>
      </c>
      <c r="H2189" s="35"/>
      <c r="I2189" s="67">
        <v>0.04</v>
      </c>
      <c r="J2189" s="67">
        <v>0</v>
      </c>
      <c r="K2189" s="67">
        <v>0.04</v>
      </c>
      <c r="L2189" s="36">
        <f>+K2189-((K2189*0.281*0.125)+(K2189*(1-0.281)*0.26))</f>
        <v>3.11174E-2</v>
      </c>
      <c r="M2189" s="64">
        <f t="shared" si="70"/>
        <v>3.11174E-2</v>
      </c>
      <c r="N2189" s="33" t="s">
        <v>288</v>
      </c>
    </row>
    <row r="2190" spans="1:14" ht="15">
      <c r="A2190" s="12"/>
      <c r="B2190" s="33" t="s">
        <v>749</v>
      </c>
      <c r="C2190" s="92" t="s">
        <v>750</v>
      </c>
      <c r="D2190" s="33" t="s">
        <v>412</v>
      </c>
      <c r="E2190" s="34">
        <v>45188</v>
      </c>
      <c r="F2190" s="34">
        <v>45189</v>
      </c>
      <c r="G2190" s="34">
        <v>45194</v>
      </c>
      <c r="H2190" s="35"/>
      <c r="I2190" s="67">
        <v>0.04</v>
      </c>
      <c r="J2190" s="67">
        <v>0</v>
      </c>
      <c r="K2190" s="67">
        <v>0.04</v>
      </c>
      <c r="L2190" s="36">
        <f>+K2190-((K2190*0.281*0.125)+(K2190*(1-0.281)*0.26))</f>
        <v>3.11174E-2</v>
      </c>
      <c r="M2190" s="64">
        <f t="shared" si="70"/>
        <v>3.11174E-2</v>
      </c>
      <c r="N2190" s="33" t="s">
        <v>288</v>
      </c>
    </row>
    <row r="2191" spans="1:14" ht="15">
      <c r="A2191" s="12"/>
      <c r="B2191" s="33" t="s">
        <v>272</v>
      </c>
      <c r="C2191" s="92" t="s">
        <v>431</v>
      </c>
      <c r="D2191" s="33" t="s">
        <v>412</v>
      </c>
      <c r="E2191" s="34">
        <v>45188</v>
      </c>
      <c r="F2191" s="34">
        <v>45189</v>
      </c>
      <c r="G2191" s="34">
        <v>45194</v>
      </c>
      <c r="H2191" s="35"/>
      <c r="I2191" s="67">
        <v>0.24</v>
      </c>
      <c r="J2191" s="67">
        <v>0</v>
      </c>
      <c r="K2191" s="67">
        <v>0.24</v>
      </c>
      <c r="L2191" s="36">
        <f>+K2191-((K2191*0.2815*0.125)+(K2191*(1-0.2815)*0.26))</f>
        <v>0.18672059999999999</v>
      </c>
      <c r="M2191" s="64">
        <f t="shared" si="70"/>
        <v>0.18672059999999999</v>
      </c>
      <c r="N2191" s="33" t="s">
        <v>288</v>
      </c>
    </row>
    <row r="2192" spans="1:14" ht="15">
      <c r="A2192" s="12"/>
      <c r="B2192" s="33" t="s">
        <v>273</v>
      </c>
      <c r="C2192" s="92" t="s">
        <v>343</v>
      </c>
      <c r="D2192" s="33" t="s">
        <v>412</v>
      </c>
      <c r="E2192" s="34">
        <v>45188</v>
      </c>
      <c r="F2192" s="34">
        <v>45189</v>
      </c>
      <c r="G2192" s="34">
        <v>45194</v>
      </c>
      <c r="H2192" s="35"/>
      <c r="I2192" s="67">
        <v>0.18</v>
      </c>
      <c r="J2192" s="67">
        <v>0</v>
      </c>
      <c r="K2192" s="67">
        <v>0.18</v>
      </c>
      <c r="L2192" s="36">
        <f>+K2192-((K2192*0.794*0.125)+(K2192*(1-0.794)*0.26))</f>
        <v>0.1524942</v>
      </c>
      <c r="M2192" s="64">
        <f t="shared" si="70"/>
        <v>0.1524942</v>
      </c>
      <c r="N2192" s="33" t="s">
        <v>288</v>
      </c>
    </row>
    <row r="2193" spans="1:14" ht="15">
      <c r="A2193" s="12"/>
      <c r="B2193" s="33" t="s">
        <v>274</v>
      </c>
      <c r="C2193" s="92" t="s">
        <v>432</v>
      </c>
      <c r="D2193" s="33" t="s">
        <v>412</v>
      </c>
      <c r="E2193" s="34">
        <v>45188</v>
      </c>
      <c r="F2193" s="34">
        <v>45189</v>
      </c>
      <c r="G2193" s="34">
        <v>45194</v>
      </c>
      <c r="H2193" s="35"/>
      <c r="I2193" s="67">
        <v>0.16</v>
      </c>
      <c r="J2193" s="67">
        <v>0</v>
      </c>
      <c r="K2193" s="67">
        <v>0.16</v>
      </c>
      <c r="L2193" s="36">
        <f>+K2193-((K2193*0.794*0.125)+(K2193*(1-0.794)*0.26))</f>
        <v>0.13555040000000002</v>
      </c>
      <c r="M2193" s="64">
        <f t="shared" si="70"/>
        <v>0.13555040000000002</v>
      </c>
      <c r="N2193" s="33" t="s">
        <v>288</v>
      </c>
    </row>
    <row r="2194" spans="1:14" ht="15">
      <c r="A2194" s="12"/>
      <c r="B2194" s="33" t="s">
        <v>275</v>
      </c>
      <c r="C2194" s="92" t="s">
        <v>418</v>
      </c>
      <c r="D2194" s="33" t="s">
        <v>412</v>
      </c>
      <c r="E2194" s="34">
        <v>45188</v>
      </c>
      <c r="F2194" s="34">
        <v>45189</v>
      </c>
      <c r="G2194" s="34">
        <v>45194</v>
      </c>
      <c r="H2194" s="35"/>
      <c r="I2194" s="67">
        <v>0.03</v>
      </c>
      <c r="J2194" s="67">
        <v>0</v>
      </c>
      <c r="K2194" s="67">
        <v>0.03</v>
      </c>
      <c r="L2194" s="36">
        <f>+K2194-((K2194*0.5625*0.125)+(K2194*(1-0.5625)*0.26))</f>
        <v>2.4478124999999996E-2</v>
      </c>
      <c r="M2194" s="64">
        <f t="shared" si="70"/>
        <v>2.4478124999999996E-2</v>
      </c>
      <c r="N2194" s="33" t="s">
        <v>288</v>
      </c>
    </row>
    <row r="2195" spans="1:14" ht="15">
      <c r="A2195" s="12"/>
      <c r="B2195" s="33" t="s">
        <v>276</v>
      </c>
      <c r="C2195" s="92" t="s">
        <v>419</v>
      </c>
      <c r="D2195" s="33" t="s">
        <v>412</v>
      </c>
      <c r="E2195" s="34">
        <v>45188</v>
      </c>
      <c r="F2195" s="34">
        <v>45189</v>
      </c>
      <c r="G2195" s="34">
        <v>45194</v>
      </c>
      <c r="H2195" s="35"/>
      <c r="I2195" s="67">
        <v>0</v>
      </c>
      <c r="J2195" s="67">
        <v>0</v>
      </c>
      <c r="K2195" s="67">
        <v>0</v>
      </c>
      <c r="L2195" s="36">
        <f>+K2195-((K2195*0.5625*0.125)+(K2195*(1-0.5625)*0.26))</f>
        <v>0</v>
      </c>
      <c r="M2195" s="64">
        <f t="shared" si="70"/>
        <v>0</v>
      </c>
      <c r="N2195" s="33" t="s">
        <v>288</v>
      </c>
    </row>
    <row r="2196" spans="1:14" ht="15">
      <c r="A2196" s="12"/>
      <c r="B2196" s="33" t="s">
        <v>696</v>
      </c>
      <c r="C2196" s="92" t="s">
        <v>695</v>
      </c>
      <c r="D2196" s="33" t="s">
        <v>412</v>
      </c>
      <c r="E2196" s="34">
        <v>45188</v>
      </c>
      <c r="F2196" s="34">
        <v>45189</v>
      </c>
      <c r="G2196" s="34">
        <v>45194</v>
      </c>
      <c r="H2196" s="35"/>
      <c r="I2196" s="67">
        <v>0.08</v>
      </c>
      <c r="J2196" s="67">
        <v>0</v>
      </c>
      <c r="K2196" s="67">
        <v>0.08</v>
      </c>
      <c r="L2196" s="36">
        <f>+K2196-((K2196*0.252*0.125)+(K2196*(1-0.252)*0.26))</f>
        <v>6.19216E-2</v>
      </c>
      <c r="M2196" s="64">
        <f t="shared" si="70"/>
        <v>6.19216E-2</v>
      </c>
      <c r="N2196" s="33" t="s">
        <v>288</v>
      </c>
    </row>
    <row r="2197" spans="1:14" ht="15">
      <c r="A2197" s="12"/>
      <c r="B2197" s="33" t="s">
        <v>280</v>
      </c>
      <c r="C2197" s="92" t="s">
        <v>385</v>
      </c>
      <c r="D2197" s="33" t="s">
        <v>412</v>
      </c>
      <c r="E2197" s="34">
        <v>45188</v>
      </c>
      <c r="F2197" s="34">
        <v>45189</v>
      </c>
      <c r="G2197" s="34">
        <v>45194</v>
      </c>
      <c r="H2197" s="35"/>
      <c r="I2197" s="67">
        <v>0.18</v>
      </c>
      <c r="J2197" s="67">
        <v>0</v>
      </c>
      <c r="K2197" s="67">
        <v>0.18</v>
      </c>
      <c r="L2197" s="36">
        <f>+K2197-((K2197*0.016*0.125)+(K2197*(1-0.016)*0.26))</f>
        <v>0.13358880000000001</v>
      </c>
      <c r="M2197" s="64">
        <f t="shared" si="70"/>
        <v>0.13358880000000001</v>
      </c>
      <c r="N2197" s="33" t="s">
        <v>288</v>
      </c>
    </row>
    <row r="2198" spans="1:14" ht="15">
      <c r="A2198" s="12"/>
      <c r="B2198" s="33" t="s">
        <v>281</v>
      </c>
      <c r="C2198" s="92" t="s">
        <v>433</v>
      </c>
      <c r="D2198" s="33" t="s">
        <v>412</v>
      </c>
      <c r="E2198" s="34">
        <v>45188</v>
      </c>
      <c r="F2198" s="34">
        <v>45189</v>
      </c>
      <c r="G2198" s="34">
        <v>45194</v>
      </c>
      <c r="H2198" s="35"/>
      <c r="I2198" s="67">
        <v>0.17</v>
      </c>
      <c r="J2198" s="67">
        <v>0</v>
      </c>
      <c r="K2198" s="67">
        <v>0.17</v>
      </c>
      <c r="L2198" s="36">
        <f>+K2198-((K2198*0.048*0.125)+(K2198*(1-0.048)*0.26))</f>
        <v>0.1269016</v>
      </c>
      <c r="M2198" s="64">
        <f t="shared" si="70"/>
        <v>0.1269016</v>
      </c>
      <c r="N2198" s="33" t="s">
        <v>288</v>
      </c>
    </row>
    <row r="2199" spans="1:14" ht="15">
      <c r="A2199" s="12"/>
      <c r="B2199" s="33" t="s">
        <v>282</v>
      </c>
      <c r="C2199" s="92" t="s">
        <v>434</v>
      </c>
      <c r="D2199" s="33" t="s">
        <v>412</v>
      </c>
      <c r="E2199" s="34">
        <v>45188</v>
      </c>
      <c r="F2199" s="34">
        <v>45189</v>
      </c>
      <c r="G2199" s="34">
        <v>45194</v>
      </c>
      <c r="H2199" s="35"/>
      <c r="I2199" s="67">
        <v>0.19</v>
      </c>
      <c r="J2199" s="67">
        <v>0</v>
      </c>
      <c r="K2199" s="67">
        <v>0.19</v>
      </c>
      <c r="L2199" s="36">
        <f>+K2199-((K2199*0.242*0.125)+(K2199*(1-0.242)*0.26))</f>
        <v>0.1468073</v>
      </c>
      <c r="M2199" s="64">
        <f t="shared" si="70"/>
        <v>0.1468073</v>
      </c>
      <c r="N2199" s="33" t="s">
        <v>288</v>
      </c>
    </row>
    <row r="2200" spans="1:14" ht="15">
      <c r="A2200" s="12"/>
      <c r="B2200" s="33" t="s">
        <v>283</v>
      </c>
      <c r="C2200" s="92" t="s">
        <v>435</v>
      </c>
      <c r="D2200" s="33" t="s">
        <v>412</v>
      </c>
      <c r="E2200" s="34">
        <v>45188</v>
      </c>
      <c r="F2200" s="34">
        <v>45189</v>
      </c>
      <c r="G2200" s="34">
        <v>45194</v>
      </c>
      <c r="H2200" s="35"/>
      <c r="I2200" s="67">
        <v>0.13</v>
      </c>
      <c r="J2200" s="67">
        <v>0</v>
      </c>
      <c r="K2200" s="67">
        <v>0.13</v>
      </c>
      <c r="L2200" s="36">
        <f>+K2200-((K2200*0.242*0.125)+(K2200*(1-0.242)*0.26))</f>
        <v>0.10044710000000001</v>
      </c>
      <c r="M2200" s="64">
        <f t="shared" si="70"/>
        <v>0.10044710000000001</v>
      </c>
      <c r="N2200" s="33" t="s">
        <v>288</v>
      </c>
    </row>
    <row r="2201" spans="1:14" ht="15">
      <c r="A2201" s="12"/>
      <c r="B2201" s="33" t="s">
        <v>284</v>
      </c>
      <c r="C2201" s="92" t="s">
        <v>436</v>
      </c>
      <c r="D2201" s="33" t="s">
        <v>412</v>
      </c>
      <c r="E2201" s="34">
        <v>45188</v>
      </c>
      <c r="F2201" s="34">
        <v>45189</v>
      </c>
      <c r="G2201" s="34">
        <v>45194</v>
      </c>
      <c r="H2201" s="35"/>
      <c r="I2201" s="67">
        <v>0.16</v>
      </c>
      <c r="J2201" s="67">
        <v>0</v>
      </c>
      <c r="K2201" s="67">
        <v>0.16</v>
      </c>
      <c r="L2201" s="36">
        <f>+K2201-((K2201*0.242*0.125)+(K2201*(1-0.242)*0.26))</f>
        <v>0.12362720000000001</v>
      </c>
      <c r="M2201" s="64">
        <f t="shared" si="70"/>
        <v>0.12362720000000001</v>
      </c>
      <c r="N2201" s="33" t="s">
        <v>288</v>
      </c>
    </row>
    <row r="2202" spans="1:14" ht="15">
      <c r="A2202" s="12"/>
      <c r="B2202" s="33" t="s">
        <v>285</v>
      </c>
      <c r="C2202" s="92" t="s">
        <v>437</v>
      </c>
      <c r="D2202" s="33" t="s">
        <v>412</v>
      </c>
      <c r="E2202" s="34">
        <v>45188</v>
      </c>
      <c r="F2202" s="34">
        <v>45189</v>
      </c>
      <c r="G2202" s="34">
        <v>45194</v>
      </c>
      <c r="H2202" s="35"/>
      <c r="I2202" s="67">
        <v>0.11</v>
      </c>
      <c r="J2202" s="67">
        <v>0</v>
      </c>
      <c r="K2202" s="67">
        <v>0.11</v>
      </c>
      <c r="L2202" s="36">
        <f>+K2202-((K2202*0.242*0.125)+(K2202*(1-0.242)*0.26))</f>
        <v>8.4993700000000005E-2</v>
      </c>
      <c r="M2202" s="64">
        <f t="shared" si="70"/>
        <v>8.4993700000000005E-2</v>
      </c>
      <c r="N2202" s="33" t="s">
        <v>288</v>
      </c>
    </row>
    <row r="2203" spans="1:14" ht="15">
      <c r="A2203" s="12"/>
      <c r="B2203" s="33" t="s">
        <v>286</v>
      </c>
      <c r="C2203" s="92" t="s">
        <v>438</v>
      </c>
      <c r="D2203" s="33" t="s">
        <v>412</v>
      </c>
      <c r="E2203" s="34">
        <v>45188</v>
      </c>
      <c r="F2203" s="34">
        <v>45189</v>
      </c>
      <c r="G2203" s="34">
        <v>45194</v>
      </c>
      <c r="H2203" s="35"/>
      <c r="I2203" s="67">
        <v>0.13</v>
      </c>
      <c r="J2203" s="67">
        <v>0</v>
      </c>
      <c r="K2203" s="67">
        <v>0.13</v>
      </c>
      <c r="L2203" s="36">
        <f>+K2203-((K2203*0.242*0.125)+(K2203*(1-0.242)*0.26))</f>
        <v>0.10044710000000001</v>
      </c>
      <c r="M2203" s="64">
        <f t="shared" si="70"/>
        <v>0.10044710000000001</v>
      </c>
      <c r="N2203" s="33" t="s">
        <v>288</v>
      </c>
    </row>
    <row r="2204" spans="1:14" ht="15">
      <c r="A2204" s="12"/>
      <c r="B2204" s="33" t="s">
        <v>277</v>
      </c>
      <c r="C2204" s="92" t="s">
        <v>468</v>
      </c>
      <c r="D2204" s="33" t="s">
        <v>412</v>
      </c>
      <c r="E2204" s="34">
        <v>45188</v>
      </c>
      <c r="F2204" s="34">
        <v>45189</v>
      </c>
      <c r="G2204" s="34">
        <v>45194</v>
      </c>
      <c r="H2204" s="35"/>
      <c r="I2204" s="67">
        <v>0.26</v>
      </c>
      <c r="J2204" s="67">
        <v>0</v>
      </c>
      <c r="K2204" s="67">
        <v>0.26</v>
      </c>
      <c r="L2204" s="36">
        <f>+K2204-((K2204*0.091*0.125)+(K2204*(1-0.091)*0.26))</f>
        <v>0.19559409999999999</v>
      </c>
      <c r="M2204" s="64">
        <f t="shared" si="70"/>
        <v>0.19559409999999999</v>
      </c>
      <c r="N2204" s="33" t="s">
        <v>288</v>
      </c>
    </row>
    <row r="2205" spans="1:14" ht="15">
      <c r="A2205" s="12"/>
      <c r="B2205" s="33" t="s">
        <v>278</v>
      </c>
      <c r="C2205" s="92" t="s">
        <v>469</v>
      </c>
      <c r="D2205" s="33" t="s">
        <v>412</v>
      </c>
      <c r="E2205" s="34">
        <v>45188</v>
      </c>
      <c r="F2205" s="34">
        <v>45189</v>
      </c>
      <c r="G2205" s="34">
        <v>45194</v>
      </c>
      <c r="H2205" s="35"/>
      <c r="I2205" s="67">
        <v>0.23</v>
      </c>
      <c r="J2205" s="67">
        <v>0</v>
      </c>
      <c r="K2205" s="67">
        <v>0.23</v>
      </c>
      <c r="L2205" s="36">
        <f>+K2205-((K2205*0.091*0.125)+(K2205*(1-0.091)*0.26))</f>
        <v>0.17302555</v>
      </c>
      <c r="M2205" s="64">
        <f t="shared" si="70"/>
        <v>0.17302555</v>
      </c>
      <c r="N2205" s="33" t="s">
        <v>288</v>
      </c>
    </row>
    <row r="2206" spans="1:14" ht="15">
      <c r="A2206" s="12"/>
      <c r="B2206" s="33" t="s">
        <v>279</v>
      </c>
      <c r="C2206" s="92" t="s">
        <v>470</v>
      </c>
      <c r="D2206" s="33" t="s">
        <v>412</v>
      </c>
      <c r="E2206" s="34">
        <v>45188</v>
      </c>
      <c r="F2206" s="34">
        <v>45189</v>
      </c>
      <c r="G2206" s="34">
        <v>45194</v>
      </c>
      <c r="H2206" s="35"/>
      <c r="I2206" s="67">
        <v>0.27</v>
      </c>
      <c r="J2206" s="67">
        <v>0</v>
      </c>
      <c r="K2206" s="67">
        <v>0.27</v>
      </c>
      <c r="L2206" s="36">
        <f>+K2206-((K2206*0.091*0.125)+(K2206*(1-0.091)*0.26))</f>
        <v>0.20311695000000002</v>
      </c>
      <c r="M2206" s="64">
        <f t="shared" si="70"/>
        <v>0.20311695000000002</v>
      </c>
      <c r="N2206" s="33" t="s">
        <v>288</v>
      </c>
    </row>
    <row r="2207" spans="1:14" ht="15">
      <c r="A2207" s="12"/>
      <c r="B2207" s="33" t="s">
        <v>174</v>
      </c>
      <c r="C2207" s="92" t="s">
        <v>382</v>
      </c>
      <c r="D2207" s="33" t="s">
        <v>410</v>
      </c>
      <c r="E2207" s="34">
        <v>45197</v>
      </c>
      <c r="F2207" s="34">
        <v>45198</v>
      </c>
      <c r="G2207" s="34">
        <v>45203</v>
      </c>
      <c r="H2207" s="35"/>
      <c r="I2207" s="67">
        <v>2.9000000000000001E-2</v>
      </c>
      <c r="J2207" s="67">
        <v>0</v>
      </c>
      <c r="K2207" s="67">
        <v>2.9000330000000001E-2</v>
      </c>
      <c r="L2207" s="36">
        <f>+K2207-((K2207*0.018*0.125)+(K2207*(1-0.018)*0.26))</f>
        <v>2.15307150019E-2</v>
      </c>
      <c r="M2207" s="64">
        <f t="shared" si="70"/>
        <v>2.15307150019E-2</v>
      </c>
      <c r="N2207" s="33" t="s">
        <v>247</v>
      </c>
    </row>
    <row r="2208" spans="1:14" ht="15">
      <c r="A2208" s="12"/>
      <c r="B2208" s="33" t="s">
        <v>176</v>
      </c>
      <c r="C2208" s="92" t="s">
        <v>397</v>
      </c>
      <c r="D2208" s="33" t="s">
        <v>410</v>
      </c>
      <c r="E2208" s="34">
        <v>45197</v>
      </c>
      <c r="F2208" s="34">
        <v>45198</v>
      </c>
      <c r="G2208" s="34">
        <v>45203</v>
      </c>
      <c r="H2208" s="35"/>
      <c r="I2208" s="67">
        <v>3.7360999999999998E-2</v>
      </c>
      <c r="J2208" s="67">
        <v>0</v>
      </c>
      <c r="K2208" s="67">
        <v>3.7361249999999999E-2</v>
      </c>
      <c r="L2208" s="36">
        <f>+K2208-((K2208*0.242*0.125)+(K2208*(1-0.242)*0.26))</f>
        <v>2.88679170375E-2</v>
      </c>
      <c r="M2208" s="64">
        <f t="shared" si="70"/>
        <v>2.88679170375E-2</v>
      </c>
      <c r="N2208" s="33" t="s">
        <v>247</v>
      </c>
    </row>
    <row r="2209" spans="1:14" ht="15">
      <c r="A2209" s="12"/>
      <c r="B2209" s="33" t="s">
        <v>175</v>
      </c>
      <c r="C2209" s="92" t="s">
        <v>465</v>
      </c>
      <c r="D2209" s="33" t="s">
        <v>410</v>
      </c>
      <c r="E2209" s="34">
        <v>45197</v>
      </c>
      <c r="F2209" s="34">
        <v>45198</v>
      </c>
      <c r="G2209" s="34">
        <v>45203</v>
      </c>
      <c r="H2209" s="35"/>
      <c r="I2209" s="67">
        <v>9.3606999999999996E-2</v>
      </c>
      <c r="J2209" s="67">
        <v>0</v>
      </c>
      <c r="K2209" s="67">
        <v>9.360715E-2</v>
      </c>
      <c r="L2209" s="36">
        <f>+K2209-((K2209*0.091*0.125)+(K2209*(1-0.091)*0.26))</f>
        <v>7.0419254837749995E-2</v>
      </c>
      <c r="M2209" s="64">
        <f t="shared" si="70"/>
        <v>7.0419254837749995E-2</v>
      </c>
      <c r="N2209" s="33" t="s">
        <v>247</v>
      </c>
    </row>
    <row r="2210" spans="1:14" ht="15">
      <c r="A2210" s="12"/>
      <c r="B2210" s="33" t="s">
        <v>310</v>
      </c>
      <c r="C2210" s="92" t="s">
        <v>719</v>
      </c>
      <c r="D2210" s="33" t="s">
        <v>411</v>
      </c>
      <c r="E2210" s="34">
        <v>45198</v>
      </c>
      <c r="F2210" s="34">
        <v>45201</v>
      </c>
      <c r="G2210" s="34">
        <v>45204</v>
      </c>
      <c r="H2210" s="35">
        <v>0.05</v>
      </c>
      <c r="I2210" s="67">
        <v>1.47E-2</v>
      </c>
      <c r="J2210" s="67">
        <v>0</v>
      </c>
      <c r="K2210" s="67">
        <v>1.47E-2</v>
      </c>
      <c r="L2210" s="36">
        <f>+K2210-((K2210*0.051*0.125)+(K2210*(1-0.051)*0.26))</f>
        <v>1.09792095E-2</v>
      </c>
      <c r="M2210" s="64">
        <f t="shared" si="70"/>
        <v>1.09792095E-2</v>
      </c>
      <c r="N2210" s="33" t="s">
        <v>718</v>
      </c>
    </row>
    <row r="2211" spans="1:14" ht="15">
      <c r="A2211" s="12"/>
      <c r="B2211" s="33" t="s">
        <v>188</v>
      </c>
      <c r="C2211" s="92" t="s">
        <v>720</v>
      </c>
      <c r="D2211" s="33" t="s">
        <v>411</v>
      </c>
      <c r="E2211" s="34">
        <v>45198</v>
      </c>
      <c r="F2211" s="34">
        <v>45201</v>
      </c>
      <c r="G2211" s="34">
        <v>45204</v>
      </c>
      <c r="H2211" s="35">
        <v>0.05</v>
      </c>
      <c r="I2211" s="67">
        <v>0.25490000000000002</v>
      </c>
      <c r="J2211" s="67">
        <v>0</v>
      </c>
      <c r="K2211" s="67">
        <v>0.25490000000000002</v>
      </c>
      <c r="L2211" s="36">
        <f>+K2211-((K2211*0.051*0.125)+(K2211*(1-0.051)*0.26))</f>
        <v>0.19038098650000002</v>
      </c>
      <c r="M2211" s="64">
        <f t="shared" si="70"/>
        <v>0.19038098650000002</v>
      </c>
      <c r="N2211" s="33" t="s">
        <v>718</v>
      </c>
    </row>
    <row r="2212" spans="1:14" ht="15">
      <c r="A2212" s="12"/>
      <c r="B2212" s="33" t="s">
        <v>196</v>
      </c>
      <c r="C2212" s="92" t="s">
        <v>721</v>
      </c>
      <c r="D2212" s="33" t="s">
        <v>411</v>
      </c>
      <c r="E2212" s="34">
        <v>45198</v>
      </c>
      <c r="F2212" s="34">
        <v>45201</v>
      </c>
      <c r="G2212" s="34">
        <v>45204</v>
      </c>
      <c r="H2212" s="35">
        <v>0.05</v>
      </c>
      <c r="I2212" s="67">
        <v>0.26769999999999999</v>
      </c>
      <c r="J2212" s="67">
        <v>0</v>
      </c>
      <c r="K2212" s="67">
        <v>0.26769999999999999</v>
      </c>
      <c r="L2212" s="36">
        <f>+K2212-((K2212*0.051*0.125)+(K2212*(1-0.051)*0.26))</f>
        <v>0.19994111450000002</v>
      </c>
      <c r="M2212" s="64">
        <f t="shared" si="70"/>
        <v>0.19994111450000002</v>
      </c>
      <c r="N2212" s="33" t="s">
        <v>718</v>
      </c>
    </row>
    <row r="2213" spans="1:14" ht="15">
      <c r="A2213" s="12"/>
      <c r="B2213" s="33" t="s">
        <v>191</v>
      </c>
      <c r="C2213" s="92" t="s">
        <v>722</v>
      </c>
      <c r="D2213" s="33" t="s">
        <v>411</v>
      </c>
      <c r="E2213" s="34">
        <v>45198</v>
      </c>
      <c r="F2213" s="34">
        <v>45201</v>
      </c>
      <c r="G2213" s="34">
        <v>45204</v>
      </c>
      <c r="H2213" s="35">
        <v>0.03</v>
      </c>
      <c r="I2213" s="67">
        <v>8.6E-3</v>
      </c>
      <c r="J2213" s="67">
        <v>0</v>
      </c>
      <c r="K2213" s="67">
        <v>8.6E-3</v>
      </c>
      <c r="L2213" s="36">
        <f>+K2213-((K2213*0.794*0.125)+(K2213*(1-0.794)*0.26))</f>
        <v>7.2858339999999997E-3</v>
      </c>
      <c r="M2213" s="64">
        <f t="shared" si="70"/>
        <v>7.2858339999999997E-3</v>
      </c>
      <c r="N2213" s="33" t="s">
        <v>718</v>
      </c>
    </row>
    <row r="2214" spans="1:14" ht="15">
      <c r="A2214" s="12"/>
      <c r="B2214" s="33" t="s">
        <v>199</v>
      </c>
      <c r="C2214" s="92" t="s">
        <v>723</v>
      </c>
      <c r="D2214" s="33" t="s">
        <v>411</v>
      </c>
      <c r="E2214" s="34">
        <v>45198</v>
      </c>
      <c r="F2214" s="34">
        <v>45201</v>
      </c>
      <c r="G2214" s="34">
        <v>45204</v>
      </c>
      <c r="H2214" s="35">
        <v>0.03</v>
      </c>
      <c r="I2214" s="67">
        <v>8.6E-3</v>
      </c>
      <c r="J2214" s="67">
        <v>0</v>
      </c>
      <c r="K2214" s="67">
        <v>8.6E-3</v>
      </c>
      <c r="L2214" s="36">
        <f>+K2214-((K2214*0.794*0.125)+(K2214*(1-0.794)*0.26))</f>
        <v>7.2858339999999997E-3</v>
      </c>
      <c r="M2214" s="64">
        <f t="shared" si="70"/>
        <v>7.2858339999999997E-3</v>
      </c>
      <c r="N2214" s="33" t="s">
        <v>718</v>
      </c>
    </row>
    <row r="2215" spans="1:14" ht="15">
      <c r="A2215" s="12"/>
      <c r="B2215" s="33" t="s">
        <v>306</v>
      </c>
      <c r="C2215" s="92" t="s">
        <v>724</v>
      </c>
      <c r="D2215" s="33" t="s">
        <v>411</v>
      </c>
      <c r="E2215" s="34">
        <v>45198</v>
      </c>
      <c r="F2215" s="34">
        <v>45201</v>
      </c>
      <c r="G2215" s="34">
        <v>45204</v>
      </c>
      <c r="H2215" s="35">
        <v>5.5E-2</v>
      </c>
      <c r="I2215" s="67">
        <v>1.89E-2</v>
      </c>
      <c r="J2215" s="67">
        <v>0</v>
      </c>
      <c r="K2215" s="67">
        <v>1.89E-2</v>
      </c>
      <c r="L2215" s="36">
        <f>+K2215-((K2215*0.0395*0.125)+(K2215*(1-0.0395)*0.26))</f>
        <v>1.408678425E-2</v>
      </c>
      <c r="M2215" s="64">
        <f t="shared" si="70"/>
        <v>1.408678425E-2</v>
      </c>
      <c r="N2215" s="33" t="s">
        <v>718</v>
      </c>
    </row>
    <row r="2216" spans="1:14" ht="15">
      <c r="A2216" s="12"/>
      <c r="B2216" s="33" t="s">
        <v>184</v>
      </c>
      <c r="C2216" s="92" t="s">
        <v>725</v>
      </c>
      <c r="D2216" s="33" t="s">
        <v>411</v>
      </c>
      <c r="E2216" s="34">
        <v>45198</v>
      </c>
      <c r="F2216" s="34">
        <v>45201</v>
      </c>
      <c r="G2216" s="34">
        <v>45204</v>
      </c>
      <c r="H2216" s="35">
        <v>5.5E-2</v>
      </c>
      <c r="I2216" s="67">
        <v>0.38009999999999999</v>
      </c>
      <c r="J2216" s="67">
        <v>0</v>
      </c>
      <c r="K2216" s="67">
        <v>0.38009999999999999</v>
      </c>
      <c r="L2216" s="36">
        <f>+K2216-((K2216*0.0395*0.125)+(K2216*(1-0.0395)*0.26))</f>
        <v>0.28330088324999997</v>
      </c>
      <c r="M2216" s="64">
        <f t="shared" si="70"/>
        <v>0.28330088324999997</v>
      </c>
      <c r="N2216" s="33" t="s">
        <v>718</v>
      </c>
    </row>
    <row r="2217" spans="1:14" ht="15">
      <c r="A2217" s="12"/>
      <c r="B2217" s="33" t="s">
        <v>192</v>
      </c>
      <c r="C2217" s="92" t="s">
        <v>726</v>
      </c>
      <c r="D2217" s="33" t="s">
        <v>411</v>
      </c>
      <c r="E2217" s="34">
        <v>45198</v>
      </c>
      <c r="F2217" s="34">
        <v>45201</v>
      </c>
      <c r="G2217" s="34">
        <v>45204</v>
      </c>
      <c r="H2217" s="35">
        <v>5.5E-2</v>
      </c>
      <c r="I2217" s="67">
        <v>0.3876</v>
      </c>
      <c r="J2217" s="67">
        <v>0</v>
      </c>
      <c r="K2217" s="67">
        <v>0.3876</v>
      </c>
      <c r="L2217" s="36">
        <f>+K2217-((K2217*0.0395*0.125)+(K2217*(1-0.0395)*0.26))</f>
        <v>0.28889087699999999</v>
      </c>
      <c r="M2217" s="64">
        <f t="shared" si="70"/>
        <v>0.28889087699999999</v>
      </c>
      <c r="N2217" s="33" t="s">
        <v>718</v>
      </c>
    </row>
    <row r="2218" spans="1:14" ht="15">
      <c r="A2218" s="12"/>
      <c r="B2218" s="33" t="s">
        <v>311</v>
      </c>
      <c r="C2218" s="92" t="s">
        <v>727</v>
      </c>
      <c r="D2218" s="33" t="s">
        <v>411</v>
      </c>
      <c r="E2218" s="34">
        <v>45198</v>
      </c>
      <c r="F2218" s="34">
        <v>45201</v>
      </c>
      <c r="G2218" s="34">
        <v>45204</v>
      </c>
      <c r="H2218" s="35">
        <v>4.2500000000000003E-2</v>
      </c>
      <c r="I2218" s="67">
        <v>1.6E-2</v>
      </c>
      <c r="J2218" s="67">
        <v>0</v>
      </c>
      <c r="K2218" s="67">
        <v>1.6E-2</v>
      </c>
      <c r="L2218" s="36">
        <f>+K2218-((K2218*0.01*0.125)+(K2218*(1-0.01)*0.26))</f>
        <v>1.18616E-2</v>
      </c>
      <c r="M2218" s="64">
        <f t="shared" si="70"/>
        <v>1.18616E-2</v>
      </c>
      <c r="N2218" s="33" t="s">
        <v>718</v>
      </c>
    </row>
    <row r="2219" spans="1:14" ht="15">
      <c r="A2219" s="12"/>
      <c r="B2219" s="33" t="s">
        <v>189</v>
      </c>
      <c r="C2219" s="92" t="s">
        <v>728</v>
      </c>
      <c r="D2219" s="33" t="s">
        <v>411</v>
      </c>
      <c r="E2219" s="34">
        <v>45198</v>
      </c>
      <c r="F2219" s="34">
        <v>45201</v>
      </c>
      <c r="G2219" s="34">
        <v>45204</v>
      </c>
      <c r="H2219" s="35">
        <v>4.2500000000000003E-2</v>
      </c>
      <c r="I2219" s="67">
        <v>0.29170000000000001</v>
      </c>
      <c r="J2219" s="67">
        <v>0</v>
      </c>
      <c r="K2219" s="67">
        <v>0.29170000000000001</v>
      </c>
      <c r="L2219" s="36">
        <f>+K2219-((K2219*0.01*0.125)+(K2219*(1-0.01)*0.26))</f>
        <v>0.21625179500000002</v>
      </c>
      <c r="M2219" s="64">
        <f t="shared" si="70"/>
        <v>0.21625179500000002</v>
      </c>
      <c r="N2219" s="33" t="s">
        <v>718</v>
      </c>
    </row>
    <row r="2220" spans="1:14" ht="15">
      <c r="A2220" s="12"/>
      <c r="B2220" s="33" t="s">
        <v>197</v>
      </c>
      <c r="C2220" s="92" t="s">
        <v>729</v>
      </c>
      <c r="D2220" s="33" t="s">
        <v>411</v>
      </c>
      <c r="E2220" s="34">
        <v>45198</v>
      </c>
      <c r="F2220" s="34">
        <v>45201</v>
      </c>
      <c r="G2220" s="34">
        <v>45204</v>
      </c>
      <c r="H2220" s="35">
        <v>4.2500000000000003E-2</v>
      </c>
      <c r="I2220" s="67">
        <v>0.29980000000000001</v>
      </c>
      <c r="J2220" s="67">
        <v>0</v>
      </c>
      <c r="K2220" s="67">
        <v>0.29980000000000001</v>
      </c>
      <c r="L2220" s="36">
        <f>+K2220-((K2220*0.01*0.125)+(K2220*(1-0.01)*0.26))</f>
        <v>0.22225673000000001</v>
      </c>
      <c r="M2220" s="64">
        <f t="shared" si="70"/>
        <v>0.22225673000000001</v>
      </c>
      <c r="N2220" s="33" t="s">
        <v>718</v>
      </c>
    </row>
    <row r="2221" spans="1:14" ht="15">
      <c r="A2221" s="12"/>
      <c r="B2221" s="33" t="s">
        <v>308</v>
      </c>
      <c r="C2221" s="92" t="s">
        <v>730</v>
      </c>
      <c r="D2221" s="33" t="s">
        <v>411</v>
      </c>
      <c r="E2221" s="34">
        <v>45198</v>
      </c>
      <c r="F2221" s="34">
        <v>45201</v>
      </c>
      <c r="G2221" s="34">
        <v>45204</v>
      </c>
      <c r="H2221" s="35">
        <v>4.2500000000000003E-2</v>
      </c>
      <c r="I2221" s="67">
        <v>1.4500000000000001E-2</v>
      </c>
      <c r="J2221" s="67">
        <v>0</v>
      </c>
      <c r="K2221" s="67">
        <v>1.4500000000000001E-2</v>
      </c>
      <c r="L2221" s="36">
        <f>+K2221-((K2221*0.49*0.125)+(K2221*(1-0.49)*0.26))</f>
        <v>1.1689175E-2</v>
      </c>
      <c r="M2221" s="64">
        <f t="shared" si="70"/>
        <v>1.1689175E-2</v>
      </c>
      <c r="N2221" s="33" t="s">
        <v>718</v>
      </c>
    </row>
    <row r="2222" spans="1:14" ht="15">
      <c r="A2222" s="12"/>
      <c r="B2222" s="33" t="s">
        <v>186</v>
      </c>
      <c r="C2222" s="92" t="s">
        <v>731</v>
      </c>
      <c r="D2222" s="33" t="s">
        <v>411</v>
      </c>
      <c r="E2222" s="34">
        <v>45198</v>
      </c>
      <c r="F2222" s="34">
        <v>45201</v>
      </c>
      <c r="G2222" s="34">
        <v>45204</v>
      </c>
      <c r="H2222" s="35">
        <v>4.2500000000000003E-2</v>
      </c>
      <c r="I2222" s="67">
        <v>0.26669999999999999</v>
      </c>
      <c r="J2222" s="67">
        <v>0</v>
      </c>
      <c r="K2222" s="67">
        <v>0.26669999999999999</v>
      </c>
      <c r="L2222" s="36">
        <f>+K2222-((K2222*0.49*0.125)+(K2222*(1-0.49)*0.26))</f>
        <v>0.215000205</v>
      </c>
      <c r="M2222" s="64">
        <f t="shared" si="70"/>
        <v>0.215000205</v>
      </c>
      <c r="N2222" s="33" t="s">
        <v>718</v>
      </c>
    </row>
    <row r="2223" spans="1:14" ht="15">
      <c r="A2223" s="12"/>
      <c r="B2223" s="33" t="s">
        <v>194</v>
      </c>
      <c r="C2223" s="92" t="s">
        <v>732</v>
      </c>
      <c r="D2223" s="33" t="s">
        <v>411</v>
      </c>
      <c r="E2223" s="34">
        <v>45198</v>
      </c>
      <c r="F2223" s="34">
        <v>45201</v>
      </c>
      <c r="G2223" s="34">
        <v>45204</v>
      </c>
      <c r="H2223" s="35">
        <v>4.2500000000000003E-2</v>
      </c>
      <c r="I2223" s="67">
        <v>0.27589999999999998</v>
      </c>
      <c r="J2223" s="67">
        <v>0</v>
      </c>
      <c r="K2223" s="67">
        <v>0.27589999999999998</v>
      </c>
      <c r="L2223" s="36">
        <f>+K2223-((K2223*0.49*0.125)+(K2223*(1-0.49)*0.26))</f>
        <v>0.22241678499999998</v>
      </c>
      <c r="M2223" s="64">
        <f t="shared" si="70"/>
        <v>0.22241678499999998</v>
      </c>
      <c r="N2223" s="33" t="s">
        <v>718</v>
      </c>
    </row>
    <row r="2224" spans="1:14" ht="15">
      <c r="A2224" s="12"/>
      <c r="B2224" s="33" t="s">
        <v>307</v>
      </c>
      <c r="C2224" s="92" t="s">
        <v>733</v>
      </c>
      <c r="D2224" s="33" t="s">
        <v>411</v>
      </c>
      <c r="E2224" s="34">
        <v>45198</v>
      </c>
      <c r="F2224" s="34">
        <v>45201</v>
      </c>
      <c r="G2224" s="34">
        <v>45204</v>
      </c>
      <c r="H2224" s="35">
        <v>4.7500000000000001E-2</v>
      </c>
      <c r="I2224" s="67">
        <v>1.46E-2</v>
      </c>
      <c r="J2224" s="67">
        <v>2.1220386865290573E-3</v>
      </c>
      <c r="K2224" s="67">
        <v>1.2477961313470943E-2</v>
      </c>
      <c r="L2224" s="36">
        <f>+K2224-((K2224*0.5965*0.125)+(K2224*(1-0.5965)*0.26))</f>
        <v>1.0238510401639029E-2</v>
      </c>
      <c r="M2224" s="64">
        <f t="shared" si="70"/>
        <v>1.2360549088168086E-2</v>
      </c>
      <c r="N2224" s="33" t="s">
        <v>718</v>
      </c>
    </row>
    <row r="2225" spans="1:14" ht="15">
      <c r="A2225" s="12"/>
      <c r="B2225" s="33" t="s">
        <v>185</v>
      </c>
      <c r="C2225" s="92" t="s">
        <v>734</v>
      </c>
      <c r="D2225" s="33" t="s">
        <v>411</v>
      </c>
      <c r="E2225" s="34">
        <v>45198</v>
      </c>
      <c r="F2225" s="34">
        <v>45201</v>
      </c>
      <c r="G2225" s="34">
        <v>45204</v>
      </c>
      <c r="H2225" s="35">
        <v>4.7500000000000001E-2</v>
      </c>
      <c r="I2225" s="67">
        <v>0.24179999999999999</v>
      </c>
      <c r="J2225" s="67">
        <v>1.8864544295013268E-2</v>
      </c>
      <c r="K2225" s="67">
        <v>0.22293545570498671</v>
      </c>
      <c r="L2225" s="36">
        <f>+K2225-((K2225*0.5965*0.125)+(K2225*(1-0.5965)*0.26))</f>
        <v>0.18292467213097349</v>
      </c>
      <c r="M2225" s="64">
        <f t="shared" si="70"/>
        <v>0.20178921642598677</v>
      </c>
      <c r="N2225" s="33" t="s">
        <v>718</v>
      </c>
    </row>
    <row r="2226" spans="1:14" ht="15">
      <c r="A2226" s="12"/>
      <c r="B2226" s="33" t="s">
        <v>193</v>
      </c>
      <c r="C2226" s="92" t="s">
        <v>735</v>
      </c>
      <c r="D2226" s="33" t="s">
        <v>411</v>
      </c>
      <c r="E2226" s="34">
        <v>45198</v>
      </c>
      <c r="F2226" s="34">
        <v>45201</v>
      </c>
      <c r="G2226" s="34">
        <v>45204</v>
      </c>
      <c r="H2226" s="35">
        <v>4.7500000000000001E-2</v>
      </c>
      <c r="I2226" s="67">
        <v>0.23899999999999999</v>
      </c>
      <c r="J2226" s="67">
        <v>4.6437106816873297E-2</v>
      </c>
      <c r="K2226" s="67">
        <v>0.19256289318312669</v>
      </c>
      <c r="L2226" s="36">
        <f>+K2226-((K2226*0.5965*0.125)+(K2226*(1-0.5965)*0.26))</f>
        <v>0.15800314933631798</v>
      </c>
      <c r="M2226" s="64">
        <f t="shared" si="70"/>
        <v>0.20444025615319128</v>
      </c>
      <c r="N2226" s="33" t="s">
        <v>718</v>
      </c>
    </row>
    <row r="2227" spans="1:14" ht="15">
      <c r="A2227" s="12"/>
      <c r="B2227" s="33" t="s">
        <v>309</v>
      </c>
      <c r="C2227" s="92" t="s">
        <v>736</v>
      </c>
      <c r="D2227" s="33" t="s">
        <v>411</v>
      </c>
      <c r="E2227" s="34">
        <v>45198</v>
      </c>
      <c r="F2227" s="34">
        <v>45201</v>
      </c>
      <c r="G2227" s="34">
        <v>45204</v>
      </c>
      <c r="H2227" s="35">
        <v>4.7500000000000001E-2</v>
      </c>
      <c r="I2227" s="67">
        <v>1.5800000000000002E-2</v>
      </c>
      <c r="J2227" s="67">
        <v>0</v>
      </c>
      <c r="K2227" s="67">
        <v>1.5800000000000002E-2</v>
      </c>
      <c r="L2227" s="36">
        <f>+K2227-((K2227*0.08*0.125)+(K2227*(1-0.08)*0.26))</f>
        <v>1.1862640000000001E-2</v>
      </c>
      <c r="M2227" s="64">
        <f t="shared" si="70"/>
        <v>1.1862640000000001E-2</v>
      </c>
      <c r="N2227" s="33" t="s">
        <v>718</v>
      </c>
    </row>
    <row r="2228" spans="1:14" ht="15">
      <c r="A2228" s="12"/>
      <c r="B2228" s="33" t="s">
        <v>187</v>
      </c>
      <c r="C2228" s="92" t="s">
        <v>737</v>
      </c>
      <c r="D2228" s="33" t="s">
        <v>411</v>
      </c>
      <c r="E2228" s="34">
        <v>45198</v>
      </c>
      <c r="F2228" s="34">
        <v>45201</v>
      </c>
      <c r="G2228" s="34">
        <v>45204</v>
      </c>
      <c r="H2228" s="35">
        <v>4.7500000000000001E-2</v>
      </c>
      <c r="I2228" s="67">
        <v>0.27729999999999999</v>
      </c>
      <c r="J2228" s="67">
        <v>0</v>
      </c>
      <c r="K2228" s="67">
        <v>0.27729999999999999</v>
      </c>
      <c r="L2228" s="36">
        <f>+K2228-((K2228*0.08*0.125)+(K2228*(1-0.08)*0.26))</f>
        <v>0.20819683999999999</v>
      </c>
      <c r="M2228" s="64">
        <f t="shared" si="70"/>
        <v>0.20819683999999999</v>
      </c>
      <c r="N2228" s="33" t="s">
        <v>718</v>
      </c>
    </row>
    <row r="2229" spans="1:14" ht="15">
      <c r="A2229" s="12"/>
      <c r="B2229" s="33" t="s">
        <v>195</v>
      </c>
      <c r="C2229" s="92" t="s">
        <v>738</v>
      </c>
      <c r="D2229" s="33" t="s">
        <v>411</v>
      </c>
      <c r="E2229" s="34">
        <v>45198</v>
      </c>
      <c r="F2229" s="34">
        <v>45201</v>
      </c>
      <c r="G2229" s="34">
        <v>45204</v>
      </c>
      <c r="H2229" s="35">
        <v>4.7500000000000001E-2</v>
      </c>
      <c r="I2229" s="67">
        <v>0.28939999999999999</v>
      </c>
      <c r="J2229" s="67">
        <v>0</v>
      </c>
      <c r="K2229" s="67">
        <v>0.28939999999999999</v>
      </c>
      <c r="L2229" s="36">
        <f>+K2229-((K2229*0.08*0.125)+(K2229*(1-0.08)*0.26))</f>
        <v>0.21728152000000001</v>
      </c>
      <c r="M2229" s="64">
        <f t="shared" si="70"/>
        <v>0.21728152000000001</v>
      </c>
      <c r="N2229" s="33" t="s">
        <v>718</v>
      </c>
    </row>
    <row r="2230" spans="1:14" ht="15">
      <c r="A2230" s="12"/>
      <c r="B2230" s="33" t="s">
        <v>312</v>
      </c>
      <c r="C2230" s="92" t="s">
        <v>739</v>
      </c>
      <c r="D2230" s="33" t="s">
        <v>411</v>
      </c>
      <c r="E2230" s="34">
        <v>45198</v>
      </c>
      <c r="F2230" s="34">
        <v>45201</v>
      </c>
      <c r="G2230" s="34">
        <v>45204</v>
      </c>
      <c r="H2230" s="35">
        <v>7.0000000000000007E-2</v>
      </c>
      <c r="I2230" s="67">
        <v>2.1899999999999999E-2</v>
      </c>
      <c r="J2230" s="67">
        <v>0</v>
      </c>
      <c r="K2230" s="67">
        <v>2.1899999999999999E-2</v>
      </c>
      <c r="L2230" s="36">
        <f>+K2230-((K2230*0.00000000001*0.125)+(K2230*(1-0.000000001)*0.26))</f>
        <v>1.6206000005666625E-2</v>
      </c>
      <c r="M2230" s="64">
        <f t="shared" si="70"/>
        <v>1.6206000005666625E-2</v>
      </c>
      <c r="N2230" s="33" t="s">
        <v>718</v>
      </c>
    </row>
    <row r="2231" spans="1:14" ht="15">
      <c r="A2231" s="12"/>
      <c r="B2231" s="33" t="s">
        <v>190</v>
      </c>
      <c r="C2231" s="92" t="s">
        <v>740</v>
      </c>
      <c r="D2231" s="33" t="s">
        <v>411</v>
      </c>
      <c r="E2231" s="34">
        <v>45198</v>
      </c>
      <c r="F2231" s="34">
        <v>45201</v>
      </c>
      <c r="G2231" s="34">
        <v>45204</v>
      </c>
      <c r="H2231" s="35">
        <v>7.0000000000000007E-2</v>
      </c>
      <c r="I2231" s="67">
        <v>0.41499999999999998</v>
      </c>
      <c r="J2231" s="67">
        <v>0</v>
      </c>
      <c r="K2231" s="67">
        <v>0.41499999999999998</v>
      </c>
      <c r="L2231" s="36">
        <f>+K2231-((K2231*0.00000000001*0.125)+(K2231*(1-0.000000001)*0.26))</f>
        <v>0.30710000010738125</v>
      </c>
      <c r="M2231" s="64">
        <f t="shared" si="70"/>
        <v>0.30710000010738125</v>
      </c>
      <c r="N2231" s="33" t="s">
        <v>718</v>
      </c>
    </row>
    <row r="2232" spans="1:14" ht="15">
      <c r="A2232" s="12"/>
      <c r="B2232" s="33" t="s">
        <v>198</v>
      </c>
      <c r="C2232" s="92" t="s">
        <v>741</v>
      </c>
      <c r="D2232" s="33" t="s">
        <v>411</v>
      </c>
      <c r="E2232" s="34">
        <v>45198</v>
      </c>
      <c r="F2232" s="34">
        <v>45201</v>
      </c>
      <c r="G2232" s="34">
        <v>45204</v>
      </c>
      <c r="H2232" s="35">
        <v>7.0000000000000007E-2</v>
      </c>
      <c r="I2232" s="67">
        <v>0.4194</v>
      </c>
      <c r="J2232" s="67">
        <v>0</v>
      </c>
      <c r="K2232" s="67">
        <v>0.4194</v>
      </c>
      <c r="L2232" s="36">
        <f>+K2232-((K2232*0.00000000001*0.125)+(K2232*(1-0.000000001)*0.26))</f>
        <v>0.31035600010851977</v>
      </c>
      <c r="M2232" s="64">
        <f t="shared" si="70"/>
        <v>0.31035600010851977</v>
      </c>
      <c r="N2232" s="33" t="s">
        <v>718</v>
      </c>
    </row>
    <row r="2233" spans="1:14" ht="15">
      <c r="A2233" s="12"/>
      <c r="B2233" s="33" t="s">
        <v>513</v>
      </c>
      <c r="C2233" s="92" t="s">
        <v>742</v>
      </c>
      <c r="D2233" s="33" t="s">
        <v>411</v>
      </c>
      <c r="E2233" s="34">
        <v>45198</v>
      </c>
      <c r="F2233" s="34">
        <v>45201</v>
      </c>
      <c r="G2233" s="34">
        <v>45204</v>
      </c>
      <c r="H2233" s="35">
        <v>0.01</v>
      </c>
      <c r="I2233" s="67">
        <v>0</v>
      </c>
      <c r="J2233" s="67">
        <v>0</v>
      </c>
      <c r="K2233" s="67">
        <v>5.8099999999999999E-2</v>
      </c>
      <c r="L2233" s="36">
        <f>+K2233-((K2233*0.1875*0.125)+(K2233*(1-0.1875)*0.26))</f>
        <v>4.4464656249999998E-2</v>
      </c>
      <c r="M2233" s="64">
        <f t="shared" ref="M2233:M2296" si="71">J2233+L2233</f>
        <v>4.4464656249999998E-2</v>
      </c>
      <c r="N2233" s="33" t="s">
        <v>718</v>
      </c>
    </row>
    <row r="2234" spans="1:14" ht="15">
      <c r="A2234" s="12"/>
      <c r="B2234" s="33" t="s">
        <v>514</v>
      </c>
      <c r="C2234" s="92" t="s">
        <v>743</v>
      </c>
      <c r="D2234" s="33" t="s">
        <v>411</v>
      </c>
      <c r="E2234" s="34">
        <v>45198</v>
      </c>
      <c r="F2234" s="34">
        <v>45201</v>
      </c>
      <c r="G2234" s="34">
        <v>45204</v>
      </c>
      <c r="H2234" s="35">
        <v>0.01</v>
      </c>
      <c r="I2234" s="67">
        <v>0</v>
      </c>
      <c r="J2234" s="67">
        <v>0</v>
      </c>
      <c r="K2234" s="67">
        <v>5.9400000000000001E-2</v>
      </c>
      <c r="L2234" s="36">
        <f>+K2234-((K2234*0.1875*0.125)+(K2234*(1-0.1875)*0.26))</f>
        <v>4.5459562500000002E-2</v>
      </c>
      <c r="M2234" s="64">
        <f t="shared" si="71"/>
        <v>4.5459562500000002E-2</v>
      </c>
      <c r="N2234" s="33" t="s">
        <v>718</v>
      </c>
    </row>
    <row r="2235" spans="1:14" ht="15">
      <c r="A2235" s="12"/>
      <c r="B2235" s="33" t="s">
        <v>313</v>
      </c>
      <c r="C2235" s="92" t="s">
        <v>744</v>
      </c>
      <c r="D2235" s="33" t="s">
        <v>411</v>
      </c>
      <c r="E2235" s="34">
        <v>45198</v>
      </c>
      <c r="F2235" s="34">
        <v>45201</v>
      </c>
      <c r="G2235" s="34">
        <v>45204</v>
      </c>
      <c r="H2235" s="35">
        <v>4.4999999999999998E-2</v>
      </c>
      <c r="I2235" s="67">
        <v>1.55E-2</v>
      </c>
      <c r="J2235" s="67">
        <v>1.55E-2</v>
      </c>
      <c r="K2235" s="67">
        <v>0</v>
      </c>
      <c r="L2235" s="36">
        <f>+K2235-((K2235*0.288*0.125)+(K2235*(1-0.288)*0.26))</f>
        <v>0</v>
      </c>
      <c r="M2235" s="64">
        <f t="shared" si="71"/>
        <v>1.55E-2</v>
      </c>
      <c r="N2235" s="33" t="s">
        <v>718</v>
      </c>
    </row>
    <row r="2236" spans="1:14" ht="15">
      <c r="A2236" s="12"/>
      <c r="B2236" s="33" t="s">
        <v>298</v>
      </c>
      <c r="C2236" s="92" t="s">
        <v>403</v>
      </c>
      <c r="D2236" s="33" t="s">
        <v>410</v>
      </c>
      <c r="E2236" s="34">
        <v>45198</v>
      </c>
      <c r="F2236" s="34">
        <v>45201</v>
      </c>
      <c r="G2236" s="34">
        <v>45204</v>
      </c>
      <c r="H2236" s="35">
        <v>4.4999999999999998E-2</v>
      </c>
      <c r="I2236" s="67">
        <v>4.24E-2</v>
      </c>
      <c r="J2236" s="67">
        <v>0</v>
      </c>
      <c r="K2236" s="67">
        <v>4.24E-2</v>
      </c>
      <c r="L2236" s="36">
        <f>+K2236-((K2236*0.4245*0.125)+(K2236*(1-0.4245)*0.26))</f>
        <v>3.3805837999999998E-2</v>
      </c>
      <c r="M2236" s="64">
        <f t="shared" si="71"/>
        <v>3.3805837999999998E-2</v>
      </c>
      <c r="N2236" s="33" t="s">
        <v>248</v>
      </c>
    </row>
    <row r="2237" spans="1:14" ht="15">
      <c r="A2237" s="12"/>
      <c r="B2237" s="33" t="s">
        <v>181</v>
      </c>
      <c r="C2237" s="92" t="s">
        <v>335</v>
      </c>
      <c r="D2237" s="33" t="s">
        <v>410</v>
      </c>
      <c r="E2237" s="34">
        <v>45198</v>
      </c>
      <c r="F2237" s="34">
        <v>45201</v>
      </c>
      <c r="G2237" s="34">
        <v>45204</v>
      </c>
      <c r="H2237" s="35">
        <v>4.4999999999999998E-2</v>
      </c>
      <c r="I2237" s="67">
        <v>0.75519999999999998</v>
      </c>
      <c r="J2237" s="67">
        <v>0</v>
      </c>
      <c r="K2237" s="67">
        <v>0.75519999999999998</v>
      </c>
      <c r="L2237" s="36">
        <f>+K2237-((K2237*0.4245*0.125)+(K2237*(1-0.4245)*0.26))</f>
        <v>0.60212662399999994</v>
      </c>
      <c r="M2237" s="64">
        <f t="shared" si="71"/>
        <v>0.60212662399999994</v>
      </c>
      <c r="N2237" s="33" t="s">
        <v>248</v>
      </c>
    </row>
    <row r="2238" spans="1:14" ht="15">
      <c r="A2238" s="12"/>
      <c r="B2238" s="33" t="s">
        <v>201</v>
      </c>
      <c r="C2238" s="92" t="s">
        <v>336</v>
      </c>
      <c r="D2238" s="33" t="s">
        <v>410</v>
      </c>
      <c r="E2238" s="34">
        <v>45198</v>
      </c>
      <c r="F2238" s="34">
        <v>45201</v>
      </c>
      <c r="G2238" s="34">
        <v>45204</v>
      </c>
      <c r="H2238" s="35">
        <v>4.4999999999999998E-2</v>
      </c>
      <c r="I2238" s="67">
        <v>0.7722</v>
      </c>
      <c r="J2238" s="67">
        <v>0</v>
      </c>
      <c r="K2238" s="67">
        <v>0.7722</v>
      </c>
      <c r="L2238" s="36">
        <f>+K2238-((K2238*0.4245*0.125)+(K2238*(1-0.4245)*0.26))</f>
        <v>0.61568085150000007</v>
      </c>
      <c r="M2238" s="64">
        <f t="shared" si="71"/>
        <v>0.61568085150000007</v>
      </c>
      <c r="N2238" s="33" t="s">
        <v>248</v>
      </c>
    </row>
    <row r="2239" spans="1:14" ht="15">
      <c r="A2239" s="12"/>
      <c r="B2239" s="33" t="s">
        <v>138</v>
      </c>
      <c r="C2239" s="92" t="s">
        <v>337</v>
      </c>
      <c r="D2239" s="33" t="s">
        <v>410</v>
      </c>
      <c r="E2239" s="34">
        <v>45198</v>
      </c>
      <c r="F2239" s="34">
        <v>45201</v>
      </c>
      <c r="G2239" s="34">
        <v>45204</v>
      </c>
      <c r="H2239" s="35">
        <v>0.05</v>
      </c>
      <c r="I2239" s="67">
        <v>6.1600000000000002E-2</v>
      </c>
      <c r="J2239" s="67">
        <v>0</v>
      </c>
      <c r="K2239" s="67">
        <v>6.1600000000000002E-2</v>
      </c>
      <c r="L2239" s="36">
        <f>+K2239-((K2239*0.2815*0.125)+(K2239*(1-0.2815)*0.26))</f>
        <v>4.7924954000000006E-2</v>
      </c>
      <c r="M2239" s="64">
        <f t="shared" si="71"/>
        <v>4.7924954000000006E-2</v>
      </c>
      <c r="N2239" s="33" t="s">
        <v>248</v>
      </c>
    </row>
    <row r="2240" spans="1:14" ht="15">
      <c r="A2240" s="12"/>
      <c r="B2240" s="33" t="s">
        <v>160</v>
      </c>
      <c r="C2240" s="92" t="s">
        <v>338</v>
      </c>
      <c r="D2240" s="33" t="s">
        <v>410</v>
      </c>
      <c r="E2240" s="34">
        <v>45198</v>
      </c>
      <c r="F2240" s="34">
        <v>45201</v>
      </c>
      <c r="G2240" s="34">
        <v>45204</v>
      </c>
      <c r="H2240" s="35">
        <v>0.05</v>
      </c>
      <c r="I2240" s="67">
        <v>6.0100000000000001E-2</v>
      </c>
      <c r="J2240" s="67">
        <v>0</v>
      </c>
      <c r="K2240" s="67">
        <v>6.0100000000000001E-2</v>
      </c>
      <c r="L2240" s="36">
        <f>+K2240-((K2240*0.2815*0.125)+(K2240*(1-0.2815)*0.26))</f>
        <v>4.6757950249999999E-2</v>
      </c>
      <c r="M2240" s="64">
        <f t="shared" si="71"/>
        <v>4.6757950249999999E-2</v>
      </c>
      <c r="N2240" s="33" t="s">
        <v>248</v>
      </c>
    </row>
    <row r="2241" spans="1:14" ht="15">
      <c r="A2241" s="12"/>
      <c r="B2241" s="33" t="s">
        <v>300</v>
      </c>
      <c r="C2241" s="92" t="s">
        <v>404</v>
      </c>
      <c r="D2241" s="33" t="s">
        <v>410</v>
      </c>
      <c r="E2241" s="34">
        <v>45198</v>
      </c>
      <c r="F2241" s="34">
        <v>45201</v>
      </c>
      <c r="G2241" s="34">
        <v>45204</v>
      </c>
      <c r="H2241" s="35">
        <v>0.05</v>
      </c>
      <c r="I2241" s="67">
        <v>4.7199999999999999E-2</v>
      </c>
      <c r="J2241" s="67">
        <v>0</v>
      </c>
      <c r="K2241" s="67">
        <v>4.7199999999999999E-2</v>
      </c>
      <c r="L2241" s="36">
        <f>+K2241-((K2241*0.2815*0.125)+(K2241*(1-0.2815)*0.26))</f>
        <v>3.6721718E-2</v>
      </c>
      <c r="M2241" s="64">
        <f t="shared" si="71"/>
        <v>3.6721718E-2</v>
      </c>
      <c r="N2241" s="33" t="s">
        <v>248</v>
      </c>
    </row>
    <row r="2242" spans="1:14" ht="15">
      <c r="A2242" s="12"/>
      <c r="B2242" s="33" t="s">
        <v>142</v>
      </c>
      <c r="C2242" s="92" t="s">
        <v>341</v>
      </c>
      <c r="D2242" s="33" t="s">
        <v>410</v>
      </c>
      <c r="E2242" s="34">
        <v>45198</v>
      </c>
      <c r="F2242" s="34">
        <v>45201</v>
      </c>
      <c r="G2242" s="34">
        <v>45204</v>
      </c>
      <c r="H2242" s="35">
        <v>5.2499999999999998E-2</v>
      </c>
      <c r="I2242" s="67">
        <v>6.93E-2</v>
      </c>
      <c r="J2242" s="67">
        <v>0</v>
      </c>
      <c r="K2242" s="67">
        <v>6.93E-2</v>
      </c>
      <c r="L2242" s="36">
        <f>+K2242-((K2242*0.046*0.125)+(K2242*(1-0.046)*0.26))</f>
        <v>5.1712353000000003E-2</v>
      </c>
      <c r="M2242" s="64">
        <f t="shared" si="71"/>
        <v>5.1712353000000003E-2</v>
      </c>
      <c r="N2242" s="33" t="s">
        <v>248</v>
      </c>
    </row>
    <row r="2243" spans="1:14" ht="15">
      <c r="A2243" s="12"/>
      <c r="B2243" s="33" t="s">
        <v>159</v>
      </c>
      <c r="C2243" s="92" t="s">
        <v>342</v>
      </c>
      <c r="D2243" s="33" t="s">
        <v>410</v>
      </c>
      <c r="E2243" s="34">
        <v>45198</v>
      </c>
      <c r="F2243" s="34">
        <v>45201</v>
      </c>
      <c r="G2243" s="34">
        <v>45204</v>
      </c>
      <c r="H2243" s="35">
        <v>5.2499999999999998E-2</v>
      </c>
      <c r="I2243" s="67">
        <v>6.8099999999999994E-2</v>
      </c>
      <c r="J2243" s="67">
        <v>0</v>
      </c>
      <c r="K2243" s="67">
        <v>6.8099999999999994E-2</v>
      </c>
      <c r="L2243" s="36">
        <f>+K2243-((K2243*0.046*0.125)+(K2243*(1-0.046)*0.26))</f>
        <v>5.0816900999999998E-2</v>
      </c>
      <c r="M2243" s="64">
        <f t="shared" si="71"/>
        <v>5.0816900999999998E-2</v>
      </c>
      <c r="N2243" s="33" t="s">
        <v>248</v>
      </c>
    </row>
    <row r="2244" spans="1:14" ht="15">
      <c r="A2244" s="12"/>
      <c r="B2244" s="33" t="s">
        <v>507</v>
      </c>
      <c r="C2244" s="92" t="s">
        <v>508</v>
      </c>
      <c r="D2244" s="33" t="s">
        <v>410</v>
      </c>
      <c r="E2244" s="34">
        <v>45198</v>
      </c>
      <c r="F2244" s="34">
        <v>45201</v>
      </c>
      <c r="G2244" s="34">
        <v>45204</v>
      </c>
      <c r="H2244" s="35">
        <v>5.2499999999999998E-2</v>
      </c>
      <c r="I2244" s="67">
        <v>5.4600000000000003E-2</v>
      </c>
      <c r="J2244" s="67">
        <v>0</v>
      </c>
      <c r="K2244" s="67">
        <v>5.4600000000000003E-2</v>
      </c>
      <c r="L2244" s="36">
        <f>+K2244-((K2244*0.046*0.125)+(K2244*(1-0.046)*0.26))</f>
        <v>4.0743066000000001E-2</v>
      </c>
      <c r="M2244" s="64">
        <f t="shared" si="71"/>
        <v>4.0743066000000001E-2</v>
      </c>
      <c r="N2244" s="33" t="s">
        <v>248</v>
      </c>
    </row>
    <row r="2245" spans="1:14" ht="15">
      <c r="A2245" s="12"/>
      <c r="B2245" s="33" t="s">
        <v>139</v>
      </c>
      <c r="C2245" s="92" t="s">
        <v>344</v>
      </c>
      <c r="D2245" s="33" t="s">
        <v>410</v>
      </c>
      <c r="E2245" s="34">
        <v>45198</v>
      </c>
      <c r="F2245" s="34">
        <v>45201</v>
      </c>
      <c r="G2245" s="34">
        <v>45204</v>
      </c>
      <c r="H2245" s="35">
        <v>0.03</v>
      </c>
      <c r="I2245" s="67">
        <v>2.7799999999999998E-2</v>
      </c>
      <c r="J2245" s="67">
        <v>0</v>
      </c>
      <c r="K2245" s="67">
        <v>2.7799999999999998E-2</v>
      </c>
      <c r="L2245" s="36">
        <f>+K2245-((K2245*0.794*0.125)+(K2245*(1-0.794)*0.26))</f>
        <v>2.3551881999999996E-2</v>
      </c>
      <c r="M2245" s="64">
        <f t="shared" si="71"/>
        <v>2.3551881999999996E-2</v>
      </c>
      <c r="N2245" s="33" t="s">
        <v>248</v>
      </c>
    </row>
    <row r="2246" spans="1:14" ht="15">
      <c r="A2246" s="12"/>
      <c r="B2246" s="33" t="s">
        <v>161</v>
      </c>
      <c r="C2246" s="92" t="s">
        <v>345</v>
      </c>
      <c r="D2246" s="33" t="s">
        <v>410</v>
      </c>
      <c r="E2246" s="34">
        <v>45198</v>
      </c>
      <c r="F2246" s="34">
        <v>45201</v>
      </c>
      <c r="G2246" s="34">
        <v>45204</v>
      </c>
      <c r="H2246" s="35">
        <v>0.03</v>
      </c>
      <c r="I2246" s="67">
        <v>2.7400000000000001E-2</v>
      </c>
      <c r="J2246" s="67">
        <v>0</v>
      </c>
      <c r="K2246" s="67">
        <v>2.7400000000000001E-2</v>
      </c>
      <c r="L2246" s="36">
        <f>+K2246-((K2246*0.794*0.125)+(K2246*(1-0.794)*0.26))</f>
        <v>2.3213006000000001E-2</v>
      </c>
      <c r="M2246" s="64">
        <f t="shared" si="71"/>
        <v>2.3213006000000001E-2</v>
      </c>
      <c r="N2246" s="33" t="s">
        <v>248</v>
      </c>
    </row>
    <row r="2247" spans="1:14" ht="15">
      <c r="A2247" s="12"/>
      <c r="B2247" s="33" t="s">
        <v>141</v>
      </c>
      <c r="C2247" s="92" t="s">
        <v>348</v>
      </c>
      <c r="D2247" s="33" t="s">
        <v>410</v>
      </c>
      <c r="E2247" s="34">
        <v>45198</v>
      </c>
      <c r="F2247" s="34">
        <v>45201</v>
      </c>
      <c r="G2247" s="34">
        <v>45204</v>
      </c>
      <c r="H2247" s="35">
        <v>4.4999999999999998E-2</v>
      </c>
      <c r="I2247" s="67">
        <v>3.9399999999999998E-2</v>
      </c>
      <c r="J2247" s="67">
        <v>0</v>
      </c>
      <c r="K2247" s="67">
        <v>3.9399999999999998E-2</v>
      </c>
      <c r="L2247" s="36">
        <f>+K2247-((K2247*0.076*0.125)+(K2247*(1-0.076)*0.26))</f>
        <v>2.9560243999999999E-2</v>
      </c>
      <c r="M2247" s="64">
        <f t="shared" si="71"/>
        <v>2.9560243999999999E-2</v>
      </c>
      <c r="N2247" s="33" t="s">
        <v>248</v>
      </c>
    </row>
    <row r="2248" spans="1:14" ht="15">
      <c r="A2248" s="12"/>
      <c r="B2248" s="33" t="s">
        <v>140</v>
      </c>
      <c r="C2248" s="92" t="s">
        <v>349</v>
      </c>
      <c r="D2248" s="33" t="s">
        <v>410</v>
      </c>
      <c r="E2248" s="34">
        <v>45198</v>
      </c>
      <c r="F2248" s="34">
        <v>45201</v>
      </c>
      <c r="G2248" s="34">
        <v>45204</v>
      </c>
      <c r="H2248" s="35">
        <v>4.4999999999999998E-2</v>
      </c>
      <c r="I2248" s="67">
        <v>4.7899999999999998E-2</v>
      </c>
      <c r="J2248" s="67">
        <v>0</v>
      </c>
      <c r="K2248" s="67">
        <v>4.7899999999999998E-2</v>
      </c>
      <c r="L2248" s="36">
        <f>+K2248-((K2248*0.076*0.125)+(K2248*(1-0.076)*0.26))</f>
        <v>3.5937453999999994E-2</v>
      </c>
      <c r="M2248" s="64">
        <f t="shared" si="71"/>
        <v>3.5937453999999994E-2</v>
      </c>
      <c r="N2248" s="33" t="s">
        <v>248</v>
      </c>
    </row>
    <row r="2249" spans="1:14" ht="15">
      <c r="A2249" s="12"/>
      <c r="B2249" s="33" t="s">
        <v>162</v>
      </c>
      <c r="C2249" s="92" t="s">
        <v>350</v>
      </c>
      <c r="D2249" s="33" t="s">
        <v>410</v>
      </c>
      <c r="E2249" s="34">
        <v>45198</v>
      </c>
      <c r="F2249" s="34">
        <v>45201</v>
      </c>
      <c r="G2249" s="34">
        <v>45204</v>
      </c>
      <c r="H2249" s="35">
        <v>4.4999999999999998E-2</v>
      </c>
      <c r="I2249" s="67">
        <v>4.6800000000000001E-2</v>
      </c>
      <c r="J2249" s="67">
        <v>0</v>
      </c>
      <c r="K2249" s="67">
        <v>4.6800000000000001E-2</v>
      </c>
      <c r="L2249" s="36">
        <f>+K2249-((K2249*0.076*0.125)+(K2249*(1-0.076)*0.26))</f>
        <v>3.5112167999999999E-2</v>
      </c>
      <c r="M2249" s="64">
        <f t="shared" si="71"/>
        <v>3.5112167999999999E-2</v>
      </c>
      <c r="N2249" s="33" t="s">
        <v>248</v>
      </c>
    </row>
    <row r="2250" spans="1:14" ht="15">
      <c r="A2250" s="12"/>
      <c r="B2250" s="33" t="s">
        <v>302</v>
      </c>
      <c r="C2250" s="92" t="s">
        <v>405</v>
      </c>
      <c r="D2250" s="33" t="s">
        <v>410</v>
      </c>
      <c r="E2250" s="34">
        <v>45198</v>
      </c>
      <c r="F2250" s="34">
        <v>45201</v>
      </c>
      <c r="G2250" s="34">
        <v>45204</v>
      </c>
      <c r="H2250" s="35">
        <v>4.4999999999999998E-2</v>
      </c>
      <c r="I2250" s="67">
        <v>4.07E-2</v>
      </c>
      <c r="J2250" s="67">
        <v>0</v>
      </c>
      <c r="K2250" s="67">
        <v>4.07E-2</v>
      </c>
      <c r="L2250" s="36">
        <f>+K2250-((K2250*0.076*0.125)+(K2250*(1-0.076)*0.26))</f>
        <v>3.0535581999999999E-2</v>
      </c>
      <c r="M2250" s="64">
        <f t="shared" si="71"/>
        <v>3.0535581999999999E-2</v>
      </c>
      <c r="N2250" s="33" t="s">
        <v>248</v>
      </c>
    </row>
    <row r="2251" spans="1:14" ht="15">
      <c r="A2251" s="12"/>
      <c r="B2251" s="33" t="s">
        <v>303</v>
      </c>
      <c r="C2251" s="92" t="s">
        <v>406</v>
      </c>
      <c r="D2251" s="33" t="s">
        <v>410</v>
      </c>
      <c r="E2251" s="34">
        <v>45198</v>
      </c>
      <c r="F2251" s="34">
        <v>45201</v>
      </c>
      <c r="G2251" s="34">
        <v>45204</v>
      </c>
      <c r="H2251" s="35">
        <v>4.4999999999999998E-2</v>
      </c>
      <c r="I2251" s="67">
        <v>4.4699999999999997E-2</v>
      </c>
      <c r="J2251" s="67">
        <v>0</v>
      </c>
      <c r="K2251" s="67">
        <v>4.4699999999999997E-2</v>
      </c>
      <c r="L2251" s="36">
        <f>+K2251-((K2251*0.076*0.125)+(K2251*(1-0.076)*0.26))</f>
        <v>3.3536621999999995E-2</v>
      </c>
      <c r="M2251" s="64">
        <f t="shared" si="71"/>
        <v>3.3536621999999995E-2</v>
      </c>
      <c r="N2251" s="33" t="s">
        <v>248</v>
      </c>
    </row>
    <row r="2252" spans="1:14" ht="15">
      <c r="A2252" s="12"/>
      <c r="B2252" s="33" t="s">
        <v>143</v>
      </c>
      <c r="C2252" s="92" t="s">
        <v>351</v>
      </c>
      <c r="D2252" s="33" t="s">
        <v>410</v>
      </c>
      <c r="E2252" s="34">
        <v>45198</v>
      </c>
      <c r="F2252" s="34">
        <v>45201</v>
      </c>
      <c r="G2252" s="34">
        <v>45204</v>
      </c>
      <c r="H2252" s="35">
        <v>2.5000000000000001E-2</v>
      </c>
      <c r="I2252" s="67">
        <v>2.63E-2</v>
      </c>
      <c r="J2252" s="67">
        <v>0</v>
      </c>
      <c r="K2252" s="67">
        <v>2.63E-2</v>
      </c>
      <c r="L2252" s="36">
        <f>+K2252-((K2252*0.5625*0.125)+(K2252*(1-0.5625)*0.26))</f>
        <v>2.145915625E-2</v>
      </c>
      <c r="M2252" s="64">
        <f t="shared" si="71"/>
        <v>2.145915625E-2</v>
      </c>
      <c r="N2252" s="33" t="s">
        <v>248</v>
      </c>
    </row>
    <row r="2253" spans="1:14" ht="15">
      <c r="A2253" s="12"/>
      <c r="B2253" s="33" t="s">
        <v>145</v>
      </c>
      <c r="C2253" s="92" t="s">
        <v>352</v>
      </c>
      <c r="D2253" s="33" t="s">
        <v>410</v>
      </c>
      <c r="E2253" s="34">
        <v>45198</v>
      </c>
      <c r="F2253" s="34">
        <v>45201</v>
      </c>
      <c r="G2253" s="34">
        <v>45204</v>
      </c>
      <c r="H2253" s="35">
        <v>3.5000000000000003E-2</v>
      </c>
      <c r="I2253" s="67">
        <v>3.8300000000000001E-2</v>
      </c>
      <c r="J2253" s="67">
        <v>0</v>
      </c>
      <c r="K2253" s="67">
        <v>3.8300000000000001E-2</v>
      </c>
      <c r="L2253" s="36">
        <f>+K2253-((K2253*0.0435*0.125)+(K2253*(1-0.0435)*0.26))</f>
        <v>2.8566916750000001E-2</v>
      </c>
      <c r="M2253" s="64">
        <f t="shared" si="71"/>
        <v>2.8566916750000001E-2</v>
      </c>
      <c r="N2253" s="33" t="s">
        <v>248</v>
      </c>
    </row>
    <row r="2254" spans="1:14" ht="15">
      <c r="A2254" s="12"/>
      <c r="B2254" s="33" t="s">
        <v>144</v>
      </c>
      <c r="C2254" s="92" t="s">
        <v>353</v>
      </c>
      <c r="D2254" s="33" t="s">
        <v>410</v>
      </c>
      <c r="E2254" s="34">
        <v>45198</v>
      </c>
      <c r="F2254" s="34">
        <v>45201</v>
      </c>
      <c r="G2254" s="34">
        <v>45204</v>
      </c>
      <c r="H2254" s="35">
        <v>0.02</v>
      </c>
      <c r="I2254" s="67">
        <v>2.07E-2</v>
      </c>
      <c r="J2254" s="67">
        <v>0</v>
      </c>
      <c r="K2254" s="67">
        <v>2.07E-2</v>
      </c>
      <c r="L2254" s="36">
        <f>+K2254-((K2254*0.7355*0.125)+(K2254*(1-0.7355)*0.26))</f>
        <v>1.737335475E-2</v>
      </c>
      <c r="M2254" s="64">
        <f t="shared" si="71"/>
        <v>1.737335475E-2</v>
      </c>
      <c r="N2254" s="33" t="s">
        <v>248</v>
      </c>
    </row>
    <row r="2255" spans="1:14" ht="15">
      <c r="A2255" s="12"/>
      <c r="B2255" s="33" t="s">
        <v>148</v>
      </c>
      <c r="C2255" s="92" t="s">
        <v>362</v>
      </c>
      <c r="D2255" s="33" t="s">
        <v>410</v>
      </c>
      <c r="E2255" s="34">
        <v>45198</v>
      </c>
      <c r="F2255" s="34">
        <v>45201</v>
      </c>
      <c r="G2255" s="34">
        <v>45204</v>
      </c>
      <c r="H2255" s="35">
        <v>4.2500000000000003E-2</v>
      </c>
      <c r="I2255" s="67">
        <v>5.2600000000000001E-2</v>
      </c>
      <c r="J2255" s="67">
        <v>0</v>
      </c>
      <c r="K2255" s="67">
        <v>5.2600000000000001E-2</v>
      </c>
      <c r="L2255" s="36">
        <f>+K2255-((K2255*0.49*0.125)+(K2255*(1-0.49)*0.26))</f>
        <v>4.2403490000000002E-2</v>
      </c>
      <c r="M2255" s="64">
        <f t="shared" si="71"/>
        <v>4.2403490000000002E-2</v>
      </c>
      <c r="N2255" s="33" t="s">
        <v>248</v>
      </c>
    </row>
    <row r="2256" spans="1:14" ht="15">
      <c r="A2256" s="12"/>
      <c r="B2256" s="33" t="s">
        <v>200</v>
      </c>
      <c r="C2256" s="92" t="s">
        <v>365</v>
      </c>
      <c r="D2256" s="33" t="s">
        <v>410</v>
      </c>
      <c r="E2256" s="34">
        <v>45198</v>
      </c>
      <c r="F2256" s="34">
        <v>45201</v>
      </c>
      <c r="G2256" s="34">
        <v>45204</v>
      </c>
      <c r="H2256" s="35">
        <v>4.2500000000000003E-2</v>
      </c>
      <c r="I2256" s="67">
        <v>0.87090000000000001</v>
      </c>
      <c r="J2256" s="67">
        <v>0</v>
      </c>
      <c r="K2256" s="67">
        <v>0.87090000000000001</v>
      </c>
      <c r="L2256" s="36">
        <f>+K2256-((K2256*0.49*0.125)+(K2256*(1-0.49)*0.26))</f>
        <v>0.70207603499999993</v>
      </c>
      <c r="M2256" s="64">
        <f t="shared" si="71"/>
        <v>0.70207603499999993</v>
      </c>
      <c r="N2256" s="33" t="s">
        <v>248</v>
      </c>
    </row>
    <row r="2257" spans="1:14" ht="15">
      <c r="A2257" s="12"/>
      <c r="B2257" s="33" t="s">
        <v>173</v>
      </c>
      <c r="C2257" s="92" t="s">
        <v>372</v>
      </c>
      <c r="D2257" s="33" t="s">
        <v>410</v>
      </c>
      <c r="E2257" s="34">
        <v>45198</v>
      </c>
      <c r="F2257" s="34">
        <v>45201</v>
      </c>
      <c r="G2257" s="34">
        <v>45204</v>
      </c>
      <c r="H2257" s="35">
        <v>2.5000000000000001E-2</v>
      </c>
      <c r="I2257" s="67">
        <v>3.09E-2</v>
      </c>
      <c r="J2257" s="67">
        <v>0</v>
      </c>
      <c r="K2257" s="67">
        <v>3.09E-2</v>
      </c>
      <c r="L2257" s="36">
        <f>+K2257-((K2257*0.252*0.125)+(K2257*(1-0.252)*0.26))</f>
        <v>2.3917218000000001E-2</v>
      </c>
      <c r="M2257" s="64">
        <f t="shared" si="71"/>
        <v>2.3917218000000001E-2</v>
      </c>
      <c r="N2257" s="33" t="s">
        <v>248</v>
      </c>
    </row>
    <row r="2258" spans="1:14" ht="15">
      <c r="A2258" s="12"/>
      <c r="B2258" s="33" t="s">
        <v>150</v>
      </c>
      <c r="C2258" s="92" t="s">
        <v>377</v>
      </c>
      <c r="D2258" s="33" t="s">
        <v>410</v>
      </c>
      <c r="E2258" s="34">
        <v>45198</v>
      </c>
      <c r="F2258" s="34">
        <v>45201</v>
      </c>
      <c r="G2258" s="34">
        <v>45204</v>
      </c>
      <c r="H2258" s="35">
        <v>7.0000000000000007E-2</v>
      </c>
      <c r="I2258" s="67">
        <v>8.1299999999999997E-2</v>
      </c>
      <c r="J2258" s="67">
        <v>0</v>
      </c>
      <c r="K2258" s="67">
        <v>8.1299999999999997E-2</v>
      </c>
      <c r="L2258" s="36">
        <f>+K2258-((K2258*0.023*0.125)+(K2258*(1-0.023)*0.26))</f>
        <v>6.0414436500000002E-2</v>
      </c>
      <c r="M2258" s="64">
        <f t="shared" si="71"/>
        <v>6.0414436500000002E-2</v>
      </c>
      <c r="N2258" s="33" t="s">
        <v>248</v>
      </c>
    </row>
    <row r="2259" spans="1:14" ht="15">
      <c r="A2259" s="12"/>
      <c r="B2259" s="33" t="s">
        <v>510</v>
      </c>
      <c r="C2259" s="92" t="s">
        <v>509</v>
      </c>
      <c r="D2259" s="33" t="s">
        <v>410</v>
      </c>
      <c r="E2259" s="34">
        <v>45198</v>
      </c>
      <c r="F2259" s="34">
        <v>45201</v>
      </c>
      <c r="G2259" s="34">
        <v>45204</v>
      </c>
      <c r="H2259" s="35">
        <v>7.0000000000000007E-2</v>
      </c>
      <c r="I2259" s="67">
        <v>7.1999999999999995E-2</v>
      </c>
      <c r="J2259" s="67">
        <v>0</v>
      </c>
      <c r="K2259" s="67">
        <v>7.1999999999999995E-2</v>
      </c>
      <c r="L2259" s="36">
        <f>+K2259-((K2259*0.023*0.125)+(K2259*(1-0.023)*0.26))</f>
        <v>5.3503559999999999E-2</v>
      </c>
      <c r="M2259" s="64">
        <f t="shared" si="71"/>
        <v>5.3503559999999999E-2</v>
      </c>
      <c r="N2259" s="33" t="s">
        <v>248</v>
      </c>
    </row>
    <row r="2260" spans="1:14" ht="15">
      <c r="A2260" s="12"/>
      <c r="B2260" s="33" t="s">
        <v>441</v>
      </c>
      <c r="C2260" s="92" t="s">
        <v>444</v>
      </c>
      <c r="D2260" s="33" t="s">
        <v>410</v>
      </c>
      <c r="E2260" s="34">
        <v>45198</v>
      </c>
      <c r="F2260" s="34">
        <v>45201</v>
      </c>
      <c r="G2260" s="34">
        <v>45204</v>
      </c>
      <c r="H2260" s="35">
        <v>0.04</v>
      </c>
      <c r="I2260" s="67">
        <v>4.2299999999999997E-2</v>
      </c>
      <c r="J2260" s="67">
        <v>0</v>
      </c>
      <c r="K2260" s="67">
        <v>4.2299999999999997E-2</v>
      </c>
      <c r="L2260" s="36">
        <f>+K2260-((K2260*0.227*0.125)+(K2260*(1-0.227)*0.26))</f>
        <v>3.2598283499999998E-2</v>
      </c>
      <c r="M2260" s="64">
        <f t="shared" si="71"/>
        <v>3.2598283499999998E-2</v>
      </c>
      <c r="N2260" s="33" t="s">
        <v>248</v>
      </c>
    </row>
    <row r="2261" spans="1:14" ht="15">
      <c r="A2261" s="12"/>
      <c r="B2261" s="33" t="s">
        <v>440</v>
      </c>
      <c r="C2261" s="92" t="s">
        <v>443</v>
      </c>
      <c r="D2261" s="33" t="s">
        <v>410</v>
      </c>
      <c r="E2261" s="34">
        <v>45198</v>
      </c>
      <c r="F2261" s="34">
        <v>45201</v>
      </c>
      <c r="G2261" s="34">
        <v>45204</v>
      </c>
      <c r="H2261" s="35">
        <v>0.04</v>
      </c>
      <c r="I2261" s="67">
        <v>0.86990000000000001</v>
      </c>
      <c r="J2261" s="67">
        <v>0.13059999999999999</v>
      </c>
      <c r="K2261" s="67">
        <v>0.73932223922775198</v>
      </c>
      <c r="L2261" s="36">
        <f>+K2261-((K2261*0.227*0.125)+(K2261*(1-0.227)*0.26))</f>
        <v>0.56975498704967098</v>
      </c>
      <c r="M2261" s="64">
        <f t="shared" si="71"/>
        <v>0.70035498704967103</v>
      </c>
      <c r="N2261" s="33" t="s">
        <v>248</v>
      </c>
    </row>
    <row r="2262" spans="1:14" ht="15">
      <c r="A2262" s="12"/>
      <c r="B2262" s="33" t="s">
        <v>299</v>
      </c>
      <c r="C2262" s="92" t="s">
        <v>517</v>
      </c>
      <c r="D2262" s="33" t="s">
        <v>410</v>
      </c>
      <c r="E2262" s="34">
        <v>45198</v>
      </c>
      <c r="F2262" s="34">
        <v>45201</v>
      </c>
      <c r="G2262" s="34">
        <v>45204</v>
      </c>
      <c r="H2262" s="35">
        <v>2.5000000000000001E-2</v>
      </c>
      <c r="I2262" s="67">
        <v>2.7699999999999999E-2</v>
      </c>
      <c r="J2262" s="67">
        <v>0</v>
      </c>
      <c r="K2262" s="67">
        <v>2.7699999999999999E-2</v>
      </c>
      <c r="L2262" s="36">
        <f>+K2262-((K2262*0.4285*0.125)+(K2262*(1-0.4285)*0.26))</f>
        <v>2.2100375749999998E-2</v>
      </c>
      <c r="M2262" s="64">
        <f t="shared" si="71"/>
        <v>2.2100375749999998E-2</v>
      </c>
      <c r="N2262" s="33" t="s">
        <v>248</v>
      </c>
    </row>
    <row r="2263" spans="1:14" ht="15">
      <c r="A2263" s="12"/>
      <c r="B2263" s="33" t="s">
        <v>182</v>
      </c>
      <c r="C2263" s="92" t="s">
        <v>477</v>
      </c>
      <c r="D2263" s="33" t="s">
        <v>410</v>
      </c>
      <c r="E2263" s="34">
        <v>45198</v>
      </c>
      <c r="F2263" s="34">
        <v>45201</v>
      </c>
      <c r="G2263" s="34">
        <v>45204</v>
      </c>
      <c r="H2263" s="35">
        <v>2.5000000000000001E-2</v>
      </c>
      <c r="I2263" s="67">
        <v>0.53779999999999994</v>
      </c>
      <c r="J2263" s="67">
        <v>0</v>
      </c>
      <c r="K2263" s="67">
        <v>0.53779999999999994</v>
      </c>
      <c r="L2263" s="36">
        <f>+K2263-((K2263*0.4285*0.125)+(K2263*(1-0.4285)*0.26))</f>
        <v>0.42908238549999994</v>
      </c>
      <c r="M2263" s="64">
        <f t="shared" si="71"/>
        <v>0.42908238549999994</v>
      </c>
      <c r="N2263" s="33" t="s">
        <v>248</v>
      </c>
    </row>
    <row r="2264" spans="1:14" ht="15">
      <c r="A2264" s="12"/>
      <c r="B2264" s="33" t="s">
        <v>202</v>
      </c>
      <c r="C2264" s="92" t="s">
        <v>478</v>
      </c>
      <c r="D2264" s="33" t="s">
        <v>410</v>
      </c>
      <c r="E2264" s="34">
        <v>45198</v>
      </c>
      <c r="F2264" s="34">
        <v>45201</v>
      </c>
      <c r="G2264" s="34">
        <v>45204</v>
      </c>
      <c r="H2264" s="35">
        <v>2.5000000000000001E-2</v>
      </c>
      <c r="I2264" s="67">
        <v>0.54930000000000001</v>
      </c>
      <c r="J2264" s="67">
        <v>0</v>
      </c>
      <c r="K2264" s="67">
        <v>0.54930000000000001</v>
      </c>
      <c r="L2264" s="36">
        <f>+K2264-((K2264*0.4285*0.125)+(K2264*(1-0.4285)*0.26))</f>
        <v>0.43825763174999999</v>
      </c>
      <c r="M2264" s="64">
        <f t="shared" si="71"/>
        <v>0.43825763174999999</v>
      </c>
      <c r="N2264" s="33" t="s">
        <v>248</v>
      </c>
    </row>
    <row r="2265" spans="1:14" ht="15">
      <c r="A2265" s="12"/>
      <c r="B2265" s="33" t="s">
        <v>146</v>
      </c>
      <c r="C2265" s="92" t="s">
        <v>380</v>
      </c>
      <c r="D2265" s="33" t="s">
        <v>410</v>
      </c>
      <c r="E2265" s="34">
        <v>45198</v>
      </c>
      <c r="F2265" s="34">
        <v>45201</v>
      </c>
      <c r="G2265" s="34">
        <v>45204</v>
      </c>
      <c r="H2265" s="35">
        <v>0.04</v>
      </c>
      <c r="I2265" s="67">
        <v>5.2400000000000002E-2</v>
      </c>
      <c r="J2265" s="67">
        <v>0</v>
      </c>
      <c r="K2265" s="67">
        <v>5.2400000000000002E-2</v>
      </c>
      <c r="L2265" s="36">
        <f>+K2265-((K2265*0.018*0.125)+(K2265*(1-0.018)*0.26))</f>
        <v>3.8903331999999999E-2</v>
      </c>
      <c r="M2265" s="64">
        <f t="shared" si="71"/>
        <v>3.8903331999999999E-2</v>
      </c>
      <c r="N2265" s="33" t="s">
        <v>248</v>
      </c>
    </row>
    <row r="2266" spans="1:14" ht="15">
      <c r="A2266" s="12"/>
      <c r="B2266" s="33" t="s">
        <v>163</v>
      </c>
      <c r="C2266" s="92" t="s">
        <v>381</v>
      </c>
      <c r="D2266" s="33" t="s">
        <v>410</v>
      </c>
      <c r="E2266" s="34">
        <v>45198</v>
      </c>
      <c r="F2266" s="34">
        <v>45201</v>
      </c>
      <c r="G2266" s="34">
        <v>45204</v>
      </c>
      <c r="H2266" s="35">
        <v>0.04</v>
      </c>
      <c r="I2266" s="67">
        <v>4.6699999999999998E-2</v>
      </c>
      <c r="J2266" s="67">
        <v>0</v>
      </c>
      <c r="K2266" s="67">
        <v>4.6699999999999998E-2</v>
      </c>
      <c r="L2266" s="36">
        <f>+K2266-((K2266*0.018*0.125)+(K2266*(1-0.018)*0.26))</f>
        <v>3.4671481000000004E-2</v>
      </c>
      <c r="M2266" s="64">
        <f t="shared" si="71"/>
        <v>3.4671481000000004E-2</v>
      </c>
      <c r="N2266" s="33" t="s">
        <v>248</v>
      </c>
    </row>
    <row r="2267" spans="1:14" ht="15">
      <c r="A2267" s="12"/>
      <c r="B2267" s="33" t="s">
        <v>151</v>
      </c>
      <c r="C2267" s="92" t="s">
        <v>383</v>
      </c>
      <c r="D2267" s="33" t="s">
        <v>410</v>
      </c>
      <c r="E2267" s="34">
        <v>45198</v>
      </c>
      <c r="F2267" s="34">
        <v>45201</v>
      </c>
      <c r="G2267" s="34">
        <v>45204</v>
      </c>
      <c r="H2267" s="35">
        <v>0.04</v>
      </c>
      <c r="I2267" s="67">
        <v>4.0800000000000003E-2</v>
      </c>
      <c r="J2267" s="67">
        <v>0</v>
      </c>
      <c r="K2267" s="67">
        <v>4.0800000000000003E-2</v>
      </c>
      <c r="L2267" s="36">
        <f>+K2267-((K2267*0.016*0.125)+(K2267*(1-0.016)*0.26))</f>
        <v>3.0280128000000003E-2</v>
      </c>
      <c r="M2267" s="64">
        <f t="shared" si="71"/>
        <v>3.0280128000000003E-2</v>
      </c>
      <c r="N2267" s="33" t="s">
        <v>248</v>
      </c>
    </row>
    <row r="2268" spans="1:14" ht="15">
      <c r="A2268" s="12"/>
      <c r="B2268" s="33" t="s">
        <v>166</v>
      </c>
      <c r="C2268" s="92" t="s">
        <v>384</v>
      </c>
      <c r="D2268" s="33" t="s">
        <v>410</v>
      </c>
      <c r="E2268" s="34">
        <v>45198</v>
      </c>
      <c r="F2268" s="34">
        <v>45201</v>
      </c>
      <c r="G2268" s="34">
        <v>45204</v>
      </c>
      <c r="H2268" s="35">
        <v>0.04</v>
      </c>
      <c r="I2268" s="67">
        <v>4.02E-2</v>
      </c>
      <c r="J2268" s="67">
        <v>0</v>
      </c>
      <c r="K2268" s="67">
        <v>4.02E-2</v>
      </c>
      <c r="L2268" s="36">
        <f>+K2268-((K2268*0.016*0.125)+(K2268*(1-0.016)*0.26))</f>
        <v>2.9834831999999999E-2</v>
      </c>
      <c r="M2268" s="64">
        <f t="shared" si="71"/>
        <v>2.9834831999999999E-2</v>
      </c>
      <c r="N2268" s="33" t="s">
        <v>248</v>
      </c>
    </row>
    <row r="2269" spans="1:14" ht="15">
      <c r="A2269" s="12"/>
      <c r="B2269" s="33" t="s">
        <v>149</v>
      </c>
      <c r="C2269" s="92" t="s">
        <v>386</v>
      </c>
      <c r="D2269" s="33" t="s">
        <v>410</v>
      </c>
      <c r="E2269" s="34">
        <v>45198</v>
      </c>
      <c r="F2269" s="34">
        <v>45201</v>
      </c>
      <c r="G2269" s="34">
        <v>45204</v>
      </c>
      <c r="H2269" s="35">
        <v>7.0000000000000007E-2</v>
      </c>
      <c r="I2269" s="67">
        <v>8.9599999999999999E-2</v>
      </c>
      <c r="J2269" s="67">
        <v>0</v>
      </c>
      <c r="K2269" s="67">
        <v>8.9599999999999999E-2</v>
      </c>
      <c r="L2269" s="36">
        <f>+K2269-((K2269*0.048*0.125)+(K2269*(1-0.048)*0.26))</f>
        <v>6.6884607999999998E-2</v>
      </c>
      <c r="M2269" s="64">
        <f t="shared" si="71"/>
        <v>6.6884607999999998E-2</v>
      </c>
      <c r="N2269" s="33" t="s">
        <v>248</v>
      </c>
    </row>
    <row r="2270" spans="1:14" ht="15">
      <c r="A2270" s="12"/>
      <c r="B2270" s="33" t="s">
        <v>165</v>
      </c>
      <c r="C2270" s="92" t="s">
        <v>387</v>
      </c>
      <c r="D2270" s="33" t="s">
        <v>410</v>
      </c>
      <c r="E2270" s="34">
        <v>45198</v>
      </c>
      <c r="F2270" s="34">
        <v>45201</v>
      </c>
      <c r="G2270" s="34">
        <v>45204</v>
      </c>
      <c r="H2270" s="35">
        <v>7.0000000000000007E-2</v>
      </c>
      <c r="I2270" s="67">
        <v>8.3000000000000004E-2</v>
      </c>
      <c r="J2270" s="67">
        <v>0</v>
      </c>
      <c r="K2270" s="67">
        <v>8.3000000000000004E-2</v>
      </c>
      <c r="L2270" s="36">
        <f>+K2270-((K2270*0.048*0.125)+(K2270*(1-0.048)*0.26))</f>
        <v>6.195784E-2</v>
      </c>
      <c r="M2270" s="64">
        <f t="shared" si="71"/>
        <v>6.195784E-2</v>
      </c>
      <c r="N2270" s="33" t="s">
        <v>248</v>
      </c>
    </row>
    <row r="2271" spans="1:14" ht="15">
      <c r="A2271" s="12"/>
      <c r="B2271" s="33" t="s">
        <v>153</v>
      </c>
      <c r="C2271" s="92" t="s">
        <v>394</v>
      </c>
      <c r="D2271" s="33" t="s">
        <v>410</v>
      </c>
      <c r="E2271" s="34">
        <v>45198</v>
      </c>
      <c r="F2271" s="34">
        <v>45201</v>
      </c>
      <c r="G2271" s="34">
        <v>45204</v>
      </c>
      <c r="H2271" s="35">
        <v>5.0999999999999997E-2</v>
      </c>
      <c r="I2271" s="67">
        <v>5.2299999999999999E-2</v>
      </c>
      <c r="J2271" s="67">
        <v>0</v>
      </c>
      <c r="K2271" s="67">
        <v>5.2299999999999999E-2</v>
      </c>
      <c r="L2271" s="36">
        <f>+K2271-((K2271*0.242*0.125)+(K2271*(1-0.242)*0.26))</f>
        <v>4.0410640999999997E-2</v>
      </c>
      <c r="M2271" s="64">
        <f t="shared" si="71"/>
        <v>4.0410640999999997E-2</v>
      </c>
      <c r="N2271" s="33" t="s">
        <v>248</v>
      </c>
    </row>
    <row r="2272" spans="1:14" ht="15">
      <c r="A2272" s="12"/>
      <c r="B2272" s="33" t="s">
        <v>152</v>
      </c>
      <c r="C2272" s="92" t="s">
        <v>395</v>
      </c>
      <c r="D2272" s="33" t="s">
        <v>410</v>
      </c>
      <c r="E2272" s="34">
        <v>45198</v>
      </c>
      <c r="F2272" s="34">
        <v>45201</v>
      </c>
      <c r="G2272" s="34">
        <v>45204</v>
      </c>
      <c r="H2272" s="35">
        <v>5.0999999999999997E-2</v>
      </c>
      <c r="I2272" s="67">
        <v>7.8E-2</v>
      </c>
      <c r="J2272" s="67">
        <v>0</v>
      </c>
      <c r="K2272" s="67">
        <v>7.8E-2</v>
      </c>
      <c r="L2272" s="36">
        <f>+K2272-((K2272*0.242*0.125)+(K2272*(1-0.242)*0.26))</f>
        <v>6.0268260000000004E-2</v>
      </c>
      <c r="M2272" s="64">
        <f t="shared" si="71"/>
        <v>6.0268260000000004E-2</v>
      </c>
      <c r="N2272" s="33" t="s">
        <v>248</v>
      </c>
    </row>
    <row r="2273" spans="1:14" ht="15">
      <c r="A2273" s="12"/>
      <c r="B2273" s="33" t="s">
        <v>167</v>
      </c>
      <c r="C2273" s="92" t="s">
        <v>396</v>
      </c>
      <c r="D2273" s="33" t="s">
        <v>410</v>
      </c>
      <c r="E2273" s="34">
        <v>45198</v>
      </c>
      <c r="F2273" s="34">
        <v>45201</v>
      </c>
      <c r="G2273" s="34">
        <v>45204</v>
      </c>
      <c r="H2273" s="35">
        <v>5.0999999999999997E-2</v>
      </c>
      <c r="I2273" s="67">
        <v>7.3800000000000004E-2</v>
      </c>
      <c r="J2273" s="67">
        <v>0</v>
      </c>
      <c r="K2273" s="67">
        <v>7.3800000000000004E-2</v>
      </c>
      <c r="L2273" s="36">
        <f>+K2273-((K2273*0.242*0.125)+(K2273*(1-0.242)*0.26))</f>
        <v>5.7023046000000008E-2</v>
      </c>
      <c r="M2273" s="64">
        <f t="shared" si="71"/>
        <v>5.7023046000000008E-2</v>
      </c>
      <c r="N2273" s="33" t="s">
        <v>248</v>
      </c>
    </row>
    <row r="2274" spans="1:14" ht="15">
      <c r="A2274" s="12"/>
      <c r="B2274" s="33" t="s">
        <v>301</v>
      </c>
      <c r="C2274" s="92" t="s">
        <v>407</v>
      </c>
      <c r="D2274" s="33" t="s">
        <v>410</v>
      </c>
      <c r="E2274" s="34">
        <v>45198</v>
      </c>
      <c r="F2274" s="34">
        <v>45201</v>
      </c>
      <c r="G2274" s="34">
        <v>45204</v>
      </c>
      <c r="H2274" s="35">
        <v>5.0999999999999997E-2</v>
      </c>
      <c r="I2274" s="67">
        <v>5.8400000000000001E-2</v>
      </c>
      <c r="J2274" s="67">
        <v>0</v>
      </c>
      <c r="K2274" s="67">
        <v>5.8400000000000001E-2</v>
      </c>
      <c r="L2274" s="36">
        <f>+K2274-((K2274*0.242*0.125)+(K2274*(1-0.242)*0.26))</f>
        <v>4.5123928000000001E-2</v>
      </c>
      <c r="M2274" s="64">
        <f t="shared" si="71"/>
        <v>4.5123928000000001E-2</v>
      </c>
      <c r="N2274" s="33" t="s">
        <v>248</v>
      </c>
    </row>
    <row r="2275" spans="1:14" ht="15">
      <c r="A2275" s="12"/>
      <c r="B2275" s="33" t="s">
        <v>304</v>
      </c>
      <c r="C2275" s="92" t="s">
        <v>408</v>
      </c>
      <c r="D2275" s="33" t="s">
        <v>410</v>
      </c>
      <c r="E2275" s="34">
        <v>45198</v>
      </c>
      <c r="F2275" s="34">
        <v>45201</v>
      </c>
      <c r="G2275" s="34">
        <v>45204</v>
      </c>
      <c r="H2275" s="35">
        <v>4.4999999999999998E-2</v>
      </c>
      <c r="I2275" s="67">
        <v>4.5699999999999998E-2</v>
      </c>
      <c r="J2275" s="67">
        <v>0</v>
      </c>
      <c r="K2275" s="67">
        <v>4.5699999999999998E-2</v>
      </c>
      <c r="L2275" s="36">
        <f>+K2275-((K2275*0.288*0.125)+(K2275*(1-0.288)*0.26))</f>
        <v>3.5594816000000001E-2</v>
      </c>
      <c r="M2275" s="64">
        <f t="shared" si="71"/>
        <v>3.5594816000000001E-2</v>
      </c>
      <c r="N2275" s="33" t="s">
        <v>248</v>
      </c>
    </row>
    <row r="2276" spans="1:14" ht="15">
      <c r="A2276" s="12"/>
      <c r="B2276" s="33" t="s">
        <v>183</v>
      </c>
      <c r="C2276" s="92" t="s">
        <v>398</v>
      </c>
      <c r="D2276" s="33" t="s">
        <v>410</v>
      </c>
      <c r="E2276" s="34">
        <v>45198</v>
      </c>
      <c r="F2276" s="34">
        <v>45201</v>
      </c>
      <c r="G2276" s="34">
        <v>45204</v>
      </c>
      <c r="H2276" s="35">
        <v>4.4999999999999998E-2</v>
      </c>
      <c r="I2276" s="67">
        <v>4.5699999999999998E-2</v>
      </c>
      <c r="J2276" s="67">
        <v>0</v>
      </c>
      <c r="K2276" s="67">
        <v>4.5699999999999998E-2</v>
      </c>
      <c r="L2276" s="36">
        <f>+K2276-((K2276*0.288*0.125)+(K2276*(1-0.288)*0.26))</f>
        <v>3.5594816000000001E-2</v>
      </c>
      <c r="M2276" s="64">
        <f t="shared" si="71"/>
        <v>3.5594816000000001E-2</v>
      </c>
      <c r="N2276" s="33" t="s">
        <v>248</v>
      </c>
    </row>
    <row r="2277" spans="1:14" ht="15">
      <c r="A2277" s="12"/>
      <c r="B2277" s="33" t="s">
        <v>305</v>
      </c>
      <c r="C2277" s="92" t="s">
        <v>409</v>
      </c>
      <c r="D2277" s="33" t="s">
        <v>410</v>
      </c>
      <c r="E2277" s="34">
        <v>45198</v>
      </c>
      <c r="F2277" s="34">
        <v>45201</v>
      </c>
      <c r="G2277" s="34">
        <v>45204</v>
      </c>
      <c r="H2277" s="35">
        <v>4.4999999999999998E-2</v>
      </c>
      <c r="I2277" s="67">
        <v>4.6300000000000001E-2</v>
      </c>
      <c r="J2277" s="67">
        <v>0</v>
      </c>
      <c r="K2277" s="67">
        <v>4.6300000000000001E-2</v>
      </c>
      <c r="L2277" s="36">
        <f>+K2277-((K2277*0.288*0.125)+(K2277*(1-0.288)*0.26))</f>
        <v>3.6062144000000004E-2</v>
      </c>
      <c r="M2277" s="64">
        <f t="shared" si="71"/>
        <v>3.6062144000000004E-2</v>
      </c>
      <c r="N2277" s="33" t="s">
        <v>248</v>
      </c>
    </row>
    <row r="2278" spans="1:14" ht="15">
      <c r="A2278" s="12"/>
      <c r="B2278" s="33" t="s">
        <v>147</v>
      </c>
      <c r="C2278" s="92" t="s">
        <v>466</v>
      </c>
      <c r="D2278" s="33" t="s">
        <v>410</v>
      </c>
      <c r="E2278" s="34">
        <v>45198</v>
      </c>
      <c r="F2278" s="34">
        <v>45201</v>
      </c>
      <c r="G2278" s="34">
        <v>45204</v>
      </c>
      <c r="H2278" s="35">
        <v>0.04</v>
      </c>
      <c r="I2278" s="67">
        <v>4.48E-2</v>
      </c>
      <c r="J2278" s="67">
        <v>0</v>
      </c>
      <c r="K2278" s="67">
        <v>4.48E-2</v>
      </c>
      <c r="L2278" s="36">
        <f>+K2278-((K2278*0.091*0.125)+(K2278*(1-0.091)*0.26))</f>
        <v>3.3702367999999996E-2</v>
      </c>
      <c r="M2278" s="64">
        <f t="shared" si="71"/>
        <v>3.3702367999999996E-2</v>
      </c>
      <c r="N2278" s="33" t="s">
        <v>248</v>
      </c>
    </row>
    <row r="2279" spans="1:14" ht="15">
      <c r="A2279" s="12"/>
      <c r="B2279" s="33" t="s">
        <v>164</v>
      </c>
      <c r="C2279" s="92" t="s">
        <v>467</v>
      </c>
      <c r="D2279" s="33" t="s">
        <v>410</v>
      </c>
      <c r="E2279" s="34">
        <v>45198</v>
      </c>
      <c r="F2279" s="34">
        <v>45201</v>
      </c>
      <c r="G2279" s="34">
        <v>45204</v>
      </c>
      <c r="H2279" s="35">
        <v>0.04</v>
      </c>
      <c r="I2279" s="67">
        <v>4.1599999999999998E-2</v>
      </c>
      <c r="J2279" s="67">
        <v>0</v>
      </c>
      <c r="K2279" s="67">
        <v>4.1599999999999998E-2</v>
      </c>
      <c r="L2279" s="36">
        <f>+K2279-((K2279*0.091*0.125)+(K2279*(1-0.091)*0.26))</f>
        <v>3.1295056000000002E-2</v>
      </c>
      <c r="M2279" s="64">
        <f t="shared" si="71"/>
        <v>3.1295056000000002E-2</v>
      </c>
      <c r="N2279" s="33" t="s">
        <v>248</v>
      </c>
    </row>
    <row r="2280" spans="1:14" ht="15">
      <c r="A2280" s="12"/>
      <c r="B2280" s="33" t="s">
        <v>132</v>
      </c>
      <c r="C2280" s="92" t="s">
        <v>358</v>
      </c>
      <c r="D2280" s="33" t="s">
        <v>410</v>
      </c>
      <c r="E2280" s="34">
        <v>45224</v>
      </c>
      <c r="F2280" s="34">
        <v>45225</v>
      </c>
      <c r="G2280" s="34">
        <v>45230</v>
      </c>
      <c r="H2280" s="35">
        <v>0.04</v>
      </c>
      <c r="I2280" s="67">
        <v>4.3499999999999997E-2</v>
      </c>
      <c r="J2280" s="67">
        <v>0</v>
      </c>
      <c r="K2280" s="67">
        <v>4.3499999999999997E-2</v>
      </c>
      <c r="L2280" s="36">
        <f>+K2280-((K2280*0.223*0.125)+(K2280*(1-0.223)*0.26))</f>
        <v>3.3499567499999994E-2</v>
      </c>
      <c r="M2280" s="64">
        <f t="shared" si="71"/>
        <v>3.3499567499999994E-2</v>
      </c>
      <c r="N2280" s="33" t="s">
        <v>249</v>
      </c>
    </row>
    <row r="2281" spans="1:14" ht="15">
      <c r="A2281" s="12"/>
      <c r="B2281" s="33" t="s">
        <v>227</v>
      </c>
      <c r="C2281" s="92" t="s">
        <v>359</v>
      </c>
      <c r="D2281" s="33" t="s">
        <v>410</v>
      </c>
      <c r="E2281" s="34">
        <v>45224</v>
      </c>
      <c r="F2281" s="34">
        <v>45225</v>
      </c>
      <c r="G2281" s="34">
        <v>45230</v>
      </c>
      <c r="H2281" s="35">
        <v>0.04</v>
      </c>
      <c r="I2281" s="67">
        <v>4.2999999999999997E-2</v>
      </c>
      <c r="J2281" s="67">
        <v>0</v>
      </c>
      <c r="K2281" s="67">
        <v>4.2999999999999997E-2</v>
      </c>
      <c r="L2281" s="36">
        <f>+K2281-((K2281*0.223*0.125)+(K2281*(1-0.223)*0.26))</f>
        <v>3.3114514999999997E-2</v>
      </c>
      <c r="M2281" s="64">
        <f t="shared" si="71"/>
        <v>3.3114514999999997E-2</v>
      </c>
      <c r="N2281" s="33" t="s">
        <v>249</v>
      </c>
    </row>
    <row r="2282" spans="1:14" ht="15">
      <c r="A2282" s="12"/>
      <c r="B2282" s="33" t="s">
        <v>133</v>
      </c>
      <c r="C2282" s="92" t="s">
        <v>474</v>
      </c>
      <c r="D2282" s="33" t="s">
        <v>410</v>
      </c>
      <c r="E2282" s="34">
        <v>45224</v>
      </c>
      <c r="F2282" s="34">
        <v>45225</v>
      </c>
      <c r="G2282" s="34">
        <v>45230</v>
      </c>
      <c r="H2282" s="35">
        <v>3.5000000000000003E-2</v>
      </c>
      <c r="I2282" s="67">
        <v>4.0800000000000003E-2</v>
      </c>
      <c r="J2282" s="67">
        <v>2.0753800000000147E-3</v>
      </c>
      <c r="K2282" s="67">
        <v>3.8724619999999987E-2</v>
      </c>
      <c r="L2282" s="36">
        <f>+K2282-((K2282*0.0035*0.125)+(K2282*(1-0.0035)*0.26))</f>
        <v>2.8674516182949989E-2</v>
      </c>
      <c r="M2282" s="64">
        <f t="shared" si="71"/>
        <v>3.0749896182950005E-2</v>
      </c>
      <c r="N2282" s="33" t="s">
        <v>249</v>
      </c>
    </row>
    <row r="2283" spans="1:14" ht="15">
      <c r="A2283" s="12"/>
      <c r="B2283" s="33" t="s">
        <v>134</v>
      </c>
      <c r="C2283" s="92" t="s">
        <v>374</v>
      </c>
      <c r="D2283" s="33" t="s">
        <v>410</v>
      </c>
      <c r="E2283" s="34">
        <v>45224</v>
      </c>
      <c r="F2283" s="34">
        <v>45225</v>
      </c>
      <c r="G2283" s="34">
        <v>45230</v>
      </c>
      <c r="H2283" s="35">
        <v>5.5E-2</v>
      </c>
      <c r="I2283" s="67">
        <v>6.8000000000000005E-2</v>
      </c>
      <c r="J2283" s="67">
        <v>0</v>
      </c>
      <c r="K2283" s="67">
        <v>6.8000000000000005E-2</v>
      </c>
      <c r="L2283" s="36">
        <f>+K2283-((K2283*0.2155*0.125)+(K2283*(1-0.2155)*0.26))</f>
        <v>5.2298290000000004E-2</v>
      </c>
      <c r="M2283" s="64">
        <f t="shared" si="71"/>
        <v>5.2298290000000004E-2</v>
      </c>
      <c r="N2283" s="33" t="s">
        <v>249</v>
      </c>
    </row>
    <row r="2284" spans="1:14" ht="15">
      <c r="A2284" s="12"/>
      <c r="B2284" s="33" t="s">
        <v>168</v>
      </c>
      <c r="C2284" s="92" t="s">
        <v>376</v>
      </c>
      <c r="D2284" s="33" t="s">
        <v>410</v>
      </c>
      <c r="E2284" s="34">
        <v>45224</v>
      </c>
      <c r="F2284" s="34">
        <v>45225</v>
      </c>
      <c r="G2284" s="34">
        <v>45230</v>
      </c>
      <c r="H2284" s="35">
        <v>5.5E-2</v>
      </c>
      <c r="I2284" s="67">
        <v>5.2699999999999997E-2</v>
      </c>
      <c r="J2284" s="67">
        <v>0</v>
      </c>
      <c r="K2284" s="67">
        <v>5.2699999999999997E-2</v>
      </c>
      <c r="L2284" s="36">
        <f>+K2284-((K2284*0.2155*0.125)+(K2284*(1-0.2155)*0.26))</f>
        <v>4.0531174749999996E-2</v>
      </c>
      <c r="M2284" s="64">
        <f t="shared" si="71"/>
        <v>4.0531174749999996E-2</v>
      </c>
      <c r="N2284" s="33" t="s">
        <v>249</v>
      </c>
    </row>
    <row r="2285" spans="1:14" ht="15">
      <c r="A2285" s="12"/>
      <c r="B2285" s="33" t="s">
        <v>136</v>
      </c>
      <c r="C2285" s="92" t="s">
        <v>388</v>
      </c>
      <c r="D2285" s="33" t="s">
        <v>410</v>
      </c>
      <c r="E2285" s="34">
        <v>45224</v>
      </c>
      <c r="F2285" s="34">
        <v>45225</v>
      </c>
      <c r="G2285" s="34">
        <v>45230</v>
      </c>
      <c r="H2285" s="35">
        <v>0.03</v>
      </c>
      <c r="I2285" s="67">
        <v>3.5499999999999997E-2</v>
      </c>
      <c r="J2285" s="67">
        <v>0</v>
      </c>
      <c r="K2285" s="67">
        <v>3.5499999999999997E-2</v>
      </c>
      <c r="L2285" s="36">
        <f t="shared" ref="L2285:L2290" si="72">+K2285-((K2285*0.1155*0.125)+(K2285*(1-0.1155)*0.26))</f>
        <v>2.6823533749999996E-2</v>
      </c>
      <c r="M2285" s="64">
        <f t="shared" si="71"/>
        <v>2.6823533749999996E-2</v>
      </c>
      <c r="N2285" s="33" t="s">
        <v>249</v>
      </c>
    </row>
    <row r="2286" spans="1:14" ht="15">
      <c r="A2286" s="12"/>
      <c r="B2286" s="33" t="s">
        <v>137</v>
      </c>
      <c r="C2286" s="92" t="s">
        <v>389</v>
      </c>
      <c r="D2286" s="33" t="s">
        <v>410</v>
      </c>
      <c r="E2286" s="34">
        <v>45224</v>
      </c>
      <c r="F2286" s="34">
        <v>45225</v>
      </c>
      <c r="G2286" s="34">
        <v>45230</v>
      </c>
      <c r="H2286" s="35">
        <v>0.04</v>
      </c>
      <c r="I2286" s="67">
        <v>5.2299999999999999E-2</v>
      </c>
      <c r="J2286" s="67">
        <v>0</v>
      </c>
      <c r="K2286" s="67">
        <v>5.2299999999999999E-2</v>
      </c>
      <c r="L2286" s="36">
        <f t="shared" si="72"/>
        <v>3.9517487749999997E-2</v>
      </c>
      <c r="M2286" s="64">
        <f t="shared" si="71"/>
        <v>3.9517487749999997E-2</v>
      </c>
      <c r="N2286" s="33" t="s">
        <v>249</v>
      </c>
    </row>
    <row r="2287" spans="1:14" ht="15">
      <c r="A2287" s="12"/>
      <c r="B2287" s="33" t="s">
        <v>135</v>
      </c>
      <c r="C2287" s="92" t="s">
        <v>390</v>
      </c>
      <c r="D2287" s="33" t="s">
        <v>410</v>
      </c>
      <c r="E2287" s="34">
        <v>45224</v>
      </c>
      <c r="F2287" s="34">
        <v>45225</v>
      </c>
      <c r="G2287" s="34">
        <v>45230</v>
      </c>
      <c r="H2287" s="35">
        <v>4.7500000000000001E-2</v>
      </c>
      <c r="I2287" s="67">
        <v>6.25E-2</v>
      </c>
      <c r="J2287" s="67">
        <v>0</v>
      </c>
      <c r="K2287" s="67">
        <v>6.25E-2</v>
      </c>
      <c r="L2287" s="36">
        <f t="shared" si="72"/>
        <v>4.722453125E-2</v>
      </c>
      <c r="M2287" s="64">
        <f t="shared" si="71"/>
        <v>4.722453125E-2</v>
      </c>
      <c r="N2287" s="33" t="s">
        <v>249</v>
      </c>
    </row>
    <row r="2288" spans="1:14" ht="15">
      <c r="A2288" s="12"/>
      <c r="B2288" s="33" t="s">
        <v>170</v>
      </c>
      <c r="C2288" s="92" t="s">
        <v>391</v>
      </c>
      <c r="D2288" s="33" t="s">
        <v>410</v>
      </c>
      <c r="E2288" s="34">
        <v>45224</v>
      </c>
      <c r="F2288" s="34">
        <v>45225</v>
      </c>
      <c r="G2288" s="34">
        <v>45230</v>
      </c>
      <c r="H2288" s="35">
        <v>0.03</v>
      </c>
      <c r="I2288" s="67">
        <v>3.4599999999999999E-2</v>
      </c>
      <c r="J2288" s="67">
        <v>0</v>
      </c>
      <c r="K2288" s="67">
        <v>3.4599999999999999E-2</v>
      </c>
      <c r="L2288" s="36">
        <f t="shared" si="72"/>
        <v>2.61435005E-2</v>
      </c>
      <c r="M2288" s="64">
        <f t="shared" si="71"/>
        <v>2.61435005E-2</v>
      </c>
      <c r="N2288" s="33" t="s">
        <v>249</v>
      </c>
    </row>
    <row r="2289" spans="1:14" ht="15">
      <c r="A2289" s="12"/>
      <c r="B2289" s="33" t="s">
        <v>171</v>
      </c>
      <c r="C2289" s="92" t="s">
        <v>392</v>
      </c>
      <c r="D2289" s="33" t="s">
        <v>410</v>
      </c>
      <c r="E2289" s="34">
        <v>45224</v>
      </c>
      <c r="F2289" s="34">
        <v>45225</v>
      </c>
      <c r="G2289" s="34">
        <v>45230</v>
      </c>
      <c r="H2289" s="35">
        <v>0.04</v>
      </c>
      <c r="I2289" s="67">
        <v>5.0299999999999997E-2</v>
      </c>
      <c r="J2289" s="67">
        <v>0</v>
      </c>
      <c r="K2289" s="67">
        <v>5.0299999999999997E-2</v>
      </c>
      <c r="L2289" s="36">
        <f t="shared" si="72"/>
        <v>3.8006302749999998E-2</v>
      </c>
      <c r="M2289" s="64">
        <f t="shared" si="71"/>
        <v>3.8006302749999998E-2</v>
      </c>
      <c r="N2289" s="33" t="s">
        <v>249</v>
      </c>
    </row>
    <row r="2290" spans="1:14" ht="15">
      <c r="A2290" s="12"/>
      <c r="B2290" s="33" t="s">
        <v>172</v>
      </c>
      <c r="C2290" s="92" t="s">
        <v>393</v>
      </c>
      <c r="D2290" s="33" t="s">
        <v>410</v>
      </c>
      <c r="E2290" s="34">
        <v>45224</v>
      </c>
      <c r="F2290" s="34">
        <v>45225</v>
      </c>
      <c r="G2290" s="34">
        <v>45230</v>
      </c>
      <c r="H2290" s="35">
        <v>4.7500000000000001E-2</v>
      </c>
      <c r="I2290" s="67">
        <v>6.0600000000000001E-2</v>
      </c>
      <c r="J2290" s="67">
        <v>0</v>
      </c>
      <c r="K2290" s="67">
        <v>6.0600000000000001E-2</v>
      </c>
      <c r="L2290" s="36">
        <f t="shared" si="72"/>
        <v>4.5788905500000004E-2</v>
      </c>
      <c r="M2290" s="64">
        <f t="shared" si="71"/>
        <v>4.5788905500000004E-2</v>
      </c>
      <c r="N2290" s="33" t="s">
        <v>249</v>
      </c>
    </row>
    <row r="2291" spans="1:14" ht="15">
      <c r="A2291" s="12"/>
      <c r="B2291" s="33" t="s">
        <v>169</v>
      </c>
      <c r="C2291" s="92" t="s">
        <v>400</v>
      </c>
      <c r="D2291" s="33" t="s">
        <v>410</v>
      </c>
      <c r="E2291" s="34">
        <v>45224</v>
      </c>
      <c r="F2291" s="34">
        <v>45225</v>
      </c>
      <c r="G2291" s="34">
        <v>45230</v>
      </c>
      <c r="H2291" s="35">
        <v>6.5000000000000002E-2</v>
      </c>
      <c r="I2291" s="67">
        <v>6.3100000000000003E-2</v>
      </c>
      <c r="J2291" s="67">
        <v>0</v>
      </c>
      <c r="K2291" s="67">
        <v>6.3100000000000003E-2</v>
      </c>
      <c r="L2291" s="36">
        <f>+K2291-((K2291*0.1015*0.125)+(K2291*(1-0.1015)*0.26))</f>
        <v>4.7558627750000006E-2</v>
      </c>
      <c r="M2291" s="64">
        <f t="shared" si="71"/>
        <v>4.7558627750000006E-2</v>
      </c>
      <c r="N2291" s="33" t="s">
        <v>249</v>
      </c>
    </row>
    <row r="2292" spans="1:14" ht="15">
      <c r="A2292" s="12"/>
      <c r="B2292" s="33" t="s">
        <v>310</v>
      </c>
      <c r="C2292" s="92" t="s">
        <v>719</v>
      </c>
      <c r="D2292" s="33" t="s">
        <v>411</v>
      </c>
      <c r="E2292" s="34">
        <v>45230</v>
      </c>
      <c r="F2292" s="34">
        <v>45232</v>
      </c>
      <c r="G2292" s="34">
        <v>45237</v>
      </c>
      <c r="H2292" s="35">
        <v>0.05</v>
      </c>
      <c r="I2292" s="67">
        <v>1.47E-2</v>
      </c>
      <c r="J2292" s="67">
        <v>0</v>
      </c>
      <c r="K2292" s="67">
        <v>1.47E-2</v>
      </c>
      <c r="L2292" s="36">
        <f>+K2292-((K2292*0.051*0.125)+(K2292*(1-0.051)*0.26))</f>
        <v>1.09792095E-2</v>
      </c>
      <c r="M2292" s="64">
        <f t="shared" si="71"/>
        <v>1.09792095E-2</v>
      </c>
      <c r="N2292" s="33" t="s">
        <v>718</v>
      </c>
    </row>
    <row r="2293" spans="1:14" ht="15">
      <c r="A2293" s="12"/>
      <c r="B2293" s="33" t="s">
        <v>188</v>
      </c>
      <c r="C2293" s="92" t="s">
        <v>720</v>
      </c>
      <c r="D2293" s="33" t="s">
        <v>411</v>
      </c>
      <c r="E2293" s="34">
        <v>45230</v>
      </c>
      <c r="F2293" s="34">
        <v>45232</v>
      </c>
      <c r="G2293" s="34">
        <v>45237</v>
      </c>
      <c r="H2293" s="35">
        <v>0.05</v>
      </c>
      <c r="I2293" s="67">
        <v>0.25490000000000002</v>
      </c>
      <c r="J2293" s="67">
        <v>0</v>
      </c>
      <c r="K2293" s="67">
        <v>0.25490000000000002</v>
      </c>
      <c r="L2293" s="36">
        <f>+K2293-((K2293*0.051*0.125)+(K2293*(1-0.051)*0.26))</f>
        <v>0.19038098650000002</v>
      </c>
      <c r="M2293" s="64">
        <f t="shared" si="71"/>
        <v>0.19038098650000002</v>
      </c>
      <c r="N2293" s="33" t="s">
        <v>718</v>
      </c>
    </row>
    <row r="2294" spans="1:14" ht="15">
      <c r="A2294" s="12"/>
      <c r="B2294" s="33" t="s">
        <v>196</v>
      </c>
      <c r="C2294" s="92" t="s">
        <v>721</v>
      </c>
      <c r="D2294" s="33" t="s">
        <v>411</v>
      </c>
      <c r="E2294" s="34">
        <v>45230</v>
      </c>
      <c r="F2294" s="34">
        <v>45232</v>
      </c>
      <c r="G2294" s="34">
        <v>45237</v>
      </c>
      <c r="H2294" s="35">
        <v>0.05</v>
      </c>
      <c r="I2294" s="67">
        <v>0.26769999999999999</v>
      </c>
      <c r="J2294" s="67">
        <v>0</v>
      </c>
      <c r="K2294" s="67">
        <v>0.26769999999999999</v>
      </c>
      <c r="L2294" s="36">
        <f>+K2294-((K2294*0.051*0.125)+(K2294*(1-0.051)*0.26))</f>
        <v>0.19994111450000002</v>
      </c>
      <c r="M2294" s="64">
        <f t="shared" si="71"/>
        <v>0.19994111450000002</v>
      </c>
      <c r="N2294" s="33" t="s">
        <v>718</v>
      </c>
    </row>
    <row r="2295" spans="1:14" ht="15">
      <c r="A2295" s="12"/>
      <c r="B2295" s="33" t="s">
        <v>191</v>
      </c>
      <c r="C2295" s="92" t="s">
        <v>722</v>
      </c>
      <c r="D2295" s="33" t="s">
        <v>411</v>
      </c>
      <c r="E2295" s="34">
        <v>45230</v>
      </c>
      <c r="F2295" s="34">
        <v>45232</v>
      </c>
      <c r="G2295" s="34">
        <v>45237</v>
      </c>
      <c r="H2295" s="35">
        <v>0.03</v>
      </c>
      <c r="I2295" s="67">
        <v>8.6E-3</v>
      </c>
      <c r="J2295" s="67">
        <v>0</v>
      </c>
      <c r="K2295" s="67">
        <v>8.6E-3</v>
      </c>
      <c r="L2295" s="36">
        <f>+K2295-((K2295*0.794*0.125)+(K2295*(1-0.794)*0.26))</f>
        <v>7.2858339999999997E-3</v>
      </c>
      <c r="M2295" s="64">
        <f t="shared" si="71"/>
        <v>7.2858339999999997E-3</v>
      </c>
      <c r="N2295" s="33" t="s">
        <v>718</v>
      </c>
    </row>
    <row r="2296" spans="1:14" ht="15">
      <c r="A2296" s="12"/>
      <c r="B2296" s="33" t="s">
        <v>199</v>
      </c>
      <c r="C2296" s="92" t="s">
        <v>723</v>
      </c>
      <c r="D2296" s="33" t="s">
        <v>411</v>
      </c>
      <c r="E2296" s="34">
        <v>45230</v>
      </c>
      <c r="F2296" s="34">
        <v>45232</v>
      </c>
      <c r="G2296" s="34">
        <v>45237</v>
      </c>
      <c r="H2296" s="35">
        <v>0.03</v>
      </c>
      <c r="I2296" s="67">
        <v>8.6E-3</v>
      </c>
      <c r="J2296" s="67">
        <v>0</v>
      </c>
      <c r="K2296" s="67">
        <v>8.6E-3</v>
      </c>
      <c r="L2296" s="36">
        <f>+K2296-((K2296*0.794*0.125)+(K2296*(1-0.794)*0.26))</f>
        <v>7.2858339999999997E-3</v>
      </c>
      <c r="M2296" s="64">
        <f t="shared" si="71"/>
        <v>7.2858339999999997E-3</v>
      </c>
      <c r="N2296" s="33" t="s">
        <v>718</v>
      </c>
    </row>
    <row r="2297" spans="1:14" ht="15">
      <c r="A2297" s="12"/>
      <c r="B2297" s="33" t="s">
        <v>306</v>
      </c>
      <c r="C2297" s="92" t="s">
        <v>724</v>
      </c>
      <c r="D2297" s="33" t="s">
        <v>411</v>
      </c>
      <c r="E2297" s="34">
        <v>45230</v>
      </c>
      <c r="F2297" s="34">
        <v>45232</v>
      </c>
      <c r="G2297" s="34">
        <v>45237</v>
      </c>
      <c r="H2297" s="35">
        <v>5.5E-2</v>
      </c>
      <c r="I2297" s="67">
        <v>1.89E-2</v>
      </c>
      <c r="J2297" s="67">
        <v>0</v>
      </c>
      <c r="K2297" s="67">
        <v>1.89E-2</v>
      </c>
      <c r="L2297" s="36">
        <f>+K2297-((K2297*0.0395*0.125)+(K2297*(1-0.0395)*0.26))</f>
        <v>1.408678425E-2</v>
      </c>
      <c r="M2297" s="64">
        <f t="shared" ref="M2297:M2360" si="73">J2297+L2297</f>
        <v>1.408678425E-2</v>
      </c>
      <c r="N2297" s="33" t="s">
        <v>718</v>
      </c>
    </row>
    <row r="2298" spans="1:14" ht="15">
      <c r="A2298" s="12"/>
      <c r="B2298" s="33" t="s">
        <v>184</v>
      </c>
      <c r="C2298" s="92" t="s">
        <v>725</v>
      </c>
      <c r="D2298" s="33" t="s">
        <v>411</v>
      </c>
      <c r="E2298" s="34">
        <v>45230</v>
      </c>
      <c r="F2298" s="34">
        <v>45232</v>
      </c>
      <c r="G2298" s="34">
        <v>45237</v>
      </c>
      <c r="H2298" s="35">
        <v>5.5E-2</v>
      </c>
      <c r="I2298" s="67">
        <v>0.38009999999999999</v>
      </c>
      <c r="J2298" s="67">
        <v>0</v>
      </c>
      <c r="K2298" s="67">
        <v>0.38009999999999999</v>
      </c>
      <c r="L2298" s="36">
        <f>+K2298-((K2298*0.0395*0.125)+(K2298*(1-0.0395)*0.26))</f>
        <v>0.28330088324999997</v>
      </c>
      <c r="M2298" s="64">
        <f t="shared" si="73"/>
        <v>0.28330088324999997</v>
      </c>
      <c r="N2298" s="33" t="s">
        <v>718</v>
      </c>
    </row>
    <row r="2299" spans="1:14" ht="15">
      <c r="A2299" s="12"/>
      <c r="B2299" s="33" t="s">
        <v>192</v>
      </c>
      <c r="C2299" s="92" t="s">
        <v>726</v>
      </c>
      <c r="D2299" s="33" t="s">
        <v>411</v>
      </c>
      <c r="E2299" s="34">
        <v>45230</v>
      </c>
      <c r="F2299" s="34">
        <v>45232</v>
      </c>
      <c r="G2299" s="34">
        <v>45237</v>
      </c>
      <c r="H2299" s="35">
        <v>5.5E-2</v>
      </c>
      <c r="I2299" s="67">
        <v>0.3876</v>
      </c>
      <c r="J2299" s="67">
        <v>0</v>
      </c>
      <c r="K2299" s="67">
        <v>0.3876</v>
      </c>
      <c r="L2299" s="36">
        <f>+K2299-((K2299*0.0395*0.125)+(K2299*(1-0.0395)*0.26))</f>
        <v>0.28889087699999999</v>
      </c>
      <c r="M2299" s="64">
        <f t="shared" si="73"/>
        <v>0.28889087699999999</v>
      </c>
      <c r="N2299" s="33" t="s">
        <v>718</v>
      </c>
    </row>
    <row r="2300" spans="1:14" ht="15">
      <c r="A2300" s="12"/>
      <c r="B2300" s="33" t="s">
        <v>311</v>
      </c>
      <c r="C2300" s="92" t="s">
        <v>727</v>
      </c>
      <c r="D2300" s="33" t="s">
        <v>411</v>
      </c>
      <c r="E2300" s="34">
        <v>45230</v>
      </c>
      <c r="F2300" s="34">
        <v>45232</v>
      </c>
      <c r="G2300" s="34">
        <v>45237</v>
      </c>
      <c r="H2300" s="35">
        <v>4.2500000000000003E-2</v>
      </c>
      <c r="I2300" s="67">
        <v>1.6E-2</v>
      </c>
      <c r="J2300" s="67">
        <v>0</v>
      </c>
      <c r="K2300" s="67">
        <v>1.6E-2</v>
      </c>
      <c r="L2300" s="36">
        <f>+K2300-((K2300*0.01*0.125)+(K2300*(1-0.01)*0.26))</f>
        <v>1.18616E-2</v>
      </c>
      <c r="M2300" s="64">
        <f t="shared" si="73"/>
        <v>1.18616E-2</v>
      </c>
      <c r="N2300" s="33" t="s">
        <v>718</v>
      </c>
    </row>
    <row r="2301" spans="1:14" ht="15">
      <c r="A2301" s="12"/>
      <c r="B2301" s="33" t="s">
        <v>189</v>
      </c>
      <c r="C2301" s="92" t="s">
        <v>728</v>
      </c>
      <c r="D2301" s="33" t="s">
        <v>411</v>
      </c>
      <c r="E2301" s="34">
        <v>45230</v>
      </c>
      <c r="F2301" s="34">
        <v>45232</v>
      </c>
      <c r="G2301" s="34">
        <v>45237</v>
      </c>
      <c r="H2301" s="35">
        <v>4.2500000000000003E-2</v>
      </c>
      <c r="I2301" s="67">
        <v>0.29170000000000001</v>
      </c>
      <c r="J2301" s="67">
        <v>0</v>
      </c>
      <c r="K2301" s="67">
        <v>0.29170000000000001</v>
      </c>
      <c r="L2301" s="36">
        <f>+K2301-((K2301*0.01*0.125)+(K2301*(1-0.01)*0.26))</f>
        <v>0.21625179500000002</v>
      </c>
      <c r="M2301" s="64">
        <f t="shared" si="73"/>
        <v>0.21625179500000002</v>
      </c>
      <c r="N2301" s="33" t="s">
        <v>718</v>
      </c>
    </row>
    <row r="2302" spans="1:14" ht="15">
      <c r="A2302" s="12"/>
      <c r="B2302" s="33" t="s">
        <v>197</v>
      </c>
      <c r="C2302" s="92" t="s">
        <v>729</v>
      </c>
      <c r="D2302" s="33" t="s">
        <v>411</v>
      </c>
      <c r="E2302" s="34">
        <v>45230</v>
      </c>
      <c r="F2302" s="34">
        <v>45232</v>
      </c>
      <c r="G2302" s="34">
        <v>45237</v>
      </c>
      <c r="H2302" s="35">
        <v>4.2500000000000003E-2</v>
      </c>
      <c r="I2302" s="67">
        <v>0.29980000000000001</v>
      </c>
      <c r="J2302" s="67">
        <v>0</v>
      </c>
      <c r="K2302" s="67">
        <v>0.29980000000000001</v>
      </c>
      <c r="L2302" s="36">
        <f>+K2302-((K2302*0.01*0.125)+(K2302*(1-0.01)*0.26))</f>
        <v>0.22225673000000001</v>
      </c>
      <c r="M2302" s="64">
        <f t="shared" si="73"/>
        <v>0.22225673000000001</v>
      </c>
      <c r="N2302" s="33" t="s">
        <v>718</v>
      </c>
    </row>
    <row r="2303" spans="1:14" ht="15">
      <c r="A2303" s="12"/>
      <c r="B2303" s="33" t="s">
        <v>308</v>
      </c>
      <c r="C2303" s="92" t="s">
        <v>730</v>
      </c>
      <c r="D2303" s="33" t="s">
        <v>411</v>
      </c>
      <c r="E2303" s="34">
        <v>45230</v>
      </c>
      <c r="F2303" s="34">
        <v>45232</v>
      </c>
      <c r="G2303" s="34">
        <v>45237</v>
      </c>
      <c r="H2303" s="35">
        <v>4.2500000000000003E-2</v>
      </c>
      <c r="I2303" s="67">
        <v>1.4500000000000001E-2</v>
      </c>
      <c r="J2303" s="67">
        <v>0</v>
      </c>
      <c r="K2303" s="67">
        <v>1.4500000000000001E-2</v>
      </c>
      <c r="L2303" s="36">
        <f>+K2303-((K2303*0.49*0.125)+(K2303*(1-0.49)*0.26))</f>
        <v>1.1689175E-2</v>
      </c>
      <c r="M2303" s="64">
        <f t="shared" si="73"/>
        <v>1.1689175E-2</v>
      </c>
      <c r="N2303" s="33" t="s">
        <v>718</v>
      </c>
    </row>
    <row r="2304" spans="1:14" ht="15">
      <c r="A2304" s="12"/>
      <c r="B2304" s="33" t="s">
        <v>186</v>
      </c>
      <c r="C2304" s="92" t="s">
        <v>731</v>
      </c>
      <c r="D2304" s="33" t="s">
        <v>411</v>
      </c>
      <c r="E2304" s="34">
        <v>45230</v>
      </c>
      <c r="F2304" s="34">
        <v>45232</v>
      </c>
      <c r="G2304" s="34">
        <v>45237</v>
      </c>
      <c r="H2304" s="35">
        <v>4.2500000000000003E-2</v>
      </c>
      <c r="I2304" s="67">
        <v>0.26669999999999999</v>
      </c>
      <c r="J2304" s="67">
        <v>0</v>
      </c>
      <c r="K2304" s="67">
        <v>0.26669999999999999</v>
      </c>
      <c r="L2304" s="36">
        <f>+K2304-((K2304*0.49*0.125)+(K2304*(1-0.49)*0.26))</f>
        <v>0.215000205</v>
      </c>
      <c r="M2304" s="64">
        <f t="shared" si="73"/>
        <v>0.215000205</v>
      </c>
      <c r="N2304" s="33" t="s">
        <v>718</v>
      </c>
    </row>
    <row r="2305" spans="1:14" ht="15">
      <c r="A2305" s="12"/>
      <c r="B2305" s="33" t="s">
        <v>194</v>
      </c>
      <c r="C2305" s="92" t="s">
        <v>732</v>
      </c>
      <c r="D2305" s="33" t="s">
        <v>411</v>
      </c>
      <c r="E2305" s="34">
        <v>45230</v>
      </c>
      <c r="F2305" s="34">
        <v>45232</v>
      </c>
      <c r="G2305" s="34">
        <v>45237</v>
      </c>
      <c r="H2305" s="35">
        <v>4.2500000000000003E-2</v>
      </c>
      <c r="I2305" s="67">
        <v>0.27589999999999998</v>
      </c>
      <c r="J2305" s="67">
        <v>0</v>
      </c>
      <c r="K2305" s="67">
        <v>0.27589999999999998</v>
      </c>
      <c r="L2305" s="36">
        <f>+K2305-((K2305*0.49*0.125)+(K2305*(1-0.49)*0.26))</f>
        <v>0.22241678499999998</v>
      </c>
      <c r="M2305" s="64">
        <f t="shared" si="73"/>
        <v>0.22241678499999998</v>
      </c>
      <c r="N2305" s="33" t="s">
        <v>718</v>
      </c>
    </row>
    <row r="2306" spans="1:14" ht="15">
      <c r="A2306" s="12"/>
      <c r="B2306" s="33" t="s">
        <v>307</v>
      </c>
      <c r="C2306" s="92" t="s">
        <v>733</v>
      </c>
      <c r="D2306" s="33" t="s">
        <v>411</v>
      </c>
      <c r="E2306" s="34">
        <v>45230</v>
      </c>
      <c r="F2306" s="34">
        <v>45232</v>
      </c>
      <c r="G2306" s="34">
        <v>45237</v>
      </c>
      <c r="H2306" s="35">
        <v>4.7500000000000001E-2</v>
      </c>
      <c r="I2306" s="67">
        <v>1.46E-2</v>
      </c>
      <c r="J2306" s="67">
        <v>0</v>
      </c>
      <c r="K2306" s="67">
        <v>1.46E-2</v>
      </c>
      <c r="L2306" s="36">
        <f>+K2306-((K2306*0.5965*0.125)+(K2306*(1-0.5965)*0.26))</f>
        <v>1.19797015E-2</v>
      </c>
      <c r="M2306" s="64">
        <f t="shared" si="73"/>
        <v>1.19797015E-2</v>
      </c>
      <c r="N2306" s="33" t="s">
        <v>718</v>
      </c>
    </row>
    <row r="2307" spans="1:14" ht="15">
      <c r="A2307" s="12"/>
      <c r="B2307" s="33" t="s">
        <v>185</v>
      </c>
      <c r="C2307" s="92" t="s">
        <v>734</v>
      </c>
      <c r="D2307" s="33" t="s">
        <v>411</v>
      </c>
      <c r="E2307" s="34">
        <v>45230</v>
      </c>
      <c r="F2307" s="34">
        <v>45232</v>
      </c>
      <c r="G2307" s="34">
        <v>45237</v>
      </c>
      <c r="H2307" s="35">
        <v>4.7500000000000001E-2</v>
      </c>
      <c r="I2307" s="67">
        <v>0.24179999999999999</v>
      </c>
      <c r="J2307" s="67">
        <v>0</v>
      </c>
      <c r="K2307" s="67">
        <v>0.24179999999999999</v>
      </c>
      <c r="L2307" s="36">
        <f>+K2307-((K2307*0.5965*0.125)+(K2307*(1-0.5965)*0.26))</f>
        <v>0.1984035495</v>
      </c>
      <c r="M2307" s="64">
        <f t="shared" si="73"/>
        <v>0.1984035495</v>
      </c>
      <c r="N2307" s="33" t="s">
        <v>718</v>
      </c>
    </row>
    <row r="2308" spans="1:14" ht="15">
      <c r="A2308" s="12"/>
      <c r="B2308" s="33" t="s">
        <v>193</v>
      </c>
      <c r="C2308" s="92" t="s">
        <v>735</v>
      </c>
      <c r="D2308" s="33" t="s">
        <v>411</v>
      </c>
      <c r="E2308" s="34">
        <v>45230</v>
      </c>
      <c r="F2308" s="34">
        <v>45232</v>
      </c>
      <c r="G2308" s="34">
        <v>45237</v>
      </c>
      <c r="H2308" s="35">
        <v>4.7500000000000001E-2</v>
      </c>
      <c r="I2308" s="67">
        <v>0.23899999999999999</v>
      </c>
      <c r="J2308" s="67">
        <v>0</v>
      </c>
      <c r="K2308" s="67">
        <v>0.23899999999999999</v>
      </c>
      <c r="L2308" s="36">
        <f>+K2308-((K2308*0.5965*0.125)+(K2308*(1-0.5965)*0.26))</f>
        <v>0.19610607250000001</v>
      </c>
      <c r="M2308" s="64">
        <f t="shared" si="73"/>
        <v>0.19610607250000001</v>
      </c>
      <c r="N2308" s="33" t="s">
        <v>718</v>
      </c>
    </row>
    <row r="2309" spans="1:14" ht="15">
      <c r="A2309" s="12"/>
      <c r="B2309" s="33" t="s">
        <v>309</v>
      </c>
      <c r="C2309" s="92" t="s">
        <v>736</v>
      </c>
      <c r="D2309" s="33" t="s">
        <v>411</v>
      </c>
      <c r="E2309" s="34">
        <v>45230</v>
      </c>
      <c r="F2309" s="34">
        <v>45232</v>
      </c>
      <c r="G2309" s="34">
        <v>45237</v>
      </c>
      <c r="H2309" s="35">
        <v>4.7500000000000001E-2</v>
      </c>
      <c r="I2309" s="67">
        <v>1.5800000000000002E-2</v>
      </c>
      <c r="J2309" s="67">
        <v>0</v>
      </c>
      <c r="K2309" s="67">
        <v>1.5800000000000002E-2</v>
      </c>
      <c r="L2309" s="36">
        <f>+K2309-((K2309*0.08*0.125)+(K2309*(1-0.08)*0.26))</f>
        <v>1.1862640000000001E-2</v>
      </c>
      <c r="M2309" s="64">
        <f t="shared" si="73"/>
        <v>1.1862640000000001E-2</v>
      </c>
      <c r="N2309" s="33" t="s">
        <v>718</v>
      </c>
    </row>
    <row r="2310" spans="1:14" ht="15">
      <c r="A2310" s="12"/>
      <c r="B2310" s="33" t="s">
        <v>187</v>
      </c>
      <c r="C2310" s="92" t="s">
        <v>737</v>
      </c>
      <c r="D2310" s="33" t="s">
        <v>411</v>
      </c>
      <c r="E2310" s="34">
        <v>45230</v>
      </c>
      <c r="F2310" s="34">
        <v>45232</v>
      </c>
      <c r="G2310" s="34">
        <v>45237</v>
      </c>
      <c r="H2310" s="35">
        <v>4.7500000000000001E-2</v>
      </c>
      <c r="I2310" s="67">
        <v>0.27729999999999999</v>
      </c>
      <c r="J2310" s="67">
        <v>0</v>
      </c>
      <c r="K2310" s="67">
        <v>0.27729999999999999</v>
      </c>
      <c r="L2310" s="36">
        <f>+K2310-((K2310*0.08*0.125)+(K2310*(1-0.08)*0.26))</f>
        <v>0.20819683999999999</v>
      </c>
      <c r="M2310" s="64">
        <f t="shared" si="73"/>
        <v>0.20819683999999999</v>
      </c>
      <c r="N2310" s="33" t="s">
        <v>718</v>
      </c>
    </row>
    <row r="2311" spans="1:14" ht="15">
      <c r="A2311" s="12"/>
      <c r="B2311" s="33" t="s">
        <v>195</v>
      </c>
      <c r="C2311" s="92" t="s">
        <v>738</v>
      </c>
      <c r="D2311" s="33" t="s">
        <v>411</v>
      </c>
      <c r="E2311" s="34">
        <v>45230</v>
      </c>
      <c r="F2311" s="34">
        <v>45232</v>
      </c>
      <c r="G2311" s="34">
        <v>45237</v>
      </c>
      <c r="H2311" s="35">
        <v>4.7500000000000001E-2</v>
      </c>
      <c r="I2311" s="67">
        <v>0.28939999999999999</v>
      </c>
      <c r="J2311" s="67">
        <v>0</v>
      </c>
      <c r="K2311" s="67">
        <v>0.28939999999999999</v>
      </c>
      <c r="L2311" s="36">
        <f>+K2311-((K2311*0.08*0.125)+(K2311*(1-0.08)*0.26))</f>
        <v>0.21728152000000001</v>
      </c>
      <c r="M2311" s="64">
        <f t="shared" si="73"/>
        <v>0.21728152000000001</v>
      </c>
      <c r="N2311" s="33" t="s">
        <v>718</v>
      </c>
    </row>
    <row r="2312" spans="1:14" ht="15">
      <c r="A2312" s="12"/>
      <c r="B2312" s="33" t="s">
        <v>312</v>
      </c>
      <c r="C2312" s="92" t="s">
        <v>739</v>
      </c>
      <c r="D2312" s="33" t="s">
        <v>411</v>
      </c>
      <c r="E2312" s="34">
        <v>45230</v>
      </c>
      <c r="F2312" s="34">
        <v>45232</v>
      </c>
      <c r="G2312" s="34">
        <v>45237</v>
      </c>
      <c r="H2312" s="35">
        <v>7.0000000000000007E-2</v>
      </c>
      <c r="I2312" s="67">
        <v>2.1899999999999999E-2</v>
      </c>
      <c r="J2312" s="67">
        <v>0</v>
      </c>
      <c r="K2312" s="67">
        <v>2.1899999999999999E-2</v>
      </c>
      <c r="L2312" s="36">
        <f>+K2312-((K2312*0.00000000001*0.125)+(K2312*(1-0.000000001)*0.26))</f>
        <v>1.6206000005666625E-2</v>
      </c>
      <c r="M2312" s="64">
        <f t="shared" si="73"/>
        <v>1.6206000005666625E-2</v>
      </c>
      <c r="N2312" s="33" t="s">
        <v>718</v>
      </c>
    </row>
    <row r="2313" spans="1:14" ht="15">
      <c r="A2313" s="12"/>
      <c r="B2313" s="33" t="s">
        <v>190</v>
      </c>
      <c r="C2313" s="92" t="s">
        <v>740</v>
      </c>
      <c r="D2313" s="33" t="s">
        <v>411</v>
      </c>
      <c r="E2313" s="34">
        <v>45230</v>
      </c>
      <c r="F2313" s="34">
        <v>45232</v>
      </c>
      <c r="G2313" s="34">
        <v>45237</v>
      </c>
      <c r="H2313" s="35">
        <v>7.0000000000000007E-2</v>
      </c>
      <c r="I2313" s="67">
        <v>0.41499999999999998</v>
      </c>
      <c r="J2313" s="67">
        <v>0</v>
      </c>
      <c r="K2313" s="67">
        <v>0.41499999999999998</v>
      </c>
      <c r="L2313" s="36">
        <f>+K2313-((K2313*0.00000000001*0.125)+(K2313*(1-0.000000001)*0.26))</f>
        <v>0.30710000010738125</v>
      </c>
      <c r="M2313" s="64">
        <f t="shared" si="73"/>
        <v>0.30710000010738125</v>
      </c>
      <c r="N2313" s="33" t="s">
        <v>718</v>
      </c>
    </row>
    <row r="2314" spans="1:14" ht="15">
      <c r="A2314" s="12"/>
      <c r="B2314" s="33" t="s">
        <v>198</v>
      </c>
      <c r="C2314" s="92" t="s">
        <v>741</v>
      </c>
      <c r="D2314" s="33" t="s">
        <v>411</v>
      </c>
      <c r="E2314" s="34">
        <v>45230</v>
      </c>
      <c r="F2314" s="34">
        <v>45232</v>
      </c>
      <c r="G2314" s="34">
        <v>45237</v>
      </c>
      <c r="H2314" s="35">
        <v>7.0000000000000007E-2</v>
      </c>
      <c r="I2314" s="67">
        <v>0.4194</v>
      </c>
      <c r="J2314" s="67">
        <v>0</v>
      </c>
      <c r="K2314" s="67">
        <v>0.4194</v>
      </c>
      <c r="L2314" s="36">
        <f>+K2314-((K2314*0.00000000001*0.125)+(K2314*(1-0.000000001)*0.26))</f>
        <v>0.31035600010851977</v>
      </c>
      <c r="M2314" s="64">
        <f t="shared" si="73"/>
        <v>0.31035600010851977</v>
      </c>
      <c r="N2314" s="33" t="s">
        <v>718</v>
      </c>
    </row>
    <row r="2315" spans="1:14" ht="15">
      <c r="A2315" s="12"/>
      <c r="B2315" s="33" t="s">
        <v>513</v>
      </c>
      <c r="C2315" s="92" t="s">
        <v>742</v>
      </c>
      <c r="D2315" s="33" t="s">
        <v>411</v>
      </c>
      <c r="E2315" s="34">
        <v>45230</v>
      </c>
      <c r="F2315" s="34">
        <v>45232</v>
      </c>
      <c r="G2315" s="34">
        <v>45237</v>
      </c>
      <c r="H2315" s="35">
        <v>0.01</v>
      </c>
      <c r="I2315" s="67">
        <v>0</v>
      </c>
      <c r="J2315" s="67">
        <v>0</v>
      </c>
      <c r="K2315" s="67">
        <v>5.8099999999999999E-2</v>
      </c>
      <c r="L2315" s="36">
        <f>+K2315-((K2315*0.1875*0.125)+(K2315*(1-0.1875)*0.26))</f>
        <v>4.4464656249999998E-2</v>
      </c>
      <c r="M2315" s="64">
        <f t="shared" si="73"/>
        <v>4.4464656249999998E-2</v>
      </c>
      <c r="N2315" s="33" t="s">
        <v>718</v>
      </c>
    </row>
    <row r="2316" spans="1:14" ht="15">
      <c r="A2316" s="12"/>
      <c r="B2316" s="33" t="s">
        <v>514</v>
      </c>
      <c r="C2316" s="92" t="s">
        <v>743</v>
      </c>
      <c r="D2316" s="33" t="s">
        <v>411</v>
      </c>
      <c r="E2316" s="34">
        <v>45230</v>
      </c>
      <c r="F2316" s="34">
        <v>45232</v>
      </c>
      <c r="G2316" s="34">
        <v>45237</v>
      </c>
      <c r="H2316" s="35">
        <v>0.01</v>
      </c>
      <c r="I2316" s="67">
        <v>0</v>
      </c>
      <c r="J2316" s="67">
        <v>0</v>
      </c>
      <c r="K2316" s="67">
        <v>5.9400000000000001E-2</v>
      </c>
      <c r="L2316" s="36">
        <f>+K2316-((K2316*0.1875*0.125)+(K2316*(1-0.1875)*0.26))</f>
        <v>4.5459562500000002E-2</v>
      </c>
      <c r="M2316" s="64">
        <f t="shared" si="73"/>
        <v>4.5459562500000002E-2</v>
      </c>
      <c r="N2316" s="33" t="s">
        <v>718</v>
      </c>
    </row>
    <row r="2317" spans="1:14" ht="15">
      <c r="A2317" s="12"/>
      <c r="B2317" s="33" t="s">
        <v>313</v>
      </c>
      <c r="C2317" s="92" t="s">
        <v>744</v>
      </c>
      <c r="D2317" s="33" t="s">
        <v>411</v>
      </c>
      <c r="E2317" s="34">
        <v>45230</v>
      </c>
      <c r="F2317" s="34">
        <v>45232</v>
      </c>
      <c r="G2317" s="34">
        <v>45237</v>
      </c>
      <c r="H2317" s="35">
        <v>4.4999999999999998E-2</v>
      </c>
      <c r="I2317" s="67">
        <v>1.55E-2</v>
      </c>
      <c r="J2317" s="67">
        <v>0</v>
      </c>
      <c r="K2317" s="67">
        <v>1.55E-2</v>
      </c>
      <c r="L2317" s="36">
        <f>+K2317-((K2317*0.288*0.125)+(K2317*(1-0.288)*0.26))</f>
        <v>1.2072640000000001E-2</v>
      </c>
      <c r="M2317" s="64">
        <f t="shared" si="73"/>
        <v>1.2072640000000001E-2</v>
      </c>
      <c r="N2317" s="33" t="s">
        <v>718</v>
      </c>
    </row>
    <row r="2318" spans="1:14" ht="15">
      <c r="A2318" s="12"/>
      <c r="B2318" s="33" t="s">
        <v>334</v>
      </c>
      <c r="C2318" s="92" t="s">
        <v>401</v>
      </c>
      <c r="D2318" s="33" t="s">
        <v>412</v>
      </c>
      <c r="E2318" s="34">
        <v>45236</v>
      </c>
      <c r="F2318" s="34">
        <v>45237</v>
      </c>
      <c r="G2318" s="34">
        <v>45240</v>
      </c>
      <c r="H2318" s="35"/>
      <c r="I2318" s="67">
        <v>3.5</v>
      </c>
      <c r="J2318" s="67">
        <v>0</v>
      </c>
      <c r="K2318" s="67">
        <v>3.5</v>
      </c>
      <c r="L2318" s="36">
        <f>+K2318-((K2318*0.0415*0.125)+(K2318*(1-0.0415)*0.26))</f>
        <v>2.60960875</v>
      </c>
      <c r="M2318" s="64">
        <f t="shared" si="73"/>
        <v>2.60960875</v>
      </c>
      <c r="N2318" s="33" t="s">
        <v>288</v>
      </c>
    </row>
    <row r="2319" spans="1:14" ht="15">
      <c r="A2319" s="12"/>
      <c r="B2319" s="33" t="s">
        <v>333</v>
      </c>
      <c r="C2319" s="92" t="s">
        <v>402</v>
      </c>
      <c r="D2319" s="33" t="s">
        <v>412</v>
      </c>
      <c r="E2319" s="34">
        <v>45236</v>
      </c>
      <c r="F2319" s="34">
        <v>45237</v>
      </c>
      <c r="G2319" s="34">
        <v>45240</v>
      </c>
      <c r="H2319" s="35"/>
      <c r="I2319" s="67">
        <v>3.5</v>
      </c>
      <c r="J2319" s="67">
        <v>0</v>
      </c>
      <c r="K2319" s="67">
        <v>3.5</v>
      </c>
      <c r="L2319" s="36">
        <f>+K2319-((K2319*0.0415*0.125)+(K2319*(1-0.0415)*0.26))</f>
        <v>2.60960875</v>
      </c>
      <c r="M2319" s="64">
        <f t="shared" si="73"/>
        <v>2.60960875</v>
      </c>
      <c r="N2319" s="33" t="s">
        <v>288</v>
      </c>
    </row>
    <row r="2320" spans="1:14" ht="15">
      <c r="A2320" s="12"/>
      <c r="B2320" s="33" t="s">
        <v>310</v>
      </c>
      <c r="C2320" s="92" t="s">
        <v>719</v>
      </c>
      <c r="D2320" s="33" t="s">
        <v>411</v>
      </c>
      <c r="E2320" s="34">
        <v>45260</v>
      </c>
      <c r="F2320" s="34">
        <v>45261</v>
      </c>
      <c r="G2320" s="34">
        <v>45266</v>
      </c>
      <c r="H2320" s="35">
        <v>0.05</v>
      </c>
      <c r="I2320" s="67">
        <v>1.47E-2</v>
      </c>
      <c r="J2320" s="67">
        <v>0</v>
      </c>
      <c r="K2320" s="67">
        <v>1.47E-2</v>
      </c>
      <c r="L2320" s="36">
        <f>+K2320-((K2320*0.051*0.125)+(K2320*(1-0.051)*0.26))</f>
        <v>1.09792095E-2</v>
      </c>
      <c r="M2320" s="64">
        <f t="shared" si="73"/>
        <v>1.09792095E-2</v>
      </c>
      <c r="N2320" s="33" t="s">
        <v>718</v>
      </c>
    </row>
    <row r="2321" spans="1:14" ht="15">
      <c r="A2321" s="12"/>
      <c r="B2321" s="33" t="s">
        <v>188</v>
      </c>
      <c r="C2321" s="92" t="s">
        <v>720</v>
      </c>
      <c r="D2321" s="33" t="s">
        <v>411</v>
      </c>
      <c r="E2321" s="34">
        <v>45260</v>
      </c>
      <c r="F2321" s="34">
        <v>45261</v>
      </c>
      <c r="G2321" s="34">
        <v>45266</v>
      </c>
      <c r="H2321" s="35">
        <v>0.05</v>
      </c>
      <c r="I2321" s="67">
        <v>0.25490000000000002</v>
      </c>
      <c r="J2321" s="67">
        <v>0</v>
      </c>
      <c r="K2321" s="67">
        <v>0.25490000000000002</v>
      </c>
      <c r="L2321" s="36">
        <f>+K2321-((K2321*0.051*0.125)+(K2321*(1-0.051)*0.26))</f>
        <v>0.19038098650000002</v>
      </c>
      <c r="M2321" s="64">
        <f t="shared" si="73"/>
        <v>0.19038098650000002</v>
      </c>
      <c r="N2321" s="33" t="s">
        <v>718</v>
      </c>
    </row>
    <row r="2322" spans="1:14" ht="15">
      <c r="A2322" s="12"/>
      <c r="B2322" s="33" t="s">
        <v>196</v>
      </c>
      <c r="C2322" s="92" t="s">
        <v>721</v>
      </c>
      <c r="D2322" s="33" t="s">
        <v>411</v>
      </c>
      <c r="E2322" s="34">
        <v>45260</v>
      </c>
      <c r="F2322" s="34">
        <v>45261</v>
      </c>
      <c r="G2322" s="34">
        <v>45266</v>
      </c>
      <c r="H2322" s="35">
        <v>0.05</v>
      </c>
      <c r="I2322" s="67">
        <v>0.26769999999999999</v>
      </c>
      <c r="J2322" s="67">
        <v>0</v>
      </c>
      <c r="K2322" s="67">
        <v>0.26769999999999999</v>
      </c>
      <c r="L2322" s="36">
        <f>+K2322-((K2322*0.051*0.125)+(K2322*(1-0.051)*0.26))</f>
        <v>0.19994111450000002</v>
      </c>
      <c r="M2322" s="64">
        <f t="shared" si="73"/>
        <v>0.19994111450000002</v>
      </c>
      <c r="N2322" s="33" t="s">
        <v>718</v>
      </c>
    </row>
    <row r="2323" spans="1:14" ht="15">
      <c r="A2323" s="12"/>
      <c r="B2323" s="33" t="s">
        <v>191</v>
      </c>
      <c r="C2323" s="92" t="s">
        <v>722</v>
      </c>
      <c r="D2323" s="33" t="s">
        <v>411</v>
      </c>
      <c r="E2323" s="34">
        <v>45260</v>
      </c>
      <c r="F2323" s="34">
        <v>45261</v>
      </c>
      <c r="G2323" s="34">
        <v>45266</v>
      </c>
      <c r="H2323" s="35">
        <v>0.03</v>
      </c>
      <c r="I2323" s="67">
        <v>8.6E-3</v>
      </c>
      <c r="J2323" s="67">
        <v>0</v>
      </c>
      <c r="K2323" s="67">
        <v>8.6E-3</v>
      </c>
      <c r="L2323" s="36">
        <f>+K2323-((K2323*0.794*0.125)+(K2323*(1-0.794)*0.26))</f>
        <v>7.2858339999999997E-3</v>
      </c>
      <c r="M2323" s="64">
        <f t="shared" si="73"/>
        <v>7.2858339999999997E-3</v>
      </c>
      <c r="N2323" s="33" t="s">
        <v>718</v>
      </c>
    </row>
    <row r="2324" spans="1:14" ht="15">
      <c r="A2324" s="12"/>
      <c r="B2324" s="33" t="s">
        <v>199</v>
      </c>
      <c r="C2324" s="92" t="s">
        <v>723</v>
      </c>
      <c r="D2324" s="33" t="s">
        <v>411</v>
      </c>
      <c r="E2324" s="34">
        <v>45260</v>
      </c>
      <c r="F2324" s="34">
        <v>45261</v>
      </c>
      <c r="G2324" s="34">
        <v>45266</v>
      </c>
      <c r="H2324" s="35">
        <v>0.03</v>
      </c>
      <c r="I2324" s="67">
        <v>8.6E-3</v>
      </c>
      <c r="J2324" s="67">
        <v>0</v>
      </c>
      <c r="K2324" s="67">
        <v>8.6E-3</v>
      </c>
      <c r="L2324" s="36">
        <f>+K2324-((K2324*0.794*0.125)+(K2324*(1-0.794)*0.26))</f>
        <v>7.2858339999999997E-3</v>
      </c>
      <c r="M2324" s="64">
        <f t="shared" si="73"/>
        <v>7.2858339999999997E-3</v>
      </c>
      <c r="N2324" s="33" t="s">
        <v>718</v>
      </c>
    </row>
    <row r="2325" spans="1:14" ht="15">
      <c r="A2325" s="12"/>
      <c r="B2325" s="33" t="s">
        <v>306</v>
      </c>
      <c r="C2325" s="92" t="s">
        <v>724</v>
      </c>
      <c r="D2325" s="33" t="s">
        <v>411</v>
      </c>
      <c r="E2325" s="34">
        <v>45260</v>
      </c>
      <c r="F2325" s="34">
        <v>45261</v>
      </c>
      <c r="G2325" s="34">
        <v>45266</v>
      </c>
      <c r="H2325" s="35">
        <v>5.5E-2</v>
      </c>
      <c r="I2325" s="67">
        <v>1.89E-2</v>
      </c>
      <c r="J2325" s="67">
        <v>0</v>
      </c>
      <c r="K2325" s="67">
        <v>1.89E-2</v>
      </c>
      <c r="L2325" s="36">
        <f>+K2325-((K2325*0.0395*0.125)+(K2325*(1-0.0395)*0.26))</f>
        <v>1.408678425E-2</v>
      </c>
      <c r="M2325" s="64">
        <f t="shared" si="73"/>
        <v>1.408678425E-2</v>
      </c>
      <c r="N2325" s="33" t="s">
        <v>718</v>
      </c>
    </row>
    <row r="2326" spans="1:14" ht="15">
      <c r="A2326" s="12"/>
      <c r="B2326" s="33" t="s">
        <v>184</v>
      </c>
      <c r="C2326" s="92" t="s">
        <v>725</v>
      </c>
      <c r="D2326" s="33" t="s">
        <v>411</v>
      </c>
      <c r="E2326" s="34">
        <v>45260</v>
      </c>
      <c r="F2326" s="34">
        <v>45261</v>
      </c>
      <c r="G2326" s="34">
        <v>45266</v>
      </c>
      <c r="H2326" s="35">
        <v>5.5E-2</v>
      </c>
      <c r="I2326" s="67">
        <v>0.38009999999999999</v>
      </c>
      <c r="J2326" s="67">
        <v>0</v>
      </c>
      <c r="K2326" s="67">
        <v>0.38009999999999999</v>
      </c>
      <c r="L2326" s="36">
        <f>+K2326-((K2326*0.0395*0.125)+(K2326*(1-0.0395)*0.26))</f>
        <v>0.28330088324999997</v>
      </c>
      <c r="M2326" s="64">
        <f t="shared" si="73"/>
        <v>0.28330088324999997</v>
      </c>
      <c r="N2326" s="33" t="s">
        <v>718</v>
      </c>
    </row>
    <row r="2327" spans="1:14" ht="15">
      <c r="A2327" s="12"/>
      <c r="B2327" s="33" t="s">
        <v>192</v>
      </c>
      <c r="C2327" s="92" t="s">
        <v>726</v>
      </c>
      <c r="D2327" s="33" t="s">
        <v>411</v>
      </c>
      <c r="E2327" s="34">
        <v>45260</v>
      </c>
      <c r="F2327" s="34">
        <v>45261</v>
      </c>
      <c r="G2327" s="34">
        <v>45266</v>
      </c>
      <c r="H2327" s="35">
        <v>5.5E-2</v>
      </c>
      <c r="I2327" s="67">
        <v>0.3876</v>
      </c>
      <c r="J2327" s="67">
        <v>0</v>
      </c>
      <c r="K2327" s="67">
        <v>0.3876</v>
      </c>
      <c r="L2327" s="36">
        <f>+K2327-((K2327*0.0395*0.125)+(K2327*(1-0.0395)*0.26))</f>
        <v>0.28889087699999999</v>
      </c>
      <c r="M2327" s="64">
        <f t="shared" si="73"/>
        <v>0.28889087699999999</v>
      </c>
      <c r="N2327" s="33" t="s">
        <v>718</v>
      </c>
    </row>
    <row r="2328" spans="1:14" ht="15">
      <c r="A2328" s="12"/>
      <c r="B2328" s="33" t="s">
        <v>311</v>
      </c>
      <c r="C2328" s="92" t="s">
        <v>727</v>
      </c>
      <c r="D2328" s="33" t="s">
        <v>411</v>
      </c>
      <c r="E2328" s="34">
        <v>45260</v>
      </c>
      <c r="F2328" s="34">
        <v>45261</v>
      </c>
      <c r="G2328" s="34">
        <v>45266</v>
      </c>
      <c r="H2328" s="35">
        <v>4.2500000000000003E-2</v>
      </c>
      <c r="I2328" s="67">
        <v>1.6E-2</v>
      </c>
      <c r="J2328" s="67">
        <v>0</v>
      </c>
      <c r="K2328" s="67">
        <v>1.6E-2</v>
      </c>
      <c r="L2328" s="36">
        <f>+K2328-((K2328*0.01*0.125)+(K2328*(1-0.01)*0.26))</f>
        <v>1.18616E-2</v>
      </c>
      <c r="M2328" s="64">
        <f t="shared" si="73"/>
        <v>1.18616E-2</v>
      </c>
      <c r="N2328" s="33" t="s">
        <v>718</v>
      </c>
    </row>
    <row r="2329" spans="1:14" ht="15">
      <c r="A2329" s="12"/>
      <c r="B2329" s="33" t="s">
        <v>189</v>
      </c>
      <c r="C2329" s="92" t="s">
        <v>728</v>
      </c>
      <c r="D2329" s="33" t="s">
        <v>411</v>
      </c>
      <c r="E2329" s="34">
        <v>45260</v>
      </c>
      <c r="F2329" s="34">
        <v>45261</v>
      </c>
      <c r="G2329" s="34">
        <v>45266</v>
      </c>
      <c r="H2329" s="35">
        <v>4.2500000000000003E-2</v>
      </c>
      <c r="I2329" s="67">
        <v>0.29170000000000001</v>
      </c>
      <c r="J2329" s="67">
        <v>0</v>
      </c>
      <c r="K2329" s="67">
        <v>0.29170000000000001</v>
      </c>
      <c r="L2329" s="36">
        <f>+K2329-((K2329*0.01*0.125)+(K2329*(1-0.01)*0.26))</f>
        <v>0.21625179500000002</v>
      </c>
      <c r="M2329" s="64">
        <f t="shared" si="73"/>
        <v>0.21625179500000002</v>
      </c>
      <c r="N2329" s="33" t="s">
        <v>718</v>
      </c>
    </row>
    <row r="2330" spans="1:14" ht="15">
      <c r="A2330" s="12"/>
      <c r="B2330" s="33" t="s">
        <v>197</v>
      </c>
      <c r="C2330" s="92" t="s">
        <v>729</v>
      </c>
      <c r="D2330" s="33" t="s">
        <v>411</v>
      </c>
      <c r="E2330" s="34">
        <v>45260</v>
      </c>
      <c r="F2330" s="34">
        <v>45261</v>
      </c>
      <c r="G2330" s="34">
        <v>45266</v>
      </c>
      <c r="H2330" s="35">
        <v>4.2500000000000003E-2</v>
      </c>
      <c r="I2330" s="67">
        <v>0.29980000000000001</v>
      </c>
      <c r="J2330" s="67">
        <v>0</v>
      </c>
      <c r="K2330" s="67">
        <v>0.29980000000000001</v>
      </c>
      <c r="L2330" s="36">
        <f>+K2330-((K2330*0.01*0.125)+(K2330*(1-0.01)*0.26))</f>
        <v>0.22225673000000001</v>
      </c>
      <c r="M2330" s="64">
        <f t="shared" si="73"/>
        <v>0.22225673000000001</v>
      </c>
      <c r="N2330" s="33" t="s">
        <v>718</v>
      </c>
    </row>
    <row r="2331" spans="1:14" ht="15">
      <c r="A2331" s="12"/>
      <c r="B2331" s="33" t="s">
        <v>308</v>
      </c>
      <c r="C2331" s="92" t="s">
        <v>730</v>
      </c>
      <c r="D2331" s="33" t="s">
        <v>411</v>
      </c>
      <c r="E2331" s="34">
        <v>45260</v>
      </c>
      <c r="F2331" s="34">
        <v>45261</v>
      </c>
      <c r="G2331" s="34">
        <v>45266</v>
      </c>
      <c r="H2331" s="35">
        <v>4.2500000000000003E-2</v>
      </c>
      <c r="I2331" s="67">
        <v>1.4500000000000001E-2</v>
      </c>
      <c r="J2331" s="67">
        <v>0</v>
      </c>
      <c r="K2331" s="67">
        <v>1.4500000000000001E-2</v>
      </c>
      <c r="L2331" s="36">
        <f>+K2331-((K2331*0.49*0.125)+(K2331*(1-0.49)*0.26))</f>
        <v>1.1689175E-2</v>
      </c>
      <c r="M2331" s="64">
        <f t="shared" si="73"/>
        <v>1.1689175E-2</v>
      </c>
      <c r="N2331" s="33" t="s">
        <v>718</v>
      </c>
    </row>
    <row r="2332" spans="1:14" ht="15">
      <c r="A2332" s="12"/>
      <c r="B2332" s="33" t="s">
        <v>186</v>
      </c>
      <c r="C2332" s="92" t="s">
        <v>731</v>
      </c>
      <c r="D2332" s="33" t="s">
        <v>411</v>
      </c>
      <c r="E2332" s="34">
        <v>45260</v>
      </c>
      <c r="F2332" s="34">
        <v>45261</v>
      </c>
      <c r="G2332" s="34">
        <v>45266</v>
      </c>
      <c r="H2332" s="35">
        <v>4.2500000000000003E-2</v>
      </c>
      <c r="I2332" s="67">
        <v>0.26669999999999999</v>
      </c>
      <c r="J2332" s="67">
        <v>0</v>
      </c>
      <c r="K2332" s="67">
        <v>0.26669999999999999</v>
      </c>
      <c r="L2332" s="36">
        <f>+K2332-((K2332*0.49*0.125)+(K2332*(1-0.49)*0.26))</f>
        <v>0.215000205</v>
      </c>
      <c r="M2332" s="64">
        <f t="shared" si="73"/>
        <v>0.215000205</v>
      </c>
      <c r="N2332" s="33" t="s">
        <v>718</v>
      </c>
    </row>
    <row r="2333" spans="1:14" ht="15">
      <c r="A2333" s="12"/>
      <c r="B2333" s="33" t="s">
        <v>194</v>
      </c>
      <c r="C2333" s="92" t="s">
        <v>732</v>
      </c>
      <c r="D2333" s="33" t="s">
        <v>411</v>
      </c>
      <c r="E2333" s="34">
        <v>45260</v>
      </c>
      <c r="F2333" s="34">
        <v>45261</v>
      </c>
      <c r="G2333" s="34">
        <v>45266</v>
      </c>
      <c r="H2333" s="35">
        <v>4.2500000000000003E-2</v>
      </c>
      <c r="I2333" s="67">
        <v>0.27589999999999998</v>
      </c>
      <c r="J2333" s="67">
        <v>0</v>
      </c>
      <c r="K2333" s="67">
        <v>0.27589999999999998</v>
      </c>
      <c r="L2333" s="36">
        <f>+K2333-((K2333*0.49*0.125)+(K2333*(1-0.49)*0.26))</f>
        <v>0.22241678499999998</v>
      </c>
      <c r="M2333" s="64">
        <f t="shared" si="73"/>
        <v>0.22241678499999998</v>
      </c>
      <c r="N2333" s="33" t="s">
        <v>718</v>
      </c>
    </row>
    <row r="2334" spans="1:14" ht="15">
      <c r="A2334" s="12"/>
      <c r="B2334" s="33" t="s">
        <v>307</v>
      </c>
      <c r="C2334" s="92" t="s">
        <v>733</v>
      </c>
      <c r="D2334" s="33" t="s">
        <v>411</v>
      </c>
      <c r="E2334" s="34">
        <v>45260</v>
      </c>
      <c r="F2334" s="34">
        <v>45261</v>
      </c>
      <c r="G2334" s="34">
        <v>45266</v>
      </c>
      <c r="H2334" s="35">
        <v>4.7500000000000001E-2</v>
      </c>
      <c r="I2334" s="67">
        <v>1.46E-2</v>
      </c>
      <c r="J2334" s="67">
        <v>0</v>
      </c>
      <c r="K2334" s="67">
        <v>1.46E-2</v>
      </c>
      <c r="L2334" s="36">
        <f>+K2334-((K2334*0.5965*0.125)+(K2334*(1-0.5965)*0.26))</f>
        <v>1.19797015E-2</v>
      </c>
      <c r="M2334" s="64">
        <f t="shared" si="73"/>
        <v>1.19797015E-2</v>
      </c>
      <c r="N2334" s="33" t="s">
        <v>718</v>
      </c>
    </row>
    <row r="2335" spans="1:14" ht="15">
      <c r="A2335" s="12"/>
      <c r="B2335" s="33" t="s">
        <v>185</v>
      </c>
      <c r="C2335" s="92" t="s">
        <v>734</v>
      </c>
      <c r="D2335" s="33" t="s">
        <v>411</v>
      </c>
      <c r="E2335" s="34">
        <v>45260</v>
      </c>
      <c r="F2335" s="34">
        <v>45261</v>
      </c>
      <c r="G2335" s="34">
        <v>45266</v>
      </c>
      <c r="H2335" s="35">
        <v>4.7500000000000001E-2</v>
      </c>
      <c r="I2335" s="67">
        <v>0.24179999999999999</v>
      </c>
      <c r="J2335" s="67">
        <v>0</v>
      </c>
      <c r="K2335" s="67">
        <v>0.24179999999999999</v>
      </c>
      <c r="L2335" s="36">
        <f>+K2335-((K2335*0.5965*0.125)+(K2335*(1-0.5965)*0.26))</f>
        <v>0.1984035495</v>
      </c>
      <c r="M2335" s="64">
        <f t="shared" si="73"/>
        <v>0.1984035495</v>
      </c>
      <c r="N2335" s="33" t="s">
        <v>718</v>
      </c>
    </row>
    <row r="2336" spans="1:14" ht="15">
      <c r="A2336" s="12"/>
      <c r="B2336" s="33" t="s">
        <v>193</v>
      </c>
      <c r="C2336" s="92" t="s">
        <v>735</v>
      </c>
      <c r="D2336" s="33" t="s">
        <v>411</v>
      </c>
      <c r="E2336" s="34">
        <v>45260</v>
      </c>
      <c r="F2336" s="34">
        <v>45261</v>
      </c>
      <c r="G2336" s="34">
        <v>45266</v>
      </c>
      <c r="H2336" s="35">
        <v>4.7500000000000001E-2</v>
      </c>
      <c r="I2336" s="67">
        <v>0.23899999999999999</v>
      </c>
      <c r="J2336" s="67">
        <v>0</v>
      </c>
      <c r="K2336" s="67">
        <v>0.23899999999999999</v>
      </c>
      <c r="L2336" s="36">
        <f>+K2336-((K2336*0.5965*0.125)+(K2336*(1-0.5965)*0.26))</f>
        <v>0.19610607250000001</v>
      </c>
      <c r="M2336" s="64">
        <f t="shared" si="73"/>
        <v>0.19610607250000001</v>
      </c>
      <c r="N2336" s="33" t="s">
        <v>718</v>
      </c>
    </row>
    <row r="2337" spans="1:14" ht="15">
      <c r="A2337" s="12"/>
      <c r="B2337" s="33" t="s">
        <v>309</v>
      </c>
      <c r="C2337" s="92" t="s">
        <v>736</v>
      </c>
      <c r="D2337" s="33" t="s">
        <v>411</v>
      </c>
      <c r="E2337" s="34">
        <v>45260</v>
      </c>
      <c r="F2337" s="34">
        <v>45261</v>
      </c>
      <c r="G2337" s="34">
        <v>45266</v>
      </c>
      <c r="H2337" s="35">
        <v>4.7500000000000001E-2</v>
      </c>
      <c r="I2337" s="67">
        <v>1.5800000000000002E-2</v>
      </c>
      <c r="J2337" s="67">
        <v>0</v>
      </c>
      <c r="K2337" s="67">
        <v>1.5800000000000002E-2</v>
      </c>
      <c r="L2337" s="36">
        <f>+K2337-((K2337*0.08*0.125)+(K2337*(1-0.08)*0.26))</f>
        <v>1.1862640000000001E-2</v>
      </c>
      <c r="M2337" s="64">
        <f t="shared" si="73"/>
        <v>1.1862640000000001E-2</v>
      </c>
      <c r="N2337" s="33" t="s">
        <v>718</v>
      </c>
    </row>
    <row r="2338" spans="1:14" ht="15">
      <c r="A2338" s="12"/>
      <c r="B2338" s="33" t="s">
        <v>187</v>
      </c>
      <c r="C2338" s="92" t="s">
        <v>737</v>
      </c>
      <c r="D2338" s="33" t="s">
        <v>411</v>
      </c>
      <c r="E2338" s="34">
        <v>45260</v>
      </c>
      <c r="F2338" s="34">
        <v>45261</v>
      </c>
      <c r="G2338" s="34">
        <v>45266</v>
      </c>
      <c r="H2338" s="35">
        <v>4.7500000000000001E-2</v>
      </c>
      <c r="I2338" s="67">
        <v>0.27729999999999999</v>
      </c>
      <c r="J2338" s="67">
        <v>0</v>
      </c>
      <c r="K2338" s="67">
        <v>0.27729999999999999</v>
      </c>
      <c r="L2338" s="36">
        <f>+K2338-((K2338*0.08*0.125)+(K2338*(1-0.08)*0.26))</f>
        <v>0.20819683999999999</v>
      </c>
      <c r="M2338" s="64">
        <f t="shared" si="73"/>
        <v>0.20819683999999999</v>
      </c>
      <c r="N2338" s="33" t="s">
        <v>718</v>
      </c>
    </row>
    <row r="2339" spans="1:14" ht="15">
      <c r="A2339" s="12"/>
      <c r="B2339" s="33" t="s">
        <v>195</v>
      </c>
      <c r="C2339" s="92" t="s">
        <v>738</v>
      </c>
      <c r="D2339" s="33" t="s">
        <v>411</v>
      </c>
      <c r="E2339" s="34">
        <v>45260</v>
      </c>
      <c r="F2339" s="34">
        <v>45261</v>
      </c>
      <c r="G2339" s="34">
        <v>45266</v>
      </c>
      <c r="H2339" s="35">
        <v>4.7500000000000001E-2</v>
      </c>
      <c r="I2339" s="67">
        <v>0.28939999999999999</v>
      </c>
      <c r="J2339" s="67">
        <v>0</v>
      </c>
      <c r="K2339" s="67">
        <v>0.28939999999999999</v>
      </c>
      <c r="L2339" s="36">
        <f>+K2339-((K2339*0.08*0.125)+(K2339*(1-0.08)*0.26))</f>
        <v>0.21728152000000001</v>
      </c>
      <c r="M2339" s="64">
        <f t="shared" si="73"/>
        <v>0.21728152000000001</v>
      </c>
      <c r="N2339" s="33" t="s">
        <v>718</v>
      </c>
    </row>
    <row r="2340" spans="1:14" ht="15">
      <c r="A2340" s="12"/>
      <c r="B2340" s="33" t="s">
        <v>312</v>
      </c>
      <c r="C2340" s="92" t="s">
        <v>739</v>
      </c>
      <c r="D2340" s="33" t="s">
        <v>411</v>
      </c>
      <c r="E2340" s="34">
        <v>45260</v>
      </c>
      <c r="F2340" s="34">
        <v>45261</v>
      </c>
      <c r="G2340" s="34">
        <v>45266</v>
      </c>
      <c r="H2340" s="35">
        <v>7.0000000000000007E-2</v>
      </c>
      <c r="I2340" s="67">
        <v>2.1899999999999999E-2</v>
      </c>
      <c r="J2340" s="67">
        <v>0</v>
      </c>
      <c r="K2340" s="67">
        <v>2.1899999999999999E-2</v>
      </c>
      <c r="L2340" s="36">
        <f>+K2340-((K2340*0.00000000001*0.125)+(K2340*(1-0.000000001)*0.26))</f>
        <v>1.6206000005666625E-2</v>
      </c>
      <c r="M2340" s="64">
        <f t="shared" si="73"/>
        <v>1.6206000005666625E-2</v>
      </c>
      <c r="N2340" s="33" t="s">
        <v>718</v>
      </c>
    </row>
    <row r="2341" spans="1:14" ht="15">
      <c r="A2341" s="12"/>
      <c r="B2341" s="33" t="s">
        <v>190</v>
      </c>
      <c r="C2341" s="92" t="s">
        <v>740</v>
      </c>
      <c r="D2341" s="33" t="s">
        <v>411</v>
      </c>
      <c r="E2341" s="34">
        <v>45260</v>
      </c>
      <c r="F2341" s="34">
        <v>45261</v>
      </c>
      <c r="G2341" s="34">
        <v>45266</v>
      </c>
      <c r="H2341" s="35">
        <v>7.0000000000000007E-2</v>
      </c>
      <c r="I2341" s="67">
        <v>0.41499999999999998</v>
      </c>
      <c r="J2341" s="67">
        <v>0</v>
      </c>
      <c r="K2341" s="67">
        <v>0.41499999999999998</v>
      </c>
      <c r="L2341" s="36">
        <f>+K2341-((K2341*0.00000000001*0.125)+(K2341*(1-0.000000001)*0.26))</f>
        <v>0.30710000010738125</v>
      </c>
      <c r="M2341" s="64">
        <f t="shared" si="73"/>
        <v>0.30710000010738125</v>
      </c>
      <c r="N2341" s="33" t="s">
        <v>718</v>
      </c>
    </row>
    <row r="2342" spans="1:14" ht="15">
      <c r="A2342" s="12"/>
      <c r="B2342" s="33" t="s">
        <v>198</v>
      </c>
      <c r="C2342" s="92" t="s">
        <v>741</v>
      </c>
      <c r="D2342" s="33" t="s">
        <v>411</v>
      </c>
      <c r="E2342" s="34">
        <v>45260</v>
      </c>
      <c r="F2342" s="34">
        <v>45261</v>
      </c>
      <c r="G2342" s="34">
        <v>45266</v>
      </c>
      <c r="H2342" s="35">
        <v>7.0000000000000007E-2</v>
      </c>
      <c r="I2342" s="67">
        <v>0.4194</v>
      </c>
      <c r="J2342" s="67">
        <v>0</v>
      </c>
      <c r="K2342" s="67">
        <v>0.4194</v>
      </c>
      <c r="L2342" s="36">
        <f>+K2342-((K2342*0.00000000001*0.125)+(K2342*(1-0.000000001)*0.26))</f>
        <v>0.31035600010851977</v>
      </c>
      <c r="M2342" s="64">
        <f t="shared" si="73"/>
        <v>0.31035600010851977</v>
      </c>
      <c r="N2342" s="33" t="s">
        <v>718</v>
      </c>
    </row>
    <row r="2343" spans="1:14" ht="15">
      <c r="A2343" s="12"/>
      <c r="B2343" s="33" t="s">
        <v>513</v>
      </c>
      <c r="C2343" s="92" t="s">
        <v>742</v>
      </c>
      <c r="D2343" s="33" t="s">
        <v>411</v>
      </c>
      <c r="E2343" s="34">
        <v>45260</v>
      </c>
      <c r="F2343" s="34">
        <v>45261</v>
      </c>
      <c r="G2343" s="34">
        <v>45266</v>
      </c>
      <c r="H2343" s="35">
        <v>0.01</v>
      </c>
      <c r="I2343" s="67">
        <v>5.8099999999999999E-2</v>
      </c>
      <c r="J2343" s="67">
        <v>0</v>
      </c>
      <c r="K2343" s="67">
        <v>5.8099999999999999E-2</v>
      </c>
      <c r="L2343" s="36">
        <f>+K2343-((K2343*0.1875*0.125)+(K2343*(1-0.1875)*0.26))</f>
        <v>4.4464656249999998E-2</v>
      </c>
      <c r="M2343" s="64">
        <f t="shared" si="73"/>
        <v>4.4464656249999998E-2</v>
      </c>
      <c r="N2343" s="33" t="s">
        <v>718</v>
      </c>
    </row>
    <row r="2344" spans="1:14" ht="15">
      <c r="A2344" s="12"/>
      <c r="B2344" s="33" t="s">
        <v>514</v>
      </c>
      <c r="C2344" s="92" t="s">
        <v>743</v>
      </c>
      <c r="D2344" s="33" t="s">
        <v>411</v>
      </c>
      <c r="E2344" s="34">
        <v>45260</v>
      </c>
      <c r="F2344" s="34">
        <v>45261</v>
      </c>
      <c r="G2344" s="34">
        <v>45266</v>
      </c>
      <c r="H2344" s="35">
        <v>0.01</v>
      </c>
      <c r="I2344" s="67">
        <v>5.9400000000000001E-2</v>
      </c>
      <c r="J2344" s="67">
        <v>0</v>
      </c>
      <c r="K2344" s="67">
        <v>5.9400000000000001E-2</v>
      </c>
      <c r="L2344" s="36">
        <f>+K2344-((K2344*0.1875*0.125)+(K2344*(1-0.1875)*0.26))</f>
        <v>4.5459562500000002E-2</v>
      </c>
      <c r="M2344" s="64">
        <f t="shared" si="73"/>
        <v>4.5459562500000002E-2</v>
      </c>
      <c r="N2344" s="33" t="s">
        <v>718</v>
      </c>
    </row>
    <row r="2345" spans="1:14" ht="15">
      <c r="A2345" s="12"/>
      <c r="B2345" s="33" t="s">
        <v>313</v>
      </c>
      <c r="C2345" s="92" t="s">
        <v>744</v>
      </c>
      <c r="D2345" s="33" t="s">
        <v>411</v>
      </c>
      <c r="E2345" s="34">
        <v>45260</v>
      </c>
      <c r="F2345" s="34">
        <v>45261</v>
      </c>
      <c r="G2345" s="34">
        <v>45266</v>
      </c>
      <c r="H2345" s="35">
        <v>4.4999999999999998E-2</v>
      </c>
      <c r="I2345" s="67">
        <v>1.55E-2</v>
      </c>
      <c r="J2345" s="67">
        <v>0</v>
      </c>
      <c r="K2345" s="67">
        <v>1.55E-2</v>
      </c>
      <c r="L2345" s="36">
        <f>+K2345-((K2345*0.288*0.125)+(K2345*(1-0.288)*0.26))</f>
        <v>1.2072640000000001E-2</v>
      </c>
      <c r="M2345" s="64">
        <f t="shared" si="73"/>
        <v>1.2072640000000001E-2</v>
      </c>
      <c r="N2345" s="33" t="s">
        <v>718</v>
      </c>
    </row>
    <row r="2346" spans="1:14" ht="15">
      <c r="A2346" s="12"/>
      <c r="B2346" s="33" t="s">
        <v>174</v>
      </c>
      <c r="C2346" s="92" t="s">
        <v>382</v>
      </c>
      <c r="D2346" s="33" t="s">
        <v>410</v>
      </c>
      <c r="E2346" s="34">
        <v>45288</v>
      </c>
      <c r="F2346" s="34">
        <v>45289</v>
      </c>
      <c r="G2346" s="34">
        <v>45295</v>
      </c>
      <c r="H2346" s="35"/>
      <c r="I2346" s="67">
        <v>3.0786000000000001E-2</v>
      </c>
      <c r="J2346" s="67">
        <v>0</v>
      </c>
      <c r="K2346" s="67">
        <v>3.0786000000000001E-2</v>
      </c>
      <c r="L2346" s="36">
        <f>+K2346-((K2346*0.018*0.125)+(K2346*(1-0.018)*0.26))</f>
        <v>2.2856449979999999E-2</v>
      </c>
      <c r="M2346" s="64">
        <f t="shared" si="73"/>
        <v>2.2856449979999999E-2</v>
      </c>
      <c r="N2346" s="33" t="s">
        <v>247</v>
      </c>
    </row>
    <row r="2347" spans="1:14" ht="15">
      <c r="A2347" s="12"/>
      <c r="B2347" s="33" t="s">
        <v>176</v>
      </c>
      <c r="C2347" s="92" t="s">
        <v>397</v>
      </c>
      <c r="D2347" s="33" t="s">
        <v>410</v>
      </c>
      <c r="E2347" s="34">
        <v>45288</v>
      </c>
      <c r="F2347" s="34">
        <v>45289</v>
      </c>
      <c r="G2347" s="34">
        <v>45295</v>
      </c>
      <c r="H2347" s="35"/>
      <c r="I2347" s="67">
        <v>3.3959999999999997E-2</v>
      </c>
      <c r="J2347" s="67">
        <v>0</v>
      </c>
      <c r="K2347" s="67">
        <v>3.3959999999999997E-2</v>
      </c>
      <c r="L2347" s="36">
        <f>+K2347-((K2347*0.242*0.125)+(K2347*(1-0.242)*0.26))</f>
        <v>2.6239873199999996E-2</v>
      </c>
      <c r="M2347" s="64">
        <f t="shared" si="73"/>
        <v>2.6239873199999996E-2</v>
      </c>
      <c r="N2347" s="33" t="s">
        <v>247</v>
      </c>
    </row>
    <row r="2348" spans="1:14" ht="15">
      <c r="A2348" s="12"/>
      <c r="B2348" s="33" t="s">
        <v>175</v>
      </c>
      <c r="C2348" s="92" t="s">
        <v>465</v>
      </c>
      <c r="D2348" s="33" t="s">
        <v>410</v>
      </c>
      <c r="E2348" s="34">
        <v>45288</v>
      </c>
      <c r="F2348" s="34">
        <v>45289</v>
      </c>
      <c r="G2348" s="34">
        <v>45295</v>
      </c>
      <c r="H2348" s="35"/>
      <c r="I2348" s="67">
        <v>7.1666999999999995E-2</v>
      </c>
      <c r="J2348" s="67">
        <v>0</v>
      </c>
      <c r="K2348" s="67">
        <v>7.1666999999999995E-2</v>
      </c>
      <c r="L2348" s="36">
        <f>+K2348-((K2348*0.091*0.125)+(K2348*(1-0.091)*0.26))</f>
        <v>5.3914009094999993E-2</v>
      </c>
      <c r="M2348" s="64">
        <f t="shared" si="73"/>
        <v>5.3914009094999993E-2</v>
      </c>
      <c r="N2348" s="33" t="s">
        <v>247</v>
      </c>
    </row>
    <row r="2349" spans="1:14" ht="15">
      <c r="A2349" s="12"/>
      <c r="B2349" s="33" t="s">
        <v>310</v>
      </c>
      <c r="C2349" s="92" t="s">
        <v>719</v>
      </c>
      <c r="D2349" s="33" t="s">
        <v>411</v>
      </c>
      <c r="E2349" s="34">
        <v>45289</v>
      </c>
      <c r="F2349" s="34">
        <v>45293</v>
      </c>
      <c r="G2349" s="34">
        <v>45296</v>
      </c>
      <c r="H2349" s="35">
        <v>0.05</v>
      </c>
      <c r="I2349" s="67">
        <v>1.47E-2</v>
      </c>
      <c r="J2349" s="67">
        <v>0</v>
      </c>
      <c r="K2349" s="67">
        <v>1.47E-2</v>
      </c>
      <c r="L2349" s="36">
        <f>+K2349-((K2349*0.051*0.125)+(K2349*(1-0.051)*0.26))</f>
        <v>1.09792095E-2</v>
      </c>
      <c r="M2349" s="64">
        <f t="shared" si="73"/>
        <v>1.09792095E-2</v>
      </c>
      <c r="N2349" s="33" t="s">
        <v>718</v>
      </c>
    </row>
    <row r="2350" spans="1:14" ht="15">
      <c r="A2350" s="12"/>
      <c r="B2350" s="33" t="s">
        <v>188</v>
      </c>
      <c r="C2350" s="92" t="s">
        <v>720</v>
      </c>
      <c r="D2350" s="33" t="s">
        <v>411</v>
      </c>
      <c r="E2350" s="34">
        <v>45289</v>
      </c>
      <c r="F2350" s="34">
        <v>45293</v>
      </c>
      <c r="G2350" s="34">
        <v>45296</v>
      </c>
      <c r="H2350" s="35">
        <v>0.05</v>
      </c>
      <c r="I2350" s="67">
        <v>0.25490000000000002</v>
      </c>
      <c r="J2350" s="67">
        <v>0</v>
      </c>
      <c r="K2350" s="67">
        <v>0.25490000000000002</v>
      </c>
      <c r="L2350" s="36">
        <f>+K2350-((K2350*0.051*0.125)+(K2350*(1-0.051)*0.26))</f>
        <v>0.19038098650000002</v>
      </c>
      <c r="M2350" s="64">
        <f t="shared" si="73"/>
        <v>0.19038098650000002</v>
      </c>
      <c r="N2350" s="33" t="s">
        <v>718</v>
      </c>
    </row>
    <row r="2351" spans="1:14" ht="15">
      <c r="A2351" s="12"/>
      <c r="B2351" s="33" t="s">
        <v>196</v>
      </c>
      <c r="C2351" s="92" t="s">
        <v>721</v>
      </c>
      <c r="D2351" s="33" t="s">
        <v>411</v>
      </c>
      <c r="E2351" s="34">
        <v>45289</v>
      </c>
      <c r="F2351" s="34">
        <v>45293</v>
      </c>
      <c r="G2351" s="34">
        <v>45296</v>
      </c>
      <c r="H2351" s="35">
        <v>0.05</v>
      </c>
      <c r="I2351" s="67">
        <v>0.26769999999999999</v>
      </c>
      <c r="J2351" s="67">
        <v>0</v>
      </c>
      <c r="K2351" s="67">
        <v>0.26769999999999999</v>
      </c>
      <c r="L2351" s="36">
        <f>+K2351-((K2351*0.051*0.125)+(K2351*(1-0.051)*0.26))</f>
        <v>0.19994111450000002</v>
      </c>
      <c r="M2351" s="64">
        <f t="shared" si="73"/>
        <v>0.19994111450000002</v>
      </c>
      <c r="N2351" s="33" t="s">
        <v>718</v>
      </c>
    </row>
    <row r="2352" spans="1:14" ht="15">
      <c r="A2352" s="12"/>
      <c r="B2352" s="33" t="s">
        <v>191</v>
      </c>
      <c r="C2352" s="92" t="s">
        <v>722</v>
      </c>
      <c r="D2352" s="33" t="s">
        <v>411</v>
      </c>
      <c r="E2352" s="34">
        <v>45289</v>
      </c>
      <c r="F2352" s="34">
        <v>45293</v>
      </c>
      <c r="G2352" s="34">
        <v>45296</v>
      </c>
      <c r="H2352" s="35">
        <v>0.03</v>
      </c>
      <c r="I2352" s="67">
        <v>8.6E-3</v>
      </c>
      <c r="J2352" s="67">
        <v>0</v>
      </c>
      <c r="K2352" s="67">
        <v>8.6E-3</v>
      </c>
      <c r="L2352" s="36">
        <f>+K2352-((K2352*0.794*0.125)+(K2352*(1-0.794)*0.26))</f>
        <v>7.2858339999999997E-3</v>
      </c>
      <c r="M2352" s="64">
        <f t="shared" si="73"/>
        <v>7.2858339999999997E-3</v>
      </c>
      <c r="N2352" s="33" t="s">
        <v>718</v>
      </c>
    </row>
    <row r="2353" spans="1:14" ht="15">
      <c r="A2353" s="12"/>
      <c r="B2353" s="33" t="s">
        <v>199</v>
      </c>
      <c r="C2353" s="92" t="s">
        <v>723</v>
      </c>
      <c r="D2353" s="33" t="s">
        <v>411</v>
      </c>
      <c r="E2353" s="34">
        <v>45289</v>
      </c>
      <c r="F2353" s="34">
        <v>45293</v>
      </c>
      <c r="G2353" s="34">
        <v>45296</v>
      </c>
      <c r="H2353" s="35">
        <v>0.03</v>
      </c>
      <c r="I2353" s="67">
        <v>8.6E-3</v>
      </c>
      <c r="J2353" s="67">
        <v>0</v>
      </c>
      <c r="K2353" s="67">
        <v>8.6E-3</v>
      </c>
      <c r="L2353" s="36">
        <f>+K2353-((K2353*0.794*0.125)+(K2353*(1-0.794)*0.26))</f>
        <v>7.2858339999999997E-3</v>
      </c>
      <c r="M2353" s="64">
        <f t="shared" si="73"/>
        <v>7.2858339999999997E-3</v>
      </c>
      <c r="N2353" s="33" t="s">
        <v>718</v>
      </c>
    </row>
    <row r="2354" spans="1:14" ht="15">
      <c r="A2354" s="12"/>
      <c r="B2354" s="33" t="s">
        <v>306</v>
      </c>
      <c r="C2354" s="92" t="s">
        <v>724</v>
      </c>
      <c r="D2354" s="33" t="s">
        <v>411</v>
      </c>
      <c r="E2354" s="34">
        <v>45289</v>
      </c>
      <c r="F2354" s="34">
        <v>45293</v>
      </c>
      <c r="G2354" s="34">
        <v>45296</v>
      </c>
      <c r="H2354" s="35">
        <v>5.5E-2</v>
      </c>
      <c r="I2354" s="67">
        <v>1.89E-2</v>
      </c>
      <c r="J2354" s="67">
        <v>0</v>
      </c>
      <c r="K2354" s="67">
        <v>1.89E-2</v>
      </c>
      <c r="L2354" s="36">
        <f>+K2354-((K2354*0.0395*0.125)+(K2354*(1-0.0395)*0.26))</f>
        <v>1.408678425E-2</v>
      </c>
      <c r="M2354" s="64">
        <f t="shared" si="73"/>
        <v>1.408678425E-2</v>
      </c>
      <c r="N2354" s="33" t="s">
        <v>718</v>
      </c>
    </row>
    <row r="2355" spans="1:14" ht="15">
      <c r="A2355" s="12"/>
      <c r="B2355" s="33" t="s">
        <v>184</v>
      </c>
      <c r="C2355" s="92" t="s">
        <v>725</v>
      </c>
      <c r="D2355" s="33" t="s">
        <v>411</v>
      </c>
      <c r="E2355" s="34">
        <v>45289</v>
      </c>
      <c r="F2355" s="34">
        <v>45293</v>
      </c>
      <c r="G2355" s="34">
        <v>45296</v>
      </c>
      <c r="H2355" s="35">
        <v>5.5E-2</v>
      </c>
      <c r="I2355" s="67">
        <v>0.38009999999999999</v>
      </c>
      <c r="J2355" s="67">
        <v>0</v>
      </c>
      <c r="K2355" s="67">
        <v>0.38009999999999999</v>
      </c>
      <c r="L2355" s="36">
        <f>+K2355-((K2355*0.0395*0.125)+(K2355*(1-0.0395)*0.26))</f>
        <v>0.28330088324999997</v>
      </c>
      <c r="M2355" s="64">
        <f t="shared" si="73"/>
        <v>0.28330088324999997</v>
      </c>
      <c r="N2355" s="33" t="s">
        <v>718</v>
      </c>
    </row>
    <row r="2356" spans="1:14" ht="15">
      <c r="A2356" s="12"/>
      <c r="B2356" s="33" t="s">
        <v>192</v>
      </c>
      <c r="C2356" s="92" t="s">
        <v>726</v>
      </c>
      <c r="D2356" s="33" t="s">
        <v>411</v>
      </c>
      <c r="E2356" s="34">
        <v>45289</v>
      </c>
      <c r="F2356" s="34">
        <v>45293</v>
      </c>
      <c r="G2356" s="34">
        <v>45296</v>
      </c>
      <c r="H2356" s="35">
        <v>5.5E-2</v>
      </c>
      <c r="I2356" s="67">
        <v>0.3876</v>
      </c>
      <c r="J2356" s="67">
        <v>0</v>
      </c>
      <c r="K2356" s="67">
        <v>0.3876</v>
      </c>
      <c r="L2356" s="36">
        <f>+K2356-((K2356*0.0395*0.125)+(K2356*(1-0.0395)*0.26))</f>
        <v>0.28889087699999999</v>
      </c>
      <c r="M2356" s="64">
        <f t="shared" si="73"/>
        <v>0.28889087699999999</v>
      </c>
      <c r="N2356" s="33" t="s">
        <v>718</v>
      </c>
    </row>
    <row r="2357" spans="1:14" ht="15">
      <c r="A2357" s="12"/>
      <c r="B2357" s="33" t="s">
        <v>311</v>
      </c>
      <c r="C2357" s="92" t="s">
        <v>727</v>
      </c>
      <c r="D2357" s="33" t="s">
        <v>411</v>
      </c>
      <c r="E2357" s="34">
        <v>45289</v>
      </c>
      <c r="F2357" s="34">
        <v>45293</v>
      </c>
      <c r="G2357" s="34">
        <v>45296</v>
      </c>
      <c r="H2357" s="35">
        <v>4.2500000000000003E-2</v>
      </c>
      <c r="I2357" s="67">
        <v>1.6E-2</v>
      </c>
      <c r="J2357" s="67">
        <v>0</v>
      </c>
      <c r="K2357" s="67">
        <v>1.6E-2</v>
      </c>
      <c r="L2357" s="36">
        <f>+K2357-((K2357*0.01*0.125)+(K2357*(1-0.01)*0.26))</f>
        <v>1.18616E-2</v>
      </c>
      <c r="M2357" s="64">
        <f t="shared" si="73"/>
        <v>1.18616E-2</v>
      </c>
      <c r="N2357" s="33" t="s">
        <v>718</v>
      </c>
    </row>
    <row r="2358" spans="1:14" ht="15">
      <c r="A2358" s="12"/>
      <c r="B2358" s="33" t="s">
        <v>189</v>
      </c>
      <c r="C2358" s="92" t="s">
        <v>728</v>
      </c>
      <c r="D2358" s="33" t="s">
        <v>411</v>
      </c>
      <c r="E2358" s="34">
        <v>45289</v>
      </c>
      <c r="F2358" s="34">
        <v>45293</v>
      </c>
      <c r="G2358" s="34">
        <v>45296</v>
      </c>
      <c r="H2358" s="35">
        <v>4.2500000000000003E-2</v>
      </c>
      <c r="I2358" s="67">
        <v>0.29170000000000001</v>
      </c>
      <c r="J2358" s="67">
        <v>0</v>
      </c>
      <c r="K2358" s="67">
        <v>0.29170000000000001</v>
      </c>
      <c r="L2358" s="36">
        <f>+K2358-((K2358*0.01*0.125)+(K2358*(1-0.01)*0.26))</f>
        <v>0.21625179500000002</v>
      </c>
      <c r="M2358" s="64">
        <f t="shared" si="73"/>
        <v>0.21625179500000002</v>
      </c>
      <c r="N2358" s="33" t="s">
        <v>718</v>
      </c>
    </row>
    <row r="2359" spans="1:14" ht="15">
      <c r="A2359" s="12"/>
      <c r="B2359" s="33" t="s">
        <v>197</v>
      </c>
      <c r="C2359" s="92" t="s">
        <v>729</v>
      </c>
      <c r="D2359" s="33" t="s">
        <v>411</v>
      </c>
      <c r="E2359" s="34">
        <v>45289</v>
      </c>
      <c r="F2359" s="34">
        <v>45293</v>
      </c>
      <c r="G2359" s="34">
        <v>45296</v>
      </c>
      <c r="H2359" s="35">
        <v>4.2500000000000003E-2</v>
      </c>
      <c r="I2359" s="67">
        <v>0.29980000000000001</v>
      </c>
      <c r="J2359" s="67">
        <v>0</v>
      </c>
      <c r="K2359" s="67">
        <v>0.29980000000000001</v>
      </c>
      <c r="L2359" s="36">
        <f>+K2359-((K2359*0.01*0.125)+(K2359*(1-0.01)*0.26))</f>
        <v>0.22225673000000001</v>
      </c>
      <c r="M2359" s="64">
        <f t="shared" si="73"/>
        <v>0.22225673000000001</v>
      </c>
      <c r="N2359" s="33" t="s">
        <v>718</v>
      </c>
    </row>
    <row r="2360" spans="1:14" ht="15">
      <c r="A2360" s="12"/>
      <c r="B2360" s="33" t="s">
        <v>308</v>
      </c>
      <c r="C2360" s="92" t="s">
        <v>730</v>
      </c>
      <c r="D2360" s="33" t="s">
        <v>411</v>
      </c>
      <c r="E2360" s="34">
        <v>45289</v>
      </c>
      <c r="F2360" s="34">
        <v>45293</v>
      </c>
      <c r="G2360" s="34">
        <v>45296</v>
      </c>
      <c r="H2360" s="35">
        <v>4.2500000000000003E-2</v>
      </c>
      <c r="I2360" s="67">
        <v>1.4500000000000001E-2</v>
      </c>
      <c r="J2360" s="67">
        <v>0</v>
      </c>
      <c r="K2360" s="67">
        <v>1.4500000000000001E-2</v>
      </c>
      <c r="L2360" s="36">
        <f>+K2360-((K2360*0.49*0.125)+(K2360*(1-0.49)*0.26))</f>
        <v>1.1689175E-2</v>
      </c>
      <c r="M2360" s="64">
        <f t="shared" si="73"/>
        <v>1.1689175E-2</v>
      </c>
      <c r="N2360" s="33" t="s">
        <v>718</v>
      </c>
    </row>
    <row r="2361" spans="1:14" ht="15">
      <c r="A2361" s="12"/>
      <c r="B2361" s="33" t="s">
        <v>186</v>
      </c>
      <c r="C2361" s="92" t="s">
        <v>731</v>
      </c>
      <c r="D2361" s="33" t="s">
        <v>411</v>
      </c>
      <c r="E2361" s="34">
        <v>45289</v>
      </c>
      <c r="F2361" s="34">
        <v>45293</v>
      </c>
      <c r="G2361" s="34">
        <v>45296</v>
      </c>
      <c r="H2361" s="35">
        <v>4.2500000000000003E-2</v>
      </c>
      <c r="I2361" s="67">
        <v>0.26669999999999999</v>
      </c>
      <c r="J2361" s="67">
        <v>0</v>
      </c>
      <c r="K2361" s="67">
        <v>0.26669999999999999</v>
      </c>
      <c r="L2361" s="36">
        <f>+K2361-((K2361*0.49*0.125)+(K2361*(1-0.49)*0.26))</f>
        <v>0.215000205</v>
      </c>
      <c r="M2361" s="64">
        <f t="shared" ref="M2361:M2424" si="74">J2361+L2361</f>
        <v>0.215000205</v>
      </c>
      <c r="N2361" s="33" t="s">
        <v>718</v>
      </c>
    </row>
    <row r="2362" spans="1:14" ht="15">
      <c r="A2362" s="12"/>
      <c r="B2362" s="33" t="s">
        <v>194</v>
      </c>
      <c r="C2362" s="92" t="s">
        <v>732</v>
      </c>
      <c r="D2362" s="33" t="s">
        <v>411</v>
      </c>
      <c r="E2362" s="34">
        <v>45289</v>
      </c>
      <c r="F2362" s="34">
        <v>45293</v>
      </c>
      <c r="G2362" s="34">
        <v>45296</v>
      </c>
      <c r="H2362" s="35">
        <v>4.2500000000000003E-2</v>
      </c>
      <c r="I2362" s="67">
        <v>0.27589999999999998</v>
      </c>
      <c r="J2362" s="67">
        <v>0</v>
      </c>
      <c r="K2362" s="67">
        <v>0.27589999999999998</v>
      </c>
      <c r="L2362" s="36">
        <f>+K2362-((K2362*0.49*0.125)+(K2362*(1-0.49)*0.26))</f>
        <v>0.22241678499999998</v>
      </c>
      <c r="M2362" s="64">
        <f t="shared" si="74"/>
        <v>0.22241678499999998</v>
      </c>
      <c r="N2362" s="33" t="s">
        <v>718</v>
      </c>
    </row>
    <row r="2363" spans="1:14" ht="15">
      <c r="A2363" s="12"/>
      <c r="B2363" s="33" t="s">
        <v>307</v>
      </c>
      <c r="C2363" s="92" t="s">
        <v>733</v>
      </c>
      <c r="D2363" s="33" t="s">
        <v>411</v>
      </c>
      <c r="E2363" s="34">
        <v>45289</v>
      </c>
      <c r="F2363" s="34">
        <v>45293</v>
      </c>
      <c r="G2363" s="34">
        <v>45296</v>
      </c>
      <c r="H2363" s="35">
        <v>4.7500000000000001E-2</v>
      </c>
      <c r="I2363" s="67">
        <v>1.46E-2</v>
      </c>
      <c r="J2363" s="67">
        <v>0</v>
      </c>
      <c r="K2363" s="67">
        <v>1.46E-2</v>
      </c>
      <c r="L2363" s="36">
        <f>+K2363-((K2363*0.5965*0.125)+(K2363*(1-0.5965)*0.26))</f>
        <v>1.19797015E-2</v>
      </c>
      <c r="M2363" s="64">
        <f t="shared" si="74"/>
        <v>1.19797015E-2</v>
      </c>
      <c r="N2363" s="33" t="s">
        <v>718</v>
      </c>
    </row>
    <row r="2364" spans="1:14" ht="15">
      <c r="A2364" s="12"/>
      <c r="B2364" s="33" t="s">
        <v>185</v>
      </c>
      <c r="C2364" s="92" t="s">
        <v>734</v>
      </c>
      <c r="D2364" s="33" t="s">
        <v>411</v>
      </c>
      <c r="E2364" s="34">
        <v>45289</v>
      </c>
      <c r="F2364" s="34">
        <v>45293</v>
      </c>
      <c r="G2364" s="34">
        <v>45296</v>
      </c>
      <c r="H2364" s="35">
        <v>4.7500000000000001E-2</v>
      </c>
      <c r="I2364" s="67">
        <v>0.24179999999999999</v>
      </c>
      <c r="J2364" s="67">
        <v>0</v>
      </c>
      <c r="K2364" s="67">
        <v>0.24179999999999999</v>
      </c>
      <c r="L2364" s="36">
        <f>+K2364-((K2364*0.5965*0.125)+(K2364*(1-0.5965)*0.26))</f>
        <v>0.1984035495</v>
      </c>
      <c r="M2364" s="64">
        <f t="shared" si="74"/>
        <v>0.1984035495</v>
      </c>
      <c r="N2364" s="33" t="s">
        <v>718</v>
      </c>
    </row>
    <row r="2365" spans="1:14" ht="15">
      <c r="A2365" s="12"/>
      <c r="B2365" s="33" t="s">
        <v>193</v>
      </c>
      <c r="C2365" s="92" t="s">
        <v>735</v>
      </c>
      <c r="D2365" s="33" t="s">
        <v>411</v>
      </c>
      <c r="E2365" s="34">
        <v>45289</v>
      </c>
      <c r="F2365" s="34">
        <v>45293</v>
      </c>
      <c r="G2365" s="34">
        <v>45296</v>
      </c>
      <c r="H2365" s="35">
        <v>4.7500000000000001E-2</v>
      </c>
      <c r="I2365" s="67">
        <v>0.23899999999999999</v>
      </c>
      <c r="J2365" s="67">
        <v>0</v>
      </c>
      <c r="K2365" s="67">
        <v>0.23899999999999999</v>
      </c>
      <c r="L2365" s="36">
        <f>+K2365-((K2365*0.5965*0.125)+(K2365*(1-0.5965)*0.26))</f>
        <v>0.19610607250000001</v>
      </c>
      <c r="M2365" s="64">
        <f t="shared" si="74"/>
        <v>0.19610607250000001</v>
      </c>
      <c r="N2365" s="33" t="s">
        <v>718</v>
      </c>
    </row>
    <row r="2366" spans="1:14" ht="15">
      <c r="A2366" s="12"/>
      <c r="B2366" s="33" t="s">
        <v>309</v>
      </c>
      <c r="C2366" s="92" t="s">
        <v>736</v>
      </c>
      <c r="D2366" s="33" t="s">
        <v>411</v>
      </c>
      <c r="E2366" s="34">
        <v>45289</v>
      </c>
      <c r="F2366" s="34">
        <v>45293</v>
      </c>
      <c r="G2366" s="34">
        <v>45296</v>
      </c>
      <c r="H2366" s="35">
        <v>4.7500000000000001E-2</v>
      </c>
      <c r="I2366" s="67">
        <v>1.5800000000000002E-2</v>
      </c>
      <c r="J2366" s="67">
        <v>0</v>
      </c>
      <c r="K2366" s="67">
        <v>1.5800000000000002E-2</v>
      </c>
      <c r="L2366" s="36">
        <f>+K2366-((K2366*0.08*0.125)+(K2366*(1-0.08)*0.26))</f>
        <v>1.1862640000000001E-2</v>
      </c>
      <c r="M2366" s="64">
        <f t="shared" si="74"/>
        <v>1.1862640000000001E-2</v>
      </c>
      <c r="N2366" s="33" t="s">
        <v>718</v>
      </c>
    </row>
    <row r="2367" spans="1:14" ht="15">
      <c r="A2367" s="12"/>
      <c r="B2367" s="33" t="s">
        <v>187</v>
      </c>
      <c r="C2367" s="92" t="s">
        <v>737</v>
      </c>
      <c r="D2367" s="33" t="s">
        <v>411</v>
      </c>
      <c r="E2367" s="34">
        <v>45289</v>
      </c>
      <c r="F2367" s="34">
        <v>45293</v>
      </c>
      <c r="G2367" s="34">
        <v>45296</v>
      </c>
      <c r="H2367" s="35">
        <v>4.7500000000000001E-2</v>
      </c>
      <c r="I2367" s="67">
        <v>0.27729999999999999</v>
      </c>
      <c r="J2367" s="67">
        <v>0</v>
      </c>
      <c r="K2367" s="67">
        <v>0.27729999999999999</v>
      </c>
      <c r="L2367" s="36">
        <f>+K2367-((K2367*0.08*0.125)+(K2367*(1-0.08)*0.26))</f>
        <v>0.20819683999999999</v>
      </c>
      <c r="M2367" s="64">
        <f t="shared" si="74"/>
        <v>0.20819683999999999</v>
      </c>
      <c r="N2367" s="33" t="s">
        <v>718</v>
      </c>
    </row>
    <row r="2368" spans="1:14" ht="15">
      <c r="A2368" s="12"/>
      <c r="B2368" s="33" t="s">
        <v>195</v>
      </c>
      <c r="C2368" s="92" t="s">
        <v>738</v>
      </c>
      <c r="D2368" s="33" t="s">
        <v>411</v>
      </c>
      <c r="E2368" s="34">
        <v>45289</v>
      </c>
      <c r="F2368" s="34">
        <v>45293</v>
      </c>
      <c r="G2368" s="34">
        <v>45296</v>
      </c>
      <c r="H2368" s="35">
        <v>4.7500000000000001E-2</v>
      </c>
      <c r="I2368" s="67">
        <v>0.28939999999999999</v>
      </c>
      <c r="J2368" s="67">
        <v>0</v>
      </c>
      <c r="K2368" s="67">
        <v>0.28939999999999999</v>
      </c>
      <c r="L2368" s="36">
        <f>+K2368-((K2368*0.08*0.125)+(K2368*(1-0.08)*0.26))</f>
        <v>0.21728152000000001</v>
      </c>
      <c r="M2368" s="64">
        <f t="shared" si="74"/>
        <v>0.21728152000000001</v>
      </c>
      <c r="N2368" s="33" t="s">
        <v>718</v>
      </c>
    </row>
    <row r="2369" spans="1:14" ht="15">
      <c r="A2369" s="12"/>
      <c r="B2369" s="33" t="s">
        <v>312</v>
      </c>
      <c r="C2369" s="92" t="s">
        <v>739</v>
      </c>
      <c r="D2369" s="33" t="s">
        <v>411</v>
      </c>
      <c r="E2369" s="34">
        <v>45289</v>
      </c>
      <c r="F2369" s="34">
        <v>45293</v>
      </c>
      <c r="G2369" s="34">
        <v>45296</v>
      </c>
      <c r="H2369" s="35">
        <v>7.0000000000000007E-2</v>
      </c>
      <c r="I2369" s="67">
        <v>2.1899999999999999E-2</v>
      </c>
      <c r="J2369" s="67">
        <v>0</v>
      </c>
      <c r="K2369" s="67">
        <v>2.1899999999999999E-2</v>
      </c>
      <c r="L2369" s="36">
        <f>+K2369-((K2369*0.00000000001*0.125)+(K2369*(1-0.000000001)*0.26))</f>
        <v>1.6206000005666625E-2</v>
      </c>
      <c r="M2369" s="64">
        <f t="shared" si="74"/>
        <v>1.6206000005666625E-2</v>
      </c>
      <c r="N2369" s="33" t="s">
        <v>718</v>
      </c>
    </row>
    <row r="2370" spans="1:14" ht="15">
      <c r="A2370" s="12"/>
      <c r="B2370" s="33" t="s">
        <v>190</v>
      </c>
      <c r="C2370" s="92" t="s">
        <v>740</v>
      </c>
      <c r="D2370" s="33" t="s">
        <v>411</v>
      </c>
      <c r="E2370" s="34">
        <v>45289</v>
      </c>
      <c r="F2370" s="34">
        <v>45293</v>
      </c>
      <c r="G2370" s="34">
        <v>45296</v>
      </c>
      <c r="H2370" s="35">
        <v>7.0000000000000007E-2</v>
      </c>
      <c r="I2370" s="67">
        <v>0.41499999999999998</v>
      </c>
      <c r="J2370" s="67">
        <v>0</v>
      </c>
      <c r="K2370" s="67">
        <v>0.41499999999999998</v>
      </c>
      <c r="L2370" s="36">
        <f>+K2370-((K2370*0.00000000001*0.125)+(K2370*(1-0.000000001)*0.26))</f>
        <v>0.30710000010738125</v>
      </c>
      <c r="M2370" s="64">
        <f t="shared" si="74"/>
        <v>0.30710000010738125</v>
      </c>
      <c r="N2370" s="33" t="s">
        <v>718</v>
      </c>
    </row>
    <row r="2371" spans="1:14" ht="15">
      <c r="A2371" s="12"/>
      <c r="B2371" s="33" t="s">
        <v>198</v>
      </c>
      <c r="C2371" s="92" t="s">
        <v>741</v>
      </c>
      <c r="D2371" s="33" t="s">
        <v>411</v>
      </c>
      <c r="E2371" s="34">
        <v>45289</v>
      </c>
      <c r="F2371" s="34">
        <v>45293</v>
      </c>
      <c r="G2371" s="34">
        <v>45296</v>
      </c>
      <c r="H2371" s="35">
        <v>7.0000000000000007E-2</v>
      </c>
      <c r="I2371" s="67">
        <v>0.4194</v>
      </c>
      <c r="J2371" s="67">
        <v>0</v>
      </c>
      <c r="K2371" s="67">
        <v>0.4194</v>
      </c>
      <c r="L2371" s="36">
        <f>+K2371-((K2371*0.00000000001*0.125)+(K2371*(1-0.000000001)*0.26))</f>
        <v>0.31035600010851977</v>
      </c>
      <c r="M2371" s="64">
        <f t="shared" si="74"/>
        <v>0.31035600010851977</v>
      </c>
      <c r="N2371" s="33" t="s">
        <v>718</v>
      </c>
    </row>
    <row r="2372" spans="1:14" ht="15">
      <c r="A2372" s="12"/>
      <c r="B2372" s="33" t="s">
        <v>513</v>
      </c>
      <c r="C2372" s="92" t="s">
        <v>742</v>
      </c>
      <c r="D2372" s="33" t="s">
        <v>411</v>
      </c>
      <c r="E2372" s="34">
        <v>45289</v>
      </c>
      <c r="F2372" s="34">
        <v>45293</v>
      </c>
      <c r="G2372" s="34">
        <v>45296</v>
      </c>
      <c r="H2372" s="35">
        <v>0.01</v>
      </c>
      <c r="I2372" s="67">
        <v>5.8099999999999999E-2</v>
      </c>
      <c r="J2372" s="67">
        <v>0</v>
      </c>
      <c r="K2372" s="67">
        <v>5.8099999999999999E-2</v>
      </c>
      <c r="L2372" s="36">
        <f>+K2372-((K2372*0.1875*0.125)+(K2372*(1-0.1875)*0.26))</f>
        <v>4.4464656249999998E-2</v>
      </c>
      <c r="M2372" s="64">
        <f t="shared" si="74"/>
        <v>4.4464656249999998E-2</v>
      </c>
      <c r="N2372" s="33" t="s">
        <v>718</v>
      </c>
    </row>
    <row r="2373" spans="1:14" ht="15">
      <c r="A2373" s="12"/>
      <c r="B2373" s="33" t="s">
        <v>514</v>
      </c>
      <c r="C2373" s="92" t="s">
        <v>743</v>
      </c>
      <c r="D2373" s="33" t="s">
        <v>411</v>
      </c>
      <c r="E2373" s="34">
        <v>45289</v>
      </c>
      <c r="F2373" s="34">
        <v>45293</v>
      </c>
      <c r="G2373" s="34">
        <v>45296</v>
      </c>
      <c r="H2373" s="35">
        <v>0.01</v>
      </c>
      <c r="I2373" s="67">
        <v>5.9400000000000001E-2</v>
      </c>
      <c r="J2373" s="67">
        <v>0</v>
      </c>
      <c r="K2373" s="67">
        <v>5.9400000000000001E-2</v>
      </c>
      <c r="L2373" s="36">
        <f>+K2373-((K2373*0.1875*0.125)+(K2373*(1-0.1875)*0.26))</f>
        <v>4.5459562500000002E-2</v>
      </c>
      <c r="M2373" s="64">
        <f t="shared" si="74"/>
        <v>4.5459562500000002E-2</v>
      </c>
      <c r="N2373" s="33" t="s">
        <v>718</v>
      </c>
    </row>
    <row r="2374" spans="1:14" ht="15">
      <c r="A2374" s="12"/>
      <c r="B2374" s="33" t="s">
        <v>313</v>
      </c>
      <c r="C2374" s="92" t="s">
        <v>744</v>
      </c>
      <c r="D2374" s="33" t="s">
        <v>411</v>
      </c>
      <c r="E2374" s="34">
        <v>45289</v>
      </c>
      <c r="F2374" s="34">
        <v>45293</v>
      </c>
      <c r="G2374" s="34">
        <v>45296</v>
      </c>
      <c r="H2374" s="35">
        <v>4.4999999999999998E-2</v>
      </c>
      <c r="I2374" s="67">
        <v>1.55E-2</v>
      </c>
      <c r="J2374" s="67">
        <v>0</v>
      </c>
      <c r="K2374" s="67">
        <v>1.55E-2</v>
      </c>
      <c r="L2374" s="36">
        <f>+K2374-((K2374*0.288*0.125)+(K2374*(1-0.288)*0.26))</f>
        <v>1.2072640000000001E-2</v>
      </c>
      <c r="M2374" s="64">
        <f t="shared" si="74"/>
        <v>1.2072640000000001E-2</v>
      </c>
      <c r="N2374" s="33" t="s">
        <v>718</v>
      </c>
    </row>
    <row r="2375" spans="1:14" ht="15">
      <c r="A2375" s="12"/>
      <c r="B2375" s="33" t="s">
        <v>298</v>
      </c>
      <c r="C2375" s="92" t="s">
        <v>403</v>
      </c>
      <c r="D2375" s="33" t="s">
        <v>410</v>
      </c>
      <c r="E2375" s="34">
        <v>45289</v>
      </c>
      <c r="F2375" s="34">
        <v>45293</v>
      </c>
      <c r="G2375" s="34">
        <v>45296</v>
      </c>
      <c r="H2375" s="35">
        <v>4.4999999999999998E-2</v>
      </c>
      <c r="I2375" s="67">
        <v>4.24E-2</v>
      </c>
      <c r="J2375" s="67">
        <v>0</v>
      </c>
      <c r="K2375" s="67">
        <v>4.24E-2</v>
      </c>
      <c r="L2375" s="36">
        <f>+K2375-((K2375*0.4245*0.125)+(K2375*(1-0.4245)*0.26))</f>
        <v>3.3805837999999998E-2</v>
      </c>
      <c r="M2375" s="64">
        <f t="shared" si="74"/>
        <v>3.3805837999999998E-2</v>
      </c>
      <c r="N2375" s="33" t="s">
        <v>248</v>
      </c>
    </row>
    <row r="2376" spans="1:14" ht="15">
      <c r="A2376" s="12"/>
      <c r="B2376" s="33" t="s">
        <v>181</v>
      </c>
      <c r="C2376" s="92" t="s">
        <v>335</v>
      </c>
      <c r="D2376" s="33" t="s">
        <v>410</v>
      </c>
      <c r="E2376" s="34">
        <v>45289</v>
      </c>
      <c r="F2376" s="34">
        <v>45293</v>
      </c>
      <c r="G2376" s="34">
        <v>45296</v>
      </c>
      <c r="H2376" s="35">
        <v>4.4999999999999998E-2</v>
      </c>
      <c r="I2376" s="67">
        <v>0.75519999999999998</v>
      </c>
      <c r="J2376" s="67">
        <v>0</v>
      </c>
      <c r="K2376" s="67">
        <v>0.75519999999999998</v>
      </c>
      <c r="L2376" s="36">
        <f>+K2376-((K2376*0.4245*0.125)+(K2376*(1-0.4245)*0.26))</f>
        <v>0.60212662399999994</v>
      </c>
      <c r="M2376" s="64">
        <f t="shared" si="74"/>
        <v>0.60212662399999994</v>
      </c>
      <c r="N2376" s="33" t="s">
        <v>248</v>
      </c>
    </row>
    <row r="2377" spans="1:14" ht="15">
      <c r="A2377" s="12"/>
      <c r="B2377" s="33" t="s">
        <v>201</v>
      </c>
      <c r="C2377" s="92" t="s">
        <v>336</v>
      </c>
      <c r="D2377" s="33" t="s">
        <v>410</v>
      </c>
      <c r="E2377" s="34">
        <v>45289</v>
      </c>
      <c r="F2377" s="34">
        <v>45293</v>
      </c>
      <c r="G2377" s="34">
        <v>45296</v>
      </c>
      <c r="H2377" s="35">
        <v>4.4999999999999998E-2</v>
      </c>
      <c r="I2377" s="67">
        <v>0.7722</v>
      </c>
      <c r="J2377" s="67">
        <v>0</v>
      </c>
      <c r="K2377" s="67">
        <v>0.7722</v>
      </c>
      <c r="L2377" s="36">
        <f>+K2377-((K2377*0.4245*0.125)+(K2377*(1-0.4245)*0.26))</f>
        <v>0.61568085150000007</v>
      </c>
      <c r="M2377" s="64">
        <f t="shared" si="74"/>
        <v>0.61568085150000007</v>
      </c>
      <c r="N2377" s="33" t="s">
        <v>248</v>
      </c>
    </row>
    <row r="2378" spans="1:14" ht="15">
      <c r="A2378" s="12"/>
      <c r="B2378" s="33" t="s">
        <v>138</v>
      </c>
      <c r="C2378" s="92" t="s">
        <v>337</v>
      </c>
      <c r="D2378" s="33" t="s">
        <v>410</v>
      </c>
      <c r="E2378" s="34">
        <v>45289</v>
      </c>
      <c r="F2378" s="34">
        <v>45293</v>
      </c>
      <c r="G2378" s="34">
        <v>45296</v>
      </c>
      <c r="H2378" s="35">
        <v>0.05</v>
      </c>
      <c r="I2378" s="67">
        <v>6.1600000000000002E-2</v>
      </c>
      <c r="J2378" s="67">
        <v>0</v>
      </c>
      <c r="K2378" s="67">
        <v>6.1600000000000002E-2</v>
      </c>
      <c r="L2378" s="36">
        <f>+K2378-((K2378*0.2815*0.125)+(K2378*(1-0.2815)*0.26))</f>
        <v>4.7924954000000006E-2</v>
      </c>
      <c r="M2378" s="64">
        <f t="shared" si="74"/>
        <v>4.7924954000000006E-2</v>
      </c>
      <c r="N2378" s="33" t="s">
        <v>248</v>
      </c>
    </row>
    <row r="2379" spans="1:14" ht="15">
      <c r="A2379" s="12"/>
      <c r="B2379" s="33" t="s">
        <v>160</v>
      </c>
      <c r="C2379" s="92" t="s">
        <v>338</v>
      </c>
      <c r="D2379" s="33" t="s">
        <v>410</v>
      </c>
      <c r="E2379" s="34">
        <v>45289</v>
      </c>
      <c r="F2379" s="34">
        <v>45293</v>
      </c>
      <c r="G2379" s="34">
        <v>45296</v>
      </c>
      <c r="H2379" s="35">
        <v>0.05</v>
      </c>
      <c r="I2379" s="67">
        <v>6.0100000000000001E-2</v>
      </c>
      <c r="J2379" s="67">
        <v>0</v>
      </c>
      <c r="K2379" s="67">
        <v>6.0100000000000001E-2</v>
      </c>
      <c r="L2379" s="36">
        <f>+K2379-((K2379*0.2815*0.125)+(K2379*(1-0.2815)*0.26))</f>
        <v>4.6757950249999999E-2</v>
      </c>
      <c r="M2379" s="64">
        <f t="shared" si="74"/>
        <v>4.6757950249999999E-2</v>
      </c>
      <c r="N2379" s="33" t="s">
        <v>248</v>
      </c>
    </row>
    <row r="2380" spans="1:14" ht="15">
      <c r="A2380" s="12"/>
      <c r="B2380" s="33" t="s">
        <v>300</v>
      </c>
      <c r="C2380" s="92" t="s">
        <v>404</v>
      </c>
      <c r="D2380" s="33" t="s">
        <v>410</v>
      </c>
      <c r="E2380" s="34">
        <v>45289</v>
      </c>
      <c r="F2380" s="34">
        <v>45293</v>
      </c>
      <c r="G2380" s="34">
        <v>45296</v>
      </c>
      <c r="H2380" s="35">
        <v>0.05</v>
      </c>
      <c r="I2380" s="67">
        <v>4.7199999999999999E-2</v>
      </c>
      <c r="J2380" s="67">
        <v>0</v>
      </c>
      <c r="K2380" s="67">
        <v>4.7199999999999999E-2</v>
      </c>
      <c r="L2380" s="36">
        <f>+K2380-((K2380*0.2815*0.125)+(K2380*(1-0.2815)*0.26))</f>
        <v>3.6721718E-2</v>
      </c>
      <c r="M2380" s="64">
        <f t="shared" si="74"/>
        <v>3.6721718E-2</v>
      </c>
      <c r="N2380" s="33" t="s">
        <v>248</v>
      </c>
    </row>
    <row r="2381" spans="1:14" ht="15">
      <c r="A2381" s="12"/>
      <c r="B2381" s="33" t="s">
        <v>142</v>
      </c>
      <c r="C2381" s="92" t="s">
        <v>341</v>
      </c>
      <c r="D2381" s="33" t="s">
        <v>410</v>
      </c>
      <c r="E2381" s="34">
        <v>45289</v>
      </c>
      <c r="F2381" s="34">
        <v>45293</v>
      </c>
      <c r="G2381" s="34">
        <v>45296</v>
      </c>
      <c r="H2381" s="35">
        <v>5.2499999999999998E-2</v>
      </c>
      <c r="I2381" s="67">
        <v>6.93E-2</v>
      </c>
      <c r="J2381" s="67">
        <v>0</v>
      </c>
      <c r="K2381" s="67">
        <v>6.93E-2</v>
      </c>
      <c r="L2381" s="36">
        <f>+K2381-((K2381*0.046*0.125)+(K2381*(1-0.046)*0.26))</f>
        <v>5.1712353000000003E-2</v>
      </c>
      <c r="M2381" s="64">
        <f t="shared" si="74"/>
        <v>5.1712353000000003E-2</v>
      </c>
      <c r="N2381" s="33" t="s">
        <v>248</v>
      </c>
    </row>
    <row r="2382" spans="1:14" ht="15">
      <c r="A2382" s="12"/>
      <c r="B2382" s="33" t="s">
        <v>159</v>
      </c>
      <c r="C2382" s="92" t="s">
        <v>342</v>
      </c>
      <c r="D2382" s="33" t="s">
        <v>410</v>
      </c>
      <c r="E2382" s="34">
        <v>45289</v>
      </c>
      <c r="F2382" s="34">
        <v>45293</v>
      </c>
      <c r="G2382" s="34">
        <v>45296</v>
      </c>
      <c r="H2382" s="35">
        <v>5.2499999999999998E-2</v>
      </c>
      <c r="I2382" s="67">
        <v>6.8099999999999994E-2</v>
      </c>
      <c r="J2382" s="67">
        <v>0</v>
      </c>
      <c r="K2382" s="67">
        <v>6.8099999999999994E-2</v>
      </c>
      <c r="L2382" s="36">
        <f>+K2382-((K2382*0.046*0.125)+(K2382*(1-0.046)*0.26))</f>
        <v>5.0816900999999998E-2</v>
      </c>
      <c r="M2382" s="64">
        <f t="shared" si="74"/>
        <v>5.0816900999999998E-2</v>
      </c>
      <c r="N2382" s="33" t="s">
        <v>248</v>
      </c>
    </row>
    <row r="2383" spans="1:14" ht="15">
      <c r="A2383" s="12"/>
      <c r="B2383" s="33" t="s">
        <v>507</v>
      </c>
      <c r="C2383" s="92" t="s">
        <v>508</v>
      </c>
      <c r="D2383" s="33" t="s">
        <v>410</v>
      </c>
      <c r="E2383" s="34">
        <v>45289</v>
      </c>
      <c r="F2383" s="34">
        <v>45293</v>
      </c>
      <c r="G2383" s="34">
        <v>45296</v>
      </c>
      <c r="H2383" s="35">
        <v>5.2499999999999998E-2</v>
      </c>
      <c r="I2383" s="67">
        <v>5.4600000000000003E-2</v>
      </c>
      <c r="J2383" s="67">
        <v>0</v>
      </c>
      <c r="K2383" s="67">
        <v>5.4600000000000003E-2</v>
      </c>
      <c r="L2383" s="36">
        <f>+K2383-((K2383*0.046*0.125)+(K2383*(1-0.046)*0.26))</f>
        <v>4.0743066000000001E-2</v>
      </c>
      <c r="M2383" s="64">
        <f t="shared" si="74"/>
        <v>4.0743066000000001E-2</v>
      </c>
      <c r="N2383" s="33" t="s">
        <v>248</v>
      </c>
    </row>
    <row r="2384" spans="1:14" ht="15">
      <c r="A2384" s="12"/>
      <c r="B2384" s="33" t="s">
        <v>139</v>
      </c>
      <c r="C2384" s="92" t="s">
        <v>344</v>
      </c>
      <c r="D2384" s="33" t="s">
        <v>410</v>
      </c>
      <c r="E2384" s="34">
        <v>45289</v>
      </c>
      <c r="F2384" s="34">
        <v>45293</v>
      </c>
      <c r="G2384" s="34">
        <v>45296</v>
      </c>
      <c r="H2384" s="35">
        <v>0.03</v>
      </c>
      <c r="I2384" s="67">
        <v>2.7799999999999998E-2</v>
      </c>
      <c r="J2384" s="67">
        <v>0</v>
      </c>
      <c r="K2384" s="67">
        <v>2.7799999999999998E-2</v>
      </c>
      <c r="L2384" s="36">
        <f>+K2384-((K2384*0.794*0.125)+(K2384*(1-0.794)*0.26))</f>
        <v>2.3551881999999996E-2</v>
      </c>
      <c r="M2384" s="64">
        <f t="shared" si="74"/>
        <v>2.3551881999999996E-2</v>
      </c>
      <c r="N2384" s="33" t="s">
        <v>248</v>
      </c>
    </row>
    <row r="2385" spans="1:14" ht="15">
      <c r="A2385" s="12"/>
      <c r="B2385" s="33" t="s">
        <v>161</v>
      </c>
      <c r="C2385" s="92" t="s">
        <v>345</v>
      </c>
      <c r="D2385" s="33" t="s">
        <v>410</v>
      </c>
      <c r="E2385" s="34">
        <v>45289</v>
      </c>
      <c r="F2385" s="34">
        <v>45293</v>
      </c>
      <c r="G2385" s="34">
        <v>45296</v>
      </c>
      <c r="H2385" s="35">
        <v>0.03</v>
      </c>
      <c r="I2385" s="67">
        <v>2.7400000000000001E-2</v>
      </c>
      <c r="J2385" s="67">
        <v>0</v>
      </c>
      <c r="K2385" s="67">
        <v>2.7400000000000001E-2</v>
      </c>
      <c r="L2385" s="36">
        <f>+K2385-((K2385*0.794*0.125)+(K2385*(1-0.794)*0.26))</f>
        <v>2.3213006000000001E-2</v>
      </c>
      <c r="M2385" s="64">
        <f t="shared" si="74"/>
        <v>2.3213006000000001E-2</v>
      </c>
      <c r="N2385" s="33" t="s">
        <v>248</v>
      </c>
    </row>
    <row r="2386" spans="1:14" ht="15">
      <c r="A2386" s="12"/>
      <c r="B2386" s="33" t="s">
        <v>141</v>
      </c>
      <c r="C2386" s="92" t="s">
        <v>348</v>
      </c>
      <c r="D2386" s="33" t="s">
        <v>410</v>
      </c>
      <c r="E2386" s="34">
        <v>45289</v>
      </c>
      <c r="F2386" s="34">
        <v>45293</v>
      </c>
      <c r="G2386" s="34">
        <v>45296</v>
      </c>
      <c r="H2386" s="35">
        <v>4.4999999999999998E-2</v>
      </c>
      <c r="I2386" s="67">
        <v>3.9399999999999998E-2</v>
      </c>
      <c r="J2386" s="67">
        <v>0</v>
      </c>
      <c r="K2386" s="67">
        <v>3.9399999999999998E-2</v>
      </c>
      <c r="L2386" s="36">
        <f>+K2386-((K2386*0.076*0.125)+(K2386*(1-0.076)*0.26))</f>
        <v>2.9560243999999999E-2</v>
      </c>
      <c r="M2386" s="64">
        <f t="shared" si="74"/>
        <v>2.9560243999999999E-2</v>
      </c>
      <c r="N2386" s="33" t="s">
        <v>248</v>
      </c>
    </row>
    <row r="2387" spans="1:14" ht="15">
      <c r="A2387" s="12"/>
      <c r="B2387" s="33" t="s">
        <v>140</v>
      </c>
      <c r="C2387" s="92" t="s">
        <v>349</v>
      </c>
      <c r="D2387" s="33" t="s">
        <v>410</v>
      </c>
      <c r="E2387" s="34">
        <v>45289</v>
      </c>
      <c r="F2387" s="34">
        <v>45293</v>
      </c>
      <c r="G2387" s="34">
        <v>45296</v>
      </c>
      <c r="H2387" s="35">
        <v>4.4999999999999998E-2</v>
      </c>
      <c r="I2387" s="67">
        <v>4.7899999999999998E-2</v>
      </c>
      <c r="J2387" s="67">
        <v>0</v>
      </c>
      <c r="K2387" s="67">
        <v>4.7899999999999998E-2</v>
      </c>
      <c r="L2387" s="36">
        <f>+K2387-((K2387*0.076*0.125)+(K2387*(1-0.076)*0.26))</f>
        <v>3.5937453999999994E-2</v>
      </c>
      <c r="M2387" s="64">
        <f t="shared" si="74"/>
        <v>3.5937453999999994E-2</v>
      </c>
      <c r="N2387" s="33" t="s">
        <v>248</v>
      </c>
    </row>
    <row r="2388" spans="1:14" ht="15">
      <c r="A2388" s="12"/>
      <c r="B2388" s="33" t="s">
        <v>162</v>
      </c>
      <c r="C2388" s="92" t="s">
        <v>350</v>
      </c>
      <c r="D2388" s="33" t="s">
        <v>410</v>
      </c>
      <c r="E2388" s="34">
        <v>45289</v>
      </c>
      <c r="F2388" s="34">
        <v>45293</v>
      </c>
      <c r="G2388" s="34">
        <v>45296</v>
      </c>
      <c r="H2388" s="35">
        <v>4.4999999999999998E-2</v>
      </c>
      <c r="I2388" s="67">
        <v>4.6800000000000001E-2</v>
      </c>
      <c r="J2388" s="67">
        <v>0</v>
      </c>
      <c r="K2388" s="67">
        <v>4.6800000000000001E-2</v>
      </c>
      <c r="L2388" s="36">
        <f>+K2388-((K2388*0.076*0.125)+(K2388*(1-0.076)*0.26))</f>
        <v>3.5112167999999999E-2</v>
      </c>
      <c r="M2388" s="64">
        <f t="shared" si="74"/>
        <v>3.5112167999999999E-2</v>
      </c>
      <c r="N2388" s="33" t="s">
        <v>248</v>
      </c>
    </row>
    <row r="2389" spans="1:14" ht="15">
      <c r="A2389" s="12"/>
      <c r="B2389" s="33" t="s">
        <v>302</v>
      </c>
      <c r="C2389" s="92" t="s">
        <v>405</v>
      </c>
      <c r="D2389" s="33" t="s">
        <v>410</v>
      </c>
      <c r="E2389" s="34">
        <v>45289</v>
      </c>
      <c r="F2389" s="34">
        <v>45293</v>
      </c>
      <c r="G2389" s="34">
        <v>45296</v>
      </c>
      <c r="H2389" s="35">
        <v>4.4999999999999998E-2</v>
      </c>
      <c r="I2389" s="67">
        <v>4.07E-2</v>
      </c>
      <c r="J2389" s="67">
        <v>0</v>
      </c>
      <c r="K2389" s="67">
        <v>4.07E-2</v>
      </c>
      <c r="L2389" s="36">
        <f>+K2389-((K2389*0.076*0.125)+(K2389*(1-0.076)*0.26))</f>
        <v>3.0535581999999999E-2</v>
      </c>
      <c r="M2389" s="64">
        <f t="shared" si="74"/>
        <v>3.0535581999999999E-2</v>
      </c>
      <c r="N2389" s="33" t="s">
        <v>248</v>
      </c>
    </row>
    <row r="2390" spans="1:14" ht="15">
      <c r="A2390" s="12"/>
      <c r="B2390" s="33" t="s">
        <v>303</v>
      </c>
      <c r="C2390" s="92" t="s">
        <v>406</v>
      </c>
      <c r="D2390" s="33" t="s">
        <v>410</v>
      </c>
      <c r="E2390" s="34">
        <v>45289</v>
      </c>
      <c r="F2390" s="34">
        <v>45293</v>
      </c>
      <c r="G2390" s="34">
        <v>45296</v>
      </c>
      <c r="H2390" s="35">
        <v>4.4999999999999998E-2</v>
      </c>
      <c r="I2390" s="67">
        <v>4.4699999999999997E-2</v>
      </c>
      <c r="J2390" s="67">
        <v>0</v>
      </c>
      <c r="K2390" s="67">
        <v>4.4699999999999997E-2</v>
      </c>
      <c r="L2390" s="36">
        <f>+K2390-((K2390*0.076*0.125)+(K2390*(1-0.076)*0.26))</f>
        <v>3.3536621999999995E-2</v>
      </c>
      <c r="M2390" s="64">
        <f t="shared" si="74"/>
        <v>3.3536621999999995E-2</v>
      </c>
      <c r="N2390" s="33" t="s">
        <v>248</v>
      </c>
    </row>
    <row r="2391" spans="1:14" ht="15">
      <c r="A2391" s="12"/>
      <c r="B2391" s="33" t="s">
        <v>143</v>
      </c>
      <c r="C2391" s="92" t="s">
        <v>351</v>
      </c>
      <c r="D2391" s="33" t="s">
        <v>410</v>
      </c>
      <c r="E2391" s="34">
        <v>45289</v>
      </c>
      <c r="F2391" s="34">
        <v>45293</v>
      </c>
      <c r="G2391" s="34">
        <v>45296</v>
      </c>
      <c r="H2391" s="35">
        <v>2.5000000000000001E-2</v>
      </c>
      <c r="I2391" s="67">
        <v>2.63E-2</v>
      </c>
      <c r="J2391" s="67">
        <v>4.8880335044577221E-3</v>
      </c>
      <c r="K2391" s="67">
        <v>2.1411966495542278E-2</v>
      </c>
      <c r="L2391" s="36">
        <f>+K2391-((K2391*0.5625*0.125)+(K2391*(1-0.5625)*0.26))</f>
        <v>1.7470826412456529E-2</v>
      </c>
      <c r="M2391" s="64">
        <f t="shared" si="74"/>
        <v>2.2358859916914251E-2</v>
      </c>
      <c r="N2391" s="33" t="s">
        <v>248</v>
      </c>
    </row>
    <row r="2392" spans="1:14" ht="15">
      <c r="A2392" s="12"/>
      <c r="B2392" s="33" t="s">
        <v>145</v>
      </c>
      <c r="C2392" s="92" t="s">
        <v>352</v>
      </c>
      <c r="D2392" s="33" t="s">
        <v>410</v>
      </c>
      <c r="E2392" s="34">
        <v>45289</v>
      </c>
      <c r="F2392" s="34">
        <v>45293</v>
      </c>
      <c r="G2392" s="34">
        <v>45296</v>
      </c>
      <c r="H2392" s="35">
        <v>3.5000000000000003E-2</v>
      </c>
      <c r="I2392" s="67">
        <v>3.8300000000000001E-2</v>
      </c>
      <c r="J2392" s="67">
        <v>0</v>
      </c>
      <c r="K2392" s="67">
        <v>3.8300000000000001E-2</v>
      </c>
      <c r="L2392" s="36">
        <f>+K2392-((K2392*0.0435*0.125)+(K2392*(1-0.0435)*0.26))</f>
        <v>2.8566916750000001E-2</v>
      </c>
      <c r="M2392" s="64">
        <f t="shared" si="74"/>
        <v>2.8566916750000001E-2</v>
      </c>
      <c r="N2392" s="33" t="s">
        <v>248</v>
      </c>
    </row>
    <row r="2393" spans="1:14" ht="15">
      <c r="A2393" s="12"/>
      <c r="B2393" s="33" t="s">
        <v>144</v>
      </c>
      <c r="C2393" s="92" t="s">
        <v>353</v>
      </c>
      <c r="D2393" s="33" t="s">
        <v>410</v>
      </c>
      <c r="E2393" s="34">
        <v>45289</v>
      </c>
      <c r="F2393" s="34">
        <v>45293</v>
      </c>
      <c r="G2393" s="34">
        <v>45296</v>
      </c>
      <c r="H2393" s="35">
        <v>0.02</v>
      </c>
      <c r="I2393" s="67">
        <v>2.07E-2</v>
      </c>
      <c r="J2393" s="67">
        <v>7.0759982249928629E-3</v>
      </c>
      <c r="K2393" s="67">
        <v>1.3624001775007137E-2</v>
      </c>
      <c r="L2393" s="36">
        <f>+K2393-((K2393*0.7355*0.125)+(K2393*(1-0.7355)*0.26))</f>
        <v>1.1434522509750177E-2</v>
      </c>
      <c r="M2393" s="64">
        <f t="shared" si="74"/>
        <v>1.851052073474304E-2</v>
      </c>
      <c r="N2393" s="33" t="s">
        <v>248</v>
      </c>
    </row>
    <row r="2394" spans="1:14" ht="15">
      <c r="A2394" s="12"/>
      <c r="B2394" s="33" t="s">
        <v>148</v>
      </c>
      <c r="C2394" s="92" t="s">
        <v>362</v>
      </c>
      <c r="D2394" s="33" t="s">
        <v>410</v>
      </c>
      <c r="E2394" s="34">
        <v>45289</v>
      </c>
      <c r="F2394" s="34">
        <v>45293</v>
      </c>
      <c r="G2394" s="34">
        <v>45296</v>
      </c>
      <c r="H2394" s="35">
        <v>4.2500000000000003E-2</v>
      </c>
      <c r="I2394" s="67">
        <v>5.2600000000000001E-2</v>
      </c>
      <c r="J2394" s="67">
        <v>0</v>
      </c>
      <c r="K2394" s="67">
        <v>5.2600000000000001E-2</v>
      </c>
      <c r="L2394" s="36">
        <f>+K2394-((K2394*0.49*0.125)+(K2394*(1-0.49)*0.26))</f>
        <v>4.2403490000000002E-2</v>
      </c>
      <c r="M2394" s="64">
        <f t="shared" si="74"/>
        <v>4.2403490000000002E-2</v>
      </c>
      <c r="N2394" s="33" t="s">
        <v>248</v>
      </c>
    </row>
    <row r="2395" spans="1:14" ht="15">
      <c r="A2395" s="12"/>
      <c r="B2395" s="33" t="s">
        <v>200</v>
      </c>
      <c r="C2395" s="92" t="s">
        <v>365</v>
      </c>
      <c r="D2395" s="33" t="s">
        <v>410</v>
      </c>
      <c r="E2395" s="34">
        <v>45289</v>
      </c>
      <c r="F2395" s="34">
        <v>45293</v>
      </c>
      <c r="G2395" s="34">
        <v>45296</v>
      </c>
      <c r="H2395" s="35">
        <v>4.2500000000000003E-2</v>
      </c>
      <c r="I2395" s="67">
        <v>0.87090000000000001</v>
      </c>
      <c r="J2395" s="67">
        <v>9.7776128048531863E-2</v>
      </c>
      <c r="K2395" s="67">
        <v>0.77312387195146814</v>
      </c>
      <c r="L2395" s="36">
        <f>+K2395-((K2395*0.49*0.125)+(K2395*(1-0.49)*0.26))</f>
        <v>0.62325380937367603</v>
      </c>
      <c r="M2395" s="64">
        <f t="shared" si="74"/>
        <v>0.72102993742220789</v>
      </c>
      <c r="N2395" s="33" t="s">
        <v>248</v>
      </c>
    </row>
    <row r="2396" spans="1:14" ht="15">
      <c r="A2396" s="12"/>
      <c r="B2396" s="33" t="s">
        <v>173</v>
      </c>
      <c r="C2396" s="92" t="s">
        <v>372</v>
      </c>
      <c r="D2396" s="33" t="s">
        <v>410</v>
      </c>
      <c r="E2396" s="34">
        <v>45289</v>
      </c>
      <c r="F2396" s="34">
        <v>45293</v>
      </c>
      <c r="G2396" s="34">
        <v>45296</v>
      </c>
      <c r="H2396" s="35">
        <v>2.5000000000000001E-2</v>
      </c>
      <c r="I2396" s="67">
        <v>3.09E-2</v>
      </c>
      <c r="J2396" s="67">
        <v>0</v>
      </c>
      <c r="K2396" s="67">
        <v>3.09E-2</v>
      </c>
      <c r="L2396" s="36">
        <f>+K2396-((K2396*0.252*0.125)+(K2396*(1-0.252)*0.26))</f>
        <v>2.3917218000000001E-2</v>
      </c>
      <c r="M2396" s="64">
        <f t="shared" si="74"/>
        <v>2.3917218000000001E-2</v>
      </c>
      <c r="N2396" s="33" t="s">
        <v>248</v>
      </c>
    </row>
    <row r="2397" spans="1:14" ht="15">
      <c r="A2397" s="12"/>
      <c r="B2397" s="33" t="s">
        <v>150</v>
      </c>
      <c r="C2397" s="92" t="s">
        <v>377</v>
      </c>
      <c r="D2397" s="33" t="s">
        <v>410</v>
      </c>
      <c r="E2397" s="34">
        <v>45289</v>
      </c>
      <c r="F2397" s="34">
        <v>45293</v>
      </c>
      <c r="G2397" s="34">
        <v>45296</v>
      </c>
      <c r="H2397" s="35">
        <v>7.0000000000000007E-2</v>
      </c>
      <c r="I2397" s="67">
        <v>8.1299999999999997E-2</v>
      </c>
      <c r="J2397" s="67">
        <v>1.5336882920099576E-2</v>
      </c>
      <c r="K2397" s="67">
        <v>6.5963117079900421E-2</v>
      </c>
      <c r="L2397" s="36">
        <f>+K2397-((K2397*0.023*0.125)+(K2397*(1-0.023)*0.26))</f>
        <v>4.9017522117659404E-2</v>
      </c>
      <c r="M2397" s="64">
        <f t="shared" si="74"/>
        <v>6.435440503775898E-2</v>
      </c>
      <c r="N2397" s="33" t="s">
        <v>248</v>
      </c>
    </row>
    <row r="2398" spans="1:14" ht="15">
      <c r="A2398" s="12"/>
      <c r="B2398" s="33" t="s">
        <v>510</v>
      </c>
      <c r="C2398" s="92" t="s">
        <v>509</v>
      </c>
      <c r="D2398" s="33" t="s">
        <v>410</v>
      </c>
      <c r="E2398" s="34">
        <v>45289</v>
      </c>
      <c r="F2398" s="34">
        <v>45293</v>
      </c>
      <c r="G2398" s="34">
        <v>45296</v>
      </c>
      <c r="H2398" s="35">
        <v>7.0000000000000007E-2</v>
      </c>
      <c r="I2398" s="67">
        <v>7.1999999999999995E-2</v>
      </c>
      <c r="J2398" s="67">
        <v>1.3658045569406814E-2</v>
      </c>
      <c r="K2398" s="67">
        <v>5.8341954430593181E-2</v>
      </c>
      <c r="L2398" s="36">
        <f>+K2398-((K2398*0.023*0.125)+(K2398*(1-0.023)*0.26))</f>
        <v>4.3354198047145943E-2</v>
      </c>
      <c r="M2398" s="64">
        <f t="shared" si="74"/>
        <v>5.7012243616552757E-2</v>
      </c>
      <c r="N2398" s="33" t="s">
        <v>248</v>
      </c>
    </row>
    <row r="2399" spans="1:14" ht="15">
      <c r="A2399" s="12"/>
      <c r="B2399" s="33" t="s">
        <v>441</v>
      </c>
      <c r="C2399" s="92" t="s">
        <v>444</v>
      </c>
      <c r="D2399" s="33" t="s">
        <v>410</v>
      </c>
      <c r="E2399" s="34">
        <v>45289</v>
      </c>
      <c r="F2399" s="34">
        <v>45293</v>
      </c>
      <c r="G2399" s="34">
        <v>45296</v>
      </c>
      <c r="H2399" s="35">
        <v>0.04</v>
      </c>
      <c r="I2399" s="67">
        <v>4.2299999999999997E-2</v>
      </c>
      <c r="J2399" s="67">
        <v>0</v>
      </c>
      <c r="K2399" s="67">
        <v>4.2299999999999997E-2</v>
      </c>
      <c r="L2399" s="36">
        <f>+K2399-((K2399*0.227*0.125)+(K2399*(1-0.227)*0.26))</f>
        <v>3.2598283499999998E-2</v>
      </c>
      <c r="M2399" s="64">
        <f t="shared" si="74"/>
        <v>3.2598283499999998E-2</v>
      </c>
      <c r="N2399" s="33" t="s">
        <v>248</v>
      </c>
    </row>
    <row r="2400" spans="1:14" ht="15">
      <c r="A2400" s="12"/>
      <c r="B2400" s="33" t="s">
        <v>440</v>
      </c>
      <c r="C2400" s="92" t="s">
        <v>443</v>
      </c>
      <c r="D2400" s="33" t="s">
        <v>410</v>
      </c>
      <c r="E2400" s="34">
        <v>45289</v>
      </c>
      <c r="F2400" s="34">
        <v>45293</v>
      </c>
      <c r="G2400" s="34">
        <v>45296</v>
      </c>
      <c r="H2400" s="35">
        <v>0.04</v>
      </c>
      <c r="I2400" s="67">
        <v>0.86990000000000001</v>
      </c>
      <c r="J2400" s="67">
        <v>0</v>
      </c>
      <c r="K2400" s="67">
        <v>0.86990000000000001</v>
      </c>
      <c r="L2400" s="36">
        <f>+K2400-((K2400*0.227*0.125)+(K2400*(1-0.227)*0.26))</f>
        <v>0.67038408550000006</v>
      </c>
      <c r="M2400" s="64">
        <f t="shared" si="74"/>
        <v>0.67038408550000006</v>
      </c>
      <c r="N2400" s="33" t="s">
        <v>248</v>
      </c>
    </row>
    <row r="2401" spans="1:14" ht="15">
      <c r="A2401" s="12"/>
      <c r="B2401" s="33" t="s">
        <v>299</v>
      </c>
      <c r="C2401" s="92" t="s">
        <v>517</v>
      </c>
      <c r="D2401" s="33" t="s">
        <v>410</v>
      </c>
      <c r="E2401" s="34">
        <v>45289</v>
      </c>
      <c r="F2401" s="34">
        <v>45293</v>
      </c>
      <c r="G2401" s="34">
        <v>45296</v>
      </c>
      <c r="H2401" s="35">
        <v>2.5000000000000001E-2</v>
      </c>
      <c r="I2401" s="67">
        <v>2.7699999999999999E-2</v>
      </c>
      <c r="J2401" s="67">
        <v>2.8080341825956097E-3</v>
      </c>
      <c r="K2401" s="67">
        <v>2.4891965817404389E-2</v>
      </c>
      <c r="L2401" s="36">
        <f>+K2401-((K2401*0.4285*0.125)+(K2401*(1-0.4285)*0.26))</f>
        <v>1.9859992697501549E-2</v>
      </c>
      <c r="M2401" s="64">
        <f t="shared" si="74"/>
        <v>2.2668026880097159E-2</v>
      </c>
      <c r="N2401" s="33" t="s">
        <v>248</v>
      </c>
    </row>
    <row r="2402" spans="1:14" ht="15">
      <c r="A2402" s="12"/>
      <c r="B2402" s="33" t="s">
        <v>182</v>
      </c>
      <c r="C2402" s="92" t="s">
        <v>477</v>
      </c>
      <c r="D2402" s="33" t="s">
        <v>410</v>
      </c>
      <c r="E2402" s="34">
        <v>45289</v>
      </c>
      <c r="F2402" s="34">
        <v>45293</v>
      </c>
      <c r="G2402" s="34">
        <v>45296</v>
      </c>
      <c r="H2402" s="35">
        <v>2.5000000000000001E-2</v>
      </c>
      <c r="I2402" s="67">
        <v>0.53779999999999994</v>
      </c>
      <c r="J2402" s="67">
        <v>5.2959867143970829E-2</v>
      </c>
      <c r="K2402" s="67">
        <v>0.48484013285602912</v>
      </c>
      <c r="L2402" s="36">
        <f>+K2402-((K2402*0.4285*0.125)+(K2402*(1-0.4285)*0.26))</f>
        <v>0.38682848789885071</v>
      </c>
      <c r="M2402" s="64">
        <f t="shared" si="74"/>
        <v>0.43978835504282154</v>
      </c>
      <c r="N2402" s="33" t="s">
        <v>248</v>
      </c>
    </row>
    <row r="2403" spans="1:14" ht="15">
      <c r="A2403" s="12"/>
      <c r="B2403" s="33" t="s">
        <v>202</v>
      </c>
      <c r="C2403" s="92" t="s">
        <v>478</v>
      </c>
      <c r="D2403" s="33" t="s">
        <v>410</v>
      </c>
      <c r="E2403" s="34">
        <v>45289</v>
      </c>
      <c r="F2403" s="34">
        <v>45293</v>
      </c>
      <c r="G2403" s="34">
        <v>45296</v>
      </c>
      <c r="H2403" s="35">
        <v>2.5000000000000001E-2</v>
      </c>
      <c r="I2403" s="67">
        <v>0.54930000000000001</v>
      </c>
      <c r="J2403" s="67">
        <v>5.6970854438035734E-2</v>
      </c>
      <c r="K2403" s="67">
        <v>0.49232914556196428</v>
      </c>
      <c r="L2403" s="36">
        <f>+K2403-((K2403*0.4285*0.125)+(K2403*(1-0.4285)*0.26))</f>
        <v>0.39280357796374932</v>
      </c>
      <c r="M2403" s="64">
        <f t="shared" si="74"/>
        <v>0.44977443240178505</v>
      </c>
      <c r="N2403" s="33" t="s">
        <v>248</v>
      </c>
    </row>
    <row r="2404" spans="1:14" ht="15">
      <c r="A2404" s="12"/>
      <c r="B2404" s="33" t="s">
        <v>146</v>
      </c>
      <c r="C2404" s="92" t="s">
        <v>380</v>
      </c>
      <c r="D2404" s="33" t="s">
        <v>410</v>
      </c>
      <c r="E2404" s="34">
        <v>45289</v>
      </c>
      <c r="F2404" s="34">
        <v>45293</v>
      </c>
      <c r="G2404" s="34">
        <v>45296</v>
      </c>
      <c r="H2404" s="35">
        <v>0.04</v>
      </c>
      <c r="I2404" s="67">
        <v>5.2400000000000002E-2</v>
      </c>
      <c r="J2404" s="67">
        <v>0</v>
      </c>
      <c r="K2404" s="67">
        <v>5.2400000000000002E-2</v>
      </c>
      <c r="L2404" s="36">
        <f>+K2404-((K2404*0.018*0.125)+(K2404*(1-0.018)*0.26))</f>
        <v>3.8903331999999999E-2</v>
      </c>
      <c r="M2404" s="64">
        <f t="shared" si="74"/>
        <v>3.8903331999999999E-2</v>
      </c>
      <c r="N2404" s="33" t="s">
        <v>248</v>
      </c>
    </row>
    <row r="2405" spans="1:14" ht="15">
      <c r="A2405" s="12"/>
      <c r="B2405" s="33" t="s">
        <v>163</v>
      </c>
      <c r="C2405" s="92" t="s">
        <v>381</v>
      </c>
      <c r="D2405" s="33" t="s">
        <v>410</v>
      </c>
      <c r="E2405" s="34">
        <v>45289</v>
      </c>
      <c r="F2405" s="34">
        <v>45293</v>
      </c>
      <c r="G2405" s="34">
        <v>45296</v>
      </c>
      <c r="H2405" s="35">
        <v>0.04</v>
      </c>
      <c r="I2405" s="67">
        <v>4.6699999999999998E-2</v>
      </c>
      <c r="J2405" s="67">
        <v>0</v>
      </c>
      <c r="K2405" s="67">
        <v>4.6699999999999998E-2</v>
      </c>
      <c r="L2405" s="36">
        <f>+K2405-((K2405*0.0175*0.125)+(K2405*(1-0.0175)*0.26))</f>
        <v>3.4668328749999998E-2</v>
      </c>
      <c r="M2405" s="64">
        <f t="shared" si="74"/>
        <v>3.4668328749999998E-2</v>
      </c>
      <c r="N2405" s="33" t="s">
        <v>248</v>
      </c>
    </row>
    <row r="2406" spans="1:14" ht="15">
      <c r="A2406" s="12"/>
      <c r="B2406" s="33" t="s">
        <v>151</v>
      </c>
      <c r="C2406" s="92" t="s">
        <v>383</v>
      </c>
      <c r="D2406" s="33" t="s">
        <v>410</v>
      </c>
      <c r="E2406" s="34">
        <v>45289</v>
      </c>
      <c r="F2406" s="34">
        <v>45293</v>
      </c>
      <c r="G2406" s="34">
        <v>45296</v>
      </c>
      <c r="H2406" s="35">
        <v>0.04</v>
      </c>
      <c r="I2406" s="67">
        <v>4.0800000000000003E-2</v>
      </c>
      <c r="J2406" s="67">
        <v>0</v>
      </c>
      <c r="K2406" s="67">
        <v>4.0800000000000003E-2</v>
      </c>
      <c r="L2406" s="36">
        <f>+K2406-((K2406*0.016*0.125)+(K2406*(1-0.016)*0.26))</f>
        <v>3.0280128000000003E-2</v>
      </c>
      <c r="M2406" s="64">
        <f t="shared" si="74"/>
        <v>3.0280128000000003E-2</v>
      </c>
      <c r="N2406" s="33" t="s">
        <v>248</v>
      </c>
    </row>
    <row r="2407" spans="1:14" ht="15">
      <c r="A2407" s="12"/>
      <c r="B2407" s="33" t="s">
        <v>166</v>
      </c>
      <c r="C2407" s="92" t="s">
        <v>384</v>
      </c>
      <c r="D2407" s="33" t="s">
        <v>410</v>
      </c>
      <c r="E2407" s="34">
        <v>45289</v>
      </c>
      <c r="F2407" s="34">
        <v>45293</v>
      </c>
      <c r="G2407" s="34">
        <v>45296</v>
      </c>
      <c r="H2407" s="35">
        <v>0.04</v>
      </c>
      <c r="I2407" s="67">
        <v>4.02E-2</v>
      </c>
      <c r="J2407" s="67">
        <v>0</v>
      </c>
      <c r="K2407" s="67">
        <v>4.02E-2</v>
      </c>
      <c r="L2407" s="36">
        <f>+K2407-((K2407*0.016*0.125)+(K2407*(1-0.016)*0.26))</f>
        <v>2.9834831999999999E-2</v>
      </c>
      <c r="M2407" s="64">
        <f t="shared" si="74"/>
        <v>2.9834831999999999E-2</v>
      </c>
      <c r="N2407" s="33" t="s">
        <v>248</v>
      </c>
    </row>
    <row r="2408" spans="1:14" ht="15">
      <c r="A2408" s="12"/>
      <c r="B2408" s="33" t="s">
        <v>149</v>
      </c>
      <c r="C2408" s="92" t="s">
        <v>386</v>
      </c>
      <c r="D2408" s="33" t="s">
        <v>410</v>
      </c>
      <c r="E2408" s="34">
        <v>45289</v>
      </c>
      <c r="F2408" s="34">
        <v>45293</v>
      </c>
      <c r="G2408" s="34">
        <v>45296</v>
      </c>
      <c r="H2408" s="35">
        <v>7.0000000000000007E-2</v>
      </c>
      <c r="I2408" s="67">
        <v>8.9599999999999999E-2</v>
      </c>
      <c r="J2408" s="67">
        <v>3.621182659951025E-3</v>
      </c>
      <c r="K2408" s="67">
        <v>8.5978817340048974E-2</v>
      </c>
      <c r="L2408" s="36">
        <f>+K2408-((K2408*0.042*0.125)+(K2408*(1-0.042)*0.26))</f>
        <v>6.4111824725954308E-2</v>
      </c>
      <c r="M2408" s="64">
        <f t="shared" si="74"/>
        <v>6.7733007385905333E-2</v>
      </c>
      <c r="N2408" s="33" t="s">
        <v>248</v>
      </c>
    </row>
    <row r="2409" spans="1:14" ht="15">
      <c r="A2409" s="12"/>
      <c r="B2409" s="33" t="s">
        <v>165</v>
      </c>
      <c r="C2409" s="92" t="s">
        <v>387</v>
      </c>
      <c r="D2409" s="33" t="s">
        <v>410</v>
      </c>
      <c r="E2409" s="34">
        <v>45289</v>
      </c>
      <c r="F2409" s="34">
        <v>45293</v>
      </c>
      <c r="G2409" s="34">
        <v>45296</v>
      </c>
      <c r="H2409" s="35">
        <v>7.0000000000000007E-2</v>
      </c>
      <c r="I2409" s="67">
        <v>8.3000000000000004E-2</v>
      </c>
      <c r="J2409" s="67">
        <v>3.5108013459493048E-3</v>
      </c>
      <c r="K2409" s="67">
        <v>7.94891986540507E-2</v>
      </c>
      <c r="L2409" s="36">
        <f>+K2409-((K2409*0.042*0.125)+(K2409*(1-0.042)*0.26))</f>
        <v>5.9272710760365985E-2</v>
      </c>
      <c r="M2409" s="64">
        <f t="shared" si="74"/>
        <v>6.278351210631529E-2</v>
      </c>
      <c r="N2409" s="33" t="s">
        <v>248</v>
      </c>
    </row>
    <row r="2410" spans="1:14" ht="15">
      <c r="A2410" s="12"/>
      <c r="B2410" s="33" t="s">
        <v>153</v>
      </c>
      <c r="C2410" s="92" t="s">
        <v>394</v>
      </c>
      <c r="D2410" s="33" t="s">
        <v>410</v>
      </c>
      <c r="E2410" s="34">
        <v>45289</v>
      </c>
      <c r="F2410" s="34">
        <v>45293</v>
      </c>
      <c r="G2410" s="34">
        <v>45296</v>
      </c>
      <c r="H2410" s="35">
        <v>5.0999999999999997E-2</v>
      </c>
      <c r="I2410" s="67">
        <v>5.2299999999999999E-2</v>
      </c>
      <c r="J2410" s="67">
        <v>4.1919898970557978E-3</v>
      </c>
      <c r="K2410" s="67">
        <v>4.8108010102944201E-2</v>
      </c>
      <c r="L2410" s="36">
        <f>+K2410-((K2410*0.242*0.125)+(K2410*(1-0.242)*0.26))</f>
        <v>3.71716161662419E-2</v>
      </c>
      <c r="M2410" s="64">
        <f t="shared" si="74"/>
        <v>4.1363606063297698E-2</v>
      </c>
      <c r="N2410" s="33" t="s">
        <v>248</v>
      </c>
    </row>
    <row r="2411" spans="1:14" ht="15">
      <c r="A2411" s="12"/>
      <c r="B2411" s="33" t="s">
        <v>152</v>
      </c>
      <c r="C2411" s="92" t="s">
        <v>395</v>
      </c>
      <c r="D2411" s="33" t="s">
        <v>410</v>
      </c>
      <c r="E2411" s="34">
        <v>45289</v>
      </c>
      <c r="F2411" s="34">
        <v>45293</v>
      </c>
      <c r="G2411" s="34">
        <v>45296</v>
      </c>
      <c r="H2411" s="35">
        <v>5.0999999999999997E-2</v>
      </c>
      <c r="I2411" s="67">
        <v>7.8E-2</v>
      </c>
      <c r="J2411" s="67">
        <v>5.6650766362049548E-3</v>
      </c>
      <c r="K2411" s="67">
        <v>7.2334923363795045E-2</v>
      </c>
      <c r="L2411" s="36">
        <f>+K2411-((K2411*0.242*0.125)+(K2411*(1-0.242)*0.26))</f>
        <v>5.5891025235503516E-2</v>
      </c>
      <c r="M2411" s="64">
        <f t="shared" si="74"/>
        <v>6.1556101871708471E-2</v>
      </c>
      <c r="N2411" s="33" t="s">
        <v>248</v>
      </c>
    </row>
    <row r="2412" spans="1:14" ht="15">
      <c r="A2412" s="12"/>
      <c r="B2412" s="33" t="s">
        <v>167</v>
      </c>
      <c r="C2412" s="92" t="s">
        <v>396</v>
      </c>
      <c r="D2412" s="33" t="s">
        <v>410</v>
      </c>
      <c r="E2412" s="34">
        <v>45289</v>
      </c>
      <c r="F2412" s="34">
        <v>45293</v>
      </c>
      <c r="G2412" s="34">
        <v>45296</v>
      </c>
      <c r="H2412" s="35">
        <v>5.0999999999999997E-2</v>
      </c>
      <c r="I2412" s="67">
        <v>7.3800000000000004E-2</v>
      </c>
      <c r="J2412" s="67">
        <v>5.2834115868334308E-3</v>
      </c>
      <c r="K2412" s="67">
        <v>6.8516588413166574E-2</v>
      </c>
      <c r="L2412" s="36">
        <f>+K2412-((K2412*0.242*0.125)+(K2412*(1-0.242)*0.26))</f>
        <v>5.294071236920142E-2</v>
      </c>
      <c r="M2412" s="64">
        <f t="shared" si="74"/>
        <v>5.8224123956034851E-2</v>
      </c>
      <c r="N2412" s="33" t="s">
        <v>248</v>
      </c>
    </row>
    <row r="2413" spans="1:14" ht="15">
      <c r="A2413" s="12"/>
      <c r="B2413" s="33" t="s">
        <v>301</v>
      </c>
      <c r="C2413" s="92" t="s">
        <v>407</v>
      </c>
      <c r="D2413" s="33" t="s">
        <v>410</v>
      </c>
      <c r="E2413" s="34">
        <v>45289</v>
      </c>
      <c r="F2413" s="34">
        <v>45293</v>
      </c>
      <c r="G2413" s="34">
        <v>45296</v>
      </c>
      <c r="H2413" s="35">
        <v>5.0999999999999997E-2</v>
      </c>
      <c r="I2413" s="67">
        <v>5.8400000000000001E-2</v>
      </c>
      <c r="J2413" s="67">
        <v>4.301473065413175E-3</v>
      </c>
      <c r="K2413" s="67">
        <v>5.4098526934586826E-2</v>
      </c>
      <c r="L2413" s="36">
        <f>+K2413-((K2413*0.242*0.125)+(K2413*(1-0.242)*0.26))</f>
        <v>4.1800308806547198E-2</v>
      </c>
      <c r="M2413" s="64">
        <f t="shared" si="74"/>
        <v>4.6101781871960373E-2</v>
      </c>
      <c r="N2413" s="33" t="s">
        <v>248</v>
      </c>
    </row>
    <row r="2414" spans="1:14" ht="15">
      <c r="A2414" s="12"/>
      <c r="B2414" s="33" t="s">
        <v>304</v>
      </c>
      <c r="C2414" s="92" t="s">
        <v>408</v>
      </c>
      <c r="D2414" s="33" t="s">
        <v>410</v>
      </c>
      <c r="E2414" s="34">
        <v>45289</v>
      </c>
      <c r="F2414" s="34">
        <v>45293</v>
      </c>
      <c r="G2414" s="34">
        <v>45296</v>
      </c>
      <c r="H2414" s="35">
        <v>4.4999999999999998E-2</v>
      </c>
      <c r="I2414" s="67">
        <v>4.5699999999999998E-2</v>
      </c>
      <c r="J2414" s="67">
        <v>3.6126778048986147E-3</v>
      </c>
      <c r="K2414" s="67">
        <v>4.2087322195101383E-2</v>
      </c>
      <c r="L2414" s="36">
        <f>+K2414-((K2414*0.288*0.125)+(K2414*(1-0.288)*0.26))</f>
        <v>3.2780973511320567E-2</v>
      </c>
      <c r="M2414" s="64">
        <f t="shared" si="74"/>
        <v>3.6393651316219182E-2</v>
      </c>
      <c r="N2414" s="33" t="s">
        <v>248</v>
      </c>
    </row>
    <row r="2415" spans="1:14" ht="15">
      <c r="A2415" s="12"/>
      <c r="B2415" s="33" t="s">
        <v>183</v>
      </c>
      <c r="C2415" s="92" t="s">
        <v>398</v>
      </c>
      <c r="D2415" s="33" t="s">
        <v>410</v>
      </c>
      <c r="E2415" s="34">
        <v>45289</v>
      </c>
      <c r="F2415" s="34">
        <v>45293</v>
      </c>
      <c r="G2415" s="34">
        <v>45296</v>
      </c>
      <c r="H2415" s="35">
        <v>4.4999999999999998E-2</v>
      </c>
      <c r="I2415" s="67">
        <v>4.5699999999999998E-2</v>
      </c>
      <c r="J2415" s="67">
        <v>3.5605442455565045E-3</v>
      </c>
      <c r="K2415" s="67">
        <v>4.2139455754443493E-2</v>
      </c>
      <c r="L2415" s="36">
        <f>+K2415-((K2415*0.288*0.125)+(K2415*(1-0.288)*0.26))</f>
        <v>3.2821579298020945E-2</v>
      </c>
      <c r="M2415" s="64">
        <f t="shared" si="74"/>
        <v>3.6382123543577449E-2</v>
      </c>
      <c r="N2415" s="33" t="s">
        <v>248</v>
      </c>
    </row>
    <row r="2416" spans="1:14" ht="15">
      <c r="A2416" s="12"/>
      <c r="B2416" s="33" t="s">
        <v>305</v>
      </c>
      <c r="C2416" s="92" t="s">
        <v>409</v>
      </c>
      <c r="D2416" s="33" t="s">
        <v>410</v>
      </c>
      <c r="E2416" s="34">
        <v>45289</v>
      </c>
      <c r="F2416" s="34">
        <v>45293</v>
      </c>
      <c r="G2416" s="34">
        <v>45296</v>
      </c>
      <c r="H2416" s="35">
        <v>4.4999999999999998E-2</v>
      </c>
      <c r="I2416" s="67">
        <v>4.6300000000000001E-2</v>
      </c>
      <c r="J2416" s="67">
        <v>3.6766156242853884E-3</v>
      </c>
      <c r="K2416" s="67">
        <v>4.2623384375714612E-2</v>
      </c>
      <c r="L2416" s="36">
        <f>+K2416-((K2416*0.288*0.125)+(K2416*(1-0.288)*0.26))</f>
        <v>3.3198501622556595E-2</v>
      </c>
      <c r="M2416" s="64">
        <f t="shared" si="74"/>
        <v>3.6875117246841983E-2</v>
      </c>
      <c r="N2416" s="33" t="s">
        <v>248</v>
      </c>
    </row>
    <row r="2417" spans="1:14" ht="15">
      <c r="A2417" s="12"/>
      <c r="B2417" s="33" t="s">
        <v>147</v>
      </c>
      <c r="C2417" s="92" t="s">
        <v>466</v>
      </c>
      <c r="D2417" s="33" t="s">
        <v>410</v>
      </c>
      <c r="E2417" s="34">
        <v>45289</v>
      </c>
      <c r="F2417" s="34">
        <v>45293</v>
      </c>
      <c r="G2417" s="34">
        <v>45296</v>
      </c>
      <c r="H2417" s="35">
        <v>0.04</v>
      </c>
      <c r="I2417" s="67">
        <v>4.48E-2</v>
      </c>
      <c r="J2417" s="67">
        <v>0</v>
      </c>
      <c r="K2417" s="67">
        <v>4.48E-2</v>
      </c>
      <c r="L2417" s="36">
        <f>+K2417-((K2417*0.091*0.125)+(K2417*(1-0.091)*0.26))</f>
        <v>3.3702367999999996E-2</v>
      </c>
      <c r="M2417" s="64">
        <f t="shared" si="74"/>
        <v>3.3702367999999996E-2</v>
      </c>
      <c r="N2417" s="33" t="s">
        <v>248</v>
      </c>
    </row>
    <row r="2418" spans="1:14" ht="15">
      <c r="A2418" s="12"/>
      <c r="B2418" s="33" t="s">
        <v>164</v>
      </c>
      <c r="C2418" s="92" t="s">
        <v>467</v>
      </c>
      <c r="D2418" s="33" t="s">
        <v>410</v>
      </c>
      <c r="E2418" s="34">
        <v>45289</v>
      </c>
      <c r="F2418" s="34">
        <v>45293</v>
      </c>
      <c r="G2418" s="34">
        <v>45296</v>
      </c>
      <c r="H2418" s="35">
        <v>0.04</v>
      </c>
      <c r="I2418" s="67">
        <v>4.1599999999999998E-2</v>
      </c>
      <c r="J2418" s="67">
        <v>0</v>
      </c>
      <c r="K2418" s="67">
        <v>4.1599999999999998E-2</v>
      </c>
      <c r="L2418" s="36">
        <f>+K2418-((K2418*0.091*0.125)+(K2418*(1-0.091)*0.26))</f>
        <v>3.1295056000000002E-2</v>
      </c>
      <c r="M2418" s="64">
        <f t="shared" si="74"/>
        <v>3.1295056000000002E-2</v>
      </c>
      <c r="N2418" s="33" t="s">
        <v>248</v>
      </c>
    </row>
    <row r="2419" spans="1:14" ht="15">
      <c r="A2419" s="12"/>
      <c r="B2419" s="33" t="s">
        <v>479</v>
      </c>
      <c r="C2419" s="92" t="s">
        <v>481</v>
      </c>
      <c r="D2419" s="33" t="s">
        <v>412</v>
      </c>
      <c r="E2419" s="34">
        <v>45316</v>
      </c>
      <c r="F2419" s="34">
        <v>45317</v>
      </c>
      <c r="G2419" s="34">
        <v>45322</v>
      </c>
      <c r="H2419" s="35">
        <v>6.5000000000000002E-2</v>
      </c>
      <c r="I2419" s="67">
        <v>0.22869999999999999</v>
      </c>
      <c r="J2419" s="67">
        <v>0</v>
      </c>
      <c r="K2419" s="67">
        <v>0</v>
      </c>
      <c r="L2419" s="36">
        <f>+K2419-((K2419*0.101*0.125)+(K2419*(1-0.101)*0.26))</f>
        <v>0</v>
      </c>
      <c r="M2419" s="64">
        <f t="shared" si="74"/>
        <v>0</v>
      </c>
      <c r="N2419" s="33" t="s">
        <v>495</v>
      </c>
    </row>
    <row r="2420" spans="1:14" ht="15">
      <c r="A2420" s="12"/>
      <c r="B2420" s="33" t="s">
        <v>480</v>
      </c>
      <c r="C2420" s="92" t="s">
        <v>482</v>
      </c>
      <c r="D2420" s="33" t="s">
        <v>412</v>
      </c>
      <c r="E2420" s="34">
        <v>45316</v>
      </c>
      <c r="F2420" s="34">
        <v>45317</v>
      </c>
      <c r="G2420" s="34">
        <v>45322</v>
      </c>
      <c r="H2420" s="35">
        <v>6.5000000000000002E-2</v>
      </c>
      <c r="I2420" s="67">
        <v>0.21149999999999999</v>
      </c>
      <c r="J2420" s="67">
        <v>0</v>
      </c>
      <c r="K2420" s="67">
        <v>0</v>
      </c>
      <c r="L2420" s="36">
        <f>+K2420-((K2420*0.101*0.125)+(K2420*(1-0.101)*0.26))</f>
        <v>0</v>
      </c>
      <c r="M2420" s="64">
        <f t="shared" si="74"/>
        <v>0</v>
      </c>
      <c r="N2420" s="33" t="s">
        <v>495</v>
      </c>
    </row>
    <row r="2421" spans="1:14" ht="15">
      <c r="A2421" s="12"/>
      <c r="B2421" s="33" t="s">
        <v>132</v>
      </c>
      <c r="C2421" s="92" t="s">
        <v>358</v>
      </c>
      <c r="D2421" s="33" t="s">
        <v>410</v>
      </c>
      <c r="E2421" s="34">
        <v>45316</v>
      </c>
      <c r="F2421" s="34">
        <v>45317</v>
      </c>
      <c r="G2421" s="34">
        <v>45322</v>
      </c>
      <c r="H2421" s="35">
        <v>4.4999999999999998E-2</v>
      </c>
      <c r="I2421" s="67">
        <v>4.9399999999999999E-2</v>
      </c>
      <c r="J2421" s="67">
        <v>0</v>
      </c>
      <c r="K2421" s="67">
        <v>4.9399999999999999E-2</v>
      </c>
      <c r="L2421" s="36">
        <f>+K2421-((K2421*0.25*0.125)+(K2421*(1-0.25)*0.26))</f>
        <v>3.822325E-2</v>
      </c>
      <c r="M2421" s="64">
        <f t="shared" si="74"/>
        <v>3.822325E-2</v>
      </c>
      <c r="N2421" s="33" t="s">
        <v>249</v>
      </c>
    </row>
    <row r="2422" spans="1:14" ht="15">
      <c r="A2422" s="12"/>
      <c r="B2422" s="33" t="s">
        <v>227</v>
      </c>
      <c r="C2422" s="92" t="s">
        <v>359</v>
      </c>
      <c r="D2422" s="33" t="s">
        <v>410</v>
      </c>
      <c r="E2422" s="34">
        <v>45316</v>
      </c>
      <c r="F2422" s="34">
        <v>45317</v>
      </c>
      <c r="G2422" s="34">
        <v>45322</v>
      </c>
      <c r="H2422" s="35">
        <v>4.4999999999999998E-2</v>
      </c>
      <c r="I2422" s="67">
        <v>4.87E-2</v>
      </c>
      <c r="J2422" s="67">
        <v>0</v>
      </c>
      <c r="K2422" s="67">
        <v>4.87E-2</v>
      </c>
      <c r="L2422" s="36">
        <f>+K2422-((K2422*0.25*0.125)+(K2422*(1-0.25)*0.26))</f>
        <v>3.7681624999999996E-2</v>
      </c>
      <c r="M2422" s="64">
        <f t="shared" si="74"/>
        <v>3.7681624999999996E-2</v>
      </c>
      <c r="N2422" s="33" t="s">
        <v>249</v>
      </c>
    </row>
    <row r="2423" spans="1:14" ht="15">
      <c r="A2423" s="12"/>
      <c r="B2423" s="33" t="s">
        <v>133</v>
      </c>
      <c r="C2423" s="92" t="s">
        <v>474</v>
      </c>
      <c r="D2423" s="33" t="s">
        <v>410</v>
      </c>
      <c r="E2423" s="34">
        <v>45316</v>
      </c>
      <c r="F2423" s="34">
        <v>45317</v>
      </c>
      <c r="G2423" s="34">
        <v>45322</v>
      </c>
      <c r="H2423" s="35">
        <v>3.5000000000000003E-2</v>
      </c>
      <c r="I2423" s="67">
        <v>4.4900000000000002E-2</v>
      </c>
      <c r="J2423" s="67">
        <v>3.1739220000000019E-2</v>
      </c>
      <c r="K2423" s="67">
        <v>1.3160779999999981E-2</v>
      </c>
      <c r="L2423" s="36">
        <f>+K2423-((K2423*0.002*0.125)+(K2423*(1-0.002)*0.26))</f>
        <v>9.7425306105999865E-3</v>
      </c>
      <c r="M2423" s="64">
        <f t="shared" si="74"/>
        <v>4.1481750610600006E-2</v>
      </c>
      <c r="N2423" s="33" t="s">
        <v>249</v>
      </c>
    </row>
    <row r="2424" spans="1:14" ht="15">
      <c r="A2424" s="12"/>
      <c r="B2424" s="33" t="s">
        <v>134</v>
      </c>
      <c r="C2424" s="92" t="s">
        <v>374</v>
      </c>
      <c r="D2424" s="33" t="s">
        <v>410</v>
      </c>
      <c r="E2424" s="34">
        <v>45316</v>
      </c>
      <c r="F2424" s="34">
        <v>45317</v>
      </c>
      <c r="G2424" s="34">
        <v>45322</v>
      </c>
      <c r="H2424" s="35">
        <v>5.5E-2</v>
      </c>
      <c r="I2424" s="67">
        <v>6.7199999999999996E-2</v>
      </c>
      <c r="J2424" s="67">
        <v>4.5333039999999991E-2</v>
      </c>
      <c r="K2424" s="67">
        <v>2.1866960000000001E-2</v>
      </c>
      <c r="L2424" s="36">
        <f>+K2424-((K2424*0.223*0.125)+(K2424*(1-0.223)*0.26))</f>
        <v>1.6839855230800001E-2</v>
      </c>
      <c r="M2424" s="64">
        <f t="shared" si="74"/>
        <v>6.2172895230799996E-2</v>
      </c>
      <c r="N2424" s="33" t="s">
        <v>249</v>
      </c>
    </row>
    <row r="2425" spans="1:14" ht="15">
      <c r="A2425" s="12"/>
      <c r="B2425" s="33" t="s">
        <v>168</v>
      </c>
      <c r="C2425" s="92" t="s">
        <v>376</v>
      </c>
      <c r="D2425" s="33" t="s">
        <v>410</v>
      </c>
      <c r="E2425" s="34">
        <v>45316</v>
      </c>
      <c r="F2425" s="34">
        <v>45317</v>
      </c>
      <c r="G2425" s="34">
        <v>45322</v>
      </c>
      <c r="H2425" s="35">
        <v>5.5E-2</v>
      </c>
      <c r="I2425" s="67">
        <v>5.2499999999999998E-2</v>
      </c>
      <c r="J2425" s="67">
        <v>3.5617299999999998E-2</v>
      </c>
      <c r="K2425" s="67">
        <v>1.68827E-2</v>
      </c>
      <c r="L2425" s="36">
        <f>+K2425-((K2425*0.223*0.125)+(K2425*(1-0.223)*0.26))</f>
        <v>1.30014516835E-2</v>
      </c>
      <c r="M2425" s="64">
        <f t="shared" ref="M2425:M2488" si="75">J2425+L2425</f>
        <v>4.8618751683499994E-2</v>
      </c>
      <c r="N2425" s="33" t="s">
        <v>249</v>
      </c>
    </row>
    <row r="2426" spans="1:14" ht="15">
      <c r="A2426" s="12"/>
      <c r="B2426" s="33" t="s">
        <v>136</v>
      </c>
      <c r="C2426" s="92" t="s">
        <v>388</v>
      </c>
      <c r="D2426" s="33" t="s">
        <v>410</v>
      </c>
      <c r="E2426" s="34">
        <v>45316</v>
      </c>
      <c r="F2426" s="34">
        <v>45317</v>
      </c>
      <c r="G2426" s="34">
        <v>45322</v>
      </c>
      <c r="H2426" s="35">
        <v>0.04</v>
      </c>
      <c r="I2426" s="67">
        <v>4.8599999999999997E-2</v>
      </c>
      <c r="J2426" s="67">
        <v>0</v>
      </c>
      <c r="K2426" s="67">
        <v>4.8599999999999997E-2</v>
      </c>
      <c r="L2426" s="36">
        <f t="shared" ref="L2426:L2431" si="76">+K2426-((K2426*0.17*0.125)+(K2426*(1-0.17)*0.26))</f>
        <v>3.707937E-2</v>
      </c>
      <c r="M2426" s="64">
        <f t="shared" si="75"/>
        <v>3.707937E-2</v>
      </c>
      <c r="N2426" s="33" t="s">
        <v>249</v>
      </c>
    </row>
    <row r="2427" spans="1:14" ht="15">
      <c r="A2427" s="12"/>
      <c r="B2427" s="33" t="s">
        <v>137</v>
      </c>
      <c r="C2427" s="92" t="s">
        <v>389</v>
      </c>
      <c r="D2427" s="33" t="s">
        <v>410</v>
      </c>
      <c r="E2427" s="34">
        <v>45316</v>
      </c>
      <c r="F2427" s="34">
        <v>45317</v>
      </c>
      <c r="G2427" s="34">
        <v>45322</v>
      </c>
      <c r="H2427" s="35">
        <v>0.05</v>
      </c>
      <c r="I2427" s="67">
        <v>6.6500000000000004E-2</v>
      </c>
      <c r="J2427" s="67">
        <v>0</v>
      </c>
      <c r="K2427" s="67">
        <v>6.6500000000000004E-2</v>
      </c>
      <c r="L2427" s="36">
        <f t="shared" si="76"/>
        <v>5.0736175000000001E-2</v>
      </c>
      <c r="M2427" s="64">
        <f t="shared" si="75"/>
        <v>5.0736175000000001E-2</v>
      </c>
      <c r="N2427" s="33" t="s">
        <v>249</v>
      </c>
    </row>
    <row r="2428" spans="1:14" ht="15">
      <c r="A2428" s="12"/>
      <c r="B2428" s="33" t="s">
        <v>135</v>
      </c>
      <c r="C2428" s="92" t="s">
        <v>390</v>
      </c>
      <c r="D2428" s="33" t="s">
        <v>410</v>
      </c>
      <c r="E2428" s="34">
        <v>45316</v>
      </c>
      <c r="F2428" s="34">
        <v>45317</v>
      </c>
      <c r="G2428" s="34">
        <v>45322</v>
      </c>
      <c r="H2428" s="35">
        <v>5.7500000000000002E-2</v>
      </c>
      <c r="I2428" s="67">
        <v>7.5399999999999995E-2</v>
      </c>
      <c r="J2428" s="67">
        <v>0</v>
      </c>
      <c r="K2428" s="67">
        <v>7.5399999999999995E-2</v>
      </c>
      <c r="L2428" s="36">
        <f t="shared" si="76"/>
        <v>5.7526429999999996E-2</v>
      </c>
      <c r="M2428" s="64">
        <f t="shared" si="75"/>
        <v>5.7526429999999996E-2</v>
      </c>
      <c r="N2428" s="33" t="s">
        <v>249</v>
      </c>
    </row>
    <row r="2429" spans="1:14" ht="15">
      <c r="A2429" s="12"/>
      <c r="B2429" s="33" t="s">
        <v>170</v>
      </c>
      <c r="C2429" s="92" t="s">
        <v>391</v>
      </c>
      <c r="D2429" s="33" t="s">
        <v>410</v>
      </c>
      <c r="E2429" s="34">
        <v>45316</v>
      </c>
      <c r="F2429" s="34">
        <v>45317</v>
      </c>
      <c r="G2429" s="34">
        <v>45322</v>
      </c>
      <c r="H2429" s="35">
        <v>0.04</v>
      </c>
      <c r="I2429" s="67">
        <v>4.7199999999999999E-2</v>
      </c>
      <c r="J2429" s="67">
        <v>0</v>
      </c>
      <c r="K2429" s="67">
        <v>4.7199999999999999E-2</v>
      </c>
      <c r="L2429" s="36">
        <f t="shared" si="76"/>
        <v>3.601124E-2</v>
      </c>
      <c r="M2429" s="64">
        <f t="shared" si="75"/>
        <v>3.601124E-2</v>
      </c>
      <c r="N2429" s="33" t="s">
        <v>249</v>
      </c>
    </row>
    <row r="2430" spans="1:14" ht="15">
      <c r="A2430" s="12"/>
      <c r="B2430" s="33" t="s">
        <v>171</v>
      </c>
      <c r="C2430" s="92" t="s">
        <v>392</v>
      </c>
      <c r="D2430" s="33" t="s">
        <v>410</v>
      </c>
      <c r="E2430" s="34">
        <v>45316</v>
      </c>
      <c r="F2430" s="34">
        <v>45317</v>
      </c>
      <c r="G2430" s="34">
        <v>45322</v>
      </c>
      <c r="H2430" s="35">
        <v>0.05</v>
      </c>
      <c r="I2430" s="67">
        <v>6.3899999999999998E-2</v>
      </c>
      <c r="J2430" s="67">
        <v>0</v>
      </c>
      <c r="K2430" s="67">
        <v>6.3899999999999998E-2</v>
      </c>
      <c r="L2430" s="36">
        <f t="shared" si="76"/>
        <v>4.8752505000000002E-2</v>
      </c>
      <c r="M2430" s="64">
        <f t="shared" si="75"/>
        <v>4.8752505000000002E-2</v>
      </c>
      <c r="N2430" s="33" t="s">
        <v>249</v>
      </c>
    </row>
    <row r="2431" spans="1:14" ht="15">
      <c r="A2431" s="12"/>
      <c r="B2431" s="33" t="s">
        <v>172</v>
      </c>
      <c r="C2431" s="92" t="s">
        <v>393</v>
      </c>
      <c r="D2431" s="33" t="s">
        <v>410</v>
      </c>
      <c r="E2431" s="34">
        <v>45316</v>
      </c>
      <c r="F2431" s="34">
        <v>45317</v>
      </c>
      <c r="G2431" s="34">
        <v>45322</v>
      </c>
      <c r="H2431" s="35">
        <v>5.7500000000000002E-2</v>
      </c>
      <c r="I2431" s="67">
        <v>7.2900000000000006E-2</v>
      </c>
      <c r="J2431" s="67">
        <v>0</v>
      </c>
      <c r="K2431" s="67">
        <v>7.2900000000000006E-2</v>
      </c>
      <c r="L2431" s="36">
        <f t="shared" si="76"/>
        <v>5.5619055000000008E-2</v>
      </c>
      <c r="M2431" s="64">
        <f t="shared" si="75"/>
        <v>5.5619055000000008E-2</v>
      </c>
      <c r="N2431" s="33" t="s">
        <v>249</v>
      </c>
    </row>
    <row r="2432" spans="1:14" ht="15">
      <c r="A2432" s="12"/>
      <c r="B2432" s="33" t="s">
        <v>169</v>
      </c>
      <c r="C2432" s="92" t="s">
        <v>400</v>
      </c>
      <c r="D2432" s="33" t="s">
        <v>410</v>
      </c>
      <c r="E2432" s="34">
        <v>45316</v>
      </c>
      <c r="F2432" s="34">
        <v>45317</v>
      </c>
      <c r="G2432" s="34">
        <v>45322</v>
      </c>
      <c r="H2432" s="35">
        <v>6.5000000000000002E-2</v>
      </c>
      <c r="I2432" s="67">
        <v>5.96E-2</v>
      </c>
      <c r="J2432" s="67">
        <v>0</v>
      </c>
      <c r="K2432" s="67">
        <v>5.96E-2</v>
      </c>
      <c r="L2432" s="36">
        <f>+K2432-((K2432*0.101*0.125)+(K2432*(1-0.101)*0.26))</f>
        <v>4.4916645999999998E-2</v>
      </c>
      <c r="M2432" s="64">
        <f t="shared" si="75"/>
        <v>4.4916645999999998E-2</v>
      </c>
      <c r="N2432" s="33" t="s">
        <v>249</v>
      </c>
    </row>
    <row r="2433" spans="1:14" ht="15">
      <c r="A2433" s="12"/>
      <c r="B2433" s="33" t="s">
        <v>156</v>
      </c>
      <c r="C2433" s="92" t="s">
        <v>473</v>
      </c>
      <c r="D2433" s="33" t="s">
        <v>496</v>
      </c>
      <c r="E2433" s="34">
        <v>45316</v>
      </c>
      <c r="F2433" s="34">
        <v>45317</v>
      </c>
      <c r="G2433" s="34">
        <v>45322</v>
      </c>
      <c r="H2433" s="35">
        <v>0.04</v>
      </c>
      <c r="I2433" s="67">
        <v>0.10970000000000001</v>
      </c>
      <c r="J2433" s="67">
        <v>0</v>
      </c>
      <c r="K2433" s="67">
        <v>0.10970000000000001</v>
      </c>
      <c r="L2433" s="36">
        <f>+K2433-((K2433*0.0000001*0.125)+(K2433*(1-0.0000001)*0.26))</f>
        <v>8.1178001480950002E-2</v>
      </c>
      <c r="M2433" s="64">
        <f t="shared" si="75"/>
        <v>8.1178001480950002E-2</v>
      </c>
      <c r="N2433" s="33" t="s">
        <v>250</v>
      </c>
    </row>
    <row r="2434" spans="1:14" ht="15">
      <c r="A2434" s="12"/>
      <c r="B2434" s="33" t="s">
        <v>178</v>
      </c>
      <c r="C2434" s="92" t="s">
        <v>472</v>
      </c>
      <c r="D2434" s="33" t="s">
        <v>496</v>
      </c>
      <c r="E2434" s="34">
        <v>45316</v>
      </c>
      <c r="F2434" s="34">
        <v>45317</v>
      </c>
      <c r="G2434" s="34">
        <v>45322</v>
      </c>
      <c r="H2434" s="35">
        <v>0.04</v>
      </c>
      <c r="I2434" s="67">
        <v>9.4600000000000004E-2</v>
      </c>
      <c r="J2434" s="67">
        <v>0</v>
      </c>
      <c r="K2434" s="67">
        <v>9.4600000000000004E-2</v>
      </c>
      <c r="L2434" s="36">
        <f>+K2434-((K2434*0.0000001*0.125)+(K2434*(1-0.0000001)*0.26))</f>
        <v>7.0004001277099992E-2</v>
      </c>
      <c r="M2434" s="64">
        <f t="shared" si="75"/>
        <v>7.0004001277099992E-2</v>
      </c>
      <c r="N2434" s="33" t="s">
        <v>250</v>
      </c>
    </row>
    <row r="2435" spans="1:14" ht="15">
      <c r="A2435" s="12"/>
      <c r="B2435" s="33" t="s">
        <v>155</v>
      </c>
      <c r="C2435" s="92" t="s">
        <v>475</v>
      </c>
      <c r="D2435" s="33" t="s">
        <v>496</v>
      </c>
      <c r="E2435" s="34">
        <v>45316</v>
      </c>
      <c r="F2435" s="34">
        <v>45317</v>
      </c>
      <c r="G2435" s="34">
        <v>45322</v>
      </c>
      <c r="H2435" s="35">
        <v>3.5000000000000003E-2</v>
      </c>
      <c r="I2435" s="67">
        <v>0.1011</v>
      </c>
      <c r="J2435" s="67">
        <v>4.188357999999999E-2</v>
      </c>
      <c r="K2435" s="67">
        <v>5.9216420000000006E-2</v>
      </c>
      <c r="L2435" s="36">
        <f>+K2435-((K2435*0.002*0.125)+(K2435*(1-0.002)*0.26))</f>
        <v>4.3836139233400004E-2</v>
      </c>
      <c r="M2435" s="64">
        <f t="shared" si="75"/>
        <v>8.5719719233399994E-2</v>
      </c>
      <c r="N2435" s="33" t="s">
        <v>250</v>
      </c>
    </row>
    <row r="2436" spans="1:14" ht="15">
      <c r="A2436" s="12"/>
      <c r="B2436" s="33" t="s">
        <v>177</v>
      </c>
      <c r="C2436" s="92" t="s">
        <v>476</v>
      </c>
      <c r="D2436" s="33" t="s">
        <v>496</v>
      </c>
      <c r="E2436" s="34">
        <v>45316</v>
      </c>
      <c r="F2436" s="34">
        <v>45317</v>
      </c>
      <c r="G2436" s="34">
        <v>45322</v>
      </c>
      <c r="H2436" s="35">
        <v>3.5000000000000003E-2</v>
      </c>
      <c r="I2436" s="67">
        <v>0.1027</v>
      </c>
      <c r="J2436" s="67">
        <v>4.3318039999999995E-2</v>
      </c>
      <c r="K2436" s="67">
        <v>5.9381960000000004E-2</v>
      </c>
      <c r="L2436" s="36">
        <f>+K2436-((K2436*0.002*0.125)+(K2436*(1-0.002)*0.26))</f>
        <v>4.3958683529200002E-2</v>
      </c>
      <c r="M2436" s="64">
        <f t="shared" si="75"/>
        <v>8.727672352919999E-2</v>
      </c>
      <c r="N2436" s="33" t="s">
        <v>250</v>
      </c>
    </row>
    <row r="2437" spans="1:14" ht="15">
      <c r="A2437" s="12"/>
      <c r="B2437" s="33" t="s">
        <v>158</v>
      </c>
      <c r="C2437" s="92" t="s">
        <v>373</v>
      </c>
      <c r="D2437" s="33" t="s">
        <v>496</v>
      </c>
      <c r="E2437" s="34">
        <v>45316</v>
      </c>
      <c r="F2437" s="34">
        <v>45317</v>
      </c>
      <c r="G2437" s="34">
        <v>45322</v>
      </c>
      <c r="H2437" s="35">
        <v>5.5E-2</v>
      </c>
      <c r="I2437" s="67">
        <v>9.69E-2</v>
      </c>
      <c r="J2437" s="67">
        <v>8.1309450000000005E-2</v>
      </c>
      <c r="K2437" s="67">
        <v>1.5590549999999995E-2</v>
      </c>
      <c r="L2437" s="36">
        <f>+K2437-((K2437*0.223*0.125)+(K2437*(1-0.223)*0.26))</f>
        <v>1.2006360507749995E-2</v>
      </c>
      <c r="M2437" s="64">
        <f t="shared" si="75"/>
        <v>9.3315810507750008E-2</v>
      </c>
      <c r="N2437" s="33" t="s">
        <v>250</v>
      </c>
    </row>
    <row r="2438" spans="1:14" ht="15">
      <c r="A2438" s="12"/>
      <c r="B2438" s="33" t="s">
        <v>157</v>
      </c>
      <c r="C2438" s="92" t="s">
        <v>375</v>
      </c>
      <c r="D2438" s="33" t="s">
        <v>496</v>
      </c>
      <c r="E2438" s="34">
        <v>45316</v>
      </c>
      <c r="F2438" s="34">
        <v>45317</v>
      </c>
      <c r="G2438" s="34">
        <v>45322</v>
      </c>
      <c r="H2438" s="35">
        <v>5.5E-2</v>
      </c>
      <c r="I2438" s="67">
        <v>0.1013</v>
      </c>
      <c r="J2438" s="67">
        <v>8.4779500000000008E-2</v>
      </c>
      <c r="K2438" s="67">
        <v>1.6520499999999997E-2</v>
      </c>
      <c r="L2438" s="36">
        <f>+K2438-((K2438*0.223*0.125)+(K2438*(1-0.223)*0.26))</f>
        <v>1.2722519652499997E-2</v>
      </c>
      <c r="M2438" s="64">
        <f t="shared" si="75"/>
        <v>9.7502019652500008E-2</v>
      </c>
      <c r="N2438" s="33" t="s">
        <v>250</v>
      </c>
    </row>
    <row r="2439" spans="1:14" ht="15">
      <c r="A2439" s="12"/>
      <c r="B2439" s="33" t="s">
        <v>154</v>
      </c>
      <c r="C2439" s="92" t="s">
        <v>399</v>
      </c>
      <c r="D2439" s="33" t="s">
        <v>496</v>
      </c>
      <c r="E2439" s="34">
        <v>45316</v>
      </c>
      <c r="F2439" s="34">
        <v>45317</v>
      </c>
      <c r="G2439" s="34">
        <v>45322</v>
      </c>
      <c r="H2439" s="35">
        <v>6.5000000000000002E-2</v>
      </c>
      <c r="I2439" s="67">
        <v>0.107</v>
      </c>
      <c r="J2439" s="67">
        <v>0</v>
      </c>
      <c r="K2439" s="67">
        <v>0.107</v>
      </c>
      <c r="L2439" s="36">
        <f>+K2439-((K2439*0.101*0.125)+(K2439*(1-0.101)*0.26))</f>
        <v>8.063894499999999E-2</v>
      </c>
      <c r="M2439" s="64">
        <f t="shared" si="75"/>
        <v>8.063894499999999E-2</v>
      </c>
      <c r="N2439" s="33" t="s">
        <v>250</v>
      </c>
    </row>
    <row r="2440" spans="1:14" ht="15">
      <c r="A2440" s="12"/>
      <c r="B2440" s="33" t="s">
        <v>310</v>
      </c>
      <c r="C2440" s="92" t="s">
        <v>719</v>
      </c>
      <c r="D2440" s="33" t="s">
        <v>411</v>
      </c>
      <c r="E2440" s="34">
        <v>45322</v>
      </c>
      <c r="F2440" s="34">
        <v>45323</v>
      </c>
      <c r="G2440" s="34">
        <v>45328</v>
      </c>
      <c r="H2440" s="35">
        <v>0.05</v>
      </c>
      <c r="I2440" s="67">
        <v>1.43E-2</v>
      </c>
      <c r="J2440" s="67">
        <v>0</v>
      </c>
      <c r="K2440" s="67">
        <v>1.43E-2</v>
      </c>
      <c r="L2440" s="36">
        <f>+K2440-((K2440*0.0575*0.125)+(K2440*(1-0.0575)*0.26))</f>
        <v>1.0693003749999999E-2</v>
      </c>
      <c r="M2440" s="64">
        <f t="shared" si="75"/>
        <v>1.0693003749999999E-2</v>
      </c>
      <c r="N2440" s="33" t="s">
        <v>718</v>
      </c>
    </row>
    <row r="2441" spans="1:14" ht="15">
      <c r="A2441" s="12"/>
      <c r="B2441" s="33" t="s">
        <v>188</v>
      </c>
      <c r="C2441" s="92" t="s">
        <v>720</v>
      </c>
      <c r="D2441" s="33" t="s">
        <v>411</v>
      </c>
      <c r="E2441" s="34">
        <v>45322</v>
      </c>
      <c r="F2441" s="34">
        <v>45323</v>
      </c>
      <c r="G2441" s="34">
        <v>45328</v>
      </c>
      <c r="H2441" s="35">
        <v>0.05</v>
      </c>
      <c r="I2441" s="67">
        <v>0.24859999999999999</v>
      </c>
      <c r="J2441" s="67">
        <v>0</v>
      </c>
      <c r="K2441" s="67">
        <v>0.24859999999999999</v>
      </c>
      <c r="L2441" s="36">
        <f>+K2441-((K2441*0.0575*0.125)+(K2441*(1-0.0575)*0.26))</f>
        <v>0.18589375749999998</v>
      </c>
      <c r="M2441" s="64">
        <f t="shared" si="75"/>
        <v>0.18589375749999998</v>
      </c>
      <c r="N2441" s="33" t="s">
        <v>718</v>
      </c>
    </row>
    <row r="2442" spans="1:14" ht="15">
      <c r="A2442" s="12"/>
      <c r="B2442" s="33" t="s">
        <v>196</v>
      </c>
      <c r="C2442" s="92" t="s">
        <v>721</v>
      </c>
      <c r="D2442" s="33" t="s">
        <v>411</v>
      </c>
      <c r="E2442" s="34">
        <v>45322</v>
      </c>
      <c r="F2442" s="34">
        <v>45323</v>
      </c>
      <c r="G2442" s="34">
        <v>45328</v>
      </c>
      <c r="H2442" s="35">
        <v>0.05</v>
      </c>
      <c r="I2442" s="67">
        <v>0.26240000000000002</v>
      </c>
      <c r="J2442" s="67">
        <v>0</v>
      </c>
      <c r="K2442" s="67">
        <v>0.26240000000000002</v>
      </c>
      <c r="L2442" s="36">
        <f>+K2442-((K2442*0.0575*0.125)+(K2442*(1-0.0575)*0.26))</f>
        <v>0.19621288000000001</v>
      </c>
      <c r="M2442" s="64">
        <f t="shared" si="75"/>
        <v>0.19621288000000001</v>
      </c>
      <c r="N2442" s="33" t="s">
        <v>718</v>
      </c>
    </row>
    <row r="2443" spans="1:14" ht="15">
      <c r="A2443" s="12"/>
      <c r="B2443" s="33" t="s">
        <v>191</v>
      </c>
      <c r="C2443" s="92" t="s">
        <v>722</v>
      </c>
      <c r="D2443" s="33" t="s">
        <v>411</v>
      </c>
      <c r="E2443" s="34">
        <v>45322</v>
      </c>
      <c r="F2443" s="34">
        <v>45323</v>
      </c>
      <c r="G2443" s="34">
        <v>45328</v>
      </c>
      <c r="H2443" s="35">
        <v>0.05</v>
      </c>
      <c r="I2443" s="67">
        <v>1.5100000000000001E-2</v>
      </c>
      <c r="J2443" s="67">
        <v>0</v>
      </c>
      <c r="K2443" s="67">
        <v>1.5100000000000001E-2</v>
      </c>
      <c r="L2443" s="36">
        <f>+K2443-((K2443*0.852*0.125)+(K2443*(1-0.852)*0.26))</f>
        <v>1.2910802000000001E-2</v>
      </c>
      <c r="M2443" s="64">
        <f t="shared" si="75"/>
        <v>1.2910802000000001E-2</v>
      </c>
      <c r="N2443" s="33" t="s">
        <v>718</v>
      </c>
    </row>
    <row r="2444" spans="1:14" ht="15">
      <c r="A2444" s="12"/>
      <c r="B2444" s="33" t="s">
        <v>199</v>
      </c>
      <c r="C2444" s="92" t="s">
        <v>723</v>
      </c>
      <c r="D2444" s="33" t="s">
        <v>411</v>
      </c>
      <c r="E2444" s="34">
        <v>45322</v>
      </c>
      <c r="F2444" s="34">
        <v>45323</v>
      </c>
      <c r="G2444" s="34">
        <v>45328</v>
      </c>
      <c r="H2444" s="35">
        <v>0.05</v>
      </c>
      <c r="I2444" s="67">
        <v>1.52E-2</v>
      </c>
      <c r="J2444" s="67">
        <v>0</v>
      </c>
      <c r="K2444" s="67">
        <v>1.52E-2</v>
      </c>
      <c r="L2444" s="36">
        <f>+K2444-((K2444*0.852*0.125)+(K2444*(1-0.852)*0.26))</f>
        <v>1.2996304E-2</v>
      </c>
      <c r="M2444" s="64">
        <f t="shared" si="75"/>
        <v>1.2996304E-2</v>
      </c>
      <c r="N2444" s="33" t="s">
        <v>718</v>
      </c>
    </row>
    <row r="2445" spans="1:14" ht="15">
      <c r="A2445" s="12"/>
      <c r="B2445" s="33" t="s">
        <v>306</v>
      </c>
      <c r="C2445" s="92" t="s">
        <v>724</v>
      </c>
      <c r="D2445" s="33" t="s">
        <v>411</v>
      </c>
      <c r="E2445" s="34">
        <v>45322</v>
      </c>
      <c r="F2445" s="34">
        <v>45323</v>
      </c>
      <c r="G2445" s="34">
        <v>45328</v>
      </c>
      <c r="H2445" s="35">
        <v>7.0000000000000007E-2</v>
      </c>
      <c r="I2445" s="67">
        <v>2.4899999999999999E-2</v>
      </c>
      <c r="J2445" s="67">
        <v>0</v>
      </c>
      <c r="K2445" s="67">
        <v>2.4899999999999999E-2</v>
      </c>
      <c r="L2445" s="36">
        <f>+K2445-((K2445*0.04*0.125)+(K2445*(1-0.04)*0.26))</f>
        <v>1.8560460000000001E-2</v>
      </c>
      <c r="M2445" s="64">
        <f t="shared" si="75"/>
        <v>1.8560460000000001E-2</v>
      </c>
      <c r="N2445" s="33" t="s">
        <v>718</v>
      </c>
    </row>
    <row r="2446" spans="1:14" ht="15">
      <c r="A2446" s="12"/>
      <c r="B2446" s="33" t="s">
        <v>184</v>
      </c>
      <c r="C2446" s="92" t="s">
        <v>725</v>
      </c>
      <c r="D2446" s="33" t="s">
        <v>411</v>
      </c>
      <c r="E2446" s="34">
        <v>45322</v>
      </c>
      <c r="F2446" s="34">
        <v>45323</v>
      </c>
      <c r="G2446" s="34">
        <v>45328</v>
      </c>
      <c r="H2446" s="35">
        <v>7.0000000000000007E-2</v>
      </c>
      <c r="I2446" s="67">
        <v>0.49859999999999999</v>
      </c>
      <c r="J2446" s="67">
        <v>0</v>
      </c>
      <c r="K2446" s="67">
        <v>0.49859999999999999</v>
      </c>
      <c r="L2446" s="36">
        <f>+K2446-((K2446*0.04*0.125)+(K2446*(1-0.04)*0.26))</f>
        <v>0.37165643999999998</v>
      </c>
      <c r="M2446" s="64">
        <f t="shared" si="75"/>
        <v>0.37165643999999998</v>
      </c>
      <c r="N2446" s="33" t="s">
        <v>718</v>
      </c>
    </row>
    <row r="2447" spans="1:14" ht="15">
      <c r="A2447" s="12"/>
      <c r="B2447" s="33" t="s">
        <v>192</v>
      </c>
      <c r="C2447" s="92" t="s">
        <v>726</v>
      </c>
      <c r="D2447" s="33" t="s">
        <v>411</v>
      </c>
      <c r="E2447" s="34">
        <v>45322</v>
      </c>
      <c r="F2447" s="34">
        <v>45323</v>
      </c>
      <c r="G2447" s="34">
        <v>45328</v>
      </c>
      <c r="H2447" s="35">
        <v>7.0000000000000007E-2</v>
      </c>
      <c r="I2447" s="67">
        <v>0.51080000000000003</v>
      </c>
      <c r="J2447" s="67">
        <v>0</v>
      </c>
      <c r="K2447" s="67">
        <v>0.51080000000000003</v>
      </c>
      <c r="L2447" s="36">
        <f>+K2447-((K2447*0.04*0.125)+(K2447*(1-0.04)*0.26))</f>
        <v>0.38075032000000003</v>
      </c>
      <c r="M2447" s="64">
        <f t="shared" si="75"/>
        <v>0.38075032000000003</v>
      </c>
      <c r="N2447" s="33" t="s">
        <v>718</v>
      </c>
    </row>
    <row r="2448" spans="1:14" ht="15">
      <c r="A2448" s="12"/>
      <c r="B2448" s="33" t="s">
        <v>311</v>
      </c>
      <c r="C2448" s="92" t="s">
        <v>727</v>
      </c>
      <c r="D2448" s="33" t="s">
        <v>411</v>
      </c>
      <c r="E2448" s="34">
        <v>45322</v>
      </c>
      <c r="F2448" s="34">
        <v>45323</v>
      </c>
      <c r="G2448" s="34">
        <v>45328</v>
      </c>
      <c r="H2448" s="35">
        <v>0.06</v>
      </c>
      <c r="I2448" s="67">
        <v>2.3199999999999998E-2</v>
      </c>
      <c r="J2448" s="67">
        <v>0</v>
      </c>
      <c r="K2448" s="67">
        <v>2.3199999999999998E-2</v>
      </c>
      <c r="L2448" s="36">
        <f>+K2448-((K2448*0.01*0.125)+(K2448*(1-0.01)*0.26))</f>
        <v>1.7199319999999997E-2</v>
      </c>
      <c r="M2448" s="64">
        <f t="shared" si="75"/>
        <v>1.7199319999999997E-2</v>
      </c>
      <c r="N2448" s="33" t="s">
        <v>718</v>
      </c>
    </row>
    <row r="2449" spans="1:14" ht="15">
      <c r="A2449" s="12"/>
      <c r="B2449" s="33" t="s">
        <v>189</v>
      </c>
      <c r="C2449" s="92" t="s">
        <v>728</v>
      </c>
      <c r="D2449" s="33" t="s">
        <v>411</v>
      </c>
      <c r="E2449" s="34">
        <v>45322</v>
      </c>
      <c r="F2449" s="34">
        <v>45323</v>
      </c>
      <c r="G2449" s="34">
        <v>45328</v>
      </c>
      <c r="H2449" s="35">
        <v>0.06</v>
      </c>
      <c r="I2449" s="67">
        <v>0.4229</v>
      </c>
      <c r="J2449" s="67">
        <v>0</v>
      </c>
      <c r="K2449" s="67">
        <v>0.4229</v>
      </c>
      <c r="L2449" s="36">
        <f>+K2449-((K2449*0.01*0.125)+(K2449*(1-0.01)*0.26))</f>
        <v>0.31351691500000001</v>
      </c>
      <c r="M2449" s="64">
        <f t="shared" si="75"/>
        <v>0.31351691500000001</v>
      </c>
      <c r="N2449" s="33" t="s">
        <v>718</v>
      </c>
    </row>
    <row r="2450" spans="1:14" ht="15">
      <c r="A2450" s="12"/>
      <c r="B2450" s="33" t="s">
        <v>197</v>
      </c>
      <c r="C2450" s="92" t="s">
        <v>729</v>
      </c>
      <c r="D2450" s="33" t="s">
        <v>411</v>
      </c>
      <c r="E2450" s="34">
        <v>45322</v>
      </c>
      <c r="F2450" s="34">
        <v>45323</v>
      </c>
      <c r="G2450" s="34">
        <v>45328</v>
      </c>
      <c r="H2450" s="35">
        <v>0.06</v>
      </c>
      <c r="I2450" s="67">
        <v>0.43669999999999998</v>
      </c>
      <c r="J2450" s="67">
        <v>0</v>
      </c>
      <c r="K2450" s="67">
        <v>0.43669999999999998</v>
      </c>
      <c r="L2450" s="36">
        <f>+K2450-((K2450*0.01*0.125)+(K2450*(1-0.01)*0.26))</f>
        <v>0.32374754499999997</v>
      </c>
      <c r="M2450" s="64">
        <f t="shared" si="75"/>
        <v>0.32374754499999997</v>
      </c>
      <c r="N2450" s="33" t="s">
        <v>718</v>
      </c>
    </row>
    <row r="2451" spans="1:14" ht="15">
      <c r="A2451" s="12"/>
      <c r="B2451" s="33" t="s">
        <v>308</v>
      </c>
      <c r="C2451" s="92" t="s">
        <v>730</v>
      </c>
      <c r="D2451" s="33" t="s">
        <v>411</v>
      </c>
      <c r="E2451" s="34">
        <v>45322</v>
      </c>
      <c r="F2451" s="34">
        <v>45323</v>
      </c>
      <c r="G2451" s="34">
        <v>45328</v>
      </c>
      <c r="H2451" s="35">
        <v>0.05</v>
      </c>
      <c r="I2451" s="67">
        <v>1.7100000000000001E-2</v>
      </c>
      <c r="J2451" s="67">
        <v>0</v>
      </c>
      <c r="K2451" s="67">
        <v>1.7100000000000001E-2</v>
      </c>
      <c r="L2451" s="36">
        <f>+K2451-((K2451*0.5055*0.125)+(K2451*(1-0.5055)*0.26))</f>
        <v>1.382094675E-2</v>
      </c>
      <c r="M2451" s="64">
        <f t="shared" si="75"/>
        <v>1.382094675E-2</v>
      </c>
      <c r="N2451" s="33" t="s">
        <v>718</v>
      </c>
    </row>
    <row r="2452" spans="1:14" ht="15">
      <c r="A2452" s="12"/>
      <c r="B2452" s="33" t="s">
        <v>186</v>
      </c>
      <c r="C2452" s="92" t="s">
        <v>731</v>
      </c>
      <c r="D2452" s="33" t="s">
        <v>411</v>
      </c>
      <c r="E2452" s="34">
        <v>45322</v>
      </c>
      <c r="F2452" s="34">
        <v>45323</v>
      </c>
      <c r="G2452" s="34">
        <v>45328</v>
      </c>
      <c r="H2452" s="35">
        <v>0.05</v>
      </c>
      <c r="I2452" s="67">
        <v>0.3135</v>
      </c>
      <c r="J2452" s="67">
        <v>0</v>
      </c>
      <c r="K2452" s="67">
        <v>0.3135</v>
      </c>
      <c r="L2452" s="36">
        <f>+K2452-((K2452*0.5055*0.125)+(K2452*(1-0.5055)*0.26))</f>
        <v>0.25338402375000002</v>
      </c>
      <c r="M2452" s="64">
        <f t="shared" si="75"/>
        <v>0.25338402375000002</v>
      </c>
      <c r="N2452" s="33" t="s">
        <v>718</v>
      </c>
    </row>
    <row r="2453" spans="1:14" ht="15">
      <c r="A2453" s="12"/>
      <c r="B2453" s="33" t="s">
        <v>194</v>
      </c>
      <c r="C2453" s="92" t="s">
        <v>732</v>
      </c>
      <c r="D2453" s="33" t="s">
        <v>411</v>
      </c>
      <c r="E2453" s="34">
        <v>45322</v>
      </c>
      <c r="F2453" s="34">
        <v>45323</v>
      </c>
      <c r="G2453" s="34">
        <v>45328</v>
      </c>
      <c r="H2453" s="35">
        <v>0.05</v>
      </c>
      <c r="I2453" s="67">
        <v>0.32579999999999998</v>
      </c>
      <c r="J2453" s="67">
        <v>0</v>
      </c>
      <c r="K2453" s="67">
        <v>0.32579999999999998</v>
      </c>
      <c r="L2453" s="36">
        <f>+K2453-((K2453*0.5055*0.125)+(K2453*(1-0.5055)*0.26))</f>
        <v>0.26332540649999997</v>
      </c>
      <c r="M2453" s="64">
        <f t="shared" si="75"/>
        <v>0.26332540649999997</v>
      </c>
      <c r="N2453" s="33" t="s">
        <v>718</v>
      </c>
    </row>
    <row r="2454" spans="1:14" ht="15">
      <c r="A2454" s="12"/>
      <c r="B2454" s="33" t="s">
        <v>307</v>
      </c>
      <c r="C2454" s="92" t="s">
        <v>733</v>
      </c>
      <c r="D2454" s="33" t="s">
        <v>411</v>
      </c>
      <c r="E2454" s="34">
        <v>45322</v>
      </c>
      <c r="F2454" s="34">
        <v>45323</v>
      </c>
      <c r="G2454" s="34">
        <v>45328</v>
      </c>
      <c r="H2454" s="35">
        <v>0.04</v>
      </c>
      <c r="I2454" s="67">
        <v>1.2E-2</v>
      </c>
      <c r="J2454" s="67">
        <v>0</v>
      </c>
      <c r="K2454" s="67">
        <v>1.2E-2</v>
      </c>
      <c r="L2454" s="36">
        <f>+K2454-((K2454*0.6005*0.125)+(K2454*(1-0.6005)*0.26))</f>
        <v>9.85281E-3</v>
      </c>
      <c r="M2454" s="64">
        <f t="shared" si="75"/>
        <v>9.85281E-3</v>
      </c>
      <c r="N2454" s="33" t="s">
        <v>718</v>
      </c>
    </row>
    <row r="2455" spans="1:14" ht="15">
      <c r="A2455" s="12"/>
      <c r="B2455" s="33" t="s">
        <v>185</v>
      </c>
      <c r="C2455" s="92" t="s">
        <v>734</v>
      </c>
      <c r="D2455" s="33" t="s">
        <v>411</v>
      </c>
      <c r="E2455" s="34">
        <v>45322</v>
      </c>
      <c r="F2455" s="34">
        <v>45323</v>
      </c>
      <c r="G2455" s="34">
        <v>45328</v>
      </c>
      <c r="H2455" s="35">
        <v>0.04</v>
      </c>
      <c r="I2455" s="67">
        <v>0.19789999999999999</v>
      </c>
      <c r="J2455" s="67">
        <v>0</v>
      </c>
      <c r="K2455" s="67">
        <v>0.19789999999999999</v>
      </c>
      <c r="L2455" s="36">
        <f>+K2455-((K2455*0.6005*0.125)+(K2455*(1-0.6005)*0.26))</f>
        <v>0.16248925824999999</v>
      </c>
      <c r="M2455" s="64">
        <f t="shared" si="75"/>
        <v>0.16248925824999999</v>
      </c>
      <c r="N2455" s="33" t="s">
        <v>718</v>
      </c>
    </row>
    <row r="2456" spans="1:14" ht="15">
      <c r="A2456" s="12"/>
      <c r="B2456" s="33" t="s">
        <v>193</v>
      </c>
      <c r="C2456" s="92" t="s">
        <v>735</v>
      </c>
      <c r="D2456" s="33" t="s">
        <v>411</v>
      </c>
      <c r="E2456" s="34">
        <v>45322</v>
      </c>
      <c r="F2456" s="34">
        <v>45323</v>
      </c>
      <c r="G2456" s="34">
        <v>45328</v>
      </c>
      <c r="H2456" s="35">
        <v>0.04</v>
      </c>
      <c r="I2456" s="67">
        <v>0.1966</v>
      </c>
      <c r="J2456" s="67">
        <v>0</v>
      </c>
      <c r="K2456" s="67">
        <v>0.1966</v>
      </c>
      <c r="L2456" s="36">
        <f>+K2456-((K2456*0.6005*0.125)+(K2456*(1-0.6005)*0.26))</f>
        <v>0.16142187050000001</v>
      </c>
      <c r="M2456" s="64">
        <f t="shared" si="75"/>
        <v>0.16142187050000001</v>
      </c>
      <c r="N2456" s="33" t="s">
        <v>718</v>
      </c>
    </row>
    <row r="2457" spans="1:14" ht="15">
      <c r="A2457" s="12"/>
      <c r="B2457" s="33" t="s">
        <v>309</v>
      </c>
      <c r="C2457" s="92" t="s">
        <v>736</v>
      </c>
      <c r="D2457" s="33" t="s">
        <v>411</v>
      </c>
      <c r="E2457" s="34">
        <v>45322</v>
      </c>
      <c r="F2457" s="34">
        <v>45323</v>
      </c>
      <c r="G2457" s="34">
        <v>45328</v>
      </c>
      <c r="H2457" s="35">
        <v>5.5E-2</v>
      </c>
      <c r="I2457" s="67">
        <v>1.84E-2</v>
      </c>
      <c r="J2457" s="67">
        <v>0</v>
      </c>
      <c r="K2457" s="67">
        <v>1.84E-2</v>
      </c>
      <c r="L2457" s="36">
        <f>+K2457-((K2457*0.056*0.125)+(K2457*(1-0.056)*0.26))</f>
        <v>1.3755104000000001E-2</v>
      </c>
      <c r="M2457" s="64">
        <f t="shared" si="75"/>
        <v>1.3755104000000001E-2</v>
      </c>
      <c r="N2457" s="33" t="s">
        <v>718</v>
      </c>
    </row>
    <row r="2458" spans="1:14" ht="15">
      <c r="A2458" s="12"/>
      <c r="B2458" s="33" t="s">
        <v>187</v>
      </c>
      <c r="C2458" s="92" t="s">
        <v>737</v>
      </c>
      <c r="D2458" s="33" t="s">
        <v>411</v>
      </c>
      <c r="E2458" s="34">
        <v>45322</v>
      </c>
      <c r="F2458" s="34">
        <v>45323</v>
      </c>
      <c r="G2458" s="34">
        <v>45328</v>
      </c>
      <c r="H2458" s="35">
        <v>5.5E-2</v>
      </c>
      <c r="I2458" s="67">
        <v>0.3231</v>
      </c>
      <c r="J2458" s="67">
        <v>0</v>
      </c>
      <c r="K2458" s="67">
        <v>0.3231</v>
      </c>
      <c r="L2458" s="36">
        <f>+K2458-((K2458*0.056*0.125)+(K2458*(1-0.056)*0.26))</f>
        <v>0.241536636</v>
      </c>
      <c r="M2458" s="64">
        <f t="shared" si="75"/>
        <v>0.241536636</v>
      </c>
      <c r="N2458" s="33" t="s">
        <v>718</v>
      </c>
    </row>
    <row r="2459" spans="1:14" ht="15">
      <c r="A2459" s="12"/>
      <c r="B2459" s="33" t="s">
        <v>195</v>
      </c>
      <c r="C2459" s="92" t="s">
        <v>738</v>
      </c>
      <c r="D2459" s="33" t="s">
        <v>411</v>
      </c>
      <c r="E2459" s="34">
        <v>45322</v>
      </c>
      <c r="F2459" s="34">
        <v>45323</v>
      </c>
      <c r="G2459" s="34">
        <v>45328</v>
      </c>
      <c r="H2459" s="35">
        <v>5.5E-2</v>
      </c>
      <c r="I2459" s="67">
        <v>0.33889999999999998</v>
      </c>
      <c r="J2459" s="67">
        <v>0</v>
      </c>
      <c r="K2459" s="67">
        <v>0.33889999999999998</v>
      </c>
      <c r="L2459" s="36">
        <f>+K2459-((K2459*0.056*0.125)+(K2459*(1-0.056)*0.26))</f>
        <v>0.25334808399999997</v>
      </c>
      <c r="M2459" s="64">
        <f t="shared" si="75"/>
        <v>0.25334808399999997</v>
      </c>
      <c r="N2459" s="33" t="s">
        <v>718</v>
      </c>
    </row>
    <row r="2460" spans="1:14" ht="15">
      <c r="A2460" s="12"/>
      <c r="B2460" s="33" t="s">
        <v>312</v>
      </c>
      <c r="C2460" s="92" t="s">
        <v>739</v>
      </c>
      <c r="D2460" s="33" t="s">
        <v>411</v>
      </c>
      <c r="E2460" s="34">
        <v>45322</v>
      </c>
      <c r="F2460" s="34">
        <v>45323</v>
      </c>
      <c r="G2460" s="34">
        <v>45328</v>
      </c>
      <c r="H2460" s="35">
        <v>7.2499999999999995E-2</v>
      </c>
      <c r="I2460" s="67">
        <v>2.2499999999999999E-2</v>
      </c>
      <c r="J2460" s="67">
        <v>0</v>
      </c>
      <c r="K2460" s="67">
        <v>2.2499999999999999E-2</v>
      </c>
      <c r="L2460" s="36">
        <f>+K2460-((K2460*0.0000000000001*0.125)+(K2460*(1-0.0000000000001)*0.26))</f>
        <v>1.6650000000000303E-2</v>
      </c>
      <c r="M2460" s="64">
        <f t="shared" si="75"/>
        <v>1.6650000000000303E-2</v>
      </c>
      <c r="N2460" s="33" t="s">
        <v>718</v>
      </c>
    </row>
    <row r="2461" spans="1:14" ht="15">
      <c r="A2461" s="12"/>
      <c r="B2461" s="33" t="s">
        <v>190</v>
      </c>
      <c r="C2461" s="92" t="s">
        <v>740</v>
      </c>
      <c r="D2461" s="33" t="s">
        <v>411</v>
      </c>
      <c r="E2461" s="34">
        <v>45322</v>
      </c>
      <c r="F2461" s="34">
        <v>45323</v>
      </c>
      <c r="G2461" s="34">
        <v>45328</v>
      </c>
      <c r="H2461" s="35">
        <v>7.2499999999999995E-2</v>
      </c>
      <c r="I2461" s="67">
        <v>0.42409999999999998</v>
      </c>
      <c r="J2461" s="67">
        <v>0</v>
      </c>
      <c r="K2461" s="67">
        <v>0.42409999999999998</v>
      </c>
      <c r="L2461" s="36">
        <f>+K2461-((K2461*0.0000000000001*0.125)+(K2461*(1-0.0000000000001)*0.26))</f>
        <v>0.31383400000000572</v>
      </c>
      <c r="M2461" s="64">
        <f t="shared" si="75"/>
        <v>0.31383400000000572</v>
      </c>
      <c r="N2461" s="33" t="s">
        <v>718</v>
      </c>
    </row>
    <row r="2462" spans="1:14" ht="15">
      <c r="A2462" s="12"/>
      <c r="B2462" s="33" t="s">
        <v>198</v>
      </c>
      <c r="C2462" s="92" t="s">
        <v>741</v>
      </c>
      <c r="D2462" s="33" t="s">
        <v>411</v>
      </c>
      <c r="E2462" s="34">
        <v>45322</v>
      </c>
      <c r="F2462" s="34">
        <v>45323</v>
      </c>
      <c r="G2462" s="34">
        <v>45328</v>
      </c>
      <c r="H2462" s="35">
        <v>7.2499999999999995E-2</v>
      </c>
      <c r="I2462" s="67">
        <v>0.43080000000000002</v>
      </c>
      <c r="J2462" s="67">
        <v>0</v>
      </c>
      <c r="K2462" s="67">
        <v>0.43080000000000002</v>
      </c>
      <c r="L2462" s="36">
        <f>+K2462-((K2462*0.0000000000001*0.125)+(K2462*(1-0.0000000000001)*0.26))</f>
        <v>0.31879200000000585</v>
      </c>
      <c r="M2462" s="64">
        <f t="shared" si="75"/>
        <v>0.31879200000000585</v>
      </c>
      <c r="N2462" s="33" t="s">
        <v>718</v>
      </c>
    </row>
    <row r="2463" spans="1:14" ht="15">
      <c r="A2463" s="12"/>
      <c r="B2463" s="33" t="s">
        <v>513</v>
      </c>
      <c r="C2463" s="92" t="s">
        <v>742</v>
      </c>
      <c r="D2463" s="33" t="s">
        <v>411</v>
      </c>
      <c r="E2463" s="34">
        <v>45322</v>
      </c>
      <c r="F2463" s="34">
        <v>45323</v>
      </c>
      <c r="G2463" s="34">
        <v>45328</v>
      </c>
      <c r="H2463" s="35">
        <v>0.01</v>
      </c>
      <c r="I2463" s="67">
        <v>5.5E-2</v>
      </c>
      <c r="J2463" s="67">
        <v>0</v>
      </c>
      <c r="K2463" s="67">
        <v>5.5E-2</v>
      </c>
      <c r="L2463" s="36">
        <f>+K2463-((K2463*0.198*0.125)+(K2463*(1-0.198)*0.26))</f>
        <v>4.2170150000000003E-2</v>
      </c>
      <c r="M2463" s="64">
        <f t="shared" si="75"/>
        <v>4.2170150000000003E-2</v>
      </c>
      <c r="N2463" s="33" t="s">
        <v>718</v>
      </c>
    </row>
    <row r="2464" spans="1:14" ht="15">
      <c r="A2464" s="12"/>
      <c r="B2464" s="33" t="s">
        <v>514</v>
      </c>
      <c r="C2464" s="92" t="s">
        <v>743</v>
      </c>
      <c r="D2464" s="33" t="s">
        <v>411</v>
      </c>
      <c r="E2464" s="34">
        <v>45322</v>
      </c>
      <c r="F2464" s="34">
        <v>45323</v>
      </c>
      <c r="G2464" s="34">
        <v>45328</v>
      </c>
      <c r="H2464" s="35">
        <v>0.01</v>
      </c>
      <c r="I2464" s="67">
        <v>5.6500000000000002E-2</v>
      </c>
      <c r="J2464" s="67">
        <v>0</v>
      </c>
      <c r="K2464" s="67">
        <v>5.6500000000000002E-2</v>
      </c>
      <c r="L2464" s="36">
        <f>+K2464-((K2464*0.198*0.125)+(K2464*(1-0.198)*0.26))</f>
        <v>4.3320245E-2</v>
      </c>
      <c r="M2464" s="64">
        <f t="shared" si="75"/>
        <v>4.3320245E-2</v>
      </c>
      <c r="N2464" s="33" t="s">
        <v>718</v>
      </c>
    </row>
    <row r="2465" spans="1:14" ht="15">
      <c r="A2465" s="12"/>
      <c r="B2465" s="33" t="s">
        <v>313</v>
      </c>
      <c r="C2465" s="92" t="s">
        <v>744</v>
      </c>
      <c r="D2465" s="33" t="s">
        <v>411</v>
      </c>
      <c r="E2465" s="34">
        <v>45322</v>
      </c>
      <c r="F2465" s="34">
        <v>45323</v>
      </c>
      <c r="G2465" s="34">
        <v>45328</v>
      </c>
      <c r="H2465" s="35">
        <v>4.7500000000000001E-2</v>
      </c>
      <c r="I2465" s="67">
        <v>1.61E-2</v>
      </c>
      <c r="J2465" s="67">
        <v>0</v>
      </c>
      <c r="K2465" s="67">
        <v>1.61E-2</v>
      </c>
      <c r="L2465" s="36">
        <f>+K2465-((K2465*0.3*0.125)+(K2465*(1-0.3)*0.26))</f>
        <v>1.2566049999999999E-2</v>
      </c>
      <c r="M2465" s="64">
        <f t="shared" si="75"/>
        <v>1.2566049999999999E-2</v>
      </c>
      <c r="N2465" s="33" t="s">
        <v>718</v>
      </c>
    </row>
    <row r="2466" spans="1:14" ht="15">
      <c r="A2466" s="12"/>
      <c r="B2466" s="33" t="s">
        <v>310</v>
      </c>
      <c r="C2466" s="92" t="s">
        <v>719</v>
      </c>
      <c r="D2466" s="33" t="s">
        <v>411</v>
      </c>
      <c r="E2466" s="34">
        <v>45351</v>
      </c>
      <c r="F2466" s="34">
        <v>45352</v>
      </c>
      <c r="G2466" s="34">
        <v>45357</v>
      </c>
      <c r="H2466" s="35">
        <v>0.05</v>
      </c>
      <c r="I2466" s="67">
        <v>1.43E-2</v>
      </c>
      <c r="J2466" s="67">
        <v>0</v>
      </c>
      <c r="K2466" s="67">
        <v>1.43E-2</v>
      </c>
      <c r="L2466" s="36">
        <f>+K2466-((K2466*0.0575*0.125)+(K2466*(1-0.0575)*0.26))</f>
        <v>1.0693003749999999E-2</v>
      </c>
      <c r="M2466" s="64">
        <f t="shared" si="75"/>
        <v>1.0693003749999999E-2</v>
      </c>
      <c r="N2466" s="33" t="s">
        <v>718</v>
      </c>
    </row>
    <row r="2467" spans="1:14" ht="15">
      <c r="A2467" s="12"/>
      <c r="B2467" s="33" t="s">
        <v>188</v>
      </c>
      <c r="C2467" s="92" t="s">
        <v>720</v>
      </c>
      <c r="D2467" s="33" t="s">
        <v>411</v>
      </c>
      <c r="E2467" s="34">
        <v>45351</v>
      </c>
      <c r="F2467" s="34">
        <v>45352</v>
      </c>
      <c r="G2467" s="34">
        <v>45357</v>
      </c>
      <c r="H2467" s="35">
        <v>0.05</v>
      </c>
      <c r="I2467" s="67">
        <v>0.24859999999999999</v>
      </c>
      <c r="J2467" s="67">
        <v>0</v>
      </c>
      <c r="K2467" s="67">
        <v>0.24859999999999999</v>
      </c>
      <c r="L2467" s="36">
        <f>+K2467-((K2467*0.0575*0.125)+(K2467*(1-0.0575)*0.26))</f>
        <v>0.18589375749999998</v>
      </c>
      <c r="M2467" s="64">
        <f t="shared" si="75"/>
        <v>0.18589375749999998</v>
      </c>
      <c r="N2467" s="33" t="s">
        <v>718</v>
      </c>
    </row>
    <row r="2468" spans="1:14" ht="15">
      <c r="A2468" s="12"/>
      <c r="B2468" s="33" t="s">
        <v>196</v>
      </c>
      <c r="C2468" s="92" t="s">
        <v>721</v>
      </c>
      <c r="D2468" s="33" t="s">
        <v>411</v>
      </c>
      <c r="E2468" s="34">
        <v>45351</v>
      </c>
      <c r="F2468" s="34">
        <v>45352</v>
      </c>
      <c r="G2468" s="34">
        <v>45357</v>
      </c>
      <c r="H2468" s="35">
        <v>0.05</v>
      </c>
      <c r="I2468" s="67">
        <v>0.26240000000000002</v>
      </c>
      <c r="J2468" s="67">
        <v>0</v>
      </c>
      <c r="K2468" s="67">
        <v>0.26240000000000002</v>
      </c>
      <c r="L2468" s="36">
        <f>+K2468-((K2468*0.0575*0.125)+(K2468*(1-0.0575)*0.26))</f>
        <v>0.19621288000000001</v>
      </c>
      <c r="M2468" s="64">
        <f t="shared" si="75"/>
        <v>0.19621288000000001</v>
      </c>
      <c r="N2468" s="33" t="s">
        <v>718</v>
      </c>
    </row>
    <row r="2469" spans="1:14" ht="15">
      <c r="A2469" s="12"/>
      <c r="B2469" s="33" t="s">
        <v>191</v>
      </c>
      <c r="C2469" s="92" t="s">
        <v>722</v>
      </c>
      <c r="D2469" s="33" t="s">
        <v>411</v>
      </c>
      <c r="E2469" s="34">
        <v>45351</v>
      </c>
      <c r="F2469" s="34">
        <v>45352</v>
      </c>
      <c r="G2469" s="34">
        <v>45357</v>
      </c>
      <c r="H2469" s="35">
        <v>0.05</v>
      </c>
      <c r="I2469" s="67">
        <v>1.5100000000000001E-2</v>
      </c>
      <c r="J2469" s="67">
        <v>0</v>
      </c>
      <c r="K2469" s="67">
        <v>1.5100000000000001E-2</v>
      </c>
      <c r="L2469" s="36">
        <f>+K2469-((K2469*0.852*0.125)+(K2469*(1-0.852)*0.26))</f>
        <v>1.2910802000000001E-2</v>
      </c>
      <c r="M2469" s="64">
        <f t="shared" si="75"/>
        <v>1.2910802000000001E-2</v>
      </c>
      <c r="N2469" s="33" t="s">
        <v>718</v>
      </c>
    </row>
    <row r="2470" spans="1:14" ht="15">
      <c r="A2470" s="12"/>
      <c r="B2470" s="33" t="s">
        <v>199</v>
      </c>
      <c r="C2470" s="92" t="s">
        <v>723</v>
      </c>
      <c r="D2470" s="33" t="s">
        <v>411</v>
      </c>
      <c r="E2470" s="34">
        <v>45351</v>
      </c>
      <c r="F2470" s="34">
        <v>45352</v>
      </c>
      <c r="G2470" s="34">
        <v>45357</v>
      </c>
      <c r="H2470" s="35">
        <v>0.05</v>
      </c>
      <c r="I2470" s="67">
        <v>1.52E-2</v>
      </c>
      <c r="J2470" s="67">
        <v>0</v>
      </c>
      <c r="K2470" s="67">
        <v>1.52E-2</v>
      </c>
      <c r="L2470" s="36">
        <f>+K2470-((K2470*0.852*0.125)+(K2470*(1-0.852)*0.26))</f>
        <v>1.2996304E-2</v>
      </c>
      <c r="M2470" s="64">
        <f t="shared" si="75"/>
        <v>1.2996304E-2</v>
      </c>
      <c r="N2470" s="33" t="s">
        <v>718</v>
      </c>
    </row>
    <row r="2471" spans="1:14" ht="15">
      <c r="A2471" s="12"/>
      <c r="B2471" s="33" t="s">
        <v>306</v>
      </c>
      <c r="C2471" s="92" t="s">
        <v>724</v>
      </c>
      <c r="D2471" s="33" t="s">
        <v>411</v>
      </c>
      <c r="E2471" s="34">
        <v>45351</v>
      </c>
      <c r="F2471" s="34">
        <v>45352</v>
      </c>
      <c r="G2471" s="34">
        <v>45357</v>
      </c>
      <c r="H2471" s="35">
        <v>7.0000000000000007E-2</v>
      </c>
      <c r="I2471" s="67">
        <v>2.4899999999999999E-2</v>
      </c>
      <c r="J2471" s="67">
        <v>0</v>
      </c>
      <c r="K2471" s="67">
        <v>2.4899999999999999E-2</v>
      </c>
      <c r="L2471" s="36">
        <f>+K2471-((K2471*0.04*0.125)+(K2471*(1-0.04)*0.26))</f>
        <v>1.8560460000000001E-2</v>
      </c>
      <c r="M2471" s="64">
        <f t="shared" si="75"/>
        <v>1.8560460000000001E-2</v>
      </c>
      <c r="N2471" s="33" t="s">
        <v>718</v>
      </c>
    </row>
    <row r="2472" spans="1:14" ht="15">
      <c r="A2472" s="12"/>
      <c r="B2472" s="33" t="s">
        <v>184</v>
      </c>
      <c r="C2472" s="92" t="s">
        <v>725</v>
      </c>
      <c r="D2472" s="33" t="s">
        <v>411</v>
      </c>
      <c r="E2472" s="34">
        <v>45351</v>
      </c>
      <c r="F2472" s="34">
        <v>45352</v>
      </c>
      <c r="G2472" s="34">
        <v>45357</v>
      </c>
      <c r="H2472" s="35">
        <v>7.0000000000000007E-2</v>
      </c>
      <c r="I2472" s="67">
        <v>0.49859999999999999</v>
      </c>
      <c r="J2472" s="67">
        <v>0</v>
      </c>
      <c r="K2472" s="67">
        <v>0.49859999999999999</v>
      </c>
      <c r="L2472" s="36">
        <f>+K2472-((K2472*0.04*0.125)+(K2472*(1-0.04)*0.26))</f>
        <v>0.37165643999999998</v>
      </c>
      <c r="M2472" s="64">
        <f t="shared" si="75"/>
        <v>0.37165643999999998</v>
      </c>
      <c r="N2472" s="33" t="s">
        <v>718</v>
      </c>
    </row>
    <row r="2473" spans="1:14" ht="15">
      <c r="A2473" s="12"/>
      <c r="B2473" s="33" t="s">
        <v>192</v>
      </c>
      <c r="C2473" s="92" t="s">
        <v>726</v>
      </c>
      <c r="D2473" s="33" t="s">
        <v>411</v>
      </c>
      <c r="E2473" s="34">
        <v>45351</v>
      </c>
      <c r="F2473" s="34">
        <v>45352</v>
      </c>
      <c r="G2473" s="34">
        <v>45357</v>
      </c>
      <c r="H2473" s="35">
        <v>7.0000000000000007E-2</v>
      </c>
      <c r="I2473" s="67">
        <v>0.51080000000000003</v>
      </c>
      <c r="J2473" s="67">
        <v>0</v>
      </c>
      <c r="K2473" s="67">
        <v>0.51080000000000003</v>
      </c>
      <c r="L2473" s="36">
        <f>+K2473-((K2473*0.04*0.125)+(K2473*(1-0.04)*0.26))</f>
        <v>0.38075032000000003</v>
      </c>
      <c r="M2473" s="64">
        <f t="shared" si="75"/>
        <v>0.38075032000000003</v>
      </c>
      <c r="N2473" s="33" t="s">
        <v>718</v>
      </c>
    </row>
    <row r="2474" spans="1:14" ht="15">
      <c r="A2474" s="12"/>
      <c r="B2474" s="33" t="s">
        <v>311</v>
      </c>
      <c r="C2474" s="92" t="s">
        <v>727</v>
      </c>
      <c r="D2474" s="33" t="s">
        <v>411</v>
      </c>
      <c r="E2474" s="34">
        <v>45351</v>
      </c>
      <c r="F2474" s="34">
        <v>45352</v>
      </c>
      <c r="G2474" s="34">
        <v>45357</v>
      </c>
      <c r="H2474" s="35">
        <v>0.06</v>
      </c>
      <c r="I2474" s="67">
        <v>2.3199999999999998E-2</v>
      </c>
      <c r="J2474" s="67">
        <v>0</v>
      </c>
      <c r="K2474" s="67">
        <v>2.3199999999999998E-2</v>
      </c>
      <c r="L2474" s="36">
        <f>+K2474-((K2474*0.01*0.125)+(K2474*(1-0.01)*0.26))</f>
        <v>1.7199319999999997E-2</v>
      </c>
      <c r="M2474" s="64">
        <f t="shared" si="75"/>
        <v>1.7199319999999997E-2</v>
      </c>
      <c r="N2474" s="33" t="s">
        <v>718</v>
      </c>
    </row>
    <row r="2475" spans="1:14" ht="15">
      <c r="A2475" s="12"/>
      <c r="B2475" s="33" t="s">
        <v>189</v>
      </c>
      <c r="C2475" s="92" t="s">
        <v>728</v>
      </c>
      <c r="D2475" s="33" t="s">
        <v>411</v>
      </c>
      <c r="E2475" s="34">
        <v>45351</v>
      </c>
      <c r="F2475" s="34">
        <v>45352</v>
      </c>
      <c r="G2475" s="34">
        <v>45357</v>
      </c>
      <c r="H2475" s="35">
        <v>0.06</v>
      </c>
      <c r="I2475" s="67">
        <v>0.4229</v>
      </c>
      <c r="J2475" s="67">
        <v>0</v>
      </c>
      <c r="K2475" s="67">
        <v>0.4229</v>
      </c>
      <c r="L2475" s="36">
        <f>+K2475-((K2475*0.01*0.125)+(K2475*(1-0.01)*0.26))</f>
        <v>0.31351691500000001</v>
      </c>
      <c r="M2475" s="64">
        <f t="shared" si="75"/>
        <v>0.31351691500000001</v>
      </c>
      <c r="N2475" s="33" t="s">
        <v>718</v>
      </c>
    </row>
    <row r="2476" spans="1:14" ht="15">
      <c r="A2476" s="12"/>
      <c r="B2476" s="33" t="s">
        <v>197</v>
      </c>
      <c r="C2476" s="92" t="s">
        <v>729</v>
      </c>
      <c r="D2476" s="33" t="s">
        <v>411</v>
      </c>
      <c r="E2476" s="34">
        <v>45351</v>
      </c>
      <c r="F2476" s="34">
        <v>45352</v>
      </c>
      <c r="G2476" s="34">
        <v>45357</v>
      </c>
      <c r="H2476" s="35">
        <v>0.06</v>
      </c>
      <c r="I2476" s="67">
        <v>0.43669999999999998</v>
      </c>
      <c r="J2476" s="67">
        <v>0</v>
      </c>
      <c r="K2476" s="67">
        <v>0.43669999999999998</v>
      </c>
      <c r="L2476" s="36">
        <f>+K2476-((K2476*0.01*0.125)+(K2476*(1-0.01)*0.26))</f>
        <v>0.32374754499999997</v>
      </c>
      <c r="M2476" s="64">
        <f t="shared" si="75"/>
        <v>0.32374754499999997</v>
      </c>
      <c r="N2476" s="33" t="s">
        <v>718</v>
      </c>
    </row>
    <row r="2477" spans="1:14" ht="15">
      <c r="A2477" s="12"/>
      <c r="B2477" s="33" t="s">
        <v>308</v>
      </c>
      <c r="C2477" s="92" t="s">
        <v>730</v>
      </c>
      <c r="D2477" s="33" t="s">
        <v>411</v>
      </c>
      <c r="E2477" s="34">
        <v>45351</v>
      </c>
      <c r="F2477" s="34">
        <v>45352</v>
      </c>
      <c r="G2477" s="34">
        <v>45357</v>
      </c>
      <c r="H2477" s="35">
        <v>0.05</v>
      </c>
      <c r="I2477" s="67">
        <v>1.7100000000000001E-2</v>
      </c>
      <c r="J2477" s="67">
        <v>0</v>
      </c>
      <c r="K2477" s="67">
        <v>1.7100000000000001E-2</v>
      </c>
      <c r="L2477" s="36">
        <f>+K2477-((K2477*0.5055*0.125)+(K2477*(1-0.5055)*0.26))</f>
        <v>1.382094675E-2</v>
      </c>
      <c r="M2477" s="64">
        <f t="shared" si="75"/>
        <v>1.382094675E-2</v>
      </c>
      <c r="N2477" s="33" t="s">
        <v>718</v>
      </c>
    </row>
    <row r="2478" spans="1:14" ht="15">
      <c r="A2478" s="12"/>
      <c r="B2478" s="33" t="s">
        <v>186</v>
      </c>
      <c r="C2478" s="92" t="s">
        <v>731</v>
      </c>
      <c r="D2478" s="33" t="s">
        <v>411</v>
      </c>
      <c r="E2478" s="34">
        <v>45351</v>
      </c>
      <c r="F2478" s="34">
        <v>45352</v>
      </c>
      <c r="G2478" s="34">
        <v>45357</v>
      </c>
      <c r="H2478" s="35">
        <v>0.05</v>
      </c>
      <c r="I2478" s="67">
        <v>0.3135</v>
      </c>
      <c r="J2478" s="67">
        <v>0</v>
      </c>
      <c r="K2478" s="67">
        <v>0.3135</v>
      </c>
      <c r="L2478" s="36">
        <f>+K2478-((K2478*0.5055*0.125)+(K2478*(1-0.5055)*0.26))</f>
        <v>0.25338402375000002</v>
      </c>
      <c r="M2478" s="64">
        <f t="shared" si="75"/>
        <v>0.25338402375000002</v>
      </c>
      <c r="N2478" s="33" t="s">
        <v>718</v>
      </c>
    </row>
    <row r="2479" spans="1:14" ht="15">
      <c r="A2479" s="12"/>
      <c r="B2479" s="33" t="s">
        <v>194</v>
      </c>
      <c r="C2479" s="92" t="s">
        <v>732</v>
      </c>
      <c r="D2479" s="33" t="s">
        <v>411</v>
      </c>
      <c r="E2479" s="34">
        <v>45351</v>
      </c>
      <c r="F2479" s="34">
        <v>45352</v>
      </c>
      <c r="G2479" s="34">
        <v>45357</v>
      </c>
      <c r="H2479" s="35">
        <v>0.05</v>
      </c>
      <c r="I2479" s="67">
        <v>0.32579999999999998</v>
      </c>
      <c r="J2479" s="67">
        <v>0</v>
      </c>
      <c r="K2479" s="67">
        <v>0.32579999999999998</v>
      </c>
      <c r="L2479" s="36">
        <f>+K2479-((K2479*0.5055*0.125)+(K2479*(1-0.5055)*0.26))</f>
        <v>0.26332540649999997</v>
      </c>
      <c r="M2479" s="64">
        <f t="shared" si="75"/>
        <v>0.26332540649999997</v>
      </c>
      <c r="N2479" s="33" t="s">
        <v>718</v>
      </c>
    </row>
    <row r="2480" spans="1:14" ht="15">
      <c r="A2480" s="12"/>
      <c r="B2480" s="33" t="s">
        <v>307</v>
      </c>
      <c r="C2480" s="92" t="s">
        <v>733</v>
      </c>
      <c r="D2480" s="33" t="s">
        <v>411</v>
      </c>
      <c r="E2480" s="34">
        <v>45351</v>
      </c>
      <c r="F2480" s="34">
        <v>45352</v>
      </c>
      <c r="G2480" s="34">
        <v>45357</v>
      </c>
      <c r="H2480" s="35">
        <v>0.04</v>
      </c>
      <c r="I2480" s="67">
        <v>1.2E-2</v>
      </c>
      <c r="J2480" s="67">
        <v>0</v>
      </c>
      <c r="K2480" s="67">
        <v>1.2E-2</v>
      </c>
      <c r="L2480" s="36">
        <f>+K2480-((K2480*0.6005*0.125)+(K2480*(1-0.6005)*0.26))</f>
        <v>9.85281E-3</v>
      </c>
      <c r="M2480" s="64">
        <f t="shared" si="75"/>
        <v>9.85281E-3</v>
      </c>
      <c r="N2480" s="33" t="s">
        <v>718</v>
      </c>
    </row>
    <row r="2481" spans="1:14" ht="15">
      <c r="A2481" s="12"/>
      <c r="B2481" s="33" t="s">
        <v>185</v>
      </c>
      <c r="C2481" s="92" t="s">
        <v>734</v>
      </c>
      <c r="D2481" s="33" t="s">
        <v>411</v>
      </c>
      <c r="E2481" s="34">
        <v>45351</v>
      </c>
      <c r="F2481" s="34">
        <v>45352</v>
      </c>
      <c r="G2481" s="34">
        <v>45357</v>
      </c>
      <c r="H2481" s="35">
        <v>0.04</v>
      </c>
      <c r="I2481" s="67">
        <v>0.19789999999999999</v>
      </c>
      <c r="J2481" s="67">
        <v>0</v>
      </c>
      <c r="K2481" s="67">
        <v>0.19789999999999999</v>
      </c>
      <c r="L2481" s="36">
        <f>+K2481-((K2481*0.6005*0.125)+(K2481*(1-0.6005)*0.26))</f>
        <v>0.16248925824999999</v>
      </c>
      <c r="M2481" s="64">
        <f t="shared" si="75"/>
        <v>0.16248925824999999</v>
      </c>
      <c r="N2481" s="33" t="s">
        <v>718</v>
      </c>
    </row>
    <row r="2482" spans="1:14" ht="15">
      <c r="A2482" s="12"/>
      <c r="B2482" s="33" t="s">
        <v>193</v>
      </c>
      <c r="C2482" s="92" t="s">
        <v>735</v>
      </c>
      <c r="D2482" s="33" t="s">
        <v>411</v>
      </c>
      <c r="E2482" s="34">
        <v>45351</v>
      </c>
      <c r="F2482" s="34">
        <v>45352</v>
      </c>
      <c r="G2482" s="34">
        <v>45357</v>
      </c>
      <c r="H2482" s="35">
        <v>0.04</v>
      </c>
      <c r="I2482" s="67">
        <v>0.1966</v>
      </c>
      <c r="J2482" s="67">
        <v>0</v>
      </c>
      <c r="K2482" s="67">
        <v>0.1966</v>
      </c>
      <c r="L2482" s="36">
        <f>+K2482-((K2482*0.6005*0.125)+(K2482*(1-0.6005)*0.26))</f>
        <v>0.16142187050000001</v>
      </c>
      <c r="M2482" s="64">
        <f t="shared" si="75"/>
        <v>0.16142187050000001</v>
      </c>
      <c r="N2482" s="33" t="s">
        <v>718</v>
      </c>
    </row>
    <row r="2483" spans="1:14" ht="15">
      <c r="A2483" s="12"/>
      <c r="B2483" s="33" t="s">
        <v>309</v>
      </c>
      <c r="C2483" s="92" t="s">
        <v>736</v>
      </c>
      <c r="D2483" s="33" t="s">
        <v>411</v>
      </c>
      <c r="E2483" s="34">
        <v>45351</v>
      </c>
      <c r="F2483" s="34">
        <v>45352</v>
      </c>
      <c r="G2483" s="34">
        <v>45357</v>
      </c>
      <c r="H2483" s="35">
        <v>5.5E-2</v>
      </c>
      <c r="I2483" s="67">
        <v>1.84E-2</v>
      </c>
      <c r="J2483" s="67">
        <v>0</v>
      </c>
      <c r="K2483" s="67">
        <v>1.84E-2</v>
      </c>
      <c r="L2483" s="36">
        <f>+K2483-((K2483*0.056*0.125)+(K2483*(1-0.056)*0.26))</f>
        <v>1.3755104000000001E-2</v>
      </c>
      <c r="M2483" s="64">
        <f t="shared" si="75"/>
        <v>1.3755104000000001E-2</v>
      </c>
      <c r="N2483" s="33" t="s">
        <v>718</v>
      </c>
    </row>
    <row r="2484" spans="1:14" ht="15">
      <c r="A2484" s="12"/>
      <c r="B2484" s="33" t="s">
        <v>187</v>
      </c>
      <c r="C2484" s="92" t="s">
        <v>737</v>
      </c>
      <c r="D2484" s="33" t="s">
        <v>411</v>
      </c>
      <c r="E2484" s="34">
        <v>45351</v>
      </c>
      <c r="F2484" s="34">
        <v>45352</v>
      </c>
      <c r="G2484" s="34">
        <v>45357</v>
      </c>
      <c r="H2484" s="35">
        <v>5.5E-2</v>
      </c>
      <c r="I2484" s="67">
        <v>0.3231</v>
      </c>
      <c r="J2484" s="67">
        <v>0</v>
      </c>
      <c r="K2484" s="67">
        <v>0.3231</v>
      </c>
      <c r="L2484" s="36">
        <f>+K2484-((K2484*0.056*0.125)+(K2484*(1-0.056)*0.26))</f>
        <v>0.241536636</v>
      </c>
      <c r="M2484" s="64">
        <f t="shared" si="75"/>
        <v>0.241536636</v>
      </c>
      <c r="N2484" s="33" t="s">
        <v>718</v>
      </c>
    </row>
    <row r="2485" spans="1:14" ht="15">
      <c r="A2485" s="12"/>
      <c r="B2485" s="33" t="s">
        <v>195</v>
      </c>
      <c r="C2485" s="92" t="s">
        <v>738</v>
      </c>
      <c r="D2485" s="33" t="s">
        <v>411</v>
      </c>
      <c r="E2485" s="34">
        <v>45351</v>
      </c>
      <c r="F2485" s="34">
        <v>45352</v>
      </c>
      <c r="G2485" s="34">
        <v>45357</v>
      </c>
      <c r="H2485" s="35">
        <v>5.5E-2</v>
      </c>
      <c r="I2485" s="67">
        <v>0.33889999999999998</v>
      </c>
      <c r="J2485" s="67">
        <v>0</v>
      </c>
      <c r="K2485" s="67">
        <v>0.33889999999999998</v>
      </c>
      <c r="L2485" s="36">
        <f>+K2485-((K2485*0.056*0.125)+(K2485*(1-0.056)*0.26))</f>
        <v>0.25334808399999997</v>
      </c>
      <c r="M2485" s="64">
        <f t="shared" si="75"/>
        <v>0.25334808399999997</v>
      </c>
      <c r="N2485" s="33" t="s">
        <v>718</v>
      </c>
    </row>
    <row r="2486" spans="1:14" ht="15">
      <c r="A2486" s="12"/>
      <c r="B2486" s="33" t="s">
        <v>312</v>
      </c>
      <c r="C2486" s="92" t="s">
        <v>739</v>
      </c>
      <c r="D2486" s="33" t="s">
        <v>411</v>
      </c>
      <c r="E2486" s="34">
        <v>45351</v>
      </c>
      <c r="F2486" s="34">
        <v>45352</v>
      </c>
      <c r="G2486" s="34">
        <v>45357</v>
      </c>
      <c r="H2486" s="35">
        <v>7.2499999999999995E-2</v>
      </c>
      <c r="I2486" s="67">
        <v>2.2499999999999999E-2</v>
      </c>
      <c r="J2486" s="67">
        <v>0</v>
      </c>
      <c r="K2486" s="67">
        <v>2.2499999999999999E-2</v>
      </c>
      <c r="L2486" s="36">
        <f>+K2486-((K2486*0.0000000000001*0.125)+(K2486*(1-0.0000000000001)*0.26))</f>
        <v>1.6650000000000303E-2</v>
      </c>
      <c r="M2486" s="64">
        <f t="shared" si="75"/>
        <v>1.6650000000000303E-2</v>
      </c>
      <c r="N2486" s="33" t="s">
        <v>718</v>
      </c>
    </row>
    <row r="2487" spans="1:14" ht="15">
      <c r="A2487" s="12"/>
      <c r="B2487" s="33" t="s">
        <v>190</v>
      </c>
      <c r="C2487" s="92" t="s">
        <v>740</v>
      </c>
      <c r="D2487" s="33" t="s">
        <v>411</v>
      </c>
      <c r="E2487" s="34">
        <v>45351</v>
      </c>
      <c r="F2487" s="34">
        <v>45352</v>
      </c>
      <c r="G2487" s="34">
        <v>45357</v>
      </c>
      <c r="H2487" s="35">
        <v>7.2499999999999995E-2</v>
      </c>
      <c r="I2487" s="67">
        <v>0.42409999999999998</v>
      </c>
      <c r="J2487" s="67">
        <v>0</v>
      </c>
      <c r="K2487" s="67">
        <v>0.42409999999999998</v>
      </c>
      <c r="L2487" s="36">
        <f>+K2487-((K2487*0.0000000000001*0.125)+(K2487*(1-0.0000000000001)*0.26))</f>
        <v>0.31383400000000572</v>
      </c>
      <c r="M2487" s="64">
        <f t="shared" si="75"/>
        <v>0.31383400000000572</v>
      </c>
      <c r="N2487" s="33" t="s">
        <v>718</v>
      </c>
    </row>
    <row r="2488" spans="1:14" ht="15">
      <c r="A2488" s="12"/>
      <c r="B2488" s="33" t="s">
        <v>198</v>
      </c>
      <c r="C2488" s="92" t="s">
        <v>741</v>
      </c>
      <c r="D2488" s="33" t="s">
        <v>411</v>
      </c>
      <c r="E2488" s="34">
        <v>45351</v>
      </c>
      <c r="F2488" s="34">
        <v>45352</v>
      </c>
      <c r="G2488" s="34">
        <v>45357</v>
      </c>
      <c r="H2488" s="35">
        <v>7.2499999999999995E-2</v>
      </c>
      <c r="I2488" s="67">
        <v>0.43080000000000002</v>
      </c>
      <c r="J2488" s="67">
        <v>0</v>
      </c>
      <c r="K2488" s="67">
        <v>0.43080000000000002</v>
      </c>
      <c r="L2488" s="36">
        <f>+K2488-((K2488*0.0000000000001*0.125)+(K2488*(1-0.0000000000001)*0.26))</f>
        <v>0.31879200000000585</v>
      </c>
      <c r="M2488" s="64">
        <f t="shared" si="75"/>
        <v>0.31879200000000585</v>
      </c>
      <c r="N2488" s="33" t="s">
        <v>718</v>
      </c>
    </row>
    <row r="2489" spans="1:14" ht="15">
      <c r="A2489" s="12"/>
      <c r="B2489" s="33" t="s">
        <v>513</v>
      </c>
      <c r="C2489" s="92" t="s">
        <v>742</v>
      </c>
      <c r="D2489" s="33" t="s">
        <v>411</v>
      </c>
      <c r="E2489" s="34">
        <v>45351</v>
      </c>
      <c r="F2489" s="34">
        <v>45352</v>
      </c>
      <c r="G2489" s="34">
        <v>45357</v>
      </c>
      <c r="H2489" s="35">
        <v>0.01</v>
      </c>
      <c r="I2489" s="67">
        <v>5.5E-2</v>
      </c>
      <c r="J2489" s="67">
        <v>0</v>
      </c>
      <c r="K2489" s="67">
        <v>5.5E-2</v>
      </c>
      <c r="L2489" s="36">
        <f>+K2489-((K2489*0.198*0.125)+(K2489*(1-0.198)*0.26))</f>
        <v>4.2170150000000003E-2</v>
      </c>
      <c r="M2489" s="64">
        <f t="shared" ref="M2489:M2552" si="77">J2489+L2489</f>
        <v>4.2170150000000003E-2</v>
      </c>
      <c r="N2489" s="33" t="s">
        <v>718</v>
      </c>
    </row>
    <row r="2490" spans="1:14" ht="15">
      <c r="A2490" s="12"/>
      <c r="B2490" s="33" t="s">
        <v>514</v>
      </c>
      <c r="C2490" s="92" t="s">
        <v>743</v>
      </c>
      <c r="D2490" s="33" t="s">
        <v>411</v>
      </c>
      <c r="E2490" s="34">
        <v>45351</v>
      </c>
      <c r="F2490" s="34">
        <v>45352</v>
      </c>
      <c r="G2490" s="34">
        <v>45357</v>
      </c>
      <c r="H2490" s="35">
        <v>0.01</v>
      </c>
      <c r="I2490" s="67">
        <v>5.6500000000000002E-2</v>
      </c>
      <c r="J2490" s="67">
        <v>0</v>
      </c>
      <c r="K2490" s="67">
        <v>5.6500000000000002E-2</v>
      </c>
      <c r="L2490" s="36">
        <f>+K2490-((K2490*0.198*0.125)+(K2490*(1-0.198)*0.26))</f>
        <v>4.3320245E-2</v>
      </c>
      <c r="M2490" s="64">
        <f t="shared" si="77"/>
        <v>4.3320245E-2</v>
      </c>
      <c r="N2490" s="33" t="s">
        <v>718</v>
      </c>
    </row>
    <row r="2491" spans="1:14" ht="15">
      <c r="A2491" s="12"/>
      <c r="B2491" s="33" t="s">
        <v>313</v>
      </c>
      <c r="C2491" s="92" t="s">
        <v>744</v>
      </c>
      <c r="D2491" s="33" t="s">
        <v>411</v>
      </c>
      <c r="E2491" s="34">
        <v>45351</v>
      </c>
      <c r="F2491" s="34">
        <v>45352</v>
      </c>
      <c r="G2491" s="34">
        <v>45357</v>
      </c>
      <c r="H2491" s="35">
        <v>4.7500000000000001E-2</v>
      </c>
      <c r="I2491" s="67">
        <v>1.61E-2</v>
      </c>
      <c r="J2491" s="67">
        <v>0</v>
      </c>
      <c r="K2491" s="67">
        <v>1.61E-2</v>
      </c>
      <c r="L2491" s="36">
        <f>+K2491-((K2491*0.3*0.125)+(K2491*(1-0.3)*0.26))</f>
        <v>1.2566049999999999E-2</v>
      </c>
      <c r="M2491" s="64">
        <f t="shared" si="77"/>
        <v>1.2566049999999999E-2</v>
      </c>
      <c r="N2491" s="33" t="s">
        <v>718</v>
      </c>
    </row>
    <row r="2492" spans="1:14" ht="15">
      <c r="A2492" s="12"/>
      <c r="B2492" s="33" t="s">
        <v>174</v>
      </c>
      <c r="C2492" s="92" t="s">
        <v>382</v>
      </c>
      <c r="D2492" s="33" t="s">
        <v>410</v>
      </c>
      <c r="E2492" s="34">
        <v>45378</v>
      </c>
      <c r="F2492" s="34">
        <v>45379</v>
      </c>
      <c r="G2492" s="34">
        <v>45386</v>
      </c>
      <c r="H2492" s="35"/>
      <c r="I2492" s="67">
        <v>4.0485E-2</v>
      </c>
      <c r="J2492" s="67">
        <v>0</v>
      </c>
      <c r="K2492" s="67">
        <v>4.0485149999999998E-2</v>
      </c>
      <c r="L2492" s="36">
        <f>+K2492-((K2492*0.0175*0.125)+(K2492*(1-0.0175)*0.26))</f>
        <v>3.0054657166874998E-2</v>
      </c>
      <c r="M2492" s="64">
        <f t="shared" si="77"/>
        <v>3.0054657166874998E-2</v>
      </c>
      <c r="N2492" s="33" t="s">
        <v>247</v>
      </c>
    </row>
    <row r="2493" spans="1:14" ht="15">
      <c r="A2493" s="12"/>
      <c r="B2493" s="33" t="s">
        <v>176</v>
      </c>
      <c r="C2493" s="92" t="s">
        <v>877</v>
      </c>
      <c r="D2493" s="33" t="s">
        <v>410</v>
      </c>
      <c r="E2493" s="34">
        <v>45378</v>
      </c>
      <c r="F2493" s="34">
        <v>45379</v>
      </c>
      <c r="G2493" s="34">
        <v>45386</v>
      </c>
      <c r="H2493" s="35"/>
      <c r="I2493" s="67">
        <v>4.3968E-2</v>
      </c>
      <c r="J2493" s="67">
        <v>0</v>
      </c>
      <c r="K2493" s="67">
        <v>4.3968029999999998E-2</v>
      </c>
      <c r="L2493" s="36">
        <f>+K2493-((K2493*0.26*0.125)+(K2493*(1-0.26)*0.26))</f>
        <v>3.4079620052999998E-2</v>
      </c>
      <c r="M2493" s="64">
        <f t="shared" si="77"/>
        <v>3.4079620052999998E-2</v>
      </c>
      <c r="N2493" s="33" t="s">
        <v>247</v>
      </c>
    </row>
    <row r="2494" spans="1:14" ht="15">
      <c r="A2494" s="12"/>
      <c r="B2494" s="33" t="s">
        <v>175</v>
      </c>
      <c r="C2494" s="92" t="s">
        <v>465</v>
      </c>
      <c r="D2494" s="33" t="s">
        <v>410</v>
      </c>
      <c r="E2494" s="34">
        <v>45378</v>
      </c>
      <c r="F2494" s="34">
        <v>45379</v>
      </c>
      <c r="G2494" s="34">
        <v>45386</v>
      </c>
      <c r="H2494" s="35"/>
      <c r="I2494" s="67">
        <v>0.102634</v>
      </c>
      <c r="J2494" s="67">
        <v>0</v>
      </c>
      <c r="K2494" s="67">
        <v>0.10263369</v>
      </c>
      <c r="L2494" s="36">
        <f>+K2494-((K2494*0.114*0.125)+(K2494*(1-0.114)*0.26))</f>
        <v>7.7528463089099997E-2</v>
      </c>
      <c r="M2494" s="64">
        <f t="shared" si="77"/>
        <v>7.7528463089099997E-2</v>
      </c>
      <c r="N2494" s="33" t="s">
        <v>247</v>
      </c>
    </row>
    <row r="2495" spans="1:14" ht="15">
      <c r="A2495" s="12"/>
      <c r="B2495" s="33" t="s">
        <v>310</v>
      </c>
      <c r="C2495" s="92" t="s">
        <v>719</v>
      </c>
      <c r="D2495" s="33" t="s">
        <v>411</v>
      </c>
      <c r="E2495" s="34">
        <v>45379</v>
      </c>
      <c r="F2495" s="34">
        <v>45384</v>
      </c>
      <c r="G2495" s="34">
        <v>45387</v>
      </c>
      <c r="H2495" s="35">
        <v>0.05</v>
      </c>
      <c r="I2495" s="67">
        <v>1.43E-2</v>
      </c>
      <c r="J2495" s="67">
        <v>0</v>
      </c>
      <c r="K2495" s="67">
        <v>1.43E-2</v>
      </c>
      <c r="L2495" s="36">
        <f>+K2495-((K2495*0.0575*0.125)+(K2495*(1-0.0575)*0.26))</f>
        <v>1.0693003749999999E-2</v>
      </c>
      <c r="M2495" s="64">
        <f t="shared" si="77"/>
        <v>1.0693003749999999E-2</v>
      </c>
      <c r="N2495" s="33" t="s">
        <v>718</v>
      </c>
    </row>
    <row r="2496" spans="1:14" ht="15">
      <c r="A2496" s="12"/>
      <c r="B2496" s="33" t="s">
        <v>188</v>
      </c>
      <c r="C2496" s="92" t="s">
        <v>720</v>
      </c>
      <c r="D2496" s="33" t="s">
        <v>411</v>
      </c>
      <c r="E2496" s="34">
        <v>45379</v>
      </c>
      <c r="F2496" s="34">
        <v>45384</v>
      </c>
      <c r="G2496" s="34">
        <v>45387</v>
      </c>
      <c r="H2496" s="35">
        <v>0.05</v>
      </c>
      <c r="I2496" s="67">
        <v>0.24859999999999999</v>
      </c>
      <c r="J2496" s="67">
        <v>0</v>
      </c>
      <c r="K2496" s="67">
        <v>0.24859999999999999</v>
      </c>
      <c r="L2496" s="36">
        <f>+K2496-((K2496*0.0575*0.125)+(K2496*(1-0.0575)*0.26))</f>
        <v>0.18589375749999998</v>
      </c>
      <c r="M2496" s="64">
        <f t="shared" si="77"/>
        <v>0.18589375749999998</v>
      </c>
      <c r="N2496" s="33" t="s">
        <v>718</v>
      </c>
    </row>
    <row r="2497" spans="1:14" ht="15">
      <c r="A2497" s="12"/>
      <c r="B2497" s="33" t="s">
        <v>196</v>
      </c>
      <c r="C2497" s="92" t="s">
        <v>721</v>
      </c>
      <c r="D2497" s="33" t="s">
        <v>411</v>
      </c>
      <c r="E2497" s="34">
        <v>45379</v>
      </c>
      <c r="F2497" s="34">
        <v>45384</v>
      </c>
      <c r="G2497" s="34">
        <v>45387</v>
      </c>
      <c r="H2497" s="35">
        <v>0.05</v>
      </c>
      <c r="I2497" s="67">
        <v>0.26240000000000002</v>
      </c>
      <c r="J2497" s="67">
        <v>0</v>
      </c>
      <c r="K2497" s="67">
        <v>0.26240000000000002</v>
      </c>
      <c r="L2497" s="36">
        <f>+K2497-((K2497*0.0575*0.125)+(K2497*(1-0.0575)*0.26))</f>
        <v>0.19621288000000001</v>
      </c>
      <c r="M2497" s="64">
        <f t="shared" si="77"/>
        <v>0.19621288000000001</v>
      </c>
      <c r="N2497" s="33" t="s">
        <v>718</v>
      </c>
    </row>
    <row r="2498" spans="1:14" ht="15">
      <c r="A2498" s="12"/>
      <c r="B2498" s="33" t="s">
        <v>191</v>
      </c>
      <c r="C2498" s="92" t="s">
        <v>722</v>
      </c>
      <c r="D2498" s="33" t="s">
        <v>411</v>
      </c>
      <c r="E2498" s="34">
        <v>45379</v>
      </c>
      <c r="F2498" s="34">
        <v>45384</v>
      </c>
      <c r="G2498" s="34">
        <v>45387</v>
      </c>
      <c r="H2498" s="35">
        <v>0.05</v>
      </c>
      <c r="I2498" s="67">
        <v>1.5100000000000001E-2</v>
      </c>
      <c r="J2498" s="67">
        <v>0</v>
      </c>
      <c r="K2498" s="67">
        <v>1.5100000000000001E-2</v>
      </c>
      <c r="L2498" s="36">
        <f>+K2498-((K2498*0.852*0.125)+(K2498*(1-0.852)*0.26))</f>
        <v>1.2910802000000001E-2</v>
      </c>
      <c r="M2498" s="64">
        <f t="shared" si="77"/>
        <v>1.2910802000000001E-2</v>
      </c>
      <c r="N2498" s="33" t="s">
        <v>718</v>
      </c>
    </row>
    <row r="2499" spans="1:14" ht="15">
      <c r="A2499" s="12"/>
      <c r="B2499" s="33" t="s">
        <v>199</v>
      </c>
      <c r="C2499" s="92" t="s">
        <v>723</v>
      </c>
      <c r="D2499" s="33" t="s">
        <v>411</v>
      </c>
      <c r="E2499" s="34">
        <v>45379</v>
      </c>
      <c r="F2499" s="34">
        <v>45384</v>
      </c>
      <c r="G2499" s="34">
        <v>45387</v>
      </c>
      <c r="H2499" s="35">
        <v>0.05</v>
      </c>
      <c r="I2499" s="67">
        <v>1.52E-2</v>
      </c>
      <c r="J2499" s="67">
        <v>0</v>
      </c>
      <c r="K2499" s="67">
        <v>1.52E-2</v>
      </c>
      <c r="L2499" s="36">
        <f>+K2499-((K2499*0.852*0.125)+(K2499*(1-0.852)*0.26))</f>
        <v>1.2996304E-2</v>
      </c>
      <c r="M2499" s="64">
        <f t="shared" si="77"/>
        <v>1.2996304E-2</v>
      </c>
      <c r="N2499" s="33" t="s">
        <v>718</v>
      </c>
    </row>
    <row r="2500" spans="1:14" ht="15">
      <c r="A2500" s="12"/>
      <c r="B2500" s="33" t="s">
        <v>306</v>
      </c>
      <c r="C2500" s="92" t="s">
        <v>724</v>
      </c>
      <c r="D2500" s="33" t="s">
        <v>411</v>
      </c>
      <c r="E2500" s="34">
        <v>45379</v>
      </c>
      <c r="F2500" s="34">
        <v>45384</v>
      </c>
      <c r="G2500" s="34">
        <v>45387</v>
      </c>
      <c r="H2500" s="35">
        <v>7.0000000000000007E-2</v>
      </c>
      <c r="I2500" s="67">
        <v>2.4899999999999999E-2</v>
      </c>
      <c r="J2500" s="67">
        <v>0</v>
      </c>
      <c r="K2500" s="67">
        <v>2.4899999999999999E-2</v>
      </c>
      <c r="L2500" s="36">
        <f>+K2500-((K2500*0.04*0.125)+(K2500*(1-0.04)*0.26))</f>
        <v>1.8560460000000001E-2</v>
      </c>
      <c r="M2500" s="64">
        <f t="shared" si="77"/>
        <v>1.8560460000000001E-2</v>
      </c>
      <c r="N2500" s="33" t="s">
        <v>718</v>
      </c>
    </row>
    <row r="2501" spans="1:14" ht="15">
      <c r="A2501" s="12"/>
      <c r="B2501" s="33" t="s">
        <v>184</v>
      </c>
      <c r="C2501" s="92" t="s">
        <v>725</v>
      </c>
      <c r="D2501" s="33" t="s">
        <v>411</v>
      </c>
      <c r="E2501" s="34">
        <v>45379</v>
      </c>
      <c r="F2501" s="34">
        <v>45384</v>
      </c>
      <c r="G2501" s="34">
        <v>45387</v>
      </c>
      <c r="H2501" s="35">
        <v>7.0000000000000007E-2</v>
      </c>
      <c r="I2501" s="67">
        <v>0.49859999999999999</v>
      </c>
      <c r="J2501" s="67">
        <v>0</v>
      </c>
      <c r="K2501" s="67">
        <v>0.49859999999999999</v>
      </c>
      <c r="L2501" s="36">
        <f>+K2501-((K2501*0.04*0.125)+(K2501*(1-0.04)*0.26))</f>
        <v>0.37165643999999998</v>
      </c>
      <c r="M2501" s="64">
        <f t="shared" si="77"/>
        <v>0.37165643999999998</v>
      </c>
      <c r="N2501" s="33" t="s">
        <v>718</v>
      </c>
    </row>
    <row r="2502" spans="1:14" ht="15">
      <c r="A2502" s="12"/>
      <c r="B2502" s="33" t="s">
        <v>192</v>
      </c>
      <c r="C2502" s="92" t="s">
        <v>726</v>
      </c>
      <c r="D2502" s="33" t="s">
        <v>411</v>
      </c>
      <c r="E2502" s="34">
        <v>45379</v>
      </c>
      <c r="F2502" s="34">
        <v>45384</v>
      </c>
      <c r="G2502" s="34">
        <v>45387</v>
      </c>
      <c r="H2502" s="35">
        <v>7.0000000000000007E-2</v>
      </c>
      <c r="I2502" s="67">
        <v>0.51080000000000003</v>
      </c>
      <c r="J2502" s="67">
        <v>0</v>
      </c>
      <c r="K2502" s="67">
        <v>0.51080000000000003</v>
      </c>
      <c r="L2502" s="36">
        <f>+K2502-((K2502*0.04*0.125)+(K2502*(1-0.04)*0.26))</f>
        <v>0.38075032000000003</v>
      </c>
      <c r="M2502" s="64">
        <f t="shared" si="77"/>
        <v>0.38075032000000003</v>
      </c>
      <c r="N2502" s="33" t="s">
        <v>718</v>
      </c>
    </row>
    <row r="2503" spans="1:14" ht="15">
      <c r="A2503" s="12"/>
      <c r="B2503" s="33" t="s">
        <v>311</v>
      </c>
      <c r="C2503" s="92" t="s">
        <v>727</v>
      </c>
      <c r="D2503" s="33" t="s">
        <v>411</v>
      </c>
      <c r="E2503" s="34">
        <v>45379</v>
      </c>
      <c r="F2503" s="34">
        <v>45384</v>
      </c>
      <c r="G2503" s="34">
        <v>45387</v>
      </c>
      <c r="H2503" s="35">
        <v>0.06</v>
      </c>
      <c r="I2503" s="67">
        <v>2.3199999999999998E-2</v>
      </c>
      <c r="J2503" s="67">
        <v>0</v>
      </c>
      <c r="K2503" s="67">
        <v>2.3199999999999998E-2</v>
      </c>
      <c r="L2503" s="36">
        <f>+K2503-((K2503*0.01*0.125)+(K2503*(1-0.01)*0.26))</f>
        <v>1.7199319999999997E-2</v>
      </c>
      <c r="M2503" s="64">
        <f t="shared" si="77"/>
        <v>1.7199319999999997E-2</v>
      </c>
      <c r="N2503" s="33" t="s">
        <v>718</v>
      </c>
    </row>
    <row r="2504" spans="1:14" ht="15">
      <c r="A2504" s="12"/>
      <c r="B2504" s="33" t="s">
        <v>189</v>
      </c>
      <c r="C2504" s="92" t="s">
        <v>728</v>
      </c>
      <c r="D2504" s="33" t="s">
        <v>411</v>
      </c>
      <c r="E2504" s="34">
        <v>45379</v>
      </c>
      <c r="F2504" s="34">
        <v>45384</v>
      </c>
      <c r="G2504" s="34">
        <v>45387</v>
      </c>
      <c r="H2504" s="35">
        <v>0.06</v>
      </c>
      <c r="I2504" s="67">
        <v>0.4229</v>
      </c>
      <c r="J2504" s="67">
        <v>0</v>
      </c>
      <c r="K2504" s="67">
        <v>0.4229</v>
      </c>
      <c r="L2504" s="36">
        <f>+K2504-((K2504*0.01*0.125)+(K2504*(1-0.01)*0.26))</f>
        <v>0.31351691500000001</v>
      </c>
      <c r="M2504" s="64">
        <f t="shared" si="77"/>
        <v>0.31351691500000001</v>
      </c>
      <c r="N2504" s="33" t="s">
        <v>718</v>
      </c>
    </row>
    <row r="2505" spans="1:14" ht="15">
      <c r="A2505" s="12"/>
      <c r="B2505" s="33" t="s">
        <v>197</v>
      </c>
      <c r="C2505" s="92" t="s">
        <v>729</v>
      </c>
      <c r="D2505" s="33" t="s">
        <v>411</v>
      </c>
      <c r="E2505" s="34">
        <v>45379</v>
      </c>
      <c r="F2505" s="34">
        <v>45384</v>
      </c>
      <c r="G2505" s="34">
        <v>45387</v>
      </c>
      <c r="H2505" s="35">
        <v>0.06</v>
      </c>
      <c r="I2505" s="67">
        <v>0.43669999999999998</v>
      </c>
      <c r="J2505" s="67">
        <v>0</v>
      </c>
      <c r="K2505" s="67">
        <v>0.43669999999999998</v>
      </c>
      <c r="L2505" s="36">
        <f>+K2505-((K2505*0.01*0.125)+(K2505*(1-0.01)*0.26))</f>
        <v>0.32374754499999997</v>
      </c>
      <c r="M2505" s="64">
        <f t="shared" si="77"/>
        <v>0.32374754499999997</v>
      </c>
      <c r="N2505" s="33" t="s">
        <v>718</v>
      </c>
    </row>
    <row r="2506" spans="1:14" ht="15">
      <c r="A2506" s="12"/>
      <c r="B2506" s="33" t="s">
        <v>308</v>
      </c>
      <c r="C2506" s="92" t="s">
        <v>730</v>
      </c>
      <c r="D2506" s="33" t="s">
        <v>411</v>
      </c>
      <c r="E2506" s="34">
        <v>45379</v>
      </c>
      <c r="F2506" s="34">
        <v>45384</v>
      </c>
      <c r="G2506" s="34">
        <v>45387</v>
      </c>
      <c r="H2506" s="35">
        <v>0.05</v>
      </c>
      <c r="I2506" s="67">
        <v>1.7100000000000001E-2</v>
      </c>
      <c r="J2506" s="67">
        <v>0</v>
      </c>
      <c r="K2506" s="67">
        <v>1.7100000000000001E-2</v>
      </c>
      <c r="L2506" s="36">
        <f>+K2506-((K2506*0.5055*0.125)+(K2506*(1-0.5055)*0.26))</f>
        <v>1.382094675E-2</v>
      </c>
      <c r="M2506" s="64">
        <f t="shared" si="77"/>
        <v>1.382094675E-2</v>
      </c>
      <c r="N2506" s="33" t="s">
        <v>718</v>
      </c>
    </row>
    <row r="2507" spans="1:14" ht="15">
      <c r="A2507" s="12"/>
      <c r="B2507" s="33" t="s">
        <v>186</v>
      </c>
      <c r="C2507" s="92" t="s">
        <v>731</v>
      </c>
      <c r="D2507" s="33" t="s">
        <v>411</v>
      </c>
      <c r="E2507" s="34">
        <v>45379</v>
      </c>
      <c r="F2507" s="34">
        <v>45384</v>
      </c>
      <c r="G2507" s="34">
        <v>45387</v>
      </c>
      <c r="H2507" s="35">
        <v>0.05</v>
      </c>
      <c r="I2507" s="67">
        <v>0.3135</v>
      </c>
      <c r="J2507" s="67">
        <v>0</v>
      </c>
      <c r="K2507" s="67">
        <v>0.3135</v>
      </c>
      <c r="L2507" s="36">
        <f>+K2507-((K2507*0.5055*0.125)+(K2507*(1-0.5055)*0.26))</f>
        <v>0.25338402375000002</v>
      </c>
      <c r="M2507" s="64">
        <f t="shared" si="77"/>
        <v>0.25338402375000002</v>
      </c>
      <c r="N2507" s="33" t="s">
        <v>718</v>
      </c>
    </row>
    <row r="2508" spans="1:14" ht="15">
      <c r="A2508" s="12"/>
      <c r="B2508" s="33" t="s">
        <v>194</v>
      </c>
      <c r="C2508" s="92" t="s">
        <v>732</v>
      </c>
      <c r="D2508" s="33" t="s">
        <v>411</v>
      </c>
      <c r="E2508" s="34">
        <v>45379</v>
      </c>
      <c r="F2508" s="34">
        <v>45384</v>
      </c>
      <c r="G2508" s="34">
        <v>45387</v>
      </c>
      <c r="H2508" s="35">
        <v>0.05</v>
      </c>
      <c r="I2508" s="67">
        <v>0.32579999999999998</v>
      </c>
      <c r="J2508" s="67">
        <v>0</v>
      </c>
      <c r="K2508" s="67">
        <v>0.32579999999999998</v>
      </c>
      <c r="L2508" s="36">
        <f>+K2508-((K2508*0.5055*0.125)+(K2508*(1-0.5055)*0.26))</f>
        <v>0.26332540649999997</v>
      </c>
      <c r="M2508" s="64">
        <f t="shared" si="77"/>
        <v>0.26332540649999997</v>
      </c>
      <c r="N2508" s="33" t="s">
        <v>718</v>
      </c>
    </row>
    <row r="2509" spans="1:14" ht="15">
      <c r="A2509" s="12"/>
      <c r="B2509" s="33" t="s">
        <v>307</v>
      </c>
      <c r="C2509" s="92" t="s">
        <v>733</v>
      </c>
      <c r="D2509" s="33" t="s">
        <v>411</v>
      </c>
      <c r="E2509" s="34">
        <v>45379</v>
      </c>
      <c r="F2509" s="34">
        <v>45384</v>
      </c>
      <c r="G2509" s="34">
        <v>45387</v>
      </c>
      <c r="H2509" s="35">
        <v>0.04</v>
      </c>
      <c r="I2509" s="67">
        <v>1.2E-2</v>
      </c>
      <c r="J2509" s="67">
        <v>0</v>
      </c>
      <c r="K2509" s="67">
        <v>1.2E-2</v>
      </c>
      <c r="L2509" s="36">
        <f>+K2509-((K2509*0.6005*0.125)+(K2509*(1-0.6005)*0.26))</f>
        <v>9.85281E-3</v>
      </c>
      <c r="M2509" s="64">
        <f t="shared" si="77"/>
        <v>9.85281E-3</v>
      </c>
      <c r="N2509" s="33" t="s">
        <v>718</v>
      </c>
    </row>
    <row r="2510" spans="1:14" ht="15">
      <c r="A2510" s="12"/>
      <c r="B2510" s="33" t="s">
        <v>185</v>
      </c>
      <c r="C2510" s="92" t="s">
        <v>734</v>
      </c>
      <c r="D2510" s="33" t="s">
        <v>411</v>
      </c>
      <c r="E2510" s="34">
        <v>45379</v>
      </c>
      <c r="F2510" s="34">
        <v>45384</v>
      </c>
      <c r="G2510" s="34">
        <v>45387</v>
      </c>
      <c r="H2510" s="35">
        <v>0.04</v>
      </c>
      <c r="I2510" s="67">
        <v>0.19789999999999999</v>
      </c>
      <c r="J2510" s="67">
        <v>0</v>
      </c>
      <c r="K2510" s="67">
        <v>0.19789999999999999</v>
      </c>
      <c r="L2510" s="36">
        <f>+K2510-((K2510*0.6005*0.125)+(K2510*(1-0.6005)*0.26))</f>
        <v>0.16248925824999999</v>
      </c>
      <c r="M2510" s="64">
        <f t="shared" si="77"/>
        <v>0.16248925824999999</v>
      </c>
      <c r="N2510" s="33" t="s">
        <v>718</v>
      </c>
    </row>
    <row r="2511" spans="1:14" ht="15">
      <c r="A2511" s="12"/>
      <c r="B2511" s="33" t="s">
        <v>193</v>
      </c>
      <c r="C2511" s="92" t="s">
        <v>735</v>
      </c>
      <c r="D2511" s="33" t="s">
        <v>411</v>
      </c>
      <c r="E2511" s="34">
        <v>45379</v>
      </c>
      <c r="F2511" s="34">
        <v>45384</v>
      </c>
      <c r="G2511" s="34">
        <v>45387</v>
      </c>
      <c r="H2511" s="35">
        <v>0.04</v>
      </c>
      <c r="I2511" s="67">
        <v>0.1966</v>
      </c>
      <c r="J2511" s="67">
        <v>0</v>
      </c>
      <c r="K2511" s="67">
        <v>0.1966</v>
      </c>
      <c r="L2511" s="36">
        <f>+K2511-((K2511*0.6005*0.125)+(K2511*(1-0.6005)*0.26))</f>
        <v>0.16142187050000001</v>
      </c>
      <c r="M2511" s="64">
        <f t="shared" si="77"/>
        <v>0.16142187050000001</v>
      </c>
      <c r="N2511" s="33" t="s">
        <v>718</v>
      </c>
    </row>
    <row r="2512" spans="1:14" ht="15">
      <c r="A2512" s="12"/>
      <c r="B2512" s="33" t="s">
        <v>309</v>
      </c>
      <c r="C2512" s="92" t="s">
        <v>736</v>
      </c>
      <c r="D2512" s="33" t="s">
        <v>411</v>
      </c>
      <c r="E2512" s="34">
        <v>45379</v>
      </c>
      <c r="F2512" s="34">
        <v>45384</v>
      </c>
      <c r="G2512" s="34">
        <v>45387</v>
      </c>
      <c r="H2512" s="35">
        <v>5.5E-2</v>
      </c>
      <c r="I2512" s="67">
        <v>1.84E-2</v>
      </c>
      <c r="J2512" s="67">
        <v>0</v>
      </c>
      <c r="K2512" s="67">
        <v>1.84E-2</v>
      </c>
      <c r="L2512" s="36">
        <f>+K2512-((K2512*0.056*0.125)+(K2512*(1-0.056)*0.26))</f>
        <v>1.3755104000000001E-2</v>
      </c>
      <c r="M2512" s="64">
        <f t="shared" si="77"/>
        <v>1.3755104000000001E-2</v>
      </c>
      <c r="N2512" s="33" t="s">
        <v>718</v>
      </c>
    </row>
    <row r="2513" spans="1:14" ht="15">
      <c r="A2513" s="12"/>
      <c r="B2513" s="33" t="s">
        <v>187</v>
      </c>
      <c r="C2513" s="92" t="s">
        <v>737</v>
      </c>
      <c r="D2513" s="33" t="s">
        <v>411</v>
      </c>
      <c r="E2513" s="34">
        <v>45379</v>
      </c>
      <c r="F2513" s="34">
        <v>45384</v>
      </c>
      <c r="G2513" s="34">
        <v>45387</v>
      </c>
      <c r="H2513" s="35">
        <v>5.5E-2</v>
      </c>
      <c r="I2513" s="67">
        <v>0.3231</v>
      </c>
      <c r="J2513" s="67">
        <v>0</v>
      </c>
      <c r="K2513" s="67">
        <v>0.3231</v>
      </c>
      <c r="L2513" s="36">
        <f>+K2513-((K2513*0.056*0.125)+(K2513*(1-0.056)*0.26))</f>
        <v>0.241536636</v>
      </c>
      <c r="M2513" s="64">
        <f t="shared" si="77"/>
        <v>0.241536636</v>
      </c>
      <c r="N2513" s="33" t="s">
        <v>718</v>
      </c>
    </row>
    <row r="2514" spans="1:14" ht="15">
      <c r="A2514" s="12"/>
      <c r="B2514" s="33" t="s">
        <v>195</v>
      </c>
      <c r="C2514" s="92" t="s">
        <v>738</v>
      </c>
      <c r="D2514" s="33" t="s">
        <v>411</v>
      </c>
      <c r="E2514" s="34">
        <v>45379</v>
      </c>
      <c r="F2514" s="34">
        <v>45384</v>
      </c>
      <c r="G2514" s="34">
        <v>45387</v>
      </c>
      <c r="H2514" s="35">
        <v>5.5E-2</v>
      </c>
      <c r="I2514" s="67">
        <v>0.33889999999999998</v>
      </c>
      <c r="J2514" s="67">
        <v>0</v>
      </c>
      <c r="K2514" s="67">
        <v>0.33889999999999998</v>
      </c>
      <c r="L2514" s="36">
        <f>+K2514-((K2514*0.056*0.125)+(K2514*(1-0.056)*0.26))</f>
        <v>0.25334808399999997</v>
      </c>
      <c r="M2514" s="64">
        <f t="shared" si="77"/>
        <v>0.25334808399999997</v>
      </c>
      <c r="N2514" s="33" t="s">
        <v>718</v>
      </c>
    </row>
    <row r="2515" spans="1:14" ht="15">
      <c r="A2515" s="12"/>
      <c r="B2515" s="33" t="s">
        <v>312</v>
      </c>
      <c r="C2515" s="92" t="s">
        <v>739</v>
      </c>
      <c r="D2515" s="33" t="s">
        <v>411</v>
      </c>
      <c r="E2515" s="34">
        <v>45379</v>
      </c>
      <c r="F2515" s="34">
        <v>45384</v>
      </c>
      <c r="G2515" s="34">
        <v>45387</v>
      </c>
      <c r="H2515" s="35">
        <v>7.2499999999999995E-2</v>
      </c>
      <c r="I2515" s="67">
        <v>2.2499999999999999E-2</v>
      </c>
      <c r="J2515" s="67">
        <v>0</v>
      </c>
      <c r="K2515" s="67">
        <v>2.2499999999999999E-2</v>
      </c>
      <c r="L2515" s="36">
        <f>+K2515-((K2515*0.0000000000001*0.125)+(K2515*(1-0.0000000000001)*0.26))</f>
        <v>1.6650000000000303E-2</v>
      </c>
      <c r="M2515" s="64">
        <f t="shared" si="77"/>
        <v>1.6650000000000303E-2</v>
      </c>
      <c r="N2515" s="33" t="s">
        <v>718</v>
      </c>
    </row>
    <row r="2516" spans="1:14" ht="15">
      <c r="A2516" s="12"/>
      <c r="B2516" s="33" t="s">
        <v>190</v>
      </c>
      <c r="C2516" s="92" t="s">
        <v>740</v>
      </c>
      <c r="D2516" s="33" t="s">
        <v>411</v>
      </c>
      <c r="E2516" s="34">
        <v>45379</v>
      </c>
      <c r="F2516" s="34">
        <v>45384</v>
      </c>
      <c r="G2516" s="34">
        <v>45387</v>
      </c>
      <c r="H2516" s="35">
        <v>7.2499999999999995E-2</v>
      </c>
      <c r="I2516" s="67">
        <v>0.42409999999999998</v>
      </c>
      <c r="J2516" s="67">
        <v>0</v>
      </c>
      <c r="K2516" s="67">
        <v>0.42409999999999998</v>
      </c>
      <c r="L2516" s="36">
        <f>+K2516-((K2516*0.0000000000001*0.125)+(K2516*(1-0.0000000000001)*0.26))</f>
        <v>0.31383400000000572</v>
      </c>
      <c r="M2516" s="64">
        <f t="shared" si="77"/>
        <v>0.31383400000000572</v>
      </c>
      <c r="N2516" s="33" t="s">
        <v>718</v>
      </c>
    </row>
    <row r="2517" spans="1:14" ht="15">
      <c r="A2517" s="12"/>
      <c r="B2517" s="33" t="s">
        <v>198</v>
      </c>
      <c r="C2517" s="92" t="s">
        <v>741</v>
      </c>
      <c r="D2517" s="33" t="s">
        <v>411</v>
      </c>
      <c r="E2517" s="34">
        <v>45379</v>
      </c>
      <c r="F2517" s="34">
        <v>45384</v>
      </c>
      <c r="G2517" s="34">
        <v>45387</v>
      </c>
      <c r="H2517" s="35">
        <v>7.2499999999999995E-2</v>
      </c>
      <c r="I2517" s="67">
        <v>0.43080000000000002</v>
      </c>
      <c r="J2517" s="67">
        <v>0</v>
      </c>
      <c r="K2517" s="67">
        <v>0.43080000000000002</v>
      </c>
      <c r="L2517" s="36">
        <f>+K2517-((K2517*0.0000000000001*0.125)+(K2517*(1-0.0000000000001)*0.26))</f>
        <v>0.31879200000000585</v>
      </c>
      <c r="M2517" s="64">
        <f t="shared" si="77"/>
        <v>0.31879200000000585</v>
      </c>
      <c r="N2517" s="33" t="s">
        <v>718</v>
      </c>
    </row>
    <row r="2518" spans="1:14" ht="15">
      <c r="A2518" s="12"/>
      <c r="B2518" s="33" t="s">
        <v>313</v>
      </c>
      <c r="C2518" s="92" t="s">
        <v>884</v>
      </c>
      <c r="D2518" s="33" t="s">
        <v>411</v>
      </c>
      <c r="E2518" s="34">
        <v>45379</v>
      </c>
      <c r="F2518" s="34">
        <v>45384</v>
      </c>
      <c r="G2518" s="34">
        <v>45387</v>
      </c>
      <c r="H2518" s="35">
        <v>4.7500000000000001E-2</v>
      </c>
      <c r="I2518" s="67">
        <v>1.61E-2</v>
      </c>
      <c r="J2518" s="67">
        <v>0</v>
      </c>
      <c r="K2518" s="67">
        <v>1.61E-2</v>
      </c>
      <c r="L2518" s="36">
        <f>+K2518-((K2518*0.3*0.125)+(K2518*(1-0.3)*0.26))</f>
        <v>1.2566049999999999E-2</v>
      </c>
      <c r="M2518" s="64">
        <f t="shared" si="77"/>
        <v>1.2566049999999999E-2</v>
      </c>
      <c r="N2518" s="33" t="s">
        <v>718</v>
      </c>
    </row>
    <row r="2519" spans="1:14" ht="15">
      <c r="A2519" s="12"/>
      <c r="B2519" s="33" t="s">
        <v>298</v>
      </c>
      <c r="C2519" s="92" t="s">
        <v>403</v>
      </c>
      <c r="D2519" s="33" t="s">
        <v>410</v>
      </c>
      <c r="E2519" s="34">
        <v>45379</v>
      </c>
      <c r="F2519" s="34">
        <v>45384</v>
      </c>
      <c r="G2519" s="34">
        <v>45387</v>
      </c>
      <c r="H2519" s="35">
        <v>0.05</v>
      </c>
      <c r="I2519" s="67">
        <v>4.82E-2</v>
      </c>
      <c r="J2519" s="67">
        <v>0</v>
      </c>
      <c r="K2519" s="67">
        <v>4.82E-2</v>
      </c>
      <c r="L2519" s="36">
        <f>+K2519-((K2519*0.48*0.125)+(K2519*(1-0.48)*0.26))</f>
        <v>3.8791359999999997E-2</v>
      </c>
      <c r="M2519" s="64">
        <f t="shared" si="77"/>
        <v>3.8791359999999997E-2</v>
      </c>
      <c r="N2519" s="33" t="s">
        <v>248</v>
      </c>
    </row>
    <row r="2520" spans="1:14" ht="15">
      <c r="A2520" s="12"/>
      <c r="B2520" s="33" t="s">
        <v>181</v>
      </c>
      <c r="C2520" s="92" t="s">
        <v>335</v>
      </c>
      <c r="D2520" s="33" t="s">
        <v>410</v>
      </c>
      <c r="E2520" s="34">
        <v>45379</v>
      </c>
      <c r="F2520" s="34">
        <v>45384</v>
      </c>
      <c r="G2520" s="34">
        <v>45387</v>
      </c>
      <c r="H2520" s="35">
        <v>0.05</v>
      </c>
      <c r="I2520" s="67">
        <v>0.8589</v>
      </c>
      <c r="J2520" s="67">
        <v>0</v>
      </c>
      <c r="K2520" s="67">
        <v>0.8589</v>
      </c>
      <c r="L2520" s="36">
        <f>+K2520-((K2520*0.48*0.125)+(K2520*(1-0.48)*0.26))</f>
        <v>0.69124271999999998</v>
      </c>
      <c r="M2520" s="64">
        <f t="shared" si="77"/>
        <v>0.69124271999999998</v>
      </c>
      <c r="N2520" s="33" t="s">
        <v>248</v>
      </c>
    </row>
    <row r="2521" spans="1:14" ht="15">
      <c r="A2521" s="12"/>
      <c r="B2521" s="33" t="s">
        <v>201</v>
      </c>
      <c r="C2521" s="92" t="s">
        <v>336</v>
      </c>
      <c r="D2521" s="33" t="s">
        <v>410</v>
      </c>
      <c r="E2521" s="34">
        <v>45379</v>
      </c>
      <c r="F2521" s="34">
        <v>45384</v>
      </c>
      <c r="G2521" s="34">
        <v>45387</v>
      </c>
      <c r="H2521" s="35">
        <v>0.05</v>
      </c>
      <c r="I2521" s="67">
        <v>0.88009999999999999</v>
      </c>
      <c r="J2521" s="67">
        <v>0</v>
      </c>
      <c r="K2521" s="67">
        <v>0.88009999999999999</v>
      </c>
      <c r="L2521" s="36">
        <f>+K2521-((K2521*0.48*0.125)+(K2521*(1-0.48)*0.26))</f>
        <v>0.70830448000000001</v>
      </c>
      <c r="M2521" s="64">
        <f t="shared" si="77"/>
        <v>0.70830448000000001</v>
      </c>
      <c r="N2521" s="33" t="s">
        <v>248</v>
      </c>
    </row>
    <row r="2522" spans="1:14" ht="15">
      <c r="A2522" s="12"/>
      <c r="B2522" s="33" t="s">
        <v>138</v>
      </c>
      <c r="C2522" s="92" t="s">
        <v>337</v>
      </c>
      <c r="D2522" s="33" t="s">
        <v>410</v>
      </c>
      <c r="E2522" s="34">
        <v>45379</v>
      </c>
      <c r="F2522" s="34">
        <v>45384</v>
      </c>
      <c r="G2522" s="34">
        <v>45387</v>
      </c>
      <c r="H2522" s="35">
        <v>0.05</v>
      </c>
      <c r="I2522" s="67">
        <v>6.2100000000000002E-2</v>
      </c>
      <c r="J2522" s="67">
        <v>0</v>
      </c>
      <c r="K2522" s="67">
        <v>6.2100000000000002E-2</v>
      </c>
      <c r="L2522" s="36">
        <f>+K2522-((K2522*0.353*0.125)+(K2522*(1-0.353)*0.26))</f>
        <v>4.8913375500000002E-2</v>
      </c>
      <c r="M2522" s="64">
        <f t="shared" si="77"/>
        <v>4.8913375500000002E-2</v>
      </c>
      <c r="N2522" s="33" t="s">
        <v>248</v>
      </c>
    </row>
    <row r="2523" spans="1:14" ht="15">
      <c r="A2523" s="12"/>
      <c r="B2523" s="33" t="s">
        <v>160</v>
      </c>
      <c r="C2523" s="92" t="s">
        <v>338</v>
      </c>
      <c r="D2523" s="33" t="s">
        <v>410</v>
      </c>
      <c r="E2523" s="34">
        <v>45379</v>
      </c>
      <c r="F2523" s="34">
        <v>45384</v>
      </c>
      <c r="G2523" s="34">
        <v>45387</v>
      </c>
      <c r="H2523" s="35">
        <v>0.05</v>
      </c>
      <c r="I2523" s="67">
        <v>6.0400000000000002E-2</v>
      </c>
      <c r="J2523" s="67">
        <v>0</v>
      </c>
      <c r="K2523" s="67">
        <v>6.0400000000000002E-2</v>
      </c>
      <c r="L2523" s="36">
        <f>+K2523-((K2523*0.353*0.125)+(K2523*(1-0.353)*0.26))</f>
        <v>4.7574362000000002E-2</v>
      </c>
      <c r="M2523" s="64">
        <f t="shared" si="77"/>
        <v>4.7574362000000002E-2</v>
      </c>
      <c r="N2523" s="33" t="s">
        <v>248</v>
      </c>
    </row>
    <row r="2524" spans="1:14" ht="15">
      <c r="A2524" s="12"/>
      <c r="B2524" s="33" t="s">
        <v>300</v>
      </c>
      <c r="C2524" s="92" t="s">
        <v>404</v>
      </c>
      <c r="D2524" s="33" t="s">
        <v>410</v>
      </c>
      <c r="E2524" s="34">
        <v>45379</v>
      </c>
      <c r="F2524" s="34">
        <v>45384</v>
      </c>
      <c r="G2524" s="34">
        <v>45387</v>
      </c>
      <c r="H2524" s="35">
        <v>0.05</v>
      </c>
      <c r="I2524" s="67">
        <v>4.7600000000000003E-2</v>
      </c>
      <c r="J2524" s="67">
        <v>0</v>
      </c>
      <c r="K2524" s="67">
        <v>4.7600000000000003E-2</v>
      </c>
      <c r="L2524" s="36">
        <f>+K2524-((K2524*0.353*0.125)+(K2524*(1-0.353)*0.26))</f>
        <v>3.7492378000000007E-2</v>
      </c>
      <c r="M2524" s="64">
        <f t="shared" si="77"/>
        <v>3.7492378000000007E-2</v>
      </c>
      <c r="N2524" s="33" t="s">
        <v>248</v>
      </c>
    </row>
    <row r="2525" spans="1:14" ht="15">
      <c r="A2525" s="12"/>
      <c r="B2525" s="33" t="s">
        <v>142</v>
      </c>
      <c r="C2525" s="92" t="s">
        <v>341</v>
      </c>
      <c r="D2525" s="33" t="s">
        <v>410</v>
      </c>
      <c r="E2525" s="34">
        <v>45379</v>
      </c>
      <c r="F2525" s="34">
        <v>45384</v>
      </c>
      <c r="G2525" s="34">
        <v>45387</v>
      </c>
      <c r="H2525" s="35">
        <v>5.7500000000000002E-2</v>
      </c>
      <c r="I2525" s="67">
        <v>7.5600000000000001E-2</v>
      </c>
      <c r="J2525" s="67">
        <v>0</v>
      </c>
      <c r="K2525" s="67">
        <v>7.5600000000000001E-2</v>
      </c>
      <c r="L2525" s="36">
        <f>+K2525-((K2525*0.027*0.125)+(K2525*(1-0.027)*0.26))</f>
        <v>5.6219562000000001E-2</v>
      </c>
      <c r="M2525" s="64">
        <f t="shared" si="77"/>
        <v>5.6219562000000001E-2</v>
      </c>
      <c r="N2525" s="33" t="s">
        <v>248</v>
      </c>
    </row>
    <row r="2526" spans="1:14" ht="15">
      <c r="A2526" s="12"/>
      <c r="B2526" s="33" t="s">
        <v>159</v>
      </c>
      <c r="C2526" s="92" t="s">
        <v>342</v>
      </c>
      <c r="D2526" s="33" t="s">
        <v>410</v>
      </c>
      <c r="E2526" s="34">
        <v>45379</v>
      </c>
      <c r="F2526" s="34">
        <v>45384</v>
      </c>
      <c r="G2526" s="34">
        <v>45387</v>
      </c>
      <c r="H2526" s="35">
        <v>5.7500000000000002E-2</v>
      </c>
      <c r="I2526" s="67">
        <v>7.3899999999999993E-2</v>
      </c>
      <c r="J2526" s="67">
        <v>0</v>
      </c>
      <c r="K2526" s="67">
        <v>7.3899999999999993E-2</v>
      </c>
      <c r="L2526" s="36">
        <f>+K2526-((K2526*0.027*0.125)+(K2526*(1-0.027)*0.26))</f>
        <v>5.4955365499999992E-2</v>
      </c>
      <c r="M2526" s="64">
        <f t="shared" si="77"/>
        <v>5.4955365499999992E-2</v>
      </c>
      <c r="N2526" s="33" t="s">
        <v>248</v>
      </c>
    </row>
    <row r="2527" spans="1:14" ht="15">
      <c r="A2527" s="12"/>
      <c r="B2527" s="33" t="s">
        <v>507</v>
      </c>
      <c r="C2527" s="92" t="s">
        <v>508</v>
      </c>
      <c r="D2527" s="33" t="s">
        <v>410</v>
      </c>
      <c r="E2527" s="34">
        <v>45379</v>
      </c>
      <c r="F2527" s="34">
        <v>45384</v>
      </c>
      <c r="G2527" s="34">
        <v>45387</v>
      </c>
      <c r="H2527" s="35">
        <v>5.7500000000000002E-2</v>
      </c>
      <c r="I2527" s="67">
        <v>5.9400000000000001E-2</v>
      </c>
      <c r="J2527" s="67">
        <v>0</v>
      </c>
      <c r="K2527" s="67">
        <v>5.9400000000000001E-2</v>
      </c>
      <c r="L2527" s="36">
        <f>+K2527-((K2527*0.027*0.125)+(K2527*(1-0.027)*0.26))</f>
        <v>4.4172512999999997E-2</v>
      </c>
      <c r="M2527" s="64">
        <f t="shared" si="77"/>
        <v>4.4172512999999997E-2</v>
      </c>
      <c r="N2527" s="33" t="s">
        <v>248</v>
      </c>
    </row>
    <row r="2528" spans="1:14" ht="15">
      <c r="A2528" s="12"/>
      <c r="B2528" s="33" t="s">
        <v>139</v>
      </c>
      <c r="C2528" s="92" t="s">
        <v>344</v>
      </c>
      <c r="D2528" s="33" t="s">
        <v>410</v>
      </c>
      <c r="E2528" s="34">
        <v>45379</v>
      </c>
      <c r="F2528" s="34">
        <v>45384</v>
      </c>
      <c r="G2528" s="34">
        <v>45387</v>
      </c>
      <c r="H2528" s="35">
        <v>0.05</v>
      </c>
      <c r="I2528" s="67">
        <v>4.9000000000000002E-2</v>
      </c>
      <c r="J2528" s="67">
        <v>0</v>
      </c>
      <c r="K2528" s="67">
        <v>4.9000000000000002E-2</v>
      </c>
      <c r="L2528" s="36">
        <f>+K2528-((K2528*0.852*0.125)+(K2528*(1-0.852)*0.26))</f>
        <v>4.1895979999999999E-2</v>
      </c>
      <c r="M2528" s="64">
        <f t="shared" si="77"/>
        <v>4.1895979999999999E-2</v>
      </c>
      <c r="N2528" s="33" t="s">
        <v>248</v>
      </c>
    </row>
    <row r="2529" spans="1:14" ht="15">
      <c r="A2529" s="12"/>
      <c r="B2529" s="33" t="s">
        <v>161</v>
      </c>
      <c r="C2529" s="92" t="s">
        <v>345</v>
      </c>
      <c r="D2529" s="33" t="s">
        <v>410</v>
      </c>
      <c r="E2529" s="34">
        <v>45379</v>
      </c>
      <c r="F2529" s="34">
        <v>45384</v>
      </c>
      <c r="G2529" s="34">
        <v>45387</v>
      </c>
      <c r="H2529" s="35">
        <v>0.05</v>
      </c>
      <c r="I2529" s="67">
        <v>4.8000000000000001E-2</v>
      </c>
      <c r="J2529" s="67">
        <v>0</v>
      </c>
      <c r="K2529" s="67">
        <v>4.8000000000000001E-2</v>
      </c>
      <c r="L2529" s="36">
        <f>+K2529-((K2529*0.852*0.125)+(K2529*(1-0.852)*0.26))</f>
        <v>4.1040960000000001E-2</v>
      </c>
      <c r="M2529" s="64">
        <f t="shared" si="77"/>
        <v>4.1040960000000001E-2</v>
      </c>
      <c r="N2529" s="33" t="s">
        <v>248</v>
      </c>
    </row>
    <row r="2530" spans="1:14" ht="15">
      <c r="A2530" s="12"/>
      <c r="B2530" s="33" t="s">
        <v>141</v>
      </c>
      <c r="C2530" s="92" t="s">
        <v>348</v>
      </c>
      <c r="D2530" s="33" t="s">
        <v>410</v>
      </c>
      <c r="E2530" s="34">
        <v>45379</v>
      </c>
      <c r="F2530" s="34">
        <v>45384</v>
      </c>
      <c r="G2530" s="34">
        <v>45387</v>
      </c>
      <c r="H2530" s="35">
        <v>0.05</v>
      </c>
      <c r="I2530" s="67">
        <v>4.4900000000000002E-2</v>
      </c>
      <c r="J2530" s="67">
        <v>0</v>
      </c>
      <c r="K2530" s="67">
        <v>4.4900000000000002E-2</v>
      </c>
      <c r="L2530" s="36">
        <f>+K2530-((K2530*0.0585*0.125)+(K2530*(1-0.0585)*0.26))</f>
        <v>3.3580597750000003E-2</v>
      </c>
      <c r="M2530" s="64">
        <f t="shared" si="77"/>
        <v>3.3580597750000003E-2</v>
      </c>
      <c r="N2530" s="33" t="s">
        <v>248</v>
      </c>
    </row>
    <row r="2531" spans="1:14" ht="15">
      <c r="A2531" s="12"/>
      <c r="B2531" s="33" t="s">
        <v>140</v>
      </c>
      <c r="C2531" s="92" t="s">
        <v>349</v>
      </c>
      <c r="D2531" s="33" t="s">
        <v>410</v>
      </c>
      <c r="E2531" s="34">
        <v>45379</v>
      </c>
      <c r="F2531" s="34">
        <v>45384</v>
      </c>
      <c r="G2531" s="34">
        <v>45387</v>
      </c>
      <c r="H2531" s="35">
        <v>0.05</v>
      </c>
      <c r="I2531" s="67">
        <v>5.3999999999999999E-2</v>
      </c>
      <c r="J2531" s="67">
        <v>0</v>
      </c>
      <c r="K2531" s="67">
        <v>5.3999999999999999E-2</v>
      </c>
      <c r="L2531" s="36">
        <f>+K2531-((K2531*0.0585*0.125)+(K2531*(1-0.0585)*0.26))</f>
        <v>4.0386464999999996E-2</v>
      </c>
      <c r="M2531" s="64">
        <f t="shared" si="77"/>
        <v>4.0386464999999996E-2</v>
      </c>
      <c r="N2531" s="33" t="s">
        <v>248</v>
      </c>
    </row>
    <row r="2532" spans="1:14" ht="15">
      <c r="A2532" s="12"/>
      <c r="B2532" s="33" t="s">
        <v>162</v>
      </c>
      <c r="C2532" s="92" t="s">
        <v>350</v>
      </c>
      <c r="D2532" s="33" t="s">
        <v>410</v>
      </c>
      <c r="E2532" s="34">
        <v>45379</v>
      </c>
      <c r="F2532" s="34">
        <v>45384</v>
      </c>
      <c r="G2532" s="34">
        <v>45387</v>
      </c>
      <c r="H2532" s="35">
        <v>0.05</v>
      </c>
      <c r="I2532" s="67">
        <v>5.2499999999999998E-2</v>
      </c>
      <c r="J2532" s="67">
        <v>0</v>
      </c>
      <c r="K2532" s="67">
        <v>5.2499999999999998E-2</v>
      </c>
      <c r="L2532" s="36">
        <f>+K2532-((K2532*0.0585*0.125)+(K2532*(1-0.0585)*0.26))</f>
        <v>3.9264618749999994E-2</v>
      </c>
      <c r="M2532" s="64">
        <f t="shared" si="77"/>
        <v>3.9264618749999994E-2</v>
      </c>
      <c r="N2532" s="33" t="s">
        <v>248</v>
      </c>
    </row>
    <row r="2533" spans="1:14" ht="15">
      <c r="A2533" s="12"/>
      <c r="B2533" s="33" t="s">
        <v>302</v>
      </c>
      <c r="C2533" s="92" t="s">
        <v>405</v>
      </c>
      <c r="D2533" s="33" t="s">
        <v>410</v>
      </c>
      <c r="E2533" s="34">
        <v>45379</v>
      </c>
      <c r="F2533" s="34">
        <v>45384</v>
      </c>
      <c r="G2533" s="34">
        <v>45387</v>
      </c>
      <c r="H2533" s="35">
        <v>0.05</v>
      </c>
      <c r="I2533" s="67">
        <v>4.6399999999999997E-2</v>
      </c>
      <c r="J2533" s="67">
        <v>0</v>
      </c>
      <c r="K2533" s="67">
        <v>4.6399999999999997E-2</v>
      </c>
      <c r="L2533" s="36">
        <f>+K2533-((K2533*0.0585*0.125)+(K2533*(1-0.0585)*0.26))</f>
        <v>3.4702443999999999E-2</v>
      </c>
      <c r="M2533" s="64">
        <f t="shared" si="77"/>
        <v>3.4702443999999999E-2</v>
      </c>
      <c r="N2533" s="33" t="s">
        <v>248</v>
      </c>
    </row>
    <row r="2534" spans="1:14" ht="15">
      <c r="A2534" s="12"/>
      <c r="B2534" s="33" t="s">
        <v>303</v>
      </c>
      <c r="C2534" s="92" t="s">
        <v>406</v>
      </c>
      <c r="D2534" s="33" t="s">
        <v>410</v>
      </c>
      <c r="E2534" s="34">
        <v>45379</v>
      </c>
      <c r="F2534" s="34">
        <v>45384</v>
      </c>
      <c r="G2534" s="34">
        <v>45387</v>
      </c>
      <c r="H2534" s="35">
        <v>0.05</v>
      </c>
      <c r="I2534" s="67">
        <v>5.0299999999999997E-2</v>
      </c>
      <c r="J2534" s="67">
        <v>0</v>
      </c>
      <c r="K2534" s="67">
        <v>5.0299999999999997E-2</v>
      </c>
      <c r="L2534" s="36">
        <f>+K2534-((K2534*0.0585*0.125)+(K2534*(1-0.0585)*0.26))</f>
        <v>3.7619244249999996E-2</v>
      </c>
      <c r="M2534" s="64">
        <f t="shared" si="77"/>
        <v>3.7619244249999996E-2</v>
      </c>
      <c r="N2534" s="33" t="s">
        <v>248</v>
      </c>
    </row>
    <row r="2535" spans="1:14" ht="15">
      <c r="A2535" s="12"/>
      <c r="B2535" s="33" t="s">
        <v>143</v>
      </c>
      <c r="C2535" s="92" t="s">
        <v>351</v>
      </c>
      <c r="D2535" s="33" t="s">
        <v>410</v>
      </c>
      <c r="E2535" s="34">
        <v>45379</v>
      </c>
      <c r="F2535" s="34">
        <v>45384</v>
      </c>
      <c r="G2535" s="34">
        <v>45387</v>
      </c>
      <c r="H2535" s="35">
        <v>0.03</v>
      </c>
      <c r="I2535" s="67">
        <v>3.2899999999999999E-2</v>
      </c>
      <c r="J2535" s="67">
        <v>0</v>
      </c>
      <c r="K2535" s="67">
        <v>3.2899999999999999E-2</v>
      </c>
      <c r="L2535" s="36">
        <f>+K2535-((K2535*0.474*0.125)+(K2535*(1-0.474)*0.26))</f>
        <v>2.6451270999999998E-2</v>
      </c>
      <c r="M2535" s="64">
        <f t="shared" si="77"/>
        <v>2.6451270999999998E-2</v>
      </c>
      <c r="N2535" s="33" t="s">
        <v>248</v>
      </c>
    </row>
    <row r="2536" spans="1:14" ht="15">
      <c r="A2536" s="12"/>
      <c r="B2536" s="33" t="s">
        <v>145</v>
      </c>
      <c r="C2536" s="92" t="s">
        <v>889</v>
      </c>
      <c r="D2536" s="33" t="s">
        <v>410</v>
      </c>
      <c r="E2536" s="34">
        <v>45379</v>
      </c>
      <c r="F2536" s="34">
        <v>45384</v>
      </c>
      <c r="G2536" s="34">
        <v>45387</v>
      </c>
      <c r="H2536" s="35">
        <v>0.04</v>
      </c>
      <c r="I2536" s="67">
        <v>4.53E-2</v>
      </c>
      <c r="J2536" s="67">
        <v>0</v>
      </c>
      <c r="K2536" s="67">
        <v>4.53E-2</v>
      </c>
      <c r="L2536" s="36">
        <f>+K2536-((K2536*0.062*0.125)+(K2536*(1-0.062)*0.26))</f>
        <v>3.3901160999999999E-2</v>
      </c>
      <c r="M2536" s="64">
        <f t="shared" si="77"/>
        <v>3.3901160999999999E-2</v>
      </c>
      <c r="N2536" s="33" t="s">
        <v>248</v>
      </c>
    </row>
    <row r="2537" spans="1:14" ht="15">
      <c r="A2537" s="12"/>
      <c r="B2537" s="33" t="s">
        <v>144</v>
      </c>
      <c r="C2537" s="92" t="s">
        <v>353</v>
      </c>
      <c r="D2537" s="33" t="s">
        <v>410</v>
      </c>
      <c r="E2537" s="34">
        <v>45379</v>
      </c>
      <c r="F2537" s="34">
        <v>45384</v>
      </c>
      <c r="G2537" s="34">
        <v>45387</v>
      </c>
      <c r="H2537" s="35">
        <v>0.03</v>
      </c>
      <c r="I2537" s="67">
        <v>3.2500000000000001E-2</v>
      </c>
      <c r="J2537" s="67">
        <v>0</v>
      </c>
      <c r="K2537" s="67">
        <v>3.2500000000000001E-2</v>
      </c>
      <c r="L2537" s="36">
        <f>+K2537-((K2537*0.6995*0.125)+(K2537*(1-0.6995)*0.26))</f>
        <v>2.7119056250000002E-2</v>
      </c>
      <c r="M2537" s="64">
        <f t="shared" si="77"/>
        <v>2.7119056250000002E-2</v>
      </c>
      <c r="N2537" s="33" t="s">
        <v>248</v>
      </c>
    </row>
    <row r="2538" spans="1:14" ht="15">
      <c r="A2538" s="12"/>
      <c r="B2538" s="33" t="s">
        <v>148</v>
      </c>
      <c r="C2538" s="92" t="s">
        <v>362</v>
      </c>
      <c r="D2538" s="33" t="s">
        <v>410</v>
      </c>
      <c r="E2538" s="34">
        <v>45379</v>
      </c>
      <c r="F2538" s="34">
        <v>45384</v>
      </c>
      <c r="G2538" s="34">
        <v>45387</v>
      </c>
      <c r="H2538" s="35">
        <v>0.05</v>
      </c>
      <c r="I2538" s="67">
        <v>6.1699999999999998E-2</v>
      </c>
      <c r="J2538" s="67">
        <v>0</v>
      </c>
      <c r="K2538" s="67">
        <v>6.1699999999999998E-2</v>
      </c>
      <c r="L2538" s="36">
        <f>+K2538-((K2538*0.5055*0.125)+(K2538*(1-0.5055)*0.26))</f>
        <v>4.9868562249999998E-2</v>
      </c>
      <c r="M2538" s="64">
        <f t="shared" si="77"/>
        <v>4.9868562249999998E-2</v>
      </c>
      <c r="N2538" s="33" t="s">
        <v>248</v>
      </c>
    </row>
    <row r="2539" spans="1:14" ht="15">
      <c r="A2539" s="12"/>
      <c r="B2539" s="33" t="s">
        <v>200</v>
      </c>
      <c r="C2539" s="92" t="s">
        <v>365</v>
      </c>
      <c r="D2539" s="33" t="s">
        <v>410</v>
      </c>
      <c r="E2539" s="34">
        <v>45379</v>
      </c>
      <c r="F2539" s="34">
        <v>45384</v>
      </c>
      <c r="G2539" s="34">
        <v>45387</v>
      </c>
      <c r="H2539" s="35">
        <v>0.05</v>
      </c>
      <c r="I2539" s="67">
        <v>1.0330999999999999</v>
      </c>
      <c r="J2539" s="67">
        <v>0</v>
      </c>
      <c r="K2539" s="67">
        <v>1.0330999999999999</v>
      </c>
      <c r="L2539" s="36">
        <f>+K2539-((K2539*0.5055*0.125)+(K2539*(1-0.5055)*0.26))</f>
        <v>0.83499532674999988</v>
      </c>
      <c r="M2539" s="64">
        <f t="shared" si="77"/>
        <v>0.83499532674999988</v>
      </c>
      <c r="N2539" s="33" t="s">
        <v>248</v>
      </c>
    </row>
    <row r="2540" spans="1:14" ht="15">
      <c r="A2540" s="12"/>
      <c r="B2540" s="33" t="s">
        <v>173</v>
      </c>
      <c r="C2540" s="92" t="s">
        <v>372</v>
      </c>
      <c r="D2540" s="33" t="s">
        <v>410</v>
      </c>
      <c r="E2540" s="34">
        <v>45379</v>
      </c>
      <c r="F2540" s="34">
        <v>45384</v>
      </c>
      <c r="G2540" s="34">
        <v>45387</v>
      </c>
      <c r="H2540" s="35">
        <v>0.03</v>
      </c>
      <c r="I2540" s="67">
        <v>3.78E-2</v>
      </c>
      <c r="J2540" s="67">
        <v>0</v>
      </c>
      <c r="K2540" s="67">
        <v>3.78E-2</v>
      </c>
      <c r="L2540" s="36">
        <f>+K2540-((K2540*0.3475*0.125)+(K2540*(1-0.3475)*0.26))</f>
        <v>2.9745292499999999E-2</v>
      </c>
      <c r="M2540" s="64">
        <f t="shared" si="77"/>
        <v>2.9745292499999999E-2</v>
      </c>
      <c r="N2540" s="33" t="s">
        <v>248</v>
      </c>
    </row>
    <row r="2541" spans="1:14" ht="15">
      <c r="A2541" s="12"/>
      <c r="B2541" s="33" t="s">
        <v>150</v>
      </c>
      <c r="C2541" s="92" t="s">
        <v>377</v>
      </c>
      <c r="D2541" s="33" t="s">
        <v>410</v>
      </c>
      <c r="E2541" s="34">
        <v>45379</v>
      </c>
      <c r="F2541" s="34">
        <v>45384</v>
      </c>
      <c r="G2541" s="34">
        <v>45387</v>
      </c>
      <c r="H2541" s="35">
        <v>7.4999999999999997E-2</v>
      </c>
      <c r="I2541" s="67">
        <v>8.72E-2</v>
      </c>
      <c r="J2541" s="67">
        <v>7.2967704423734497E-3</v>
      </c>
      <c r="K2541" s="67">
        <v>7.9903229557626548E-2</v>
      </c>
      <c r="L2541" s="36">
        <f>+K2541-((K2541*0.0225*0.125)+(K2541*(1-0.0225)*0.26))</f>
        <v>5.9371095932424935E-2</v>
      </c>
      <c r="M2541" s="64">
        <f t="shared" si="77"/>
        <v>6.6667866374798379E-2</v>
      </c>
      <c r="N2541" s="33" t="s">
        <v>248</v>
      </c>
    </row>
    <row r="2542" spans="1:14" ht="15">
      <c r="A2542" s="12"/>
      <c r="B2542" s="33" t="s">
        <v>510</v>
      </c>
      <c r="C2542" s="92" t="s">
        <v>509</v>
      </c>
      <c r="D2542" s="33" t="s">
        <v>410</v>
      </c>
      <c r="E2542" s="34">
        <v>45379</v>
      </c>
      <c r="F2542" s="34">
        <v>45384</v>
      </c>
      <c r="G2542" s="34">
        <v>45387</v>
      </c>
      <c r="H2542" s="35">
        <v>7.4999999999999997E-2</v>
      </c>
      <c r="I2542" s="67">
        <v>7.6999999999999999E-2</v>
      </c>
      <c r="J2542" s="67">
        <v>4.5838841084981236E-3</v>
      </c>
      <c r="K2542" s="67">
        <v>7.2416115891501875E-2</v>
      </c>
      <c r="L2542" s="36">
        <f>+K2542-((K2542*0.0225*0.125)+(K2542*(1-0.0225)*0.26))</f>
        <v>5.3807889711731824E-2</v>
      </c>
      <c r="M2542" s="64">
        <f t="shared" si="77"/>
        <v>5.8391773820229947E-2</v>
      </c>
      <c r="N2542" s="33" t="s">
        <v>248</v>
      </c>
    </row>
    <row r="2543" spans="1:14" ht="15">
      <c r="A2543" s="12"/>
      <c r="B2543" s="33" t="s">
        <v>441</v>
      </c>
      <c r="C2543" s="92" t="s">
        <v>444</v>
      </c>
      <c r="D2543" s="33" t="s">
        <v>410</v>
      </c>
      <c r="E2543" s="34">
        <v>45379</v>
      </c>
      <c r="F2543" s="34">
        <v>45384</v>
      </c>
      <c r="G2543" s="34">
        <v>45387</v>
      </c>
      <c r="H2543" s="35">
        <v>0.04</v>
      </c>
      <c r="I2543" s="67">
        <v>4.2700000000000002E-2</v>
      </c>
      <c r="J2543" s="67">
        <v>0</v>
      </c>
      <c r="K2543" s="67">
        <v>4.2700000000000002E-2</v>
      </c>
      <c r="L2543" s="36">
        <f>+K2543-((K2543*0.2055*0.125)+(K2543*(1-0.2055)*0.26))</f>
        <v>3.278260475E-2</v>
      </c>
      <c r="M2543" s="64">
        <f t="shared" si="77"/>
        <v>3.278260475E-2</v>
      </c>
      <c r="N2543" s="33" t="s">
        <v>248</v>
      </c>
    </row>
    <row r="2544" spans="1:14" ht="15">
      <c r="A2544" s="12"/>
      <c r="B2544" s="33" t="s">
        <v>440</v>
      </c>
      <c r="C2544" s="92" t="s">
        <v>443</v>
      </c>
      <c r="D2544" s="33" t="s">
        <v>410</v>
      </c>
      <c r="E2544" s="34">
        <v>45379</v>
      </c>
      <c r="F2544" s="34">
        <v>45384</v>
      </c>
      <c r="G2544" s="34">
        <v>45387</v>
      </c>
      <c r="H2544" s="35">
        <v>0.04</v>
      </c>
      <c r="I2544" s="67">
        <v>0.87919999999999998</v>
      </c>
      <c r="J2544" s="67">
        <v>0</v>
      </c>
      <c r="K2544" s="67">
        <v>0.87919999999999998</v>
      </c>
      <c r="L2544" s="36">
        <f>+K2544-((K2544*0.2055*0.125)+(K2544*(1-0.2055)*0.26))</f>
        <v>0.67499920599999996</v>
      </c>
      <c r="M2544" s="64">
        <f t="shared" si="77"/>
        <v>0.67499920599999996</v>
      </c>
      <c r="N2544" s="33" t="s">
        <v>248</v>
      </c>
    </row>
    <row r="2545" spans="1:14" ht="15">
      <c r="A2545" s="12"/>
      <c r="B2545" s="33" t="s">
        <v>299</v>
      </c>
      <c r="C2545" s="92" t="s">
        <v>517</v>
      </c>
      <c r="D2545" s="33" t="s">
        <v>410</v>
      </c>
      <c r="E2545" s="34">
        <v>45379</v>
      </c>
      <c r="F2545" s="34">
        <v>45384</v>
      </c>
      <c r="G2545" s="34">
        <v>45387</v>
      </c>
      <c r="H2545" s="35">
        <v>0.03</v>
      </c>
      <c r="I2545" s="67">
        <v>3.39E-2</v>
      </c>
      <c r="J2545" s="67">
        <v>0</v>
      </c>
      <c r="K2545" s="67">
        <v>3.39E-2</v>
      </c>
      <c r="L2545" s="36">
        <f>+K2545-((K2545*0.421*0.125)+(K2545*(1-0.421)*0.26))</f>
        <v>2.7012706500000001E-2</v>
      </c>
      <c r="M2545" s="64">
        <f t="shared" si="77"/>
        <v>2.7012706500000001E-2</v>
      </c>
      <c r="N2545" s="33" t="s">
        <v>248</v>
      </c>
    </row>
    <row r="2546" spans="1:14" ht="15">
      <c r="A2546" s="12"/>
      <c r="B2546" s="33" t="s">
        <v>182</v>
      </c>
      <c r="C2546" s="92" t="s">
        <v>477</v>
      </c>
      <c r="D2546" s="33" t="s">
        <v>410</v>
      </c>
      <c r="E2546" s="34">
        <v>45379</v>
      </c>
      <c r="F2546" s="34">
        <v>45384</v>
      </c>
      <c r="G2546" s="34">
        <v>45387</v>
      </c>
      <c r="H2546" s="35">
        <v>0.03</v>
      </c>
      <c r="I2546" s="67">
        <v>0.65820000000000001</v>
      </c>
      <c r="J2546" s="67">
        <v>0</v>
      </c>
      <c r="K2546" s="67">
        <v>0.65820000000000001</v>
      </c>
      <c r="L2546" s="36">
        <f>+K2546-((K2546*0.421*0.125)+(K2546*(1-0.421)*0.26))</f>
        <v>0.52447679699999994</v>
      </c>
      <c r="M2546" s="64">
        <f t="shared" si="77"/>
        <v>0.52447679699999994</v>
      </c>
      <c r="N2546" s="33" t="s">
        <v>248</v>
      </c>
    </row>
    <row r="2547" spans="1:14" ht="15">
      <c r="A2547" s="12"/>
      <c r="B2547" s="33" t="s">
        <v>202</v>
      </c>
      <c r="C2547" s="92" t="s">
        <v>478</v>
      </c>
      <c r="D2547" s="33" t="s">
        <v>410</v>
      </c>
      <c r="E2547" s="34">
        <v>45379</v>
      </c>
      <c r="F2547" s="34">
        <v>45384</v>
      </c>
      <c r="G2547" s="34">
        <v>45387</v>
      </c>
      <c r="H2547" s="35">
        <v>0.03</v>
      </c>
      <c r="I2547" s="67">
        <v>0.67610000000000003</v>
      </c>
      <c r="J2547" s="67">
        <v>0</v>
      </c>
      <c r="K2547" s="67">
        <v>0.67610000000000003</v>
      </c>
      <c r="L2547" s="36">
        <f>+K2547-((K2547*0.421*0.125)+(K2547*(1-0.421)*0.26))</f>
        <v>0.5387401435000001</v>
      </c>
      <c r="M2547" s="64">
        <f t="shared" si="77"/>
        <v>0.5387401435000001</v>
      </c>
      <c r="N2547" s="33" t="s">
        <v>248</v>
      </c>
    </row>
    <row r="2548" spans="1:14" ht="15">
      <c r="A2548" s="12"/>
      <c r="B2548" s="33" t="s">
        <v>146</v>
      </c>
      <c r="C2548" s="92" t="s">
        <v>380</v>
      </c>
      <c r="D2548" s="33" t="s">
        <v>410</v>
      </c>
      <c r="E2548" s="34">
        <v>45379</v>
      </c>
      <c r="F2548" s="34">
        <v>45384</v>
      </c>
      <c r="G2548" s="34">
        <v>45387</v>
      </c>
      <c r="H2548" s="35">
        <v>4.4999999999999998E-2</v>
      </c>
      <c r="I2548" s="67">
        <v>6.0900000000000003E-2</v>
      </c>
      <c r="J2548" s="67">
        <v>0</v>
      </c>
      <c r="K2548" s="67">
        <v>6.0900000000000003E-2</v>
      </c>
      <c r="L2548" s="36">
        <f>+K2548-((K2548*0.0175*0.125)+(K2548*(1-0.0175)*0.26))</f>
        <v>4.5209876250000003E-2</v>
      </c>
      <c r="M2548" s="64">
        <f t="shared" si="77"/>
        <v>4.5209876250000003E-2</v>
      </c>
      <c r="N2548" s="33" t="s">
        <v>248</v>
      </c>
    </row>
    <row r="2549" spans="1:14" ht="15">
      <c r="A2549" s="12"/>
      <c r="B2549" s="33" t="s">
        <v>163</v>
      </c>
      <c r="C2549" s="92" t="s">
        <v>381</v>
      </c>
      <c r="D2549" s="33" t="s">
        <v>410</v>
      </c>
      <c r="E2549" s="34">
        <v>45379</v>
      </c>
      <c r="F2549" s="34">
        <v>45384</v>
      </c>
      <c r="G2549" s="34">
        <v>45387</v>
      </c>
      <c r="H2549" s="35">
        <v>4.4999999999999998E-2</v>
      </c>
      <c r="I2549" s="67">
        <v>5.3999999999999999E-2</v>
      </c>
      <c r="J2549" s="67">
        <v>0</v>
      </c>
      <c r="K2549" s="67">
        <v>5.3999999999999999E-2</v>
      </c>
      <c r="L2549" s="36">
        <f>+K2549-((K2549*0.0175*0.125)+(K2549*(1-0.0175)*0.26))</f>
        <v>4.0087575E-2</v>
      </c>
      <c r="M2549" s="64">
        <f t="shared" si="77"/>
        <v>4.0087575E-2</v>
      </c>
      <c r="N2549" s="33" t="s">
        <v>248</v>
      </c>
    </row>
    <row r="2550" spans="1:14" ht="15">
      <c r="A2550" s="12"/>
      <c r="B2550" s="33" t="s">
        <v>151</v>
      </c>
      <c r="C2550" s="92" t="s">
        <v>383</v>
      </c>
      <c r="D2550" s="33" t="s">
        <v>410</v>
      </c>
      <c r="E2550" s="34">
        <v>45379</v>
      </c>
      <c r="F2550" s="34">
        <v>45384</v>
      </c>
      <c r="G2550" s="34">
        <v>45387</v>
      </c>
      <c r="H2550" s="35">
        <v>4.4999999999999998E-2</v>
      </c>
      <c r="I2550" s="67">
        <v>4.82E-2</v>
      </c>
      <c r="J2550" s="67">
        <v>0</v>
      </c>
      <c r="K2550" s="67">
        <v>4.82E-2</v>
      </c>
      <c r="L2550" s="36">
        <f>+K2550-((K2550*0.015*0.125)+(K2550*(1-0.015)*0.26))</f>
        <v>3.5765604999999999E-2</v>
      </c>
      <c r="M2550" s="64">
        <f t="shared" si="77"/>
        <v>3.5765604999999999E-2</v>
      </c>
      <c r="N2550" s="33" t="s">
        <v>248</v>
      </c>
    </row>
    <row r="2551" spans="1:14" ht="15">
      <c r="A2551" s="12"/>
      <c r="B2551" s="33" t="s">
        <v>166</v>
      </c>
      <c r="C2551" s="92" t="s">
        <v>384</v>
      </c>
      <c r="D2551" s="33" t="s">
        <v>410</v>
      </c>
      <c r="E2551" s="34">
        <v>45379</v>
      </c>
      <c r="F2551" s="34">
        <v>45384</v>
      </c>
      <c r="G2551" s="34">
        <v>45387</v>
      </c>
      <c r="H2551" s="35">
        <v>4.4999999999999998E-2</v>
      </c>
      <c r="I2551" s="67">
        <v>4.7199999999999999E-2</v>
      </c>
      <c r="J2551" s="67">
        <v>0</v>
      </c>
      <c r="K2551" s="67">
        <v>4.7199999999999999E-2</v>
      </c>
      <c r="L2551" s="36">
        <f>+K2551-((K2551*0.015*0.125)+(K2551*(1-0.015)*0.26))</f>
        <v>3.5023579999999999E-2</v>
      </c>
      <c r="M2551" s="64">
        <f t="shared" si="77"/>
        <v>3.5023579999999999E-2</v>
      </c>
      <c r="N2551" s="33" t="s">
        <v>248</v>
      </c>
    </row>
    <row r="2552" spans="1:14" ht="15">
      <c r="A2552" s="12"/>
      <c r="B2552" s="33" t="s">
        <v>149</v>
      </c>
      <c r="C2552" s="92" t="s">
        <v>386</v>
      </c>
      <c r="D2552" s="33" t="s">
        <v>410</v>
      </c>
      <c r="E2552" s="34">
        <v>45379</v>
      </c>
      <c r="F2552" s="34">
        <v>45384</v>
      </c>
      <c r="G2552" s="34">
        <v>45387</v>
      </c>
      <c r="H2552" s="35">
        <v>7.2499999999999995E-2</v>
      </c>
      <c r="I2552" s="67">
        <v>9.2600000000000002E-2</v>
      </c>
      <c r="J2552" s="67">
        <v>0</v>
      </c>
      <c r="K2552" s="67">
        <v>9.2600000000000002E-2</v>
      </c>
      <c r="L2552" s="36">
        <f>+K2552-((K2552*0.042*0.125)+(K2552*(1-0.042)*0.26))</f>
        <v>6.9049042000000005E-2</v>
      </c>
      <c r="M2552" s="64">
        <f t="shared" si="77"/>
        <v>6.9049042000000005E-2</v>
      </c>
      <c r="N2552" s="33" t="s">
        <v>248</v>
      </c>
    </row>
    <row r="2553" spans="1:14" ht="15">
      <c r="A2553" s="12"/>
      <c r="B2553" s="33" t="s">
        <v>165</v>
      </c>
      <c r="C2553" s="92" t="s">
        <v>387</v>
      </c>
      <c r="D2553" s="33" t="s">
        <v>410</v>
      </c>
      <c r="E2553" s="34">
        <v>45379</v>
      </c>
      <c r="F2553" s="34">
        <v>45384</v>
      </c>
      <c r="G2553" s="34">
        <v>45387</v>
      </c>
      <c r="H2553" s="35">
        <v>7.2499999999999995E-2</v>
      </c>
      <c r="I2553" s="67">
        <v>8.5300000000000001E-2</v>
      </c>
      <c r="J2553" s="67">
        <v>0</v>
      </c>
      <c r="K2553" s="67">
        <v>8.5300000000000001E-2</v>
      </c>
      <c r="L2553" s="36">
        <f>+K2553-((K2553*0.042*0.125)+(K2553*(1-0.042)*0.26))</f>
        <v>6.3605650999999999E-2</v>
      </c>
      <c r="M2553" s="64">
        <f t="shared" ref="M2553:M2616" si="78">J2553+L2553</f>
        <v>6.3605650999999999E-2</v>
      </c>
      <c r="N2553" s="33" t="s">
        <v>248</v>
      </c>
    </row>
    <row r="2554" spans="1:14" ht="15">
      <c r="A2554" s="12"/>
      <c r="B2554" s="33" t="s">
        <v>153</v>
      </c>
      <c r="C2554" s="92" t="s">
        <v>873</v>
      </c>
      <c r="D2554" s="33" t="s">
        <v>410</v>
      </c>
      <c r="E2554" s="34">
        <v>45379</v>
      </c>
      <c r="F2554" s="34">
        <v>45384</v>
      </c>
      <c r="G2554" s="34">
        <v>45387</v>
      </c>
      <c r="H2554" s="35">
        <v>5.3499999999999999E-2</v>
      </c>
      <c r="I2554" s="67">
        <v>5.4600000000000003E-2</v>
      </c>
      <c r="J2554" s="67">
        <v>0</v>
      </c>
      <c r="K2554" s="67">
        <v>5.4600000000000003E-2</v>
      </c>
      <c r="L2554" s="36">
        <f>+K2554-((K2554*0.26*0.125)+(K2554*(1-0.26)*0.26))</f>
        <v>4.2320460000000004E-2</v>
      </c>
      <c r="M2554" s="64">
        <f t="shared" si="78"/>
        <v>4.2320460000000004E-2</v>
      </c>
      <c r="N2554" s="33" t="s">
        <v>248</v>
      </c>
    </row>
    <row r="2555" spans="1:14" ht="15">
      <c r="A2555" s="12"/>
      <c r="B2555" s="33" t="s">
        <v>152</v>
      </c>
      <c r="C2555" s="92" t="s">
        <v>874</v>
      </c>
      <c r="D2555" s="33" t="s">
        <v>410</v>
      </c>
      <c r="E2555" s="34">
        <v>45379</v>
      </c>
      <c r="F2555" s="34">
        <v>45384</v>
      </c>
      <c r="G2555" s="34">
        <v>45387</v>
      </c>
      <c r="H2555" s="35">
        <v>5.3499999999999999E-2</v>
      </c>
      <c r="I2555" s="67">
        <v>8.0600000000000005E-2</v>
      </c>
      <c r="J2555" s="67">
        <v>0</v>
      </c>
      <c r="K2555" s="67">
        <v>8.0600000000000005E-2</v>
      </c>
      <c r="L2555" s="36">
        <f>+K2555-((K2555*0.26*0.125)+(K2555*(1-0.26)*0.26))</f>
        <v>6.2473060000000004E-2</v>
      </c>
      <c r="M2555" s="64">
        <f t="shared" si="78"/>
        <v>6.2473060000000004E-2</v>
      </c>
      <c r="N2555" s="33" t="s">
        <v>248</v>
      </c>
    </row>
    <row r="2556" spans="1:14" ht="15">
      <c r="A2556" s="12"/>
      <c r="B2556" s="33" t="s">
        <v>167</v>
      </c>
      <c r="C2556" s="92" t="s">
        <v>875</v>
      </c>
      <c r="D2556" s="33" t="s">
        <v>410</v>
      </c>
      <c r="E2556" s="34">
        <v>45379</v>
      </c>
      <c r="F2556" s="34">
        <v>45384</v>
      </c>
      <c r="G2556" s="34">
        <v>45387</v>
      </c>
      <c r="H2556" s="35">
        <v>5.3499999999999999E-2</v>
      </c>
      <c r="I2556" s="67">
        <v>7.5800000000000006E-2</v>
      </c>
      <c r="J2556" s="67">
        <v>0</v>
      </c>
      <c r="K2556" s="67">
        <v>7.5800000000000006E-2</v>
      </c>
      <c r="L2556" s="36">
        <f>+K2556-((K2556*0.26*0.125)+(K2556*(1-0.26)*0.26))</f>
        <v>5.8752580000000006E-2</v>
      </c>
      <c r="M2556" s="64">
        <f t="shared" si="78"/>
        <v>5.8752580000000006E-2</v>
      </c>
      <c r="N2556" s="33" t="s">
        <v>248</v>
      </c>
    </row>
    <row r="2557" spans="1:14" ht="15">
      <c r="A2557" s="12"/>
      <c r="B2557" s="33" t="s">
        <v>301</v>
      </c>
      <c r="C2557" s="92" t="s">
        <v>876</v>
      </c>
      <c r="D2557" s="33" t="s">
        <v>410</v>
      </c>
      <c r="E2557" s="34">
        <v>45379</v>
      </c>
      <c r="F2557" s="34">
        <v>45384</v>
      </c>
      <c r="G2557" s="34">
        <v>45387</v>
      </c>
      <c r="H2557" s="35">
        <v>5.3499999999999999E-2</v>
      </c>
      <c r="I2557" s="67">
        <v>6.0100000000000001E-2</v>
      </c>
      <c r="J2557" s="67">
        <v>0</v>
      </c>
      <c r="K2557" s="67">
        <v>6.0100000000000001E-2</v>
      </c>
      <c r="L2557" s="36">
        <f>+K2557-((K2557*0.26*0.125)+(K2557*(1-0.26)*0.26))</f>
        <v>4.6583510000000002E-2</v>
      </c>
      <c r="M2557" s="64">
        <f t="shared" si="78"/>
        <v>4.6583510000000002E-2</v>
      </c>
      <c r="N2557" s="33" t="s">
        <v>248</v>
      </c>
    </row>
    <row r="2558" spans="1:14" ht="15">
      <c r="A2558" s="12"/>
      <c r="B2558" s="33" t="s">
        <v>304</v>
      </c>
      <c r="C2558" s="92" t="s">
        <v>885</v>
      </c>
      <c r="D2558" s="33" t="s">
        <v>410</v>
      </c>
      <c r="E2558" s="34">
        <v>45379</v>
      </c>
      <c r="F2558" s="34">
        <v>45384</v>
      </c>
      <c r="G2558" s="34">
        <v>45387</v>
      </c>
      <c r="H2558" s="35">
        <v>4.7500000000000001E-2</v>
      </c>
      <c r="I2558" s="67">
        <v>4.7600000000000003E-2</v>
      </c>
      <c r="J2558" s="67">
        <v>0</v>
      </c>
      <c r="K2558" s="67">
        <v>4.7600000000000003E-2</v>
      </c>
      <c r="L2558" s="36">
        <f>+K2558-((K2558*0.3*0.125)+(K2558*(1-0.3)*0.26))</f>
        <v>3.7151799999999999E-2</v>
      </c>
      <c r="M2558" s="64">
        <f t="shared" si="78"/>
        <v>3.7151799999999999E-2</v>
      </c>
      <c r="N2558" s="33" t="s">
        <v>248</v>
      </c>
    </row>
    <row r="2559" spans="1:14" ht="15">
      <c r="A2559" s="12"/>
      <c r="B2559" s="33" t="s">
        <v>183</v>
      </c>
      <c r="C2559" s="92" t="s">
        <v>886</v>
      </c>
      <c r="D2559" s="33" t="s">
        <v>410</v>
      </c>
      <c r="E2559" s="34">
        <v>45379</v>
      </c>
      <c r="F2559" s="34">
        <v>45384</v>
      </c>
      <c r="G2559" s="34">
        <v>45387</v>
      </c>
      <c r="H2559" s="35">
        <v>4.7500000000000001E-2</v>
      </c>
      <c r="I2559" s="67">
        <v>4.7500000000000001E-2</v>
      </c>
      <c r="J2559" s="67">
        <v>0</v>
      </c>
      <c r="K2559" s="67">
        <v>4.7500000000000001E-2</v>
      </c>
      <c r="L2559" s="36">
        <f>+K2559-((K2559*0.3*0.125)+(K2559*(1-0.3)*0.26))</f>
        <v>3.7073750000000003E-2</v>
      </c>
      <c r="M2559" s="64">
        <f t="shared" si="78"/>
        <v>3.7073750000000003E-2</v>
      </c>
      <c r="N2559" s="33" t="s">
        <v>248</v>
      </c>
    </row>
    <row r="2560" spans="1:14" ht="15">
      <c r="A2560" s="12"/>
      <c r="B2560" s="33" t="s">
        <v>305</v>
      </c>
      <c r="C2560" s="92" t="s">
        <v>887</v>
      </c>
      <c r="D2560" s="33" t="s">
        <v>410</v>
      </c>
      <c r="E2560" s="34">
        <v>45379</v>
      </c>
      <c r="F2560" s="34">
        <v>45384</v>
      </c>
      <c r="G2560" s="34">
        <v>45387</v>
      </c>
      <c r="H2560" s="35">
        <v>4.7500000000000001E-2</v>
      </c>
      <c r="I2560" s="67">
        <v>4.8399999999999999E-2</v>
      </c>
      <c r="J2560" s="67">
        <v>0</v>
      </c>
      <c r="K2560" s="67">
        <v>4.8399999999999999E-2</v>
      </c>
      <c r="L2560" s="36">
        <f>+K2560-((K2560*0.3*0.125)+(K2560*(1-0.3)*0.26))</f>
        <v>3.7776199999999996E-2</v>
      </c>
      <c r="M2560" s="64">
        <f t="shared" si="78"/>
        <v>3.7776199999999996E-2</v>
      </c>
      <c r="N2560" s="33" t="s">
        <v>248</v>
      </c>
    </row>
    <row r="2561" spans="1:14" ht="15">
      <c r="A2561" s="12"/>
      <c r="B2561" s="33" t="s">
        <v>147</v>
      </c>
      <c r="C2561" s="92" t="s">
        <v>466</v>
      </c>
      <c r="D2561" s="33" t="s">
        <v>410</v>
      </c>
      <c r="E2561" s="34">
        <v>45379</v>
      </c>
      <c r="F2561" s="34">
        <v>45384</v>
      </c>
      <c r="G2561" s="34">
        <v>45387</v>
      </c>
      <c r="H2561" s="35">
        <v>0.05</v>
      </c>
      <c r="I2561" s="67">
        <v>5.8799999999999998E-2</v>
      </c>
      <c r="J2561" s="67">
        <v>0</v>
      </c>
      <c r="K2561" s="67">
        <v>5.8799999999999998E-2</v>
      </c>
      <c r="L2561" s="36">
        <f>+K2561-((K2561*0.114*0.125)+(K2561*(1-0.114)*0.26))</f>
        <v>4.4416931999999999E-2</v>
      </c>
      <c r="M2561" s="64">
        <f t="shared" si="78"/>
        <v>4.4416931999999999E-2</v>
      </c>
      <c r="N2561" s="33" t="s">
        <v>248</v>
      </c>
    </row>
    <row r="2562" spans="1:14" ht="15">
      <c r="A2562" s="12"/>
      <c r="B2562" s="33" t="s">
        <v>164</v>
      </c>
      <c r="C2562" s="92" t="s">
        <v>467</v>
      </c>
      <c r="D2562" s="33" t="s">
        <v>410</v>
      </c>
      <c r="E2562" s="34">
        <v>45379</v>
      </c>
      <c r="F2562" s="34">
        <v>45384</v>
      </c>
      <c r="G2562" s="34">
        <v>45387</v>
      </c>
      <c r="H2562" s="35">
        <v>0.05</v>
      </c>
      <c r="I2562" s="67">
        <v>5.4399999999999997E-2</v>
      </c>
      <c r="J2562" s="67">
        <v>0</v>
      </c>
      <c r="K2562" s="67">
        <v>5.4399999999999997E-2</v>
      </c>
      <c r="L2562" s="36">
        <f>+K2562-((K2562*0.114*0.125)+(K2562*(1-0.114)*0.26))</f>
        <v>4.1093216000000002E-2</v>
      </c>
      <c r="M2562" s="64">
        <f t="shared" si="78"/>
        <v>4.1093216000000002E-2</v>
      </c>
      <c r="N2562" s="33" t="s">
        <v>248</v>
      </c>
    </row>
    <row r="2563" spans="1:14" ht="15">
      <c r="A2563" s="12"/>
      <c r="B2563" s="33" t="s">
        <v>132</v>
      </c>
      <c r="C2563" s="92" t="s">
        <v>358</v>
      </c>
      <c r="D2563" s="33" t="s">
        <v>410</v>
      </c>
      <c r="E2563" s="34">
        <v>45406</v>
      </c>
      <c r="F2563" s="34">
        <v>45407</v>
      </c>
      <c r="G2563" s="34">
        <v>45412</v>
      </c>
      <c r="H2563" s="35">
        <v>4.4999999999999998E-2</v>
      </c>
      <c r="I2563" s="67">
        <v>4.9399999999999999E-2</v>
      </c>
      <c r="J2563" s="67">
        <v>0</v>
      </c>
      <c r="K2563" s="67">
        <v>4.9399999999999999E-2</v>
      </c>
      <c r="L2563" s="36">
        <f>+K2563-((K2563*0.25*0.125)+(K2563*(1-0.25)*0.26))</f>
        <v>3.822325E-2</v>
      </c>
      <c r="M2563" s="64">
        <f t="shared" si="78"/>
        <v>3.822325E-2</v>
      </c>
      <c r="N2563" s="33" t="s">
        <v>249</v>
      </c>
    </row>
    <row r="2564" spans="1:14" ht="15">
      <c r="A2564" s="12"/>
      <c r="B2564" s="33" t="s">
        <v>227</v>
      </c>
      <c r="C2564" s="92" t="s">
        <v>359</v>
      </c>
      <c r="D2564" s="33" t="s">
        <v>410</v>
      </c>
      <c r="E2564" s="34">
        <v>45406</v>
      </c>
      <c r="F2564" s="34">
        <v>45407</v>
      </c>
      <c r="G2564" s="34">
        <v>45412</v>
      </c>
      <c r="H2564" s="35">
        <v>4.4999999999999998E-2</v>
      </c>
      <c r="I2564" s="67">
        <v>4.87E-2</v>
      </c>
      <c r="J2564" s="67">
        <v>0</v>
      </c>
      <c r="K2564" s="67">
        <v>4.87E-2</v>
      </c>
      <c r="L2564" s="36">
        <f>+K2564-((K2564*0.25*0.125)+(K2564*(1-0.25)*0.26))</f>
        <v>3.7681624999999996E-2</v>
      </c>
      <c r="M2564" s="64">
        <f t="shared" si="78"/>
        <v>3.7681624999999996E-2</v>
      </c>
      <c r="N2564" s="33" t="s">
        <v>249</v>
      </c>
    </row>
    <row r="2565" spans="1:14" ht="15">
      <c r="A2565" s="12"/>
      <c r="B2565" s="33" t="s">
        <v>133</v>
      </c>
      <c r="C2565" s="92" t="s">
        <v>857</v>
      </c>
      <c r="D2565" s="33" t="s">
        <v>410</v>
      </c>
      <c r="E2565" s="34">
        <v>45406</v>
      </c>
      <c r="F2565" s="34">
        <v>45407</v>
      </c>
      <c r="G2565" s="34">
        <v>45412</v>
      </c>
      <c r="H2565" s="35">
        <v>3.5000000000000003E-2</v>
      </c>
      <c r="I2565" s="67">
        <v>4.4900000000000002E-2</v>
      </c>
      <c r="J2565" s="67">
        <v>9.0266000000000027E-3</v>
      </c>
      <c r="K2565" s="67">
        <v>3.58734E-2</v>
      </c>
      <c r="L2565" s="36">
        <f>+K2565-((K2565*0.002*0.125)+(K2565*(1-0.002)*0.26))</f>
        <v>2.6556001818E-2</v>
      </c>
      <c r="M2565" s="64">
        <f t="shared" si="78"/>
        <v>3.5582601818000006E-2</v>
      </c>
      <c r="N2565" s="33" t="s">
        <v>249</v>
      </c>
    </row>
    <row r="2566" spans="1:14" ht="15">
      <c r="A2566" s="12"/>
      <c r="B2566" s="33" t="s">
        <v>134</v>
      </c>
      <c r="C2566" s="92" t="s">
        <v>374</v>
      </c>
      <c r="D2566" s="33" t="s">
        <v>410</v>
      </c>
      <c r="E2566" s="34">
        <v>45406</v>
      </c>
      <c r="F2566" s="34">
        <v>45407</v>
      </c>
      <c r="G2566" s="34">
        <v>45412</v>
      </c>
      <c r="H2566" s="35">
        <v>5.5E-2</v>
      </c>
      <c r="I2566" s="67">
        <v>6.7199999999999996E-2</v>
      </c>
      <c r="J2566" s="67">
        <v>0</v>
      </c>
      <c r="K2566" s="67">
        <v>6.7199999999999996E-2</v>
      </c>
      <c r="L2566" s="36">
        <f>+K2566-((K2566*0.223*0.125)+(K2566*(1-0.223)*0.26))</f>
        <v>5.1751055999999997E-2</v>
      </c>
      <c r="M2566" s="64">
        <f t="shared" si="78"/>
        <v>5.1751055999999997E-2</v>
      </c>
      <c r="N2566" s="33" t="s">
        <v>249</v>
      </c>
    </row>
    <row r="2567" spans="1:14" ht="15">
      <c r="A2567" s="12"/>
      <c r="B2567" s="33" t="s">
        <v>168</v>
      </c>
      <c r="C2567" s="92" t="s">
        <v>376</v>
      </c>
      <c r="D2567" s="33" t="s">
        <v>410</v>
      </c>
      <c r="E2567" s="34">
        <v>45406</v>
      </c>
      <c r="F2567" s="34">
        <v>45407</v>
      </c>
      <c r="G2567" s="34">
        <v>45412</v>
      </c>
      <c r="H2567" s="35">
        <v>5.5E-2</v>
      </c>
      <c r="I2567" s="67">
        <v>5.2499999999999998E-2</v>
      </c>
      <c r="J2567" s="67">
        <v>0</v>
      </c>
      <c r="K2567" s="67">
        <v>5.2499999999999998E-2</v>
      </c>
      <c r="L2567" s="36">
        <f>+K2567-((K2567*0.223*0.125)+(K2567*(1-0.223)*0.26))</f>
        <v>4.0430512500000002E-2</v>
      </c>
      <c r="M2567" s="64">
        <f t="shared" si="78"/>
        <v>4.0430512500000002E-2</v>
      </c>
      <c r="N2567" s="33" t="s">
        <v>249</v>
      </c>
    </row>
    <row r="2568" spans="1:14" ht="15">
      <c r="A2568" s="12"/>
      <c r="B2568" s="33" t="s">
        <v>136</v>
      </c>
      <c r="C2568" s="92" t="s">
        <v>867</v>
      </c>
      <c r="D2568" s="33" t="s">
        <v>410</v>
      </c>
      <c r="E2568" s="34">
        <v>45406</v>
      </c>
      <c r="F2568" s="34">
        <v>45407</v>
      </c>
      <c r="G2568" s="34">
        <v>45412</v>
      </c>
      <c r="H2568" s="35">
        <v>0.04</v>
      </c>
      <c r="I2568" s="67">
        <v>4.8599999999999997E-2</v>
      </c>
      <c r="J2568" s="67">
        <v>0</v>
      </c>
      <c r="K2568" s="67">
        <v>4.8599999999999997E-2</v>
      </c>
      <c r="L2568" s="36">
        <f t="shared" ref="L2568:L2573" si="79">+K2568-((K2568*0.17*0.125)+(K2568*(1-0.17)*0.26))</f>
        <v>3.707937E-2</v>
      </c>
      <c r="M2568" s="64">
        <f t="shared" si="78"/>
        <v>3.707937E-2</v>
      </c>
      <c r="N2568" s="33" t="s">
        <v>249</v>
      </c>
    </row>
    <row r="2569" spans="1:14" ht="15">
      <c r="A2569" s="12"/>
      <c r="B2569" s="33" t="s">
        <v>137</v>
      </c>
      <c r="C2569" s="92" t="s">
        <v>868</v>
      </c>
      <c r="D2569" s="33" t="s">
        <v>410</v>
      </c>
      <c r="E2569" s="34">
        <v>45406</v>
      </c>
      <c r="F2569" s="34">
        <v>45407</v>
      </c>
      <c r="G2569" s="34">
        <v>45412</v>
      </c>
      <c r="H2569" s="35">
        <v>0.05</v>
      </c>
      <c r="I2569" s="67">
        <v>6.6500000000000004E-2</v>
      </c>
      <c r="J2569" s="67">
        <v>0</v>
      </c>
      <c r="K2569" s="67">
        <v>6.6500000000000004E-2</v>
      </c>
      <c r="L2569" s="36">
        <f t="shared" si="79"/>
        <v>5.0736175000000001E-2</v>
      </c>
      <c r="M2569" s="64">
        <f t="shared" si="78"/>
        <v>5.0736175000000001E-2</v>
      </c>
      <c r="N2569" s="33" t="s">
        <v>249</v>
      </c>
    </row>
    <row r="2570" spans="1:14" ht="15">
      <c r="A2570" s="12"/>
      <c r="B2570" s="33" t="s">
        <v>135</v>
      </c>
      <c r="C2570" s="92" t="s">
        <v>869</v>
      </c>
      <c r="D2570" s="33" t="s">
        <v>410</v>
      </c>
      <c r="E2570" s="34">
        <v>45406</v>
      </c>
      <c r="F2570" s="34">
        <v>45407</v>
      </c>
      <c r="G2570" s="34">
        <v>45412</v>
      </c>
      <c r="H2570" s="35">
        <v>5.7500000000000002E-2</v>
      </c>
      <c r="I2570" s="67">
        <v>7.5399999999999995E-2</v>
      </c>
      <c r="J2570" s="67">
        <v>0</v>
      </c>
      <c r="K2570" s="67">
        <v>7.5399999999999995E-2</v>
      </c>
      <c r="L2570" s="36">
        <f t="shared" si="79"/>
        <v>5.7526429999999996E-2</v>
      </c>
      <c r="M2570" s="64">
        <f t="shared" si="78"/>
        <v>5.7526429999999996E-2</v>
      </c>
      <c r="N2570" s="33" t="s">
        <v>249</v>
      </c>
    </row>
    <row r="2571" spans="1:14" ht="15">
      <c r="A2571" s="12"/>
      <c r="B2571" s="33" t="s">
        <v>170</v>
      </c>
      <c r="C2571" s="92" t="s">
        <v>870</v>
      </c>
      <c r="D2571" s="33" t="s">
        <v>410</v>
      </c>
      <c r="E2571" s="34">
        <v>45406</v>
      </c>
      <c r="F2571" s="34">
        <v>45407</v>
      </c>
      <c r="G2571" s="34">
        <v>45412</v>
      </c>
      <c r="H2571" s="35">
        <v>0.04</v>
      </c>
      <c r="I2571" s="67">
        <v>4.7199999999999999E-2</v>
      </c>
      <c r="J2571" s="67">
        <v>0</v>
      </c>
      <c r="K2571" s="67">
        <v>4.7199999999999999E-2</v>
      </c>
      <c r="L2571" s="36">
        <f t="shared" si="79"/>
        <v>3.601124E-2</v>
      </c>
      <c r="M2571" s="64">
        <f t="shared" si="78"/>
        <v>3.601124E-2</v>
      </c>
      <c r="N2571" s="33" t="s">
        <v>249</v>
      </c>
    </row>
    <row r="2572" spans="1:14" ht="15">
      <c r="A2572" s="12"/>
      <c r="B2572" s="33" t="s">
        <v>171</v>
      </c>
      <c r="C2572" s="92" t="s">
        <v>871</v>
      </c>
      <c r="D2572" s="33" t="s">
        <v>410</v>
      </c>
      <c r="E2572" s="34">
        <v>45406</v>
      </c>
      <c r="F2572" s="34">
        <v>45407</v>
      </c>
      <c r="G2572" s="34">
        <v>45412</v>
      </c>
      <c r="H2572" s="35">
        <v>0.05</v>
      </c>
      <c r="I2572" s="67">
        <v>6.3899999999999998E-2</v>
      </c>
      <c r="J2572" s="67">
        <v>0</v>
      </c>
      <c r="K2572" s="67">
        <v>6.3899999999999998E-2</v>
      </c>
      <c r="L2572" s="36">
        <f t="shared" si="79"/>
        <v>4.8752505000000002E-2</v>
      </c>
      <c r="M2572" s="64">
        <f t="shared" si="78"/>
        <v>4.8752505000000002E-2</v>
      </c>
      <c r="N2572" s="33" t="s">
        <v>249</v>
      </c>
    </row>
    <row r="2573" spans="1:14" ht="15">
      <c r="A2573" s="12"/>
      <c r="B2573" s="33" t="s">
        <v>172</v>
      </c>
      <c r="C2573" s="92" t="s">
        <v>872</v>
      </c>
      <c r="D2573" s="33" t="s">
        <v>410</v>
      </c>
      <c r="E2573" s="34">
        <v>45406</v>
      </c>
      <c r="F2573" s="34">
        <v>45407</v>
      </c>
      <c r="G2573" s="34">
        <v>45412</v>
      </c>
      <c r="H2573" s="35">
        <v>5.7500000000000002E-2</v>
      </c>
      <c r="I2573" s="67">
        <v>7.2900000000000006E-2</v>
      </c>
      <c r="J2573" s="67">
        <v>0</v>
      </c>
      <c r="K2573" s="67">
        <v>7.2900000000000006E-2</v>
      </c>
      <c r="L2573" s="36">
        <f t="shared" si="79"/>
        <v>5.5619055000000008E-2</v>
      </c>
      <c r="M2573" s="64">
        <f t="shared" si="78"/>
        <v>5.5619055000000008E-2</v>
      </c>
      <c r="N2573" s="33" t="s">
        <v>249</v>
      </c>
    </row>
    <row r="2574" spans="1:14" ht="15">
      <c r="A2574" s="12"/>
      <c r="B2574" s="33" t="s">
        <v>169</v>
      </c>
      <c r="C2574" s="92" t="s">
        <v>400</v>
      </c>
      <c r="D2574" s="33" t="s">
        <v>410</v>
      </c>
      <c r="E2574" s="34">
        <v>45406</v>
      </c>
      <c r="F2574" s="34">
        <v>45407</v>
      </c>
      <c r="G2574" s="34">
        <v>45412</v>
      </c>
      <c r="H2574" s="35">
        <v>6.5000000000000002E-2</v>
      </c>
      <c r="I2574" s="67">
        <v>5.96E-2</v>
      </c>
      <c r="J2574" s="67">
        <v>0</v>
      </c>
      <c r="K2574" s="67">
        <v>5.96E-2</v>
      </c>
      <c r="L2574" s="36">
        <f>+K2574-((K2574*0.101*0.125)+(K2574*(1-0.101)*0.26))</f>
        <v>4.4916645999999998E-2</v>
      </c>
      <c r="M2574" s="64">
        <f t="shared" si="78"/>
        <v>4.4916645999999998E-2</v>
      </c>
      <c r="N2574" s="33" t="s">
        <v>249</v>
      </c>
    </row>
    <row r="2575" spans="1:14" ht="15">
      <c r="A2575" s="12"/>
      <c r="B2575" s="33" t="s">
        <v>310</v>
      </c>
      <c r="C2575" s="92" t="s">
        <v>719</v>
      </c>
      <c r="D2575" s="33" t="s">
        <v>411</v>
      </c>
      <c r="E2575" s="34">
        <v>45412</v>
      </c>
      <c r="F2575" s="34">
        <v>45414</v>
      </c>
      <c r="G2575" s="34">
        <v>45419</v>
      </c>
      <c r="H2575" s="35">
        <v>0.05</v>
      </c>
      <c r="I2575" s="67">
        <v>1.43E-2</v>
      </c>
      <c r="J2575" s="67">
        <v>0</v>
      </c>
      <c r="K2575" s="67">
        <v>1.43E-2</v>
      </c>
      <c r="L2575" s="36">
        <f>+K2575-((K2575*0.0575*0.125)+(K2575*(1-0.0575)*0.26))</f>
        <v>1.0693003749999999E-2</v>
      </c>
      <c r="M2575" s="64">
        <f t="shared" si="78"/>
        <v>1.0693003749999999E-2</v>
      </c>
      <c r="N2575" s="33" t="s">
        <v>718</v>
      </c>
    </row>
    <row r="2576" spans="1:14" ht="15">
      <c r="A2576" s="12"/>
      <c r="B2576" s="33" t="s">
        <v>188</v>
      </c>
      <c r="C2576" s="92" t="s">
        <v>720</v>
      </c>
      <c r="D2576" s="33" t="s">
        <v>411</v>
      </c>
      <c r="E2576" s="34">
        <v>45412</v>
      </c>
      <c r="F2576" s="34">
        <v>45414</v>
      </c>
      <c r="G2576" s="34">
        <v>45419</v>
      </c>
      <c r="H2576" s="35">
        <v>0.05</v>
      </c>
      <c r="I2576" s="67">
        <v>0.24859999999999999</v>
      </c>
      <c r="J2576" s="67">
        <v>0</v>
      </c>
      <c r="K2576" s="67">
        <v>0.24859999999999999</v>
      </c>
      <c r="L2576" s="36">
        <f>+K2576-((K2576*0.0575*0.125)+(K2576*(1-0.0575)*0.26))</f>
        <v>0.18589375749999998</v>
      </c>
      <c r="M2576" s="64">
        <f t="shared" si="78"/>
        <v>0.18589375749999998</v>
      </c>
      <c r="N2576" s="33" t="s">
        <v>718</v>
      </c>
    </row>
    <row r="2577" spans="1:14" ht="15">
      <c r="A2577" s="12"/>
      <c r="B2577" s="33" t="s">
        <v>196</v>
      </c>
      <c r="C2577" s="92" t="s">
        <v>721</v>
      </c>
      <c r="D2577" s="33" t="s">
        <v>411</v>
      </c>
      <c r="E2577" s="34">
        <v>45412</v>
      </c>
      <c r="F2577" s="34">
        <v>45414</v>
      </c>
      <c r="G2577" s="34">
        <v>45419</v>
      </c>
      <c r="H2577" s="35">
        <v>0.05</v>
      </c>
      <c r="I2577" s="67">
        <v>0.26240000000000002</v>
      </c>
      <c r="J2577" s="67">
        <v>0</v>
      </c>
      <c r="K2577" s="67">
        <v>0.26240000000000002</v>
      </c>
      <c r="L2577" s="36">
        <f>+K2577-((K2577*0.0575*0.125)+(K2577*(1-0.0575)*0.26))</f>
        <v>0.19621288000000001</v>
      </c>
      <c r="M2577" s="64">
        <f t="shared" si="78"/>
        <v>0.19621288000000001</v>
      </c>
      <c r="N2577" s="33" t="s">
        <v>718</v>
      </c>
    </row>
    <row r="2578" spans="1:14" ht="15">
      <c r="A2578" s="12"/>
      <c r="B2578" s="33" t="s">
        <v>191</v>
      </c>
      <c r="C2578" s="92" t="s">
        <v>722</v>
      </c>
      <c r="D2578" s="33" t="s">
        <v>411</v>
      </c>
      <c r="E2578" s="34">
        <v>45412</v>
      </c>
      <c r="F2578" s="34">
        <v>45414</v>
      </c>
      <c r="G2578" s="34">
        <v>45419</v>
      </c>
      <c r="H2578" s="35">
        <v>0.05</v>
      </c>
      <c r="I2578" s="67">
        <v>1.5100000000000001E-2</v>
      </c>
      <c r="J2578" s="67">
        <v>0</v>
      </c>
      <c r="K2578" s="67">
        <v>1.5100000000000001E-2</v>
      </c>
      <c r="L2578" s="36">
        <f>+K2578-((K2578*0.852*0.125)+(K2578*(1-0.852)*0.26))</f>
        <v>1.2910802000000001E-2</v>
      </c>
      <c r="M2578" s="64">
        <f t="shared" si="78"/>
        <v>1.2910802000000001E-2</v>
      </c>
      <c r="N2578" s="33" t="s">
        <v>718</v>
      </c>
    </row>
    <row r="2579" spans="1:14" ht="15">
      <c r="A2579" s="12"/>
      <c r="B2579" s="33" t="s">
        <v>199</v>
      </c>
      <c r="C2579" s="92" t="s">
        <v>723</v>
      </c>
      <c r="D2579" s="33" t="s">
        <v>411</v>
      </c>
      <c r="E2579" s="34">
        <v>45412</v>
      </c>
      <c r="F2579" s="34">
        <v>45414</v>
      </c>
      <c r="G2579" s="34">
        <v>45419</v>
      </c>
      <c r="H2579" s="35">
        <v>0.05</v>
      </c>
      <c r="I2579" s="67">
        <v>1.52E-2</v>
      </c>
      <c r="J2579" s="67">
        <v>0</v>
      </c>
      <c r="K2579" s="67">
        <v>1.52E-2</v>
      </c>
      <c r="L2579" s="36">
        <f>+K2579-((K2579*0.852*0.125)+(K2579*(1-0.852)*0.26))</f>
        <v>1.2996304E-2</v>
      </c>
      <c r="M2579" s="64">
        <f t="shared" si="78"/>
        <v>1.2996304E-2</v>
      </c>
      <c r="N2579" s="33" t="s">
        <v>718</v>
      </c>
    </row>
    <row r="2580" spans="1:14" ht="15">
      <c r="A2580" s="12"/>
      <c r="B2580" s="33" t="s">
        <v>306</v>
      </c>
      <c r="C2580" s="92" t="s">
        <v>724</v>
      </c>
      <c r="D2580" s="33" t="s">
        <v>411</v>
      </c>
      <c r="E2580" s="34">
        <v>45412</v>
      </c>
      <c r="F2580" s="34">
        <v>45414</v>
      </c>
      <c r="G2580" s="34">
        <v>45419</v>
      </c>
      <c r="H2580" s="35">
        <v>7.0000000000000007E-2</v>
      </c>
      <c r="I2580" s="67">
        <v>2.4899999999999999E-2</v>
      </c>
      <c r="J2580" s="67">
        <v>0</v>
      </c>
      <c r="K2580" s="67">
        <v>2.4899999999999999E-2</v>
      </c>
      <c r="L2580" s="36">
        <f>+K2580-((K2580*0.04*0.125)+(K2580*(1-0.04)*0.26))</f>
        <v>1.8560460000000001E-2</v>
      </c>
      <c r="M2580" s="64">
        <f t="shared" si="78"/>
        <v>1.8560460000000001E-2</v>
      </c>
      <c r="N2580" s="33" t="s">
        <v>718</v>
      </c>
    </row>
    <row r="2581" spans="1:14" ht="15">
      <c r="A2581" s="12"/>
      <c r="B2581" s="33" t="s">
        <v>184</v>
      </c>
      <c r="C2581" s="92" t="s">
        <v>725</v>
      </c>
      <c r="D2581" s="33" t="s">
        <v>411</v>
      </c>
      <c r="E2581" s="34">
        <v>45412</v>
      </c>
      <c r="F2581" s="34">
        <v>45414</v>
      </c>
      <c r="G2581" s="34">
        <v>45419</v>
      </c>
      <c r="H2581" s="35">
        <v>7.0000000000000007E-2</v>
      </c>
      <c r="I2581" s="67">
        <v>0.49859999999999999</v>
      </c>
      <c r="J2581" s="67">
        <v>0</v>
      </c>
      <c r="K2581" s="67">
        <v>0.49859999999999999</v>
      </c>
      <c r="L2581" s="36">
        <f>+K2581-((K2581*0.04*0.125)+(K2581*(1-0.04)*0.26))</f>
        <v>0.37165643999999998</v>
      </c>
      <c r="M2581" s="64">
        <f t="shared" si="78"/>
        <v>0.37165643999999998</v>
      </c>
      <c r="N2581" s="33" t="s">
        <v>718</v>
      </c>
    </row>
    <row r="2582" spans="1:14" ht="15">
      <c r="A2582" s="12"/>
      <c r="B2582" s="33" t="s">
        <v>192</v>
      </c>
      <c r="C2582" s="92" t="s">
        <v>726</v>
      </c>
      <c r="D2582" s="33" t="s">
        <v>411</v>
      </c>
      <c r="E2582" s="34">
        <v>45412</v>
      </c>
      <c r="F2582" s="34">
        <v>45414</v>
      </c>
      <c r="G2582" s="34">
        <v>45419</v>
      </c>
      <c r="H2582" s="35">
        <v>7.0000000000000007E-2</v>
      </c>
      <c r="I2582" s="67">
        <v>0.51080000000000003</v>
      </c>
      <c r="J2582" s="67">
        <v>0</v>
      </c>
      <c r="K2582" s="67">
        <v>0.51080000000000003</v>
      </c>
      <c r="L2582" s="36">
        <f>+K2582-((K2582*0.04*0.125)+(K2582*(1-0.04)*0.26))</f>
        <v>0.38075032000000003</v>
      </c>
      <c r="M2582" s="64">
        <f t="shared" si="78"/>
        <v>0.38075032000000003</v>
      </c>
      <c r="N2582" s="33" t="s">
        <v>718</v>
      </c>
    </row>
    <row r="2583" spans="1:14" ht="15">
      <c r="A2583" s="12"/>
      <c r="B2583" s="33" t="s">
        <v>311</v>
      </c>
      <c r="C2583" s="92" t="s">
        <v>727</v>
      </c>
      <c r="D2583" s="33" t="s">
        <v>411</v>
      </c>
      <c r="E2583" s="34">
        <v>45412</v>
      </c>
      <c r="F2583" s="34">
        <v>45414</v>
      </c>
      <c r="G2583" s="34">
        <v>45419</v>
      </c>
      <c r="H2583" s="35">
        <v>0.06</v>
      </c>
      <c r="I2583" s="67">
        <v>2.3199999999999998E-2</v>
      </c>
      <c r="J2583" s="67">
        <v>0</v>
      </c>
      <c r="K2583" s="67">
        <v>2.3199999999999998E-2</v>
      </c>
      <c r="L2583" s="36">
        <f>+K2583-((K2583*0.01*0.125)+(K2583*(1-0.01)*0.26))</f>
        <v>1.7199319999999997E-2</v>
      </c>
      <c r="M2583" s="64">
        <f t="shared" si="78"/>
        <v>1.7199319999999997E-2</v>
      </c>
      <c r="N2583" s="33" t="s">
        <v>718</v>
      </c>
    </row>
    <row r="2584" spans="1:14" ht="15">
      <c r="A2584" s="12"/>
      <c r="B2584" s="33" t="s">
        <v>189</v>
      </c>
      <c r="C2584" s="92" t="s">
        <v>728</v>
      </c>
      <c r="D2584" s="33" t="s">
        <v>411</v>
      </c>
      <c r="E2584" s="34">
        <v>45412</v>
      </c>
      <c r="F2584" s="34">
        <v>45414</v>
      </c>
      <c r="G2584" s="34">
        <v>45419</v>
      </c>
      <c r="H2584" s="35">
        <v>0.06</v>
      </c>
      <c r="I2584" s="67">
        <v>0.4229</v>
      </c>
      <c r="J2584" s="67">
        <v>0</v>
      </c>
      <c r="K2584" s="67">
        <v>0.4229</v>
      </c>
      <c r="L2584" s="36">
        <f>+K2584-((K2584*0.01*0.125)+(K2584*(1-0.01)*0.26))</f>
        <v>0.31351691500000001</v>
      </c>
      <c r="M2584" s="64">
        <f t="shared" si="78"/>
        <v>0.31351691500000001</v>
      </c>
      <c r="N2584" s="33" t="s">
        <v>718</v>
      </c>
    </row>
    <row r="2585" spans="1:14" ht="15">
      <c r="A2585" s="12"/>
      <c r="B2585" s="33" t="s">
        <v>197</v>
      </c>
      <c r="C2585" s="92" t="s">
        <v>729</v>
      </c>
      <c r="D2585" s="33" t="s">
        <v>411</v>
      </c>
      <c r="E2585" s="34">
        <v>45412</v>
      </c>
      <c r="F2585" s="34">
        <v>45414</v>
      </c>
      <c r="G2585" s="34">
        <v>45419</v>
      </c>
      <c r="H2585" s="35">
        <v>0.06</v>
      </c>
      <c r="I2585" s="67">
        <v>0.43669999999999998</v>
      </c>
      <c r="J2585" s="67">
        <v>0</v>
      </c>
      <c r="K2585" s="67">
        <v>0.43669999999999998</v>
      </c>
      <c r="L2585" s="36">
        <f>+K2585-((K2585*0.01*0.125)+(K2585*(1-0.01)*0.26))</f>
        <v>0.32374754499999997</v>
      </c>
      <c r="M2585" s="64">
        <f t="shared" si="78"/>
        <v>0.32374754499999997</v>
      </c>
      <c r="N2585" s="33" t="s">
        <v>718</v>
      </c>
    </row>
    <row r="2586" spans="1:14" ht="15">
      <c r="A2586" s="12"/>
      <c r="B2586" s="33" t="s">
        <v>308</v>
      </c>
      <c r="C2586" s="92" t="s">
        <v>730</v>
      </c>
      <c r="D2586" s="33" t="s">
        <v>411</v>
      </c>
      <c r="E2586" s="34">
        <v>45412</v>
      </c>
      <c r="F2586" s="34">
        <v>45414</v>
      </c>
      <c r="G2586" s="34">
        <v>45419</v>
      </c>
      <c r="H2586" s="35">
        <v>0.05</v>
      </c>
      <c r="I2586" s="67">
        <v>1.7100000000000001E-2</v>
      </c>
      <c r="J2586" s="67">
        <v>0</v>
      </c>
      <c r="K2586" s="67">
        <v>1.7100000000000001E-2</v>
      </c>
      <c r="L2586" s="36">
        <f>+K2586-((K2586*0.5055*0.125)+(K2586*(1-0.5055)*0.26))</f>
        <v>1.382094675E-2</v>
      </c>
      <c r="M2586" s="64">
        <f t="shared" si="78"/>
        <v>1.382094675E-2</v>
      </c>
      <c r="N2586" s="33" t="s">
        <v>718</v>
      </c>
    </row>
    <row r="2587" spans="1:14" ht="15">
      <c r="A2587" s="12"/>
      <c r="B2587" s="33" t="s">
        <v>186</v>
      </c>
      <c r="C2587" s="92" t="s">
        <v>731</v>
      </c>
      <c r="D2587" s="33" t="s">
        <v>411</v>
      </c>
      <c r="E2587" s="34">
        <v>45412</v>
      </c>
      <c r="F2587" s="34">
        <v>45414</v>
      </c>
      <c r="G2587" s="34">
        <v>45419</v>
      </c>
      <c r="H2587" s="35">
        <v>0.05</v>
      </c>
      <c r="I2587" s="67">
        <v>0.3135</v>
      </c>
      <c r="J2587" s="67">
        <v>0</v>
      </c>
      <c r="K2587" s="67">
        <v>0.3135</v>
      </c>
      <c r="L2587" s="36">
        <f>+K2587-((K2587*0.5055*0.125)+(K2587*(1-0.5055)*0.26))</f>
        <v>0.25338402375000002</v>
      </c>
      <c r="M2587" s="64">
        <f t="shared" si="78"/>
        <v>0.25338402375000002</v>
      </c>
      <c r="N2587" s="33" t="s">
        <v>718</v>
      </c>
    </row>
    <row r="2588" spans="1:14" ht="15">
      <c r="A2588" s="12"/>
      <c r="B2588" s="33" t="s">
        <v>194</v>
      </c>
      <c r="C2588" s="92" t="s">
        <v>732</v>
      </c>
      <c r="D2588" s="33" t="s">
        <v>411</v>
      </c>
      <c r="E2588" s="34">
        <v>45412</v>
      </c>
      <c r="F2588" s="34">
        <v>45414</v>
      </c>
      <c r="G2588" s="34">
        <v>45419</v>
      </c>
      <c r="H2588" s="35">
        <v>0.05</v>
      </c>
      <c r="I2588" s="67">
        <v>0.32579999999999998</v>
      </c>
      <c r="J2588" s="67">
        <v>0</v>
      </c>
      <c r="K2588" s="67">
        <v>0.32579999999999998</v>
      </c>
      <c r="L2588" s="36">
        <f>+K2588-((K2588*0.5055*0.125)+(K2588*(1-0.5055)*0.26))</f>
        <v>0.26332540649999997</v>
      </c>
      <c r="M2588" s="64">
        <f t="shared" si="78"/>
        <v>0.26332540649999997</v>
      </c>
      <c r="N2588" s="33" t="s">
        <v>718</v>
      </c>
    </row>
    <row r="2589" spans="1:14" ht="15">
      <c r="A2589" s="12"/>
      <c r="B2589" s="33" t="s">
        <v>307</v>
      </c>
      <c r="C2589" s="92" t="s">
        <v>733</v>
      </c>
      <c r="D2589" s="33" t="s">
        <v>411</v>
      </c>
      <c r="E2589" s="34">
        <v>45412</v>
      </c>
      <c r="F2589" s="34">
        <v>45414</v>
      </c>
      <c r="G2589" s="34">
        <v>45419</v>
      </c>
      <c r="H2589" s="35">
        <v>0.04</v>
      </c>
      <c r="I2589" s="67">
        <v>1.2E-2</v>
      </c>
      <c r="J2589" s="67">
        <v>0</v>
      </c>
      <c r="K2589" s="67">
        <v>1.2E-2</v>
      </c>
      <c r="L2589" s="36">
        <f>+K2589-((K2589*0.6005*0.125)+(K2589*(1-0.6005)*0.26))</f>
        <v>9.85281E-3</v>
      </c>
      <c r="M2589" s="64">
        <f t="shared" si="78"/>
        <v>9.85281E-3</v>
      </c>
      <c r="N2589" s="33" t="s">
        <v>718</v>
      </c>
    </row>
    <row r="2590" spans="1:14" ht="15">
      <c r="A2590" s="12"/>
      <c r="B2590" s="33" t="s">
        <v>185</v>
      </c>
      <c r="C2590" s="92" t="s">
        <v>734</v>
      </c>
      <c r="D2590" s="33" t="s">
        <v>411</v>
      </c>
      <c r="E2590" s="34">
        <v>45412</v>
      </c>
      <c r="F2590" s="34">
        <v>45414</v>
      </c>
      <c r="G2590" s="34">
        <v>45419</v>
      </c>
      <c r="H2590" s="35">
        <v>0.04</v>
      </c>
      <c r="I2590" s="67">
        <v>0.19789999999999999</v>
      </c>
      <c r="J2590" s="67">
        <v>0</v>
      </c>
      <c r="K2590" s="67">
        <v>0.19789999999999999</v>
      </c>
      <c r="L2590" s="36">
        <f>+K2590-((K2590*0.6005*0.125)+(K2590*(1-0.6005)*0.26))</f>
        <v>0.16248925824999999</v>
      </c>
      <c r="M2590" s="64">
        <f t="shared" si="78"/>
        <v>0.16248925824999999</v>
      </c>
      <c r="N2590" s="33" t="s">
        <v>718</v>
      </c>
    </row>
    <row r="2591" spans="1:14" ht="15">
      <c r="A2591" s="12"/>
      <c r="B2591" s="33" t="s">
        <v>193</v>
      </c>
      <c r="C2591" s="92" t="s">
        <v>735</v>
      </c>
      <c r="D2591" s="33" t="s">
        <v>411</v>
      </c>
      <c r="E2591" s="34">
        <v>45412</v>
      </c>
      <c r="F2591" s="34">
        <v>45414</v>
      </c>
      <c r="G2591" s="34">
        <v>45419</v>
      </c>
      <c r="H2591" s="35">
        <v>0.04</v>
      </c>
      <c r="I2591" s="67">
        <v>0.1966</v>
      </c>
      <c r="J2591" s="67">
        <v>0</v>
      </c>
      <c r="K2591" s="67">
        <v>0.1966</v>
      </c>
      <c r="L2591" s="36">
        <f>+K2591-((K2591*0.6005*0.125)+(K2591*(1-0.6005)*0.26))</f>
        <v>0.16142187050000001</v>
      </c>
      <c r="M2591" s="64">
        <f t="shared" si="78"/>
        <v>0.16142187050000001</v>
      </c>
      <c r="N2591" s="33" t="s">
        <v>718</v>
      </c>
    </row>
    <row r="2592" spans="1:14" ht="15">
      <c r="A2592" s="12"/>
      <c r="B2592" s="33" t="s">
        <v>309</v>
      </c>
      <c r="C2592" s="92" t="s">
        <v>736</v>
      </c>
      <c r="D2592" s="33" t="s">
        <v>411</v>
      </c>
      <c r="E2592" s="34">
        <v>45412</v>
      </c>
      <c r="F2592" s="34">
        <v>45414</v>
      </c>
      <c r="G2592" s="34">
        <v>45419</v>
      </c>
      <c r="H2592" s="35">
        <v>5.5E-2</v>
      </c>
      <c r="I2592" s="67">
        <v>1.84E-2</v>
      </c>
      <c r="J2592" s="67">
        <v>0</v>
      </c>
      <c r="K2592" s="67">
        <v>1.84E-2</v>
      </c>
      <c r="L2592" s="36">
        <f>+K2592-((K2592*0.056*0.125)+(K2592*(1-0.056)*0.26))</f>
        <v>1.3755104000000001E-2</v>
      </c>
      <c r="M2592" s="64">
        <f t="shared" si="78"/>
        <v>1.3755104000000001E-2</v>
      </c>
      <c r="N2592" s="33" t="s">
        <v>718</v>
      </c>
    </row>
    <row r="2593" spans="1:14" ht="15">
      <c r="A2593" s="12"/>
      <c r="B2593" s="33" t="s">
        <v>187</v>
      </c>
      <c r="C2593" s="92" t="s">
        <v>737</v>
      </c>
      <c r="D2593" s="33" t="s">
        <v>411</v>
      </c>
      <c r="E2593" s="34">
        <v>45412</v>
      </c>
      <c r="F2593" s="34">
        <v>45414</v>
      </c>
      <c r="G2593" s="34">
        <v>45419</v>
      </c>
      <c r="H2593" s="35">
        <v>5.5E-2</v>
      </c>
      <c r="I2593" s="67">
        <v>0.3231</v>
      </c>
      <c r="J2593" s="67">
        <v>0</v>
      </c>
      <c r="K2593" s="67">
        <v>0.3231</v>
      </c>
      <c r="L2593" s="36">
        <f>+K2593-((K2593*0.056*0.125)+(K2593*(1-0.056)*0.26))</f>
        <v>0.241536636</v>
      </c>
      <c r="M2593" s="64">
        <f t="shared" si="78"/>
        <v>0.241536636</v>
      </c>
      <c r="N2593" s="33" t="s">
        <v>718</v>
      </c>
    </row>
    <row r="2594" spans="1:14" ht="15">
      <c r="A2594" s="12"/>
      <c r="B2594" s="33" t="s">
        <v>195</v>
      </c>
      <c r="C2594" s="92" t="s">
        <v>738</v>
      </c>
      <c r="D2594" s="33" t="s">
        <v>411</v>
      </c>
      <c r="E2594" s="34">
        <v>45412</v>
      </c>
      <c r="F2594" s="34">
        <v>45414</v>
      </c>
      <c r="G2594" s="34">
        <v>45419</v>
      </c>
      <c r="H2594" s="35">
        <v>5.5E-2</v>
      </c>
      <c r="I2594" s="67">
        <v>0.33889999999999998</v>
      </c>
      <c r="J2594" s="67">
        <v>0</v>
      </c>
      <c r="K2594" s="67">
        <v>0.33889999999999998</v>
      </c>
      <c r="L2594" s="36">
        <f>+K2594-((K2594*0.056*0.125)+(K2594*(1-0.056)*0.26))</f>
        <v>0.25334808399999997</v>
      </c>
      <c r="M2594" s="64">
        <f t="shared" si="78"/>
        <v>0.25334808399999997</v>
      </c>
      <c r="N2594" s="33" t="s">
        <v>718</v>
      </c>
    </row>
    <row r="2595" spans="1:14" ht="15">
      <c r="A2595" s="12"/>
      <c r="B2595" s="33" t="s">
        <v>312</v>
      </c>
      <c r="C2595" s="92" t="s">
        <v>739</v>
      </c>
      <c r="D2595" s="33" t="s">
        <v>411</v>
      </c>
      <c r="E2595" s="34">
        <v>45412</v>
      </c>
      <c r="F2595" s="34">
        <v>45414</v>
      </c>
      <c r="G2595" s="34">
        <v>45419</v>
      </c>
      <c r="H2595" s="35">
        <v>7.2499999999999995E-2</v>
      </c>
      <c r="I2595" s="67">
        <v>2.2499999999999999E-2</v>
      </c>
      <c r="J2595" s="67">
        <v>0</v>
      </c>
      <c r="K2595" s="67">
        <v>2.2499999999999999E-2</v>
      </c>
      <c r="L2595" s="36">
        <f>+K2595-((K2595*0.0000000000001*0.125)+(K2595*(1-0.0000000000001)*0.26))</f>
        <v>1.6650000000000303E-2</v>
      </c>
      <c r="M2595" s="64">
        <f t="shared" si="78"/>
        <v>1.6650000000000303E-2</v>
      </c>
      <c r="N2595" s="33" t="s">
        <v>718</v>
      </c>
    </row>
    <row r="2596" spans="1:14" ht="15">
      <c r="A2596" s="12"/>
      <c r="B2596" s="33" t="s">
        <v>190</v>
      </c>
      <c r="C2596" s="92" t="s">
        <v>740</v>
      </c>
      <c r="D2596" s="33" t="s">
        <v>411</v>
      </c>
      <c r="E2596" s="34">
        <v>45412</v>
      </c>
      <c r="F2596" s="34">
        <v>45414</v>
      </c>
      <c r="G2596" s="34">
        <v>45419</v>
      </c>
      <c r="H2596" s="35">
        <v>7.2499999999999995E-2</v>
      </c>
      <c r="I2596" s="67">
        <v>0.42409999999999998</v>
      </c>
      <c r="J2596" s="67">
        <v>0</v>
      </c>
      <c r="K2596" s="67">
        <v>0.42409999999999998</v>
      </c>
      <c r="L2596" s="36">
        <f>+K2596-((K2596*0.0000000000001*0.125)+(K2596*(1-0.0000000000001)*0.26))</f>
        <v>0.31383400000000572</v>
      </c>
      <c r="M2596" s="64">
        <f t="shared" si="78"/>
        <v>0.31383400000000572</v>
      </c>
      <c r="N2596" s="33" t="s">
        <v>718</v>
      </c>
    </row>
    <row r="2597" spans="1:14" ht="15">
      <c r="A2597" s="12"/>
      <c r="B2597" s="33" t="s">
        <v>198</v>
      </c>
      <c r="C2597" s="92" t="s">
        <v>741</v>
      </c>
      <c r="D2597" s="33" t="s">
        <v>411</v>
      </c>
      <c r="E2597" s="34">
        <v>45412</v>
      </c>
      <c r="F2597" s="34">
        <v>45414</v>
      </c>
      <c r="G2597" s="34">
        <v>45419</v>
      </c>
      <c r="H2597" s="35">
        <v>7.2499999999999995E-2</v>
      </c>
      <c r="I2597" s="67">
        <v>0.43080000000000002</v>
      </c>
      <c r="J2597" s="67">
        <v>0</v>
      </c>
      <c r="K2597" s="67">
        <v>0.43080000000000002</v>
      </c>
      <c r="L2597" s="36">
        <f>+K2597-((K2597*0.0000000000001*0.125)+(K2597*(1-0.0000000000001)*0.26))</f>
        <v>0.31879200000000585</v>
      </c>
      <c r="M2597" s="64">
        <f t="shared" si="78"/>
        <v>0.31879200000000585</v>
      </c>
      <c r="N2597" s="33" t="s">
        <v>718</v>
      </c>
    </row>
    <row r="2598" spans="1:14" ht="15">
      <c r="A2598" s="12"/>
      <c r="B2598" s="33" t="s">
        <v>313</v>
      </c>
      <c r="C2598" s="92" t="s">
        <v>884</v>
      </c>
      <c r="D2598" s="33" t="s">
        <v>411</v>
      </c>
      <c r="E2598" s="34">
        <v>45412</v>
      </c>
      <c r="F2598" s="34">
        <v>45414</v>
      </c>
      <c r="G2598" s="34">
        <v>45419</v>
      </c>
      <c r="H2598" s="35">
        <v>4.7500000000000001E-2</v>
      </c>
      <c r="I2598" s="67">
        <v>1.61E-2</v>
      </c>
      <c r="J2598" s="67">
        <v>0</v>
      </c>
      <c r="K2598" s="67">
        <v>1.61E-2</v>
      </c>
      <c r="L2598" s="36">
        <f>+K2598-((K2598*0.3*0.125)+(K2598*(1-0.3)*0.26))</f>
        <v>1.2566049999999999E-2</v>
      </c>
      <c r="M2598" s="64">
        <f t="shared" si="78"/>
        <v>1.2566049999999999E-2</v>
      </c>
      <c r="N2598" s="33" t="s">
        <v>718</v>
      </c>
    </row>
    <row r="2599" spans="1:14" ht="15">
      <c r="A2599" s="12"/>
      <c r="B2599" s="33" t="s">
        <v>310</v>
      </c>
      <c r="C2599" s="92" t="s">
        <v>719</v>
      </c>
      <c r="D2599" s="33" t="s">
        <v>411</v>
      </c>
      <c r="E2599" s="34">
        <v>45443</v>
      </c>
      <c r="F2599" s="34">
        <v>45446</v>
      </c>
      <c r="G2599" s="34">
        <v>45449</v>
      </c>
      <c r="H2599" s="35">
        <v>0.05</v>
      </c>
      <c r="I2599" s="67">
        <v>1.43E-2</v>
      </c>
      <c r="J2599" s="67">
        <v>0</v>
      </c>
      <c r="K2599" s="67">
        <v>1.43E-2</v>
      </c>
      <c r="L2599" s="36">
        <f>+K2599-((K2599*0.0575*0.125)+(K2599*(1-0.0575)*0.26))</f>
        <v>1.0693003749999999E-2</v>
      </c>
      <c r="M2599" s="64">
        <f t="shared" si="78"/>
        <v>1.0693003749999999E-2</v>
      </c>
      <c r="N2599" s="33" t="s">
        <v>718</v>
      </c>
    </row>
    <row r="2600" spans="1:14" ht="15">
      <c r="A2600" s="12"/>
      <c r="B2600" s="33" t="s">
        <v>188</v>
      </c>
      <c r="C2600" s="92" t="s">
        <v>720</v>
      </c>
      <c r="D2600" s="33" t="s">
        <v>411</v>
      </c>
      <c r="E2600" s="34">
        <v>45443</v>
      </c>
      <c r="F2600" s="34">
        <v>45446</v>
      </c>
      <c r="G2600" s="34">
        <v>45449</v>
      </c>
      <c r="H2600" s="35">
        <v>0.05</v>
      </c>
      <c r="I2600" s="67">
        <v>0.24859999999999999</v>
      </c>
      <c r="J2600" s="67">
        <v>0</v>
      </c>
      <c r="K2600" s="67">
        <v>0.24859999999999999</v>
      </c>
      <c r="L2600" s="36">
        <f>+K2600-((K2600*0.0575*0.125)+(K2600*(1-0.0575)*0.26))</f>
        <v>0.18589375749999998</v>
      </c>
      <c r="M2600" s="64">
        <f t="shared" si="78"/>
        <v>0.18589375749999998</v>
      </c>
      <c r="N2600" s="33" t="s">
        <v>718</v>
      </c>
    </row>
    <row r="2601" spans="1:14" ht="15">
      <c r="A2601" s="12"/>
      <c r="B2601" s="33" t="s">
        <v>196</v>
      </c>
      <c r="C2601" s="92" t="s">
        <v>721</v>
      </c>
      <c r="D2601" s="33" t="s">
        <v>411</v>
      </c>
      <c r="E2601" s="34">
        <v>45443</v>
      </c>
      <c r="F2601" s="34">
        <v>45446</v>
      </c>
      <c r="G2601" s="34">
        <v>45449</v>
      </c>
      <c r="H2601" s="35">
        <v>0.05</v>
      </c>
      <c r="I2601" s="67">
        <v>0.26240000000000002</v>
      </c>
      <c r="J2601" s="67">
        <v>0</v>
      </c>
      <c r="K2601" s="67">
        <v>0.26240000000000002</v>
      </c>
      <c r="L2601" s="36">
        <f>+K2601-((K2601*0.0575*0.125)+(K2601*(1-0.0575)*0.26))</f>
        <v>0.19621288000000001</v>
      </c>
      <c r="M2601" s="64">
        <f t="shared" si="78"/>
        <v>0.19621288000000001</v>
      </c>
      <c r="N2601" s="33" t="s">
        <v>718</v>
      </c>
    </row>
    <row r="2602" spans="1:14" ht="15">
      <c r="A2602" s="12"/>
      <c r="B2602" s="33" t="s">
        <v>191</v>
      </c>
      <c r="C2602" s="92" t="s">
        <v>722</v>
      </c>
      <c r="D2602" s="33" t="s">
        <v>411</v>
      </c>
      <c r="E2602" s="34">
        <v>45443</v>
      </c>
      <c r="F2602" s="34">
        <v>45446</v>
      </c>
      <c r="G2602" s="34">
        <v>45449</v>
      </c>
      <c r="H2602" s="35">
        <v>0.05</v>
      </c>
      <c r="I2602" s="67">
        <v>1.5100000000000001E-2</v>
      </c>
      <c r="J2602" s="67">
        <v>0</v>
      </c>
      <c r="K2602" s="67">
        <v>1.5100000000000001E-2</v>
      </c>
      <c r="L2602" s="36">
        <f>+K2602-((K2602*0.852*0.125)+(K2602*(1-0.852)*0.26))</f>
        <v>1.2910802000000001E-2</v>
      </c>
      <c r="M2602" s="64">
        <f t="shared" si="78"/>
        <v>1.2910802000000001E-2</v>
      </c>
      <c r="N2602" s="33" t="s">
        <v>718</v>
      </c>
    </row>
    <row r="2603" spans="1:14" ht="15">
      <c r="A2603" s="12"/>
      <c r="B2603" s="33" t="s">
        <v>199</v>
      </c>
      <c r="C2603" s="92" t="s">
        <v>723</v>
      </c>
      <c r="D2603" s="33" t="s">
        <v>411</v>
      </c>
      <c r="E2603" s="34">
        <v>45443</v>
      </c>
      <c r="F2603" s="34">
        <v>45446</v>
      </c>
      <c r="G2603" s="34">
        <v>45449</v>
      </c>
      <c r="H2603" s="35">
        <v>0.05</v>
      </c>
      <c r="I2603" s="67">
        <v>1.52E-2</v>
      </c>
      <c r="J2603" s="67">
        <v>0</v>
      </c>
      <c r="K2603" s="67">
        <v>1.52E-2</v>
      </c>
      <c r="L2603" s="36">
        <f>+K2603-((K2603*0.852*0.125)+(K2603*(1-0.852)*0.26))</f>
        <v>1.2996304E-2</v>
      </c>
      <c r="M2603" s="64">
        <f t="shared" si="78"/>
        <v>1.2996304E-2</v>
      </c>
      <c r="N2603" s="33" t="s">
        <v>718</v>
      </c>
    </row>
    <row r="2604" spans="1:14" ht="15">
      <c r="A2604" s="12"/>
      <c r="B2604" s="33" t="s">
        <v>306</v>
      </c>
      <c r="C2604" s="92" t="s">
        <v>724</v>
      </c>
      <c r="D2604" s="33" t="s">
        <v>411</v>
      </c>
      <c r="E2604" s="34">
        <v>45443</v>
      </c>
      <c r="F2604" s="34">
        <v>45446</v>
      </c>
      <c r="G2604" s="34">
        <v>45449</v>
      </c>
      <c r="H2604" s="35">
        <v>7.0000000000000007E-2</v>
      </c>
      <c r="I2604" s="67">
        <v>2.4899999999999999E-2</v>
      </c>
      <c r="J2604" s="67">
        <v>0</v>
      </c>
      <c r="K2604" s="67">
        <v>2.4899999999999999E-2</v>
      </c>
      <c r="L2604" s="36">
        <f>+K2604-((K2604*0.04*0.125)+(K2604*(1-0.04)*0.26))</f>
        <v>1.8560460000000001E-2</v>
      </c>
      <c r="M2604" s="64">
        <f t="shared" si="78"/>
        <v>1.8560460000000001E-2</v>
      </c>
      <c r="N2604" s="33" t="s">
        <v>718</v>
      </c>
    </row>
    <row r="2605" spans="1:14" ht="15">
      <c r="A2605" s="12"/>
      <c r="B2605" s="33" t="s">
        <v>184</v>
      </c>
      <c r="C2605" s="92" t="s">
        <v>725</v>
      </c>
      <c r="D2605" s="33" t="s">
        <v>411</v>
      </c>
      <c r="E2605" s="34">
        <v>45443</v>
      </c>
      <c r="F2605" s="34">
        <v>45446</v>
      </c>
      <c r="G2605" s="34">
        <v>45449</v>
      </c>
      <c r="H2605" s="35">
        <v>7.0000000000000007E-2</v>
      </c>
      <c r="I2605" s="67">
        <v>0.49859999999999999</v>
      </c>
      <c r="J2605" s="67">
        <v>0</v>
      </c>
      <c r="K2605" s="67">
        <v>0.49859999999999999</v>
      </c>
      <c r="L2605" s="36">
        <f>+K2605-((K2605*0.04*0.125)+(K2605*(1-0.04)*0.26))</f>
        <v>0.37165643999999998</v>
      </c>
      <c r="M2605" s="64">
        <f t="shared" si="78"/>
        <v>0.37165643999999998</v>
      </c>
      <c r="N2605" s="33" t="s">
        <v>718</v>
      </c>
    </row>
    <row r="2606" spans="1:14" ht="15">
      <c r="A2606" s="12"/>
      <c r="B2606" s="33" t="s">
        <v>192</v>
      </c>
      <c r="C2606" s="92" t="s">
        <v>726</v>
      </c>
      <c r="D2606" s="33" t="s">
        <v>411</v>
      </c>
      <c r="E2606" s="34">
        <v>45443</v>
      </c>
      <c r="F2606" s="34">
        <v>45446</v>
      </c>
      <c r="G2606" s="34">
        <v>45449</v>
      </c>
      <c r="H2606" s="35">
        <v>7.0000000000000007E-2</v>
      </c>
      <c r="I2606" s="67">
        <v>0.51080000000000003</v>
      </c>
      <c r="J2606" s="67">
        <v>0</v>
      </c>
      <c r="K2606" s="67">
        <v>0.51080000000000003</v>
      </c>
      <c r="L2606" s="36">
        <f>+K2606-((K2606*0.04*0.125)+(K2606*(1-0.04)*0.26))</f>
        <v>0.38075032000000003</v>
      </c>
      <c r="M2606" s="64">
        <f t="shared" si="78"/>
        <v>0.38075032000000003</v>
      </c>
      <c r="N2606" s="33" t="s">
        <v>718</v>
      </c>
    </row>
    <row r="2607" spans="1:14" ht="15">
      <c r="A2607" s="12"/>
      <c r="B2607" s="33" t="s">
        <v>311</v>
      </c>
      <c r="C2607" s="92" t="s">
        <v>727</v>
      </c>
      <c r="D2607" s="33" t="s">
        <v>411</v>
      </c>
      <c r="E2607" s="34">
        <v>45443</v>
      </c>
      <c r="F2607" s="34">
        <v>45446</v>
      </c>
      <c r="G2607" s="34">
        <v>45449</v>
      </c>
      <c r="H2607" s="35">
        <v>0.06</v>
      </c>
      <c r="I2607" s="67">
        <v>2.3199999999999998E-2</v>
      </c>
      <c r="J2607" s="67">
        <v>0</v>
      </c>
      <c r="K2607" s="67">
        <v>2.3199999999999998E-2</v>
      </c>
      <c r="L2607" s="36">
        <f>+K2607-((K2607*0.01*0.125)+(K2607*(1-0.01)*0.26))</f>
        <v>1.7199319999999997E-2</v>
      </c>
      <c r="M2607" s="64">
        <f t="shared" si="78"/>
        <v>1.7199319999999997E-2</v>
      </c>
      <c r="N2607" s="33" t="s">
        <v>718</v>
      </c>
    </row>
    <row r="2608" spans="1:14" ht="15">
      <c r="A2608" s="12"/>
      <c r="B2608" s="33" t="s">
        <v>189</v>
      </c>
      <c r="C2608" s="92" t="s">
        <v>728</v>
      </c>
      <c r="D2608" s="33" t="s">
        <v>411</v>
      </c>
      <c r="E2608" s="34">
        <v>45443</v>
      </c>
      <c r="F2608" s="34">
        <v>45446</v>
      </c>
      <c r="G2608" s="34">
        <v>45449</v>
      </c>
      <c r="H2608" s="35">
        <v>0.06</v>
      </c>
      <c r="I2608" s="67">
        <v>0.4229</v>
      </c>
      <c r="J2608" s="67">
        <v>0</v>
      </c>
      <c r="K2608" s="67">
        <v>0.4229</v>
      </c>
      <c r="L2608" s="36">
        <f>+K2608-((K2608*0.01*0.125)+(K2608*(1-0.01)*0.26))</f>
        <v>0.31351691500000001</v>
      </c>
      <c r="M2608" s="64">
        <f t="shared" si="78"/>
        <v>0.31351691500000001</v>
      </c>
      <c r="N2608" s="33" t="s">
        <v>718</v>
      </c>
    </row>
    <row r="2609" spans="1:14" ht="15">
      <c r="A2609" s="12"/>
      <c r="B2609" s="33" t="s">
        <v>197</v>
      </c>
      <c r="C2609" s="92" t="s">
        <v>729</v>
      </c>
      <c r="D2609" s="33" t="s">
        <v>411</v>
      </c>
      <c r="E2609" s="34">
        <v>45443</v>
      </c>
      <c r="F2609" s="34">
        <v>45446</v>
      </c>
      <c r="G2609" s="34">
        <v>45449</v>
      </c>
      <c r="H2609" s="35">
        <v>0.06</v>
      </c>
      <c r="I2609" s="67">
        <v>0.43669999999999998</v>
      </c>
      <c r="J2609" s="67">
        <v>0</v>
      </c>
      <c r="K2609" s="67">
        <v>0.43669999999999998</v>
      </c>
      <c r="L2609" s="36">
        <f>+K2609-((K2609*0.01*0.125)+(K2609*(1-0.01)*0.26))</f>
        <v>0.32374754499999997</v>
      </c>
      <c r="M2609" s="64">
        <f t="shared" si="78"/>
        <v>0.32374754499999997</v>
      </c>
      <c r="N2609" s="33" t="s">
        <v>718</v>
      </c>
    </row>
    <row r="2610" spans="1:14" ht="15">
      <c r="A2610" s="12"/>
      <c r="B2610" s="33" t="s">
        <v>308</v>
      </c>
      <c r="C2610" s="92" t="s">
        <v>730</v>
      </c>
      <c r="D2610" s="33" t="s">
        <v>411</v>
      </c>
      <c r="E2610" s="34">
        <v>45443</v>
      </c>
      <c r="F2610" s="34">
        <v>45446</v>
      </c>
      <c r="G2610" s="34">
        <v>45449</v>
      </c>
      <c r="H2610" s="35">
        <v>0.05</v>
      </c>
      <c r="I2610" s="67">
        <v>1.7100000000000001E-2</v>
      </c>
      <c r="J2610" s="67">
        <v>0</v>
      </c>
      <c r="K2610" s="67">
        <v>1.7100000000000001E-2</v>
      </c>
      <c r="L2610" s="36">
        <f>+K2610-((K2610*0.5055*0.125)+(K2610*(1-0.5055)*0.26))</f>
        <v>1.382094675E-2</v>
      </c>
      <c r="M2610" s="64">
        <f t="shared" si="78"/>
        <v>1.382094675E-2</v>
      </c>
      <c r="N2610" s="33" t="s">
        <v>718</v>
      </c>
    </row>
    <row r="2611" spans="1:14" ht="15">
      <c r="A2611" s="12"/>
      <c r="B2611" s="33" t="s">
        <v>186</v>
      </c>
      <c r="C2611" s="92" t="s">
        <v>731</v>
      </c>
      <c r="D2611" s="33" t="s">
        <v>411</v>
      </c>
      <c r="E2611" s="34">
        <v>45443</v>
      </c>
      <c r="F2611" s="34">
        <v>45446</v>
      </c>
      <c r="G2611" s="34">
        <v>45449</v>
      </c>
      <c r="H2611" s="35">
        <v>0.05</v>
      </c>
      <c r="I2611" s="67">
        <v>0.3135</v>
      </c>
      <c r="J2611" s="67">
        <v>0</v>
      </c>
      <c r="K2611" s="67">
        <v>0.3135</v>
      </c>
      <c r="L2611" s="36">
        <f>+K2611-((K2611*0.5055*0.125)+(K2611*(1-0.5055)*0.26))</f>
        <v>0.25338402375000002</v>
      </c>
      <c r="M2611" s="64">
        <f t="shared" si="78"/>
        <v>0.25338402375000002</v>
      </c>
      <c r="N2611" s="33" t="s">
        <v>718</v>
      </c>
    </row>
    <row r="2612" spans="1:14" ht="15">
      <c r="A2612" s="12"/>
      <c r="B2612" s="33" t="s">
        <v>194</v>
      </c>
      <c r="C2612" s="92" t="s">
        <v>732</v>
      </c>
      <c r="D2612" s="33" t="s">
        <v>411</v>
      </c>
      <c r="E2612" s="34">
        <v>45443</v>
      </c>
      <c r="F2612" s="34">
        <v>45446</v>
      </c>
      <c r="G2612" s="34">
        <v>45449</v>
      </c>
      <c r="H2612" s="35">
        <v>0.05</v>
      </c>
      <c r="I2612" s="67">
        <v>0.32579999999999998</v>
      </c>
      <c r="J2612" s="67">
        <v>0</v>
      </c>
      <c r="K2612" s="67">
        <v>0.32579999999999998</v>
      </c>
      <c r="L2612" s="36">
        <f>+K2612-((K2612*0.5055*0.125)+(K2612*(1-0.5055)*0.26))</f>
        <v>0.26332540649999997</v>
      </c>
      <c r="M2612" s="64">
        <f t="shared" si="78"/>
        <v>0.26332540649999997</v>
      </c>
      <c r="N2612" s="33" t="s">
        <v>718</v>
      </c>
    </row>
    <row r="2613" spans="1:14" ht="15">
      <c r="A2613" s="12"/>
      <c r="B2613" s="33" t="s">
        <v>307</v>
      </c>
      <c r="C2613" s="92" t="s">
        <v>733</v>
      </c>
      <c r="D2613" s="33" t="s">
        <v>411</v>
      </c>
      <c r="E2613" s="34">
        <v>45443</v>
      </c>
      <c r="F2613" s="34">
        <v>45446</v>
      </c>
      <c r="G2613" s="34">
        <v>45449</v>
      </c>
      <c r="H2613" s="35">
        <v>0.04</v>
      </c>
      <c r="I2613" s="67">
        <v>1.2E-2</v>
      </c>
      <c r="J2613" s="67">
        <v>0</v>
      </c>
      <c r="K2613" s="67">
        <v>1.2E-2</v>
      </c>
      <c r="L2613" s="36">
        <f>+K2613-((K2613*0.6005*0.125)+(K2613*(1-0.6005)*0.26))</f>
        <v>9.85281E-3</v>
      </c>
      <c r="M2613" s="64">
        <f t="shared" si="78"/>
        <v>9.85281E-3</v>
      </c>
      <c r="N2613" s="33" t="s">
        <v>718</v>
      </c>
    </row>
    <row r="2614" spans="1:14" ht="15">
      <c r="A2614" s="12"/>
      <c r="B2614" s="33" t="s">
        <v>185</v>
      </c>
      <c r="C2614" s="92" t="s">
        <v>734</v>
      </c>
      <c r="D2614" s="33" t="s">
        <v>411</v>
      </c>
      <c r="E2614" s="34">
        <v>45443</v>
      </c>
      <c r="F2614" s="34">
        <v>45446</v>
      </c>
      <c r="G2614" s="34">
        <v>45449</v>
      </c>
      <c r="H2614" s="35">
        <v>0.04</v>
      </c>
      <c r="I2614" s="67">
        <v>0.19789999999999999</v>
      </c>
      <c r="J2614" s="67">
        <v>0</v>
      </c>
      <c r="K2614" s="67">
        <v>0.19789999999999999</v>
      </c>
      <c r="L2614" s="36">
        <f>+K2614-((K2614*0.6005*0.125)+(K2614*(1-0.6005)*0.26))</f>
        <v>0.16248925824999999</v>
      </c>
      <c r="M2614" s="64">
        <f t="shared" si="78"/>
        <v>0.16248925824999999</v>
      </c>
      <c r="N2614" s="33" t="s">
        <v>718</v>
      </c>
    </row>
    <row r="2615" spans="1:14" ht="15">
      <c r="A2615" s="12"/>
      <c r="B2615" s="33" t="s">
        <v>193</v>
      </c>
      <c r="C2615" s="92" t="s">
        <v>735</v>
      </c>
      <c r="D2615" s="33" t="s">
        <v>411</v>
      </c>
      <c r="E2615" s="34">
        <v>45443</v>
      </c>
      <c r="F2615" s="34">
        <v>45446</v>
      </c>
      <c r="G2615" s="34">
        <v>45449</v>
      </c>
      <c r="H2615" s="35">
        <v>0.04</v>
      </c>
      <c r="I2615" s="67">
        <v>0.1966</v>
      </c>
      <c r="J2615" s="67">
        <v>0</v>
      </c>
      <c r="K2615" s="67">
        <v>0.1966</v>
      </c>
      <c r="L2615" s="36">
        <f>+K2615-((K2615*0.6005*0.125)+(K2615*(1-0.6005)*0.26))</f>
        <v>0.16142187050000001</v>
      </c>
      <c r="M2615" s="64">
        <f t="shared" si="78"/>
        <v>0.16142187050000001</v>
      </c>
      <c r="N2615" s="33" t="s">
        <v>718</v>
      </c>
    </row>
    <row r="2616" spans="1:14" ht="15">
      <c r="A2616" s="12"/>
      <c r="B2616" s="33" t="s">
        <v>309</v>
      </c>
      <c r="C2616" s="92" t="s">
        <v>736</v>
      </c>
      <c r="D2616" s="33" t="s">
        <v>411</v>
      </c>
      <c r="E2616" s="34">
        <v>45443</v>
      </c>
      <c r="F2616" s="34">
        <v>45446</v>
      </c>
      <c r="G2616" s="34">
        <v>45449</v>
      </c>
      <c r="H2616" s="35">
        <v>5.5E-2</v>
      </c>
      <c r="I2616" s="67">
        <v>1.84E-2</v>
      </c>
      <c r="J2616" s="67">
        <v>0</v>
      </c>
      <c r="K2616" s="67">
        <v>1.84E-2</v>
      </c>
      <c r="L2616" s="36">
        <f>+K2616-((K2616*0.056*0.125)+(K2616*(1-0.056)*0.26))</f>
        <v>1.3755104000000001E-2</v>
      </c>
      <c r="M2616" s="64">
        <f t="shared" si="78"/>
        <v>1.3755104000000001E-2</v>
      </c>
      <c r="N2616" s="33" t="s">
        <v>718</v>
      </c>
    </row>
    <row r="2617" spans="1:14" ht="15">
      <c r="A2617" s="12"/>
      <c r="B2617" s="33" t="s">
        <v>187</v>
      </c>
      <c r="C2617" s="92" t="s">
        <v>737</v>
      </c>
      <c r="D2617" s="33" t="s">
        <v>411</v>
      </c>
      <c r="E2617" s="34">
        <v>45443</v>
      </c>
      <c r="F2617" s="34">
        <v>45446</v>
      </c>
      <c r="G2617" s="34">
        <v>45449</v>
      </c>
      <c r="H2617" s="35">
        <v>5.5E-2</v>
      </c>
      <c r="I2617" s="67">
        <v>0.3231</v>
      </c>
      <c r="J2617" s="67">
        <v>0</v>
      </c>
      <c r="K2617" s="67">
        <v>0.3231</v>
      </c>
      <c r="L2617" s="36">
        <f>+K2617-((K2617*0.056*0.125)+(K2617*(1-0.056)*0.26))</f>
        <v>0.241536636</v>
      </c>
      <c r="M2617" s="64">
        <f t="shared" ref="M2617:M2680" si="80">J2617+L2617</f>
        <v>0.241536636</v>
      </c>
      <c r="N2617" s="33" t="s">
        <v>718</v>
      </c>
    </row>
    <row r="2618" spans="1:14" ht="15">
      <c r="A2618" s="12"/>
      <c r="B2618" s="33" t="s">
        <v>195</v>
      </c>
      <c r="C2618" s="92" t="s">
        <v>738</v>
      </c>
      <c r="D2618" s="33" t="s">
        <v>411</v>
      </c>
      <c r="E2618" s="34">
        <v>45443</v>
      </c>
      <c r="F2618" s="34">
        <v>45446</v>
      </c>
      <c r="G2618" s="34">
        <v>45449</v>
      </c>
      <c r="H2618" s="35">
        <v>5.5E-2</v>
      </c>
      <c r="I2618" s="67">
        <v>0.33889999999999998</v>
      </c>
      <c r="J2618" s="67">
        <v>0</v>
      </c>
      <c r="K2618" s="67">
        <v>0.33889999999999998</v>
      </c>
      <c r="L2618" s="36">
        <f>+K2618-((K2618*0.056*0.125)+(K2618*(1-0.056)*0.26))</f>
        <v>0.25334808399999997</v>
      </c>
      <c r="M2618" s="64">
        <f t="shared" si="80"/>
        <v>0.25334808399999997</v>
      </c>
      <c r="N2618" s="33" t="s">
        <v>718</v>
      </c>
    </row>
    <row r="2619" spans="1:14" ht="15">
      <c r="A2619" s="12"/>
      <c r="B2619" s="33" t="s">
        <v>312</v>
      </c>
      <c r="C2619" s="92" t="s">
        <v>739</v>
      </c>
      <c r="D2619" s="33" t="s">
        <v>411</v>
      </c>
      <c r="E2619" s="34">
        <v>45443</v>
      </c>
      <c r="F2619" s="34">
        <v>45446</v>
      </c>
      <c r="G2619" s="34">
        <v>45449</v>
      </c>
      <c r="H2619" s="35">
        <v>7.2499999999999995E-2</v>
      </c>
      <c r="I2619" s="67">
        <v>2.2499999999999999E-2</v>
      </c>
      <c r="J2619" s="67">
        <v>0</v>
      </c>
      <c r="K2619" s="67">
        <v>2.2499999999999999E-2</v>
      </c>
      <c r="L2619" s="36">
        <f>+K2619-((K2619*0.0000000000001*0.125)+(K2619*(1-0.0000000000001)*0.26))</f>
        <v>1.6650000000000303E-2</v>
      </c>
      <c r="M2619" s="64">
        <f t="shared" si="80"/>
        <v>1.6650000000000303E-2</v>
      </c>
      <c r="N2619" s="33" t="s">
        <v>718</v>
      </c>
    </row>
    <row r="2620" spans="1:14" ht="15">
      <c r="A2620" s="12"/>
      <c r="B2620" s="33" t="s">
        <v>190</v>
      </c>
      <c r="C2620" s="92" t="s">
        <v>740</v>
      </c>
      <c r="D2620" s="33" t="s">
        <v>411</v>
      </c>
      <c r="E2620" s="34">
        <v>45443</v>
      </c>
      <c r="F2620" s="34">
        <v>45446</v>
      </c>
      <c r="G2620" s="34">
        <v>45449</v>
      </c>
      <c r="H2620" s="35">
        <v>7.2499999999999995E-2</v>
      </c>
      <c r="I2620" s="67">
        <v>0.42409999999999998</v>
      </c>
      <c r="J2620" s="67">
        <v>0</v>
      </c>
      <c r="K2620" s="67">
        <v>0.42409999999999998</v>
      </c>
      <c r="L2620" s="36">
        <f>+K2620-((K2620*0.0000000000001*0.125)+(K2620*(1-0.0000000000001)*0.26))</f>
        <v>0.31383400000000572</v>
      </c>
      <c r="M2620" s="64">
        <f t="shared" si="80"/>
        <v>0.31383400000000572</v>
      </c>
      <c r="N2620" s="33" t="s">
        <v>718</v>
      </c>
    </row>
    <row r="2621" spans="1:14" ht="15">
      <c r="A2621" s="12"/>
      <c r="B2621" s="33" t="s">
        <v>198</v>
      </c>
      <c r="C2621" s="92" t="s">
        <v>741</v>
      </c>
      <c r="D2621" s="33" t="s">
        <v>411</v>
      </c>
      <c r="E2621" s="34">
        <v>45443</v>
      </c>
      <c r="F2621" s="34">
        <v>45446</v>
      </c>
      <c r="G2621" s="34">
        <v>45449</v>
      </c>
      <c r="H2621" s="35">
        <v>7.2499999999999995E-2</v>
      </c>
      <c r="I2621" s="67">
        <v>0.43080000000000002</v>
      </c>
      <c r="J2621" s="67">
        <v>0</v>
      </c>
      <c r="K2621" s="67">
        <v>0.43080000000000002</v>
      </c>
      <c r="L2621" s="36">
        <f>+K2621-((K2621*0.0000000000001*0.125)+(K2621*(1-0.0000000000001)*0.26))</f>
        <v>0.31879200000000585</v>
      </c>
      <c r="M2621" s="64">
        <f t="shared" si="80"/>
        <v>0.31879200000000585</v>
      </c>
      <c r="N2621" s="33" t="s">
        <v>718</v>
      </c>
    </row>
    <row r="2622" spans="1:14" ht="15">
      <c r="A2622" s="12"/>
      <c r="B2622" s="33" t="s">
        <v>313</v>
      </c>
      <c r="C2622" s="92" t="s">
        <v>884</v>
      </c>
      <c r="D2622" s="33" t="s">
        <v>411</v>
      </c>
      <c r="E2622" s="34">
        <v>45443</v>
      </c>
      <c r="F2622" s="34">
        <v>45446</v>
      </c>
      <c r="G2622" s="34">
        <v>45449</v>
      </c>
      <c r="H2622" s="35">
        <v>4.7500000000000001E-2</v>
      </c>
      <c r="I2622" s="67">
        <v>1.61E-2</v>
      </c>
      <c r="J2622" s="67">
        <v>0</v>
      </c>
      <c r="K2622" s="67">
        <v>1.61E-2</v>
      </c>
      <c r="L2622" s="36">
        <f>+K2622-((K2622*0.3*0.125)+(K2622*(1-0.3)*0.26))</f>
        <v>1.2566049999999999E-2</v>
      </c>
      <c r="M2622" s="64">
        <f t="shared" si="80"/>
        <v>1.2566049999999999E-2</v>
      </c>
      <c r="N2622" s="33" t="s">
        <v>718</v>
      </c>
    </row>
    <row r="2623" spans="1:14" ht="15">
      <c r="A2623" s="12"/>
      <c r="B2623" s="33" t="s">
        <v>174</v>
      </c>
      <c r="C2623" s="92" t="s">
        <v>382</v>
      </c>
      <c r="D2623" s="33" t="s">
        <v>410</v>
      </c>
      <c r="E2623" s="34">
        <v>45470</v>
      </c>
      <c r="F2623" s="34">
        <v>45471</v>
      </c>
      <c r="G2623" s="34">
        <v>45476</v>
      </c>
      <c r="H2623" s="35"/>
      <c r="I2623" s="67">
        <v>3.8316999999999997E-2</v>
      </c>
      <c r="J2623" s="67">
        <v>0</v>
      </c>
      <c r="K2623" s="67">
        <v>3.8317200000000003E-2</v>
      </c>
      <c r="L2623" s="36">
        <f>+K2623-((K2623*0.0175*0.125)+(K2623*(1-0.0175)*0.26))</f>
        <v>2.8445252385000001E-2</v>
      </c>
      <c r="M2623" s="64">
        <f t="shared" si="80"/>
        <v>2.8445252385000001E-2</v>
      </c>
      <c r="N2623" s="33" t="s">
        <v>247</v>
      </c>
    </row>
    <row r="2624" spans="1:14" ht="15">
      <c r="A2624" s="12"/>
      <c r="B2624" s="33" t="s">
        <v>176</v>
      </c>
      <c r="C2624" s="92" t="s">
        <v>877</v>
      </c>
      <c r="D2624" s="33" t="s">
        <v>410</v>
      </c>
      <c r="E2624" s="34">
        <v>45470</v>
      </c>
      <c r="F2624" s="34">
        <v>45471</v>
      </c>
      <c r="G2624" s="34">
        <v>45476</v>
      </c>
      <c r="H2624" s="35"/>
      <c r="I2624" s="67">
        <v>4.3777999999999997E-2</v>
      </c>
      <c r="J2624" s="67">
        <v>0</v>
      </c>
      <c r="K2624" s="67">
        <v>4.3778440000000002E-2</v>
      </c>
      <c r="L2624" s="36">
        <f>+K2624-((K2624*0.26*0.125)+(K2624*(1-0.26)*0.26))</f>
        <v>3.3932668844000001E-2</v>
      </c>
      <c r="M2624" s="64">
        <f t="shared" si="80"/>
        <v>3.3932668844000001E-2</v>
      </c>
      <c r="N2624" s="33" t="s">
        <v>247</v>
      </c>
    </row>
    <row r="2625" spans="1:14" ht="15">
      <c r="A2625" s="12"/>
      <c r="B2625" s="33" t="s">
        <v>175</v>
      </c>
      <c r="C2625" s="92" t="s">
        <v>465</v>
      </c>
      <c r="D2625" s="33" t="s">
        <v>410</v>
      </c>
      <c r="E2625" s="34">
        <v>45470</v>
      </c>
      <c r="F2625" s="34">
        <v>45471</v>
      </c>
      <c r="G2625" s="34">
        <v>45476</v>
      </c>
      <c r="H2625" s="35"/>
      <c r="I2625" s="67">
        <v>9.0773999999999994E-2</v>
      </c>
      <c r="J2625" s="67">
        <v>0</v>
      </c>
      <c r="K2625" s="67">
        <v>9.0774140000000003E-2</v>
      </c>
      <c r="L2625" s="36">
        <f>+K2625-((K2625*0.114*0.125)+(K2625*(1-0.114)*0.26))</f>
        <v>6.8569877614599997E-2</v>
      </c>
      <c r="M2625" s="64">
        <f t="shared" si="80"/>
        <v>6.8569877614599997E-2</v>
      </c>
      <c r="N2625" s="33" t="s">
        <v>247</v>
      </c>
    </row>
    <row r="2626" spans="1:14" ht="15">
      <c r="A2626" s="12"/>
      <c r="B2626" s="33" t="s">
        <v>310</v>
      </c>
      <c r="C2626" s="92" t="s">
        <v>719</v>
      </c>
      <c r="D2626" s="33" t="s">
        <v>411</v>
      </c>
      <c r="E2626" s="34">
        <v>45471</v>
      </c>
      <c r="F2626" s="34">
        <v>45474</v>
      </c>
      <c r="G2626" s="34">
        <v>45477</v>
      </c>
      <c r="H2626" s="35">
        <v>0.05</v>
      </c>
      <c r="I2626" s="67">
        <v>1.43E-2</v>
      </c>
      <c r="J2626" s="67">
        <v>0</v>
      </c>
      <c r="K2626" s="67">
        <v>1.43E-2</v>
      </c>
      <c r="L2626" s="36">
        <f>+K2626-((K2626*0.0575*0.125)+(K2626*(1-0.0575)*0.26))</f>
        <v>1.0693003749999999E-2</v>
      </c>
      <c r="M2626" s="64">
        <f t="shared" si="80"/>
        <v>1.0693003749999999E-2</v>
      </c>
      <c r="N2626" s="33" t="s">
        <v>718</v>
      </c>
    </row>
    <row r="2627" spans="1:14" ht="15">
      <c r="A2627" s="12"/>
      <c r="B2627" s="33" t="s">
        <v>188</v>
      </c>
      <c r="C2627" s="92" t="s">
        <v>720</v>
      </c>
      <c r="D2627" s="33" t="s">
        <v>411</v>
      </c>
      <c r="E2627" s="34">
        <v>45471</v>
      </c>
      <c r="F2627" s="34">
        <v>45474</v>
      </c>
      <c r="G2627" s="34">
        <v>45477</v>
      </c>
      <c r="H2627" s="35">
        <v>0.05</v>
      </c>
      <c r="I2627" s="67">
        <v>0.24859999999999999</v>
      </c>
      <c r="J2627" s="67">
        <v>0</v>
      </c>
      <c r="K2627" s="67">
        <v>0.24859999999999999</v>
      </c>
      <c r="L2627" s="36">
        <f>+K2627-((K2627*0.0575*0.125)+(K2627*(1-0.0575)*0.26))</f>
        <v>0.18589375749999998</v>
      </c>
      <c r="M2627" s="64">
        <f t="shared" si="80"/>
        <v>0.18589375749999998</v>
      </c>
      <c r="N2627" s="33" t="s">
        <v>718</v>
      </c>
    </row>
    <row r="2628" spans="1:14" ht="15">
      <c r="A2628" s="12"/>
      <c r="B2628" s="33" t="s">
        <v>196</v>
      </c>
      <c r="C2628" s="92" t="s">
        <v>721</v>
      </c>
      <c r="D2628" s="33" t="s">
        <v>411</v>
      </c>
      <c r="E2628" s="34">
        <v>45471</v>
      </c>
      <c r="F2628" s="34">
        <v>45474</v>
      </c>
      <c r="G2628" s="34">
        <v>45477</v>
      </c>
      <c r="H2628" s="35">
        <v>0.05</v>
      </c>
      <c r="I2628" s="67">
        <v>0.26240000000000002</v>
      </c>
      <c r="J2628" s="67">
        <v>0</v>
      </c>
      <c r="K2628" s="67">
        <v>0.26240000000000002</v>
      </c>
      <c r="L2628" s="36">
        <f>+K2628-((K2628*0.0575*0.125)+(K2628*(1-0.0575)*0.26))</f>
        <v>0.19621288000000001</v>
      </c>
      <c r="M2628" s="64">
        <f t="shared" si="80"/>
        <v>0.19621288000000001</v>
      </c>
      <c r="N2628" s="33" t="s">
        <v>718</v>
      </c>
    </row>
    <row r="2629" spans="1:14" ht="15">
      <c r="A2629" s="12"/>
      <c r="B2629" s="33" t="s">
        <v>191</v>
      </c>
      <c r="C2629" s="92" t="s">
        <v>722</v>
      </c>
      <c r="D2629" s="33" t="s">
        <v>411</v>
      </c>
      <c r="E2629" s="34">
        <v>45471</v>
      </c>
      <c r="F2629" s="34">
        <v>45474</v>
      </c>
      <c r="G2629" s="34">
        <v>45477</v>
      </c>
      <c r="H2629" s="35">
        <v>0.05</v>
      </c>
      <c r="I2629" s="67">
        <v>1.5100000000000001E-2</v>
      </c>
      <c r="J2629" s="67">
        <v>0</v>
      </c>
      <c r="K2629" s="67">
        <v>1.5100000000000001E-2</v>
      </c>
      <c r="L2629" s="36">
        <f>+K2629-((K2629*0.852*0.125)+(K2629*(1-0.852)*0.26))</f>
        <v>1.2910802000000001E-2</v>
      </c>
      <c r="M2629" s="64">
        <f t="shared" si="80"/>
        <v>1.2910802000000001E-2</v>
      </c>
      <c r="N2629" s="33" t="s">
        <v>718</v>
      </c>
    </row>
    <row r="2630" spans="1:14" ht="15">
      <c r="A2630" s="12"/>
      <c r="B2630" s="33" t="s">
        <v>199</v>
      </c>
      <c r="C2630" s="92" t="s">
        <v>723</v>
      </c>
      <c r="D2630" s="33" t="s">
        <v>411</v>
      </c>
      <c r="E2630" s="34">
        <v>45471</v>
      </c>
      <c r="F2630" s="34">
        <v>45474</v>
      </c>
      <c r="G2630" s="34">
        <v>45477</v>
      </c>
      <c r="H2630" s="35">
        <v>0.05</v>
      </c>
      <c r="I2630" s="67">
        <v>1.52E-2</v>
      </c>
      <c r="J2630" s="67">
        <v>0</v>
      </c>
      <c r="K2630" s="67">
        <v>1.52E-2</v>
      </c>
      <c r="L2630" s="36">
        <f>+K2630-((K2630*0.852*0.125)+(K2630*(1-0.852)*0.26))</f>
        <v>1.2996304E-2</v>
      </c>
      <c r="M2630" s="64">
        <f t="shared" si="80"/>
        <v>1.2996304E-2</v>
      </c>
      <c r="N2630" s="33" t="s">
        <v>718</v>
      </c>
    </row>
    <row r="2631" spans="1:14" ht="15">
      <c r="A2631" s="12"/>
      <c r="B2631" s="33" t="s">
        <v>306</v>
      </c>
      <c r="C2631" s="92" t="s">
        <v>724</v>
      </c>
      <c r="D2631" s="33" t="s">
        <v>411</v>
      </c>
      <c r="E2631" s="34">
        <v>45471</v>
      </c>
      <c r="F2631" s="34">
        <v>45474</v>
      </c>
      <c r="G2631" s="34">
        <v>45477</v>
      </c>
      <c r="H2631" s="35">
        <v>7.0000000000000007E-2</v>
      </c>
      <c r="I2631" s="67">
        <v>2.4899999999999999E-2</v>
      </c>
      <c r="J2631" s="67">
        <v>0</v>
      </c>
      <c r="K2631" s="67">
        <v>2.4899999999999999E-2</v>
      </c>
      <c r="L2631" s="36">
        <f>+K2631-((K2631*0.04*0.125)+(K2631*(1-0.04)*0.26))</f>
        <v>1.8560460000000001E-2</v>
      </c>
      <c r="M2631" s="64">
        <f t="shared" si="80"/>
        <v>1.8560460000000001E-2</v>
      </c>
      <c r="N2631" s="33" t="s">
        <v>718</v>
      </c>
    </row>
    <row r="2632" spans="1:14" ht="15">
      <c r="A2632" s="12"/>
      <c r="B2632" s="33" t="s">
        <v>184</v>
      </c>
      <c r="C2632" s="92" t="s">
        <v>725</v>
      </c>
      <c r="D2632" s="33" t="s">
        <v>411</v>
      </c>
      <c r="E2632" s="34">
        <v>45471</v>
      </c>
      <c r="F2632" s="34">
        <v>45474</v>
      </c>
      <c r="G2632" s="34">
        <v>45477</v>
      </c>
      <c r="H2632" s="35">
        <v>7.0000000000000007E-2</v>
      </c>
      <c r="I2632" s="67">
        <v>0.49859999999999999</v>
      </c>
      <c r="J2632" s="67">
        <v>0</v>
      </c>
      <c r="K2632" s="67">
        <v>0.49859999999999999</v>
      </c>
      <c r="L2632" s="36">
        <f>+K2632-((K2632*0.04*0.125)+(K2632*(1-0.04)*0.26))</f>
        <v>0.37165643999999998</v>
      </c>
      <c r="M2632" s="64">
        <f t="shared" si="80"/>
        <v>0.37165643999999998</v>
      </c>
      <c r="N2632" s="33" t="s">
        <v>718</v>
      </c>
    </row>
    <row r="2633" spans="1:14" ht="15">
      <c r="A2633" s="12"/>
      <c r="B2633" s="33" t="s">
        <v>192</v>
      </c>
      <c r="C2633" s="92" t="s">
        <v>726</v>
      </c>
      <c r="D2633" s="33" t="s">
        <v>411</v>
      </c>
      <c r="E2633" s="34">
        <v>45471</v>
      </c>
      <c r="F2633" s="34">
        <v>45474</v>
      </c>
      <c r="G2633" s="34">
        <v>45477</v>
      </c>
      <c r="H2633" s="35">
        <v>7.0000000000000007E-2</v>
      </c>
      <c r="I2633" s="67">
        <v>0.51080000000000003</v>
      </c>
      <c r="J2633" s="67">
        <v>0</v>
      </c>
      <c r="K2633" s="67">
        <v>0.51080000000000003</v>
      </c>
      <c r="L2633" s="36">
        <f>+K2633-((K2633*0.04*0.125)+(K2633*(1-0.04)*0.26))</f>
        <v>0.38075032000000003</v>
      </c>
      <c r="M2633" s="64">
        <f t="shared" si="80"/>
        <v>0.38075032000000003</v>
      </c>
      <c r="N2633" s="33" t="s">
        <v>718</v>
      </c>
    </row>
    <row r="2634" spans="1:14" ht="15">
      <c r="A2634" s="12"/>
      <c r="B2634" s="33" t="s">
        <v>311</v>
      </c>
      <c r="C2634" s="92" t="s">
        <v>727</v>
      </c>
      <c r="D2634" s="33" t="s">
        <v>411</v>
      </c>
      <c r="E2634" s="34">
        <v>45471</v>
      </c>
      <c r="F2634" s="34">
        <v>45474</v>
      </c>
      <c r="G2634" s="34">
        <v>45477</v>
      </c>
      <c r="H2634" s="35">
        <v>0.06</v>
      </c>
      <c r="I2634" s="67">
        <v>2.3199999999999998E-2</v>
      </c>
      <c r="J2634" s="67">
        <v>0</v>
      </c>
      <c r="K2634" s="67">
        <v>2.3199999999999998E-2</v>
      </c>
      <c r="L2634" s="36">
        <f>+K2634-((K2634*0.01*0.125)+(K2634*(1-0.01)*0.26))</f>
        <v>1.7199319999999997E-2</v>
      </c>
      <c r="M2634" s="64">
        <f t="shared" si="80"/>
        <v>1.7199319999999997E-2</v>
      </c>
      <c r="N2634" s="33" t="s">
        <v>718</v>
      </c>
    </row>
    <row r="2635" spans="1:14" ht="15">
      <c r="A2635" s="12"/>
      <c r="B2635" s="33" t="s">
        <v>189</v>
      </c>
      <c r="C2635" s="92" t="s">
        <v>728</v>
      </c>
      <c r="D2635" s="33" t="s">
        <v>411</v>
      </c>
      <c r="E2635" s="34">
        <v>45471</v>
      </c>
      <c r="F2635" s="34">
        <v>45474</v>
      </c>
      <c r="G2635" s="34">
        <v>45477</v>
      </c>
      <c r="H2635" s="35">
        <v>0.06</v>
      </c>
      <c r="I2635" s="67">
        <v>0.4229</v>
      </c>
      <c r="J2635" s="67">
        <v>0</v>
      </c>
      <c r="K2635" s="67">
        <v>0.4229</v>
      </c>
      <c r="L2635" s="36">
        <f>+K2635-((K2635*0.01*0.125)+(K2635*(1-0.01)*0.26))</f>
        <v>0.31351691500000001</v>
      </c>
      <c r="M2635" s="64">
        <f t="shared" si="80"/>
        <v>0.31351691500000001</v>
      </c>
      <c r="N2635" s="33" t="s">
        <v>718</v>
      </c>
    </row>
    <row r="2636" spans="1:14" ht="15">
      <c r="A2636" s="12"/>
      <c r="B2636" s="33" t="s">
        <v>197</v>
      </c>
      <c r="C2636" s="92" t="s">
        <v>729</v>
      </c>
      <c r="D2636" s="33" t="s">
        <v>411</v>
      </c>
      <c r="E2636" s="34">
        <v>45471</v>
      </c>
      <c r="F2636" s="34">
        <v>45474</v>
      </c>
      <c r="G2636" s="34">
        <v>45477</v>
      </c>
      <c r="H2636" s="35">
        <v>0.06</v>
      </c>
      <c r="I2636" s="67">
        <v>0.43669999999999998</v>
      </c>
      <c r="J2636" s="67">
        <v>0</v>
      </c>
      <c r="K2636" s="67">
        <v>0.43669999999999998</v>
      </c>
      <c r="L2636" s="36">
        <f>+K2636-((K2636*0.01*0.125)+(K2636*(1-0.01)*0.26))</f>
        <v>0.32374754499999997</v>
      </c>
      <c r="M2636" s="64">
        <f t="shared" si="80"/>
        <v>0.32374754499999997</v>
      </c>
      <c r="N2636" s="33" t="s">
        <v>718</v>
      </c>
    </row>
    <row r="2637" spans="1:14" ht="15">
      <c r="A2637" s="12"/>
      <c r="B2637" s="33" t="s">
        <v>308</v>
      </c>
      <c r="C2637" s="92" t="s">
        <v>730</v>
      </c>
      <c r="D2637" s="33" t="s">
        <v>411</v>
      </c>
      <c r="E2637" s="34">
        <v>45471</v>
      </c>
      <c r="F2637" s="34">
        <v>45474</v>
      </c>
      <c r="G2637" s="34">
        <v>45477</v>
      </c>
      <c r="H2637" s="35">
        <v>0.05</v>
      </c>
      <c r="I2637" s="67">
        <v>1.7100000000000001E-2</v>
      </c>
      <c r="J2637" s="67">
        <v>0</v>
      </c>
      <c r="K2637" s="67">
        <v>1.7100000000000001E-2</v>
      </c>
      <c r="L2637" s="36">
        <f>+K2637-((K2637*0.5055*0.125)+(K2637*(1-0.5055)*0.26))</f>
        <v>1.382094675E-2</v>
      </c>
      <c r="M2637" s="64">
        <f t="shared" si="80"/>
        <v>1.382094675E-2</v>
      </c>
      <c r="N2637" s="33" t="s">
        <v>718</v>
      </c>
    </row>
    <row r="2638" spans="1:14" ht="15">
      <c r="A2638" s="12"/>
      <c r="B2638" s="33" t="s">
        <v>186</v>
      </c>
      <c r="C2638" s="92" t="s">
        <v>731</v>
      </c>
      <c r="D2638" s="33" t="s">
        <v>411</v>
      </c>
      <c r="E2638" s="34">
        <v>45471</v>
      </c>
      <c r="F2638" s="34">
        <v>45474</v>
      </c>
      <c r="G2638" s="34">
        <v>45477</v>
      </c>
      <c r="H2638" s="35">
        <v>0.05</v>
      </c>
      <c r="I2638" s="67">
        <v>0.3135</v>
      </c>
      <c r="J2638" s="67">
        <v>0</v>
      </c>
      <c r="K2638" s="67">
        <v>0.3135</v>
      </c>
      <c r="L2638" s="36">
        <f>+K2638-((K2638*0.5055*0.125)+(K2638*(1-0.5055)*0.26))</f>
        <v>0.25338402375000002</v>
      </c>
      <c r="M2638" s="64">
        <f t="shared" si="80"/>
        <v>0.25338402375000002</v>
      </c>
      <c r="N2638" s="33" t="s">
        <v>718</v>
      </c>
    </row>
    <row r="2639" spans="1:14" ht="15">
      <c r="A2639" s="12"/>
      <c r="B2639" s="33" t="s">
        <v>194</v>
      </c>
      <c r="C2639" s="92" t="s">
        <v>732</v>
      </c>
      <c r="D2639" s="33" t="s">
        <v>411</v>
      </c>
      <c r="E2639" s="34">
        <v>45471</v>
      </c>
      <c r="F2639" s="34">
        <v>45474</v>
      </c>
      <c r="G2639" s="34">
        <v>45477</v>
      </c>
      <c r="H2639" s="35">
        <v>0.05</v>
      </c>
      <c r="I2639" s="67">
        <v>0.32579999999999998</v>
      </c>
      <c r="J2639" s="67">
        <v>0</v>
      </c>
      <c r="K2639" s="67">
        <v>0.32579999999999998</v>
      </c>
      <c r="L2639" s="36">
        <f>+K2639-((K2639*0.5055*0.125)+(K2639*(1-0.5055)*0.26))</f>
        <v>0.26332540649999997</v>
      </c>
      <c r="M2639" s="64">
        <f t="shared" si="80"/>
        <v>0.26332540649999997</v>
      </c>
      <c r="N2639" s="33" t="s">
        <v>718</v>
      </c>
    </row>
    <row r="2640" spans="1:14" ht="15">
      <c r="A2640" s="12"/>
      <c r="B2640" s="33" t="s">
        <v>307</v>
      </c>
      <c r="C2640" s="92" t="s">
        <v>733</v>
      </c>
      <c r="D2640" s="33" t="s">
        <v>411</v>
      </c>
      <c r="E2640" s="34">
        <v>45471</v>
      </c>
      <c r="F2640" s="34">
        <v>45474</v>
      </c>
      <c r="G2640" s="34">
        <v>45477</v>
      </c>
      <c r="H2640" s="35">
        <v>0.04</v>
      </c>
      <c r="I2640" s="67">
        <v>1.2E-2</v>
      </c>
      <c r="J2640" s="67">
        <v>0</v>
      </c>
      <c r="K2640" s="67">
        <v>1.2E-2</v>
      </c>
      <c r="L2640" s="36">
        <f>+K2640-((K2640*0.6005*0.125)+(K2640*(1-0.6005)*0.26))</f>
        <v>9.85281E-3</v>
      </c>
      <c r="M2640" s="64">
        <f t="shared" si="80"/>
        <v>9.85281E-3</v>
      </c>
      <c r="N2640" s="33" t="s">
        <v>718</v>
      </c>
    </row>
    <row r="2641" spans="1:14" ht="15">
      <c r="A2641" s="12"/>
      <c r="B2641" s="33" t="s">
        <v>185</v>
      </c>
      <c r="C2641" s="92" t="s">
        <v>734</v>
      </c>
      <c r="D2641" s="33" t="s">
        <v>411</v>
      </c>
      <c r="E2641" s="34">
        <v>45471</v>
      </c>
      <c r="F2641" s="34">
        <v>45474</v>
      </c>
      <c r="G2641" s="34">
        <v>45477</v>
      </c>
      <c r="H2641" s="35">
        <v>0.04</v>
      </c>
      <c r="I2641" s="67">
        <v>0.19789999999999999</v>
      </c>
      <c r="J2641" s="67">
        <v>0</v>
      </c>
      <c r="K2641" s="67">
        <v>0.19789999999999999</v>
      </c>
      <c r="L2641" s="36">
        <f>+K2641-((K2641*0.6005*0.125)+(K2641*(1-0.6005)*0.26))</f>
        <v>0.16248925824999999</v>
      </c>
      <c r="M2641" s="64">
        <f t="shared" si="80"/>
        <v>0.16248925824999999</v>
      </c>
      <c r="N2641" s="33" t="s">
        <v>718</v>
      </c>
    </row>
    <row r="2642" spans="1:14" ht="15">
      <c r="A2642" s="12"/>
      <c r="B2642" s="33" t="s">
        <v>193</v>
      </c>
      <c r="C2642" s="92" t="s">
        <v>735</v>
      </c>
      <c r="D2642" s="33" t="s">
        <v>411</v>
      </c>
      <c r="E2642" s="34">
        <v>45471</v>
      </c>
      <c r="F2642" s="34">
        <v>45474</v>
      </c>
      <c r="G2642" s="34">
        <v>45477</v>
      </c>
      <c r="H2642" s="35">
        <v>0.04</v>
      </c>
      <c r="I2642" s="67">
        <v>0.1966</v>
      </c>
      <c r="J2642" s="67">
        <v>0</v>
      </c>
      <c r="K2642" s="67">
        <v>0.1966</v>
      </c>
      <c r="L2642" s="36">
        <f>+K2642-((K2642*0.6005*0.125)+(K2642*(1-0.6005)*0.26))</f>
        <v>0.16142187050000001</v>
      </c>
      <c r="M2642" s="64">
        <f t="shared" si="80"/>
        <v>0.16142187050000001</v>
      </c>
      <c r="N2642" s="33" t="s">
        <v>718</v>
      </c>
    </row>
    <row r="2643" spans="1:14" ht="15">
      <c r="A2643" s="12"/>
      <c r="B2643" s="33" t="s">
        <v>309</v>
      </c>
      <c r="C2643" s="92" t="s">
        <v>736</v>
      </c>
      <c r="D2643" s="33" t="s">
        <v>411</v>
      </c>
      <c r="E2643" s="34">
        <v>45471</v>
      </c>
      <c r="F2643" s="34">
        <v>45474</v>
      </c>
      <c r="G2643" s="34">
        <v>45477</v>
      </c>
      <c r="H2643" s="35">
        <v>5.5E-2</v>
      </c>
      <c r="I2643" s="67">
        <v>1.84E-2</v>
      </c>
      <c r="J2643" s="67">
        <v>0</v>
      </c>
      <c r="K2643" s="67">
        <v>1.84E-2</v>
      </c>
      <c r="L2643" s="36">
        <f>+K2643-((K2643*0.056*0.125)+(K2643*(1-0.056)*0.26))</f>
        <v>1.3755104000000001E-2</v>
      </c>
      <c r="M2643" s="64">
        <f t="shared" si="80"/>
        <v>1.3755104000000001E-2</v>
      </c>
      <c r="N2643" s="33" t="s">
        <v>718</v>
      </c>
    </row>
    <row r="2644" spans="1:14" ht="15">
      <c r="A2644" s="12"/>
      <c r="B2644" s="33" t="s">
        <v>187</v>
      </c>
      <c r="C2644" s="92" t="s">
        <v>737</v>
      </c>
      <c r="D2644" s="33" t="s">
        <v>411</v>
      </c>
      <c r="E2644" s="34">
        <v>45471</v>
      </c>
      <c r="F2644" s="34">
        <v>45474</v>
      </c>
      <c r="G2644" s="34">
        <v>45477</v>
      </c>
      <c r="H2644" s="35">
        <v>5.5E-2</v>
      </c>
      <c r="I2644" s="67">
        <v>0.3231</v>
      </c>
      <c r="J2644" s="67">
        <v>0</v>
      </c>
      <c r="K2644" s="67">
        <v>0.3231</v>
      </c>
      <c r="L2644" s="36">
        <f>+K2644-((K2644*0.056*0.125)+(K2644*(1-0.056)*0.26))</f>
        <v>0.241536636</v>
      </c>
      <c r="M2644" s="64">
        <f t="shared" si="80"/>
        <v>0.241536636</v>
      </c>
      <c r="N2644" s="33" t="s">
        <v>718</v>
      </c>
    </row>
    <row r="2645" spans="1:14" ht="15">
      <c r="A2645" s="12"/>
      <c r="B2645" s="33" t="s">
        <v>195</v>
      </c>
      <c r="C2645" s="92" t="s">
        <v>738</v>
      </c>
      <c r="D2645" s="33" t="s">
        <v>411</v>
      </c>
      <c r="E2645" s="34">
        <v>45471</v>
      </c>
      <c r="F2645" s="34">
        <v>45474</v>
      </c>
      <c r="G2645" s="34">
        <v>45477</v>
      </c>
      <c r="H2645" s="35">
        <v>5.5E-2</v>
      </c>
      <c r="I2645" s="67">
        <v>0.33889999999999998</v>
      </c>
      <c r="J2645" s="67">
        <v>0</v>
      </c>
      <c r="K2645" s="67">
        <v>0.33889999999999998</v>
      </c>
      <c r="L2645" s="36">
        <f>+K2645-((K2645*0.056*0.125)+(K2645*(1-0.056)*0.26))</f>
        <v>0.25334808399999997</v>
      </c>
      <c r="M2645" s="64">
        <f t="shared" si="80"/>
        <v>0.25334808399999997</v>
      </c>
      <c r="N2645" s="33" t="s">
        <v>718</v>
      </c>
    </row>
    <row r="2646" spans="1:14" ht="15">
      <c r="A2646" s="12"/>
      <c r="B2646" s="33" t="s">
        <v>312</v>
      </c>
      <c r="C2646" s="92" t="s">
        <v>739</v>
      </c>
      <c r="D2646" s="33" t="s">
        <v>411</v>
      </c>
      <c r="E2646" s="34">
        <v>45471</v>
      </c>
      <c r="F2646" s="34">
        <v>45474</v>
      </c>
      <c r="G2646" s="34">
        <v>45477</v>
      </c>
      <c r="H2646" s="35">
        <v>7.2499999999999995E-2</v>
      </c>
      <c r="I2646" s="67">
        <v>2.2499999999999999E-2</v>
      </c>
      <c r="J2646" s="67">
        <v>0</v>
      </c>
      <c r="K2646" s="67">
        <v>2.2499999999999999E-2</v>
      </c>
      <c r="L2646" s="36">
        <f>+K2646-((K2646*0.0000000000001*0.125)+(K2646*(1-0.0000000000001)*0.26))</f>
        <v>1.6650000000000303E-2</v>
      </c>
      <c r="M2646" s="64">
        <f t="shared" si="80"/>
        <v>1.6650000000000303E-2</v>
      </c>
      <c r="N2646" s="33" t="s">
        <v>718</v>
      </c>
    </row>
    <row r="2647" spans="1:14" ht="15">
      <c r="A2647" s="12"/>
      <c r="B2647" s="33" t="s">
        <v>190</v>
      </c>
      <c r="C2647" s="92" t="s">
        <v>740</v>
      </c>
      <c r="D2647" s="33" t="s">
        <v>411</v>
      </c>
      <c r="E2647" s="34">
        <v>45471</v>
      </c>
      <c r="F2647" s="34">
        <v>45474</v>
      </c>
      <c r="G2647" s="34">
        <v>45477</v>
      </c>
      <c r="H2647" s="35">
        <v>7.2499999999999995E-2</v>
      </c>
      <c r="I2647" s="67">
        <v>0.42409999999999998</v>
      </c>
      <c r="J2647" s="67">
        <v>0</v>
      </c>
      <c r="K2647" s="67">
        <v>0.42409999999999998</v>
      </c>
      <c r="L2647" s="36">
        <f>+K2647-((K2647*0.0000000000001*0.125)+(K2647*(1-0.0000000000001)*0.26))</f>
        <v>0.31383400000000572</v>
      </c>
      <c r="M2647" s="64">
        <f t="shared" si="80"/>
        <v>0.31383400000000572</v>
      </c>
      <c r="N2647" s="33" t="s">
        <v>718</v>
      </c>
    </row>
    <row r="2648" spans="1:14" ht="15">
      <c r="A2648" s="12"/>
      <c r="B2648" s="33" t="s">
        <v>198</v>
      </c>
      <c r="C2648" s="92" t="s">
        <v>741</v>
      </c>
      <c r="D2648" s="33" t="s">
        <v>411</v>
      </c>
      <c r="E2648" s="34">
        <v>45471</v>
      </c>
      <c r="F2648" s="34">
        <v>45474</v>
      </c>
      <c r="G2648" s="34">
        <v>45477</v>
      </c>
      <c r="H2648" s="35">
        <v>7.2499999999999995E-2</v>
      </c>
      <c r="I2648" s="67">
        <v>0.43080000000000002</v>
      </c>
      <c r="J2648" s="67">
        <v>0</v>
      </c>
      <c r="K2648" s="67">
        <v>0.43080000000000002</v>
      </c>
      <c r="L2648" s="36">
        <f>+K2648-((K2648*0.0000000000001*0.125)+(K2648*(1-0.0000000000001)*0.26))</f>
        <v>0.31879200000000585</v>
      </c>
      <c r="M2648" s="64">
        <f t="shared" si="80"/>
        <v>0.31879200000000585</v>
      </c>
      <c r="N2648" s="33" t="s">
        <v>718</v>
      </c>
    </row>
    <row r="2649" spans="1:14" ht="15">
      <c r="A2649" s="12"/>
      <c r="B2649" s="33" t="s">
        <v>313</v>
      </c>
      <c r="C2649" s="92" t="s">
        <v>884</v>
      </c>
      <c r="D2649" s="33" t="s">
        <v>411</v>
      </c>
      <c r="E2649" s="34">
        <v>45471</v>
      </c>
      <c r="F2649" s="34">
        <v>45474</v>
      </c>
      <c r="G2649" s="34">
        <v>45477</v>
      </c>
      <c r="H2649" s="35">
        <v>4.7500000000000001E-2</v>
      </c>
      <c r="I2649" s="67">
        <v>1.61E-2</v>
      </c>
      <c r="J2649" s="67">
        <v>0</v>
      </c>
      <c r="K2649" s="67">
        <v>1.61E-2</v>
      </c>
      <c r="L2649" s="36">
        <f>+K2649-((K2649*0.3*0.125)+(K2649*(1-0.3)*0.26))</f>
        <v>1.2566049999999999E-2</v>
      </c>
      <c r="M2649" s="64">
        <f t="shared" si="80"/>
        <v>1.2566049999999999E-2</v>
      </c>
      <c r="N2649" s="33" t="s">
        <v>718</v>
      </c>
    </row>
    <row r="2650" spans="1:14" ht="15">
      <c r="A2650" s="12"/>
      <c r="B2650" s="33" t="s">
        <v>298</v>
      </c>
      <c r="C2650" s="92" t="s">
        <v>403</v>
      </c>
      <c r="D2650" s="33" t="s">
        <v>410</v>
      </c>
      <c r="E2650" s="34">
        <v>45471</v>
      </c>
      <c r="F2650" s="34">
        <v>45474</v>
      </c>
      <c r="G2650" s="34">
        <v>45477</v>
      </c>
      <c r="H2650" s="35">
        <v>0.05</v>
      </c>
      <c r="I2650" s="67">
        <v>4.82E-2</v>
      </c>
      <c r="J2650" s="67">
        <v>0</v>
      </c>
      <c r="K2650" s="67">
        <v>4.82E-2</v>
      </c>
      <c r="L2650" s="36">
        <f>+K2650-((K2650*0.48*0.125)+(K2650*(1-0.48)*0.26))</f>
        <v>3.8791359999999997E-2</v>
      </c>
      <c r="M2650" s="64">
        <f t="shared" si="80"/>
        <v>3.8791359999999997E-2</v>
      </c>
      <c r="N2650" s="33" t="s">
        <v>248</v>
      </c>
    </row>
    <row r="2651" spans="1:14" ht="15">
      <c r="A2651" s="12"/>
      <c r="B2651" s="33" t="s">
        <v>181</v>
      </c>
      <c r="C2651" s="92" t="s">
        <v>335</v>
      </c>
      <c r="D2651" s="33" t="s">
        <v>410</v>
      </c>
      <c r="E2651" s="34">
        <v>45471</v>
      </c>
      <c r="F2651" s="34">
        <v>45474</v>
      </c>
      <c r="G2651" s="34">
        <v>45477</v>
      </c>
      <c r="H2651" s="35">
        <v>0.05</v>
      </c>
      <c r="I2651" s="67">
        <v>0.8589</v>
      </c>
      <c r="J2651" s="67">
        <v>0</v>
      </c>
      <c r="K2651" s="67">
        <v>0.8589</v>
      </c>
      <c r="L2651" s="36">
        <f>+K2651-((K2651*0.48*0.125)+(K2651*(1-0.48)*0.26))</f>
        <v>0.69124271999999998</v>
      </c>
      <c r="M2651" s="64">
        <f t="shared" si="80"/>
        <v>0.69124271999999998</v>
      </c>
      <c r="N2651" s="33" t="s">
        <v>248</v>
      </c>
    </row>
    <row r="2652" spans="1:14" ht="15">
      <c r="A2652" s="12"/>
      <c r="B2652" s="33" t="s">
        <v>201</v>
      </c>
      <c r="C2652" s="92" t="s">
        <v>336</v>
      </c>
      <c r="D2652" s="33" t="s">
        <v>410</v>
      </c>
      <c r="E2652" s="34">
        <v>45471</v>
      </c>
      <c r="F2652" s="34">
        <v>45474</v>
      </c>
      <c r="G2652" s="34">
        <v>45477</v>
      </c>
      <c r="H2652" s="35">
        <v>0.05</v>
      </c>
      <c r="I2652" s="67">
        <v>0.88009999999999999</v>
      </c>
      <c r="J2652" s="67">
        <v>0</v>
      </c>
      <c r="K2652" s="67">
        <v>0.88009999999999999</v>
      </c>
      <c r="L2652" s="36">
        <f>+K2652-((K2652*0.48*0.125)+(K2652*(1-0.48)*0.26))</f>
        <v>0.70830448000000001</v>
      </c>
      <c r="M2652" s="64">
        <f t="shared" si="80"/>
        <v>0.70830448000000001</v>
      </c>
      <c r="N2652" s="33" t="s">
        <v>248</v>
      </c>
    </row>
    <row r="2653" spans="1:14" ht="15">
      <c r="A2653" s="12"/>
      <c r="B2653" s="33" t="s">
        <v>138</v>
      </c>
      <c r="C2653" s="92" t="s">
        <v>337</v>
      </c>
      <c r="D2653" s="33" t="s">
        <v>410</v>
      </c>
      <c r="E2653" s="34">
        <v>45471</v>
      </c>
      <c r="F2653" s="34">
        <v>45474</v>
      </c>
      <c r="G2653" s="34">
        <v>45477</v>
      </c>
      <c r="H2653" s="35">
        <v>0.05</v>
      </c>
      <c r="I2653" s="67">
        <v>6.2100000000000002E-2</v>
      </c>
      <c r="J2653" s="67">
        <v>0</v>
      </c>
      <c r="K2653" s="67">
        <v>6.2100000000000002E-2</v>
      </c>
      <c r="L2653" s="36">
        <f>+K2653-((K2653*0.353*0.125)+(K2653*(1-0.353)*0.26))</f>
        <v>4.8913375500000002E-2</v>
      </c>
      <c r="M2653" s="64">
        <f t="shared" si="80"/>
        <v>4.8913375500000002E-2</v>
      </c>
      <c r="N2653" s="33" t="s">
        <v>248</v>
      </c>
    </row>
    <row r="2654" spans="1:14" ht="15">
      <c r="A2654" s="12"/>
      <c r="B2654" s="33" t="s">
        <v>160</v>
      </c>
      <c r="C2654" s="92" t="s">
        <v>338</v>
      </c>
      <c r="D2654" s="33" t="s">
        <v>410</v>
      </c>
      <c r="E2654" s="34">
        <v>45471</v>
      </c>
      <c r="F2654" s="34">
        <v>45474</v>
      </c>
      <c r="G2654" s="34">
        <v>45477</v>
      </c>
      <c r="H2654" s="35">
        <v>0.05</v>
      </c>
      <c r="I2654" s="67">
        <v>6.0400000000000002E-2</v>
      </c>
      <c r="J2654" s="67">
        <v>0</v>
      </c>
      <c r="K2654" s="67">
        <v>6.0400000000000002E-2</v>
      </c>
      <c r="L2654" s="36">
        <f>+K2654-((K2654*0.353*0.125)+(K2654*(1-0.353)*0.26))</f>
        <v>4.7574362000000002E-2</v>
      </c>
      <c r="M2654" s="64">
        <f t="shared" si="80"/>
        <v>4.7574362000000002E-2</v>
      </c>
      <c r="N2654" s="33" t="s">
        <v>248</v>
      </c>
    </row>
    <row r="2655" spans="1:14" ht="15">
      <c r="A2655" s="12"/>
      <c r="B2655" s="33" t="s">
        <v>300</v>
      </c>
      <c r="C2655" s="92" t="s">
        <v>404</v>
      </c>
      <c r="D2655" s="33" t="s">
        <v>410</v>
      </c>
      <c r="E2655" s="34">
        <v>45471</v>
      </c>
      <c r="F2655" s="34">
        <v>45474</v>
      </c>
      <c r="G2655" s="34">
        <v>45477</v>
      </c>
      <c r="H2655" s="35">
        <v>0.05</v>
      </c>
      <c r="I2655" s="67">
        <v>4.7600000000000003E-2</v>
      </c>
      <c r="J2655" s="67">
        <v>0</v>
      </c>
      <c r="K2655" s="67">
        <v>4.7600000000000003E-2</v>
      </c>
      <c r="L2655" s="36">
        <f>+K2655-((K2655*0.353*0.125)+(K2655*(1-0.353)*0.26))</f>
        <v>3.7492378000000007E-2</v>
      </c>
      <c r="M2655" s="64">
        <f t="shared" si="80"/>
        <v>3.7492378000000007E-2</v>
      </c>
      <c r="N2655" s="33" t="s">
        <v>248</v>
      </c>
    </row>
    <row r="2656" spans="1:14" ht="15">
      <c r="A2656" s="12"/>
      <c r="B2656" s="33" t="s">
        <v>142</v>
      </c>
      <c r="C2656" s="92" t="s">
        <v>341</v>
      </c>
      <c r="D2656" s="33" t="s">
        <v>410</v>
      </c>
      <c r="E2656" s="34">
        <v>45471</v>
      </c>
      <c r="F2656" s="34">
        <v>45474</v>
      </c>
      <c r="G2656" s="34">
        <v>45477</v>
      </c>
      <c r="H2656" s="35">
        <v>5.7500000000000002E-2</v>
      </c>
      <c r="I2656" s="67">
        <v>7.5600000000000001E-2</v>
      </c>
      <c r="J2656" s="67">
        <v>0</v>
      </c>
      <c r="K2656" s="67">
        <v>7.5600000000000001E-2</v>
      </c>
      <c r="L2656" s="36">
        <f>+K2656-((K2656*0.027*0.125)+(K2656*(1-0.027)*0.26))</f>
        <v>5.6219562000000001E-2</v>
      </c>
      <c r="M2656" s="64">
        <f t="shared" si="80"/>
        <v>5.6219562000000001E-2</v>
      </c>
      <c r="N2656" s="33" t="s">
        <v>248</v>
      </c>
    </row>
    <row r="2657" spans="1:14" ht="15">
      <c r="A2657" s="12"/>
      <c r="B2657" s="33" t="s">
        <v>159</v>
      </c>
      <c r="C2657" s="92" t="s">
        <v>342</v>
      </c>
      <c r="D2657" s="33" t="s">
        <v>410</v>
      </c>
      <c r="E2657" s="34">
        <v>45471</v>
      </c>
      <c r="F2657" s="34">
        <v>45474</v>
      </c>
      <c r="G2657" s="34">
        <v>45477</v>
      </c>
      <c r="H2657" s="35">
        <v>5.7500000000000002E-2</v>
      </c>
      <c r="I2657" s="67">
        <v>7.3899999999999993E-2</v>
      </c>
      <c r="J2657" s="67">
        <v>0</v>
      </c>
      <c r="K2657" s="67">
        <v>7.3899999999999993E-2</v>
      </c>
      <c r="L2657" s="36">
        <f>+K2657-((K2657*0.027*0.125)+(K2657*(1-0.027)*0.26))</f>
        <v>5.4955365499999992E-2</v>
      </c>
      <c r="M2657" s="64">
        <f t="shared" si="80"/>
        <v>5.4955365499999992E-2</v>
      </c>
      <c r="N2657" s="33" t="s">
        <v>248</v>
      </c>
    </row>
    <row r="2658" spans="1:14" ht="15">
      <c r="A2658" s="12"/>
      <c r="B2658" s="33" t="s">
        <v>507</v>
      </c>
      <c r="C2658" s="92" t="s">
        <v>508</v>
      </c>
      <c r="D2658" s="33" t="s">
        <v>410</v>
      </c>
      <c r="E2658" s="34">
        <v>45471</v>
      </c>
      <c r="F2658" s="34">
        <v>45474</v>
      </c>
      <c r="G2658" s="34">
        <v>45477</v>
      </c>
      <c r="H2658" s="35">
        <v>5.7500000000000002E-2</v>
      </c>
      <c r="I2658" s="67">
        <v>5.9400000000000001E-2</v>
      </c>
      <c r="J2658" s="67">
        <v>0</v>
      </c>
      <c r="K2658" s="67">
        <v>5.9400000000000001E-2</v>
      </c>
      <c r="L2658" s="36">
        <f>+K2658-((K2658*0.027*0.125)+(K2658*(1-0.027)*0.26))</f>
        <v>4.4172512999999997E-2</v>
      </c>
      <c r="M2658" s="64">
        <f t="shared" si="80"/>
        <v>4.4172512999999997E-2</v>
      </c>
      <c r="N2658" s="33" t="s">
        <v>248</v>
      </c>
    </row>
    <row r="2659" spans="1:14" ht="15">
      <c r="A2659" s="12"/>
      <c r="B2659" s="33" t="s">
        <v>139</v>
      </c>
      <c r="C2659" s="92" t="s">
        <v>344</v>
      </c>
      <c r="D2659" s="33" t="s">
        <v>410</v>
      </c>
      <c r="E2659" s="34">
        <v>45471</v>
      </c>
      <c r="F2659" s="34">
        <v>45474</v>
      </c>
      <c r="G2659" s="34">
        <v>45477</v>
      </c>
      <c r="H2659" s="35">
        <v>0.05</v>
      </c>
      <c r="I2659" s="67">
        <v>4.9000000000000002E-2</v>
      </c>
      <c r="J2659" s="67">
        <v>0</v>
      </c>
      <c r="K2659" s="67">
        <v>4.9000000000000002E-2</v>
      </c>
      <c r="L2659" s="36">
        <f>+K2659-((K2659*0.852*0.125)+(K2659*(1-0.852)*0.26))</f>
        <v>4.1895979999999999E-2</v>
      </c>
      <c r="M2659" s="64">
        <f t="shared" si="80"/>
        <v>4.1895979999999999E-2</v>
      </c>
      <c r="N2659" s="33" t="s">
        <v>248</v>
      </c>
    </row>
    <row r="2660" spans="1:14" ht="15">
      <c r="A2660" s="12"/>
      <c r="B2660" s="33" t="s">
        <v>161</v>
      </c>
      <c r="C2660" s="92" t="s">
        <v>345</v>
      </c>
      <c r="D2660" s="33" t="s">
        <v>410</v>
      </c>
      <c r="E2660" s="34">
        <v>45471</v>
      </c>
      <c r="F2660" s="34">
        <v>45474</v>
      </c>
      <c r="G2660" s="34">
        <v>45477</v>
      </c>
      <c r="H2660" s="35">
        <v>0.05</v>
      </c>
      <c r="I2660" s="67">
        <v>4.8000000000000001E-2</v>
      </c>
      <c r="J2660" s="67">
        <v>0</v>
      </c>
      <c r="K2660" s="67">
        <v>4.8000000000000001E-2</v>
      </c>
      <c r="L2660" s="36">
        <f>+K2660-((K2660*0.852*0.125)+(K2660*(1-0.852)*0.26))</f>
        <v>4.1040960000000001E-2</v>
      </c>
      <c r="M2660" s="64">
        <f t="shared" si="80"/>
        <v>4.1040960000000001E-2</v>
      </c>
      <c r="N2660" s="33" t="s">
        <v>248</v>
      </c>
    </row>
    <row r="2661" spans="1:14" ht="15">
      <c r="A2661" s="12"/>
      <c r="B2661" s="33" t="s">
        <v>141</v>
      </c>
      <c r="C2661" s="92" t="s">
        <v>348</v>
      </c>
      <c r="D2661" s="33" t="s">
        <v>410</v>
      </c>
      <c r="E2661" s="34">
        <v>45471</v>
      </c>
      <c r="F2661" s="34">
        <v>45474</v>
      </c>
      <c r="G2661" s="34">
        <v>45477</v>
      </c>
      <c r="H2661" s="35">
        <v>0.05</v>
      </c>
      <c r="I2661" s="67">
        <v>4.4900000000000002E-2</v>
      </c>
      <c r="J2661" s="67">
        <v>0</v>
      </c>
      <c r="K2661" s="67">
        <v>4.4900000000000002E-2</v>
      </c>
      <c r="L2661" s="36">
        <f>+K2661-((K2661*0.0585*0.125)+(K2661*(1-0.0585)*0.26))</f>
        <v>3.3580597750000003E-2</v>
      </c>
      <c r="M2661" s="64">
        <f t="shared" si="80"/>
        <v>3.3580597750000003E-2</v>
      </c>
      <c r="N2661" s="33" t="s">
        <v>248</v>
      </c>
    </row>
    <row r="2662" spans="1:14" ht="15">
      <c r="A2662" s="12"/>
      <c r="B2662" s="33" t="s">
        <v>140</v>
      </c>
      <c r="C2662" s="92" t="s">
        <v>349</v>
      </c>
      <c r="D2662" s="33" t="s">
        <v>410</v>
      </c>
      <c r="E2662" s="34">
        <v>45471</v>
      </c>
      <c r="F2662" s="34">
        <v>45474</v>
      </c>
      <c r="G2662" s="34">
        <v>45477</v>
      </c>
      <c r="H2662" s="35">
        <v>0.05</v>
      </c>
      <c r="I2662" s="67">
        <v>5.3999999999999999E-2</v>
      </c>
      <c r="J2662" s="67">
        <v>0</v>
      </c>
      <c r="K2662" s="67">
        <v>5.3999999999999999E-2</v>
      </c>
      <c r="L2662" s="36">
        <f>+K2662-((K2662*0.0585*0.125)+(K2662*(1-0.0585)*0.26))</f>
        <v>4.0386464999999996E-2</v>
      </c>
      <c r="M2662" s="64">
        <f t="shared" si="80"/>
        <v>4.0386464999999996E-2</v>
      </c>
      <c r="N2662" s="33" t="s">
        <v>248</v>
      </c>
    </row>
    <row r="2663" spans="1:14" ht="15">
      <c r="A2663" s="12"/>
      <c r="B2663" s="33" t="s">
        <v>162</v>
      </c>
      <c r="C2663" s="92" t="s">
        <v>350</v>
      </c>
      <c r="D2663" s="33" t="s">
        <v>410</v>
      </c>
      <c r="E2663" s="34">
        <v>45471</v>
      </c>
      <c r="F2663" s="34">
        <v>45474</v>
      </c>
      <c r="G2663" s="34">
        <v>45477</v>
      </c>
      <c r="H2663" s="35">
        <v>0.05</v>
      </c>
      <c r="I2663" s="67">
        <v>5.2499999999999998E-2</v>
      </c>
      <c r="J2663" s="67">
        <v>0</v>
      </c>
      <c r="K2663" s="67">
        <v>5.2499999999999998E-2</v>
      </c>
      <c r="L2663" s="36">
        <f>+K2663-((K2663*0.0585*0.125)+(K2663*(1-0.0585)*0.26))</f>
        <v>3.9264618749999994E-2</v>
      </c>
      <c r="M2663" s="64">
        <f t="shared" si="80"/>
        <v>3.9264618749999994E-2</v>
      </c>
      <c r="N2663" s="33" t="s">
        <v>248</v>
      </c>
    </row>
    <row r="2664" spans="1:14" ht="15">
      <c r="A2664" s="12"/>
      <c r="B2664" s="33" t="s">
        <v>302</v>
      </c>
      <c r="C2664" s="92" t="s">
        <v>405</v>
      </c>
      <c r="D2664" s="33" t="s">
        <v>410</v>
      </c>
      <c r="E2664" s="34">
        <v>45471</v>
      </c>
      <c r="F2664" s="34">
        <v>45474</v>
      </c>
      <c r="G2664" s="34">
        <v>45477</v>
      </c>
      <c r="H2664" s="35">
        <v>0.05</v>
      </c>
      <c r="I2664" s="67">
        <v>4.6399999999999997E-2</v>
      </c>
      <c r="J2664" s="67">
        <v>0</v>
      </c>
      <c r="K2664" s="67">
        <v>4.6399999999999997E-2</v>
      </c>
      <c r="L2664" s="36">
        <f>+K2664-((K2664*0.0585*0.125)+(K2664*(1-0.0585)*0.26))</f>
        <v>3.4702443999999999E-2</v>
      </c>
      <c r="M2664" s="64">
        <f t="shared" si="80"/>
        <v>3.4702443999999999E-2</v>
      </c>
      <c r="N2664" s="33" t="s">
        <v>248</v>
      </c>
    </row>
    <row r="2665" spans="1:14" ht="15">
      <c r="A2665" s="12"/>
      <c r="B2665" s="33" t="s">
        <v>303</v>
      </c>
      <c r="C2665" s="92" t="s">
        <v>406</v>
      </c>
      <c r="D2665" s="33" t="s">
        <v>410</v>
      </c>
      <c r="E2665" s="34">
        <v>45471</v>
      </c>
      <c r="F2665" s="34">
        <v>45474</v>
      </c>
      <c r="G2665" s="34">
        <v>45477</v>
      </c>
      <c r="H2665" s="35">
        <v>0.05</v>
      </c>
      <c r="I2665" s="67">
        <v>5.0299999999999997E-2</v>
      </c>
      <c r="J2665" s="67">
        <v>0</v>
      </c>
      <c r="K2665" s="67">
        <v>5.0299999999999997E-2</v>
      </c>
      <c r="L2665" s="36">
        <f>+K2665-((K2665*0.0585*0.125)+(K2665*(1-0.0585)*0.26))</f>
        <v>3.7619244249999996E-2</v>
      </c>
      <c r="M2665" s="64">
        <f t="shared" si="80"/>
        <v>3.7619244249999996E-2</v>
      </c>
      <c r="N2665" s="33" t="s">
        <v>248</v>
      </c>
    </row>
    <row r="2666" spans="1:14" ht="15">
      <c r="A2666" s="12"/>
      <c r="B2666" s="33" t="s">
        <v>143</v>
      </c>
      <c r="C2666" s="92" t="s">
        <v>351</v>
      </c>
      <c r="D2666" s="33" t="s">
        <v>410</v>
      </c>
      <c r="E2666" s="34">
        <v>45471</v>
      </c>
      <c r="F2666" s="34">
        <v>45474</v>
      </c>
      <c r="G2666" s="34">
        <v>45477</v>
      </c>
      <c r="H2666" s="35">
        <v>0.03</v>
      </c>
      <c r="I2666" s="67">
        <v>3.2899999999999999E-2</v>
      </c>
      <c r="J2666" s="67">
        <v>0</v>
      </c>
      <c r="K2666" s="67">
        <v>3.2899999999999999E-2</v>
      </c>
      <c r="L2666" s="36">
        <f>+K2666-((K2666*0.474*0.125)+(K2666*(1-0.474)*0.26))</f>
        <v>2.6451270999999998E-2</v>
      </c>
      <c r="M2666" s="64">
        <f t="shared" si="80"/>
        <v>2.6451270999999998E-2</v>
      </c>
      <c r="N2666" s="33" t="s">
        <v>248</v>
      </c>
    </row>
    <row r="2667" spans="1:14" ht="15">
      <c r="A2667" s="12"/>
      <c r="B2667" s="33" t="s">
        <v>145</v>
      </c>
      <c r="C2667" s="92" t="s">
        <v>889</v>
      </c>
      <c r="D2667" s="33" t="s">
        <v>410</v>
      </c>
      <c r="E2667" s="34">
        <v>45471</v>
      </c>
      <c r="F2667" s="34">
        <v>45474</v>
      </c>
      <c r="G2667" s="34">
        <v>45477</v>
      </c>
      <c r="H2667" s="35">
        <v>0.04</v>
      </c>
      <c r="I2667" s="67">
        <v>4.53E-2</v>
      </c>
      <c r="J2667" s="67">
        <v>0</v>
      </c>
      <c r="K2667" s="67">
        <v>4.53E-2</v>
      </c>
      <c r="L2667" s="36">
        <f>+K2667-((K2667*0.062*0.125)+(K2667*(1-0.062)*0.26))</f>
        <v>3.3901160999999999E-2</v>
      </c>
      <c r="M2667" s="64">
        <f t="shared" si="80"/>
        <v>3.3901160999999999E-2</v>
      </c>
      <c r="N2667" s="33" t="s">
        <v>248</v>
      </c>
    </row>
    <row r="2668" spans="1:14" ht="15">
      <c r="A2668" s="12"/>
      <c r="B2668" s="33" t="s">
        <v>144</v>
      </c>
      <c r="C2668" s="92" t="s">
        <v>353</v>
      </c>
      <c r="D2668" s="33" t="s">
        <v>410</v>
      </c>
      <c r="E2668" s="34">
        <v>45471</v>
      </c>
      <c r="F2668" s="34">
        <v>45474</v>
      </c>
      <c r="G2668" s="34">
        <v>45477</v>
      </c>
      <c r="H2668" s="35">
        <v>0.03</v>
      </c>
      <c r="I2668" s="67">
        <v>3.2500000000000001E-2</v>
      </c>
      <c r="J2668" s="67">
        <v>0</v>
      </c>
      <c r="K2668" s="67">
        <v>3.2500000000000001E-2</v>
      </c>
      <c r="L2668" s="36">
        <f>+K2668-((K2668*0.6995*0.125)+(K2668*(1-0.6995)*0.26))</f>
        <v>2.7119056250000002E-2</v>
      </c>
      <c r="M2668" s="64">
        <f t="shared" si="80"/>
        <v>2.7119056250000002E-2</v>
      </c>
      <c r="N2668" s="33" t="s">
        <v>248</v>
      </c>
    </row>
    <row r="2669" spans="1:14" ht="15">
      <c r="A2669" s="12"/>
      <c r="B2669" s="33" t="s">
        <v>148</v>
      </c>
      <c r="C2669" s="92" t="s">
        <v>362</v>
      </c>
      <c r="D2669" s="33" t="s">
        <v>410</v>
      </c>
      <c r="E2669" s="34">
        <v>45471</v>
      </c>
      <c r="F2669" s="34">
        <v>45474</v>
      </c>
      <c r="G2669" s="34">
        <v>45477</v>
      </c>
      <c r="H2669" s="35">
        <v>0.05</v>
      </c>
      <c r="I2669" s="67">
        <v>6.1699999999999998E-2</v>
      </c>
      <c r="J2669" s="67">
        <v>0</v>
      </c>
      <c r="K2669" s="67">
        <v>6.1699999999999998E-2</v>
      </c>
      <c r="L2669" s="36">
        <f>+K2669-((K2669*0.5055*0.125)+(K2669*(1-0.5055)*0.26))</f>
        <v>4.9868562249999998E-2</v>
      </c>
      <c r="M2669" s="64">
        <f t="shared" si="80"/>
        <v>4.9868562249999998E-2</v>
      </c>
      <c r="N2669" s="33" t="s">
        <v>248</v>
      </c>
    </row>
    <row r="2670" spans="1:14" ht="15">
      <c r="A2670" s="12"/>
      <c r="B2670" s="33" t="s">
        <v>200</v>
      </c>
      <c r="C2670" s="92" t="s">
        <v>365</v>
      </c>
      <c r="D2670" s="33" t="s">
        <v>410</v>
      </c>
      <c r="E2670" s="34">
        <v>45471</v>
      </c>
      <c r="F2670" s="34">
        <v>45474</v>
      </c>
      <c r="G2670" s="34">
        <v>45477</v>
      </c>
      <c r="H2670" s="35">
        <v>0.05</v>
      </c>
      <c r="I2670" s="67">
        <v>1.0330999999999999</v>
      </c>
      <c r="J2670" s="67">
        <v>0</v>
      </c>
      <c r="K2670" s="67">
        <v>1.0330999999999999</v>
      </c>
      <c r="L2670" s="36">
        <f>+K2670-((K2670*0.5055*0.125)+(K2670*(1-0.5055)*0.26))</f>
        <v>0.83499532674999988</v>
      </c>
      <c r="M2670" s="64">
        <f t="shared" si="80"/>
        <v>0.83499532674999988</v>
      </c>
      <c r="N2670" s="33" t="s">
        <v>248</v>
      </c>
    </row>
    <row r="2671" spans="1:14" ht="15">
      <c r="A2671" s="12"/>
      <c r="B2671" s="33" t="s">
        <v>173</v>
      </c>
      <c r="C2671" s="92" t="s">
        <v>372</v>
      </c>
      <c r="D2671" s="33" t="s">
        <v>410</v>
      </c>
      <c r="E2671" s="34">
        <v>45471</v>
      </c>
      <c r="F2671" s="34">
        <v>45474</v>
      </c>
      <c r="G2671" s="34">
        <v>45477</v>
      </c>
      <c r="H2671" s="35">
        <v>0.03</v>
      </c>
      <c r="I2671" s="67">
        <v>3.78E-2</v>
      </c>
      <c r="J2671" s="67">
        <v>0</v>
      </c>
      <c r="K2671" s="67">
        <v>3.78E-2</v>
      </c>
      <c r="L2671" s="36">
        <f>+K2671-((K2671*0.3475*0.125)+(K2671*(1-0.3475)*0.26))</f>
        <v>2.9745292499999999E-2</v>
      </c>
      <c r="M2671" s="64">
        <f t="shared" si="80"/>
        <v>2.9745292499999999E-2</v>
      </c>
      <c r="N2671" s="33" t="s">
        <v>248</v>
      </c>
    </row>
    <row r="2672" spans="1:14" ht="15">
      <c r="A2672" s="12"/>
      <c r="B2672" s="33" t="s">
        <v>150</v>
      </c>
      <c r="C2672" s="92" t="s">
        <v>377</v>
      </c>
      <c r="D2672" s="33" t="s">
        <v>410</v>
      </c>
      <c r="E2672" s="34">
        <v>45471</v>
      </c>
      <c r="F2672" s="34">
        <v>45474</v>
      </c>
      <c r="G2672" s="34">
        <v>45477</v>
      </c>
      <c r="H2672" s="35">
        <v>7.4999999999999997E-2</v>
      </c>
      <c r="I2672" s="67">
        <v>8.72E-2</v>
      </c>
      <c r="J2672" s="67">
        <v>0</v>
      </c>
      <c r="K2672" s="67">
        <v>8.72E-2</v>
      </c>
      <c r="L2672" s="36">
        <f>+K2672-((K2672*0.0225*0.125)+(K2672*(1-0.0225)*0.26))</f>
        <v>6.4792870000000002E-2</v>
      </c>
      <c r="M2672" s="64">
        <f t="shared" si="80"/>
        <v>6.4792870000000002E-2</v>
      </c>
      <c r="N2672" s="33" t="s">
        <v>248</v>
      </c>
    </row>
    <row r="2673" spans="1:14" ht="15">
      <c r="A2673" s="12"/>
      <c r="B2673" s="33" t="s">
        <v>510</v>
      </c>
      <c r="C2673" s="92" t="s">
        <v>509</v>
      </c>
      <c r="D2673" s="33" t="s">
        <v>410</v>
      </c>
      <c r="E2673" s="34">
        <v>45471</v>
      </c>
      <c r="F2673" s="34">
        <v>45474</v>
      </c>
      <c r="G2673" s="34">
        <v>45477</v>
      </c>
      <c r="H2673" s="35">
        <v>7.4999999999999997E-2</v>
      </c>
      <c r="I2673" s="67">
        <v>7.6999999999999999E-2</v>
      </c>
      <c r="J2673" s="67">
        <v>0</v>
      </c>
      <c r="K2673" s="67">
        <v>7.6999999999999999E-2</v>
      </c>
      <c r="L2673" s="36">
        <f>+K2673-((K2673*0.0225*0.125)+(K2673*(1-0.0225)*0.26))</f>
        <v>5.7213887499999998E-2</v>
      </c>
      <c r="M2673" s="64">
        <f t="shared" si="80"/>
        <v>5.7213887499999998E-2</v>
      </c>
      <c r="N2673" s="33" t="s">
        <v>248</v>
      </c>
    </row>
    <row r="2674" spans="1:14" ht="15">
      <c r="A2674" s="12"/>
      <c r="B2674" s="33" t="s">
        <v>441</v>
      </c>
      <c r="C2674" s="92" t="s">
        <v>444</v>
      </c>
      <c r="D2674" s="33" t="s">
        <v>410</v>
      </c>
      <c r="E2674" s="34">
        <v>45471</v>
      </c>
      <c r="F2674" s="34">
        <v>45474</v>
      </c>
      <c r="G2674" s="34">
        <v>45477</v>
      </c>
      <c r="H2674" s="35">
        <v>0.04</v>
      </c>
      <c r="I2674" s="67">
        <v>4.2700000000000002E-2</v>
      </c>
      <c r="J2674" s="67">
        <v>0</v>
      </c>
      <c r="K2674" s="67">
        <v>4.2700000000000002E-2</v>
      </c>
      <c r="L2674" s="36">
        <f>+K2674-((K2674*0.2055*0.125)+(K2674*(1-0.2055)*0.26))</f>
        <v>3.278260475E-2</v>
      </c>
      <c r="M2674" s="64">
        <f t="shared" si="80"/>
        <v>3.278260475E-2</v>
      </c>
      <c r="N2674" s="33" t="s">
        <v>248</v>
      </c>
    </row>
    <row r="2675" spans="1:14" ht="15">
      <c r="A2675" s="12"/>
      <c r="B2675" s="33" t="s">
        <v>440</v>
      </c>
      <c r="C2675" s="92" t="s">
        <v>443</v>
      </c>
      <c r="D2675" s="33" t="s">
        <v>410</v>
      </c>
      <c r="E2675" s="34">
        <v>45471</v>
      </c>
      <c r="F2675" s="34">
        <v>45474</v>
      </c>
      <c r="G2675" s="34">
        <v>45477</v>
      </c>
      <c r="H2675" s="35">
        <v>0.04</v>
      </c>
      <c r="I2675" s="67">
        <v>0.87919999999999998</v>
      </c>
      <c r="J2675" s="67">
        <v>0</v>
      </c>
      <c r="K2675" s="67">
        <v>0.87919999999999998</v>
      </c>
      <c r="L2675" s="36">
        <f>+K2675-((K2675*0.2055*0.125)+(K2675*(1-0.2055)*0.26))</f>
        <v>0.67499920599999996</v>
      </c>
      <c r="M2675" s="64">
        <f t="shared" si="80"/>
        <v>0.67499920599999996</v>
      </c>
      <c r="N2675" s="33" t="s">
        <v>248</v>
      </c>
    </row>
    <row r="2676" spans="1:14" ht="15">
      <c r="A2676" s="12"/>
      <c r="B2676" s="33" t="s">
        <v>299</v>
      </c>
      <c r="C2676" s="92" t="s">
        <v>517</v>
      </c>
      <c r="D2676" s="33" t="s">
        <v>410</v>
      </c>
      <c r="E2676" s="34">
        <v>45471</v>
      </c>
      <c r="F2676" s="34">
        <v>45474</v>
      </c>
      <c r="G2676" s="34">
        <v>45477</v>
      </c>
      <c r="H2676" s="35">
        <v>0.03</v>
      </c>
      <c r="I2676" s="67">
        <v>3.39E-2</v>
      </c>
      <c r="J2676" s="67">
        <v>0</v>
      </c>
      <c r="K2676" s="67">
        <v>3.39E-2</v>
      </c>
      <c r="L2676" s="36">
        <f>+K2676-((K2676*0.421*0.125)+(K2676*(1-0.421)*0.26))</f>
        <v>2.7012706500000001E-2</v>
      </c>
      <c r="M2676" s="64">
        <f t="shared" si="80"/>
        <v>2.7012706500000001E-2</v>
      </c>
      <c r="N2676" s="33" t="s">
        <v>248</v>
      </c>
    </row>
    <row r="2677" spans="1:14" ht="15">
      <c r="A2677" s="12"/>
      <c r="B2677" s="33" t="s">
        <v>182</v>
      </c>
      <c r="C2677" s="92" t="s">
        <v>477</v>
      </c>
      <c r="D2677" s="33" t="s">
        <v>410</v>
      </c>
      <c r="E2677" s="34">
        <v>45471</v>
      </c>
      <c r="F2677" s="34">
        <v>45474</v>
      </c>
      <c r="G2677" s="34">
        <v>45477</v>
      </c>
      <c r="H2677" s="35">
        <v>0.03</v>
      </c>
      <c r="I2677" s="67">
        <v>0.65820000000000001</v>
      </c>
      <c r="J2677" s="67">
        <v>0</v>
      </c>
      <c r="K2677" s="67">
        <v>0.65820000000000001</v>
      </c>
      <c r="L2677" s="36">
        <f>+K2677-((K2677*0.421*0.125)+(K2677*(1-0.421)*0.26))</f>
        <v>0.52447679699999994</v>
      </c>
      <c r="M2677" s="64">
        <f t="shared" si="80"/>
        <v>0.52447679699999994</v>
      </c>
      <c r="N2677" s="33" t="s">
        <v>248</v>
      </c>
    </row>
    <row r="2678" spans="1:14" ht="15">
      <c r="A2678" s="12"/>
      <c r="B2678" s="33" t="s">
        <v>202</v>
      </c>
      <c r="C2678" s="92" t="s">
        <v>478</v>
      </c>
      <c r="D2678" s="33" t="s">
        <v>410</v>
      </c>
      <c r="E2678" s="34">
        <v>45471</v>
      </c>
      <c r="F2678" s="34">
        <v>45474</v>
      </c>
      <c r="G2678" s="34">
        <v>45477</v>
      </c>
      <c r="H2678" s="35">
        <v>0.03</v>
      </c>
      <c r="I2678" s="67">
        <v>0.67610000000000003</v>
      </c>
      <c r="J2678" s="67">
        <v>0</v>
      </c>
      <c r="K2678" s="67">
        <v>0.67610000000000003</v>
      </c>
      <c r="L2678" s="36">
        <f>+K2678-((K2678*0.421*0.125)+(K2678*(1-0.421)*0.26))</f>
        <v>0.5387401435000001</v>
      </c>
      <c r="M2678" s="64">
        <f t="shared" si="80"/>
        <v>0.5387401435000001</v>
      </c>
      <c r="N2678" s="33" t="s">
        <v>248</v>
      </c>
    </row>
    <row r="2679" spans="1:14" ht="15">
      <c r="A2679" s="12"/>
      <c r="B2679" s="33" t="s">
        <v>146</v>
      </c>
      <c r="C2679" s="92" t="s">
        <v>380</v>
      </c>
      <c r="D2679" s="33" t="s">
        <v>410</v>
      </c>
      <c r="E2679" s="34">
        <v>45471</v>
      </c>
      <c r="F2679" s="34">
        <v>45474</v>
      </c>
      <c r="G2679" s="34">
        <v>45477</v>
      </c>
      <c r="H2679" s="35">
        <v>4.4999999999999998E-2</v>
      </c>
      <c r="I2679" s="67">
        <v>6.0900000000000003E-2</v>
      </c>
      <c r="J2679" s="67">
        <v>0</v>
      </c>
      <c r="K2679" s="67">
        <v>6.0900000000000003E-2</v>
      </c>
      <c r="L2679" s="36">
        <f>+K2679-((K2679*0.0175*0.125)+(K2679*(1-0.0175)*0.26))</f>
        <v>4.5209876250000003E-2</v>
      </c>
      <c r="M2679" s="64">
        <f t="shared" si="80"/>
        <v>4.5209876250000003E-2</v>
      </c>
      <c r="N2679" s="33" t="s">
        <v>248</v>
      </c>
    </row>
    <row r="2680" spans="1:14" ht="15">
      <c r="A2680" s="12"/>
      <c r="B2680" s="33" t="s">
        <v>163</v>
      </c>
      <c r="C2680" s="92" t="s">
        <v>381</v>
      </c>
      <c r="D2680" s="33" t="s">
        <v>410</v>
      </c>
      <c r="E2680" s="34">
        <v>45471</v>
      </c>
      <c r="F2680" s="34">
        <v>45474</v>
      </c>
      <c r="G2680" s="34">
        <v>45477</v>
      </c>
      <c r="H2680" s="35">
        <v>4.4999999999999998E-2</v>
      </c>
      <c r="I2680" s="67">
        <v>5.3999999999999999E-2</v>
      </c>
      <c r="J2680" s="67">
        <v>0</v>
      </c>
      <c r="K2680" s="67">
        <v>5.3999999999999999E-2</v>
      </c>
      <c r="L2680" s="36">
        <f>+K2680-((K2680*0.0175*0.125)+(K2680*(1-0.0175)*0.26))</f>
        <v>4.0087575E-2</v>
      </c>
      <c r="M2680" s="64">
        <f t="shared" si="80"/>
        <v>4.0087575E-2</v>
      </c>
      <c r="N2680" s="33" t="s">
        <v>248</v>
      </c>
    </row>
    <row r="2681" spans="1:14" ht="15">
      <c r="A2681" s="12"/>
      <c r="B2681" s="33" t="s">
        <v>151</v>
      </c>
      <c r="C2681" s="92" t="s">
        <v>383</v>
      </c>
      <c r="D2681" s="33" t="s">
        <v>410</v>
      </c>
      <c r="E2681" s="34">
        <v>45471</v>
      </c>
      <c r="F2681" s="34">
        <v>45474</v>
      </c>
      <c r="G2681" s="34">
        <v>45477</v>
      </c>
      <c r="H2681" s="35">
        <v>4.4999999999999998E-2</v>
      </c>
      <c r="I2681" s="67">
        <v>4.82E-2</v>
      </c>
      <c r="J2681" s="67">
        <v>0</v>
      </c>
      <c r="K2681" s="67">
        <v>4.82E-2</v>
      </c>
      <c r="L2681" s="36">
        <f>+K2681-((K2681*0.015*0.125)+(K2681*(1-0.015)*0.26))</f>
        <v>3.5765604999999999E-2</v>
      </c>
      <c r="M2681" s="64">
        <f t="shared" ref="M2681:M2744" si="81">J2681+L2681</f>
        <v>3.5765604999999999E-2</v>
      </c>
      <c r="N2681" s="33" t="s">
        <v>248</v>
      </c>
    </row>
    <row r="2682" spans="1:14" ht="15">
      <c r="A2682" s="12"/>
      <c r="B2682" s="33" t="s">
        <v>166</v>
      </c>
      <c r="C2682" s="92" t="s">
        <v>384</v>
      </c>
      <c r="D2682" s="33" t="s">
        <v>410</v>
      </c>
      <c r="E2682" s="34">
        <v>45471</v>
      </c>
      <c r="F2682" s="34">
        <v>45474</v>
      </c>
      <c r="G2682" s="34">
        <v>45477</v>
      </c>
      <c r="H2682" s="35">
        <v>4.4999999999999998E-2</v>
      </c>
      <c r="I2682" s="67">
        <v>4.7199999999999999E-2</v>
      </c>
      <c r="J2682" s="67">
        <v>0</v>
      </c>
      <c r="K2682" s="67">
        <v>4.7199999999999999E-2</v>
      </c>
      <c r="L2682" s="36">
        <f>+K2682-((K2682*0.015*0.125)+(K2682*(1-0.015)*0.26))</f>
        <v>3.5023579999999999E-2</v>
      </c>
      <c r="M2682" s="64">
        <f t="shared" si="81"/>
        <v>3.5023579999999999E-2</v>
      </c>
      <c r="N2682" s="33" t="s">
        <v>248</v>
      </c>
    </row>
    <row r="2683" spans="1:14" ht="15">
      <c r="A2683" s="12"/>
      <c r="B2683" s="33" t="s">
        <v>149</v>
      </c>
      <c r="C2683" s="92" t="s">
        <v>386</v>
      </c>
      <c r="D2683" s="33" t="s">
        <v>410</v>
      </c>
      <c r="E2683" s="34">
        <v>45471</v>
      </c>
      <c r="F2683" s="34">
        <v>45474</v>
      </c>
      <c r="G2683" s="34">
        <v>45477</v>
      </c>
      <c r="H2683" s="35">
        <v>7.2499999999999995E-2</v>
      </c>
      <c r="I2683" s="67">
        <v>9.2600000000000002E-2</v>
      </c>
      <c r="J2683" s="67">
        <v>0</v>
      </c>
      <c r="K2683" s="67">
        <v>9.2600000000000002E-2</v>
      </c>
      <c r="L2683" s="36">
        <f>+K2683-((K2683*0.042*0.125)+(K2683*(1-0.042)*0.26))</f>
        <v>6.9049042000000005E-2</v>
      </c>
      <c r="M2683" s="64">
        <f t="shared" si="81"/>
        <v>6.9049042000000005E-2</v>
      </c>
      <c r="N2683" s="33" t="s">
        <v>248</v>
      </c>
    </row>
    <row r="2684" spans="1:14" ht="15">
      <c r="A2684" s="12"/>
      <c r="B2684" s="33" t="s">
        <v>165</v>
      </c>
      <c r="C2684" s="92" t="s">
        <v>387</v>
      </c>
      <c r="D2684" s="33" t="s">
        <v>410</v>
      </c>
      <c r="E2684" s="34">
        <v>45471</v>
      </c>
      <c r="F2684" s="34">
        <v>45474</v>
      </c>
      <c r="G2684" s="34">
        <v>45477</v>
      </c>
      <c r="H2684" s="35">
        <v>7.2499999999999995E-2</v>
      </c>
      <c r="I2684" s="67">
        <v>8.5300000000000001E-2</v>
      </c>
      <c r="J2684" s="67">
        <v>0</v>
      </c>
      <c r="K2684" s="67">
        <v>8.5300000000000001E-2</v>
      </c>
      <c r="L2684" s="36">
        <f>+K2684-((K2684*0.042*0.125)+(K2684*(1-0.042)*0.26))</f>
        <v>6.3605650999999999E-2</v>
      </c>
      <c r="M2684" s="64">
        <f t="shared" si="81"/>
        <v>6.3605650999999999E-2</v>
      </c>
      <c r="N2684" s="33" t="s">
        <v>248</v>
      </c>
    </row>
    <row r="2685" spans="1:14" ht="15">
      <c r="A2685" s="12"/>
      <c r="B2685" s="33" t="s">
        <v>153</v>
      </c>
      <c r="C2685" s="92" t="s">
        <v>873</v>
      </c>
      <c r="D2685" s="33" t="s">
        <v>410</v>
      </c>
      <c r="E2685" s="34">
        <v>45471</v>
      </c>
      <c r="F2685" s="34">
        <v>45474</v>
      </c>
      <c r="G2685" s="34">
        <v>45477</v>
      </c>
      <c r="H2685" s="35">
        <v>5.3499999999999999E-2</v>
      </c>
      <c r="I2685" s="67">
        <v>5.4600000000000003E-2</v>
      </c>
      <c r="J2685" s="67">
        <v>0</v>
      </c>
      <c r="K2685" s="67">
        <v>5.4600000000000003E-2</v>
      </c>
      <c r="L2685" s="36">
        <f>+K2685-((K2685*0.26*0.125)+(K2685*(1-0.26)*0.26))</f>
        <v>4.2320460000000004E-2</v>
      </c>
      <c r="M2685" s="64">
        <f t="shared" si="81"/>
        <v>4.2320460000000004E-2</v>
      </c>
      <c r="N2685" s="33" t="s">
        <v>248</v>
      </c>
    </row>
    <row r="2686" spans="1:14" ht="15">
      <c r="A2686" s="12"/>
      <c r="B2686" s="33" t="s">
        <v>152</v>
      </c>
      <c r="C2686" s="92" t="s">
        <v>874</v>
      </c>
      <c r="D2686" s="33" t="s">
        <v>410</v>
      </c>
      <c r="E2686" s="34">
        <v>45471</v>
      </c>
      <c r="F2686" s="34">
        <v>45474</v>
      </c>
      <c r="G2686" s="34">
        <v>45477</v>
      </c>
      <c r="H2686" s="35">
        <v>5.3499999999999999E-2</v>
      </c>
      <c r="I2686" s="67">
        <v>8.0600000000000005E-2</v>
      </c>
      <c r="J2686" s="67">
        <v>0</v>
      </c>
      <c r="K2686" s="67">
        <v>8.0600000000000005E-2</v>
      </c>
      <c r="L2686" s="36">
        <f>+K2686-((K2686*0.26*0.125)+(K2686*(1-0.26)*0.26))</f>
        <v>6.2473060000000004E-2</v>
      </c>
      <c r="M2686" s="64">
        <f t="shared" si="81"/>
        <v>6.2473060000000004E-2</v>
      </c>
      <c r="N2686" s="33" t="s">
        <v>248</v>
      </c>
    </row>
    <row r="2687" spans="1:14" ht="15">
      <c r="A2687" s="12"/>
      <c r="B2687" s="33" t="s">
        <v>167</v>
      </c>
      <c r="C2687" s="92" t="s">
        <v>875</v>
      </c>
      <c r="D2687" s="33" t="s">
        <v>410</v>
      </c>
      <c r="E2687" s="34">
        <v>45471</v>
      </c>
      <c r="F2687" s="34">
        <v>45474</v>
      </c>
      <c r="G2687" s="34">
        <v>45477</v>
      </c>
      <c r="H2687" s="35">
        <v>5.3499999999999999E-2</v>
      </c>
      <c r="I2687" s="67">
        <v>7.5800000000000006E-2</v>
      </c>
      <c r="J2687" s="67">
        <v>0</v>
      </c>
      <c r="K2687" s="67">
        <v>7.5800000000000006E-2</v>
      </c>
      <c r="L2687" s="36">
        <f>+K2687-((K2687*0.26*0.125)+(K2687*(1-0.26)*0.26))</f>
        <v>5.8752580000000006E-2</v>
      </c>
      <c r="M2687" s="64">
        <f t="shared" si="81"/>
        <v>5.8752580000000006E-2</v>
      </c>
      <c r="N2687" s="33" t="s">
        <v>248</v>
      </c>
    </row>
    <row r="2688" spans="1:14" ht="15">
      <c r="A2688" s="12"/>
      <c r="B2688" s="33" t="s">
        <v>301</v>
      </c>
      <c r="C2688" s="92" t="s">
        <v>876</v>
      </c>
      <c r="D2688" s="33" t="s">
        <v>410</v>
      </c>
      <c r="E2688" s="34">
        <v>45471</v>
      </c>
      <c r="F2688" s="34">
        <v>45474</v>
      </c>
      <c r="G2688" s="34">
        <v>45477</v>
      </c>
      <c r="H2688" s="35">
        <v>5.3499999999999999E-2</v>
      </c>
      <c r="I2688" s="67">
        <v>6.0100000000000001E-2</v>
      </c>
      <c r="J2688" s="67">
        <v>0</v>
      </c>
      <c r="K2688" s="67">
        <v>6.0100000000000001E-2</v>
      </c>
      <c r="L2688" s="36">
        <f>+K2688-((K2688*0.26*0.125)+(K2688*(1-0.26)*0.26))</f>
        <v>4.6583510000000002E-2</v>
      </c>
      <c r="M2688" s="64">
        <f t="shared" si="81"/>
        <v>4.6583510000000002E-2</v>
      </c>
      <c r="N2688" s="33" t="s">
        <v>248</v>
      </c>
    </row>
    <row r="2689" spans="1:14" ht="15">
      <c r="A2689" s="12"/>
      <c r="B2689" s="33" t="s">
        <v>304</v>
      </c>
      <c r="C2689" s="92" t="s">
        <v>885</v>
      </c>
      <c r="D2689" s="33" t="s">
        <v>410</v>
      </c>
      <c r="E2689" s="34">
        <v>45471</v>
      </c>
      <c r="F2689" s="34">
        <v>45474</v>
      </c>
      <c r="G2689" s="34">
        <v>45477</v>
      </c>
      <c r="H2689" s="35">
        <v>4.7500000000000001E-2</v>
      </c>
      <c r="I2689" s="67">
        <v>4.7600000000000003E-2</v>
      </c>
      <c r="J2689" s="67">
        <v>0</v>
      </c>
      <c r="K2689" s="67">
        <v>4.7600000000000003E-2</v>
      </c>
      <c r="L2689" s="36">
        <f>+K2689-((K2689*0.3*0.125)+(K2689*(1-0.3)*0.26))</f>
        <v>3.7151799999999999E-2</v>
      </c>
      <c r="M2689" s="64">
        <f t="shared" si="81"/>
        <v>3.7151799999999999E-2</v>
      </c>
      <c r="N2689" s="33" t="s">
        <v>248</v>
      </c>
    </row>
    <row r="2690" spans="1:14" ht="15">
      <c r="A2690" s="12"/>
      <c r="B2690" s="33" t="s">
        <v>183</v>
      </c>
      <c r="C2690" s="92" t="s">
        <v>886</v>
      </c>
      <c r="D2690" s="33" t="s">
        <v>410</v>
      </c>
      <c r="E2690" s="34">
        <v>45471</v>
      </c>
      <c r="F2690" s="34">
        <v>45474</v>
      </c>
      <c r="G2690" s="34">
        <v>45477</v>
      </c>
      <c r="H2690" s="35">
        <v>4.7500000000000001E-2</v>
      </c>
      <c r="I2690" s="67">
        <v>4.7500000000000001E-2</v>
      </c>
      <c r="J2690" s="67">
        <v>0</v>
      </c>
      <c r="K2690" s="67">
        <v>4.7500000000000001E-2</v>
      </c>
      <c r="L2690" s="36">
        <f>+K2690-((K2690*0.3*0.125)+(K2690*(1-0.3)*0.26))</f>
        <v>3.7073750000000003E-2</v>
      </c>
      <c r="M2690" s="64">
        <f t="shared" si="81"/>
        <v>3.7073750000000003E-2</v>
      </c>
      <c r="N2690" s="33" t="s">
        <v>248</v>
      </c>
    </row>
    <row r="2691" spans="1:14" ht="15">
      <c r="A2691" s="12"/>
      <c r="B2691" s="33" t="s">
        <v>305</v>
      </c>
      <c r="C2691" s="92" t="s">
        <v>887</v>
      </c>
      <c r="D2691" s="33" t="s">
        <v>410</v>
      </c>
      <c r="E2691" s="34">
        <v>45471</v>
      </c>
      <c r="F2691" s="34">
        <v>45474</v>
      </c>
      <c r="G2691" s="34">
        <v>45477</v>
      </c>
      <c r="H2691" s="35">
        <v>4.7500000000000001E-2</v>
      </c>
      <c r="I2691" s="67">
        <v>4.8399999999999999E-2</v>
      </c>
      <c r="J2691" s="67">
        <v>0</v>
      </c>
      <c r="K2691" s="67">
        <v>4.8399999999999999E-2</v>
      </c>
      <c r="L2691" s="36">
        <f>+K2691-((K2691*0.3*0.125)+(K2691*(1-0.3)*0.26))</f>
        <v>3.7776199999999996E-2</v>
      </c>
      <c r="M2691" s="64">
        <f t="shared" si="81"/>
        <v>3.7776199999999996E-2</v>
      </c>
      <c r="N2691" s="33" t="s">
        <v>248</v>
      </c>
    </row>
    <row r="2692" spans="1:14" ht="15">
      <c r="A2692" s="12"/>
      <c r="B2692" s="33" t="s">
        <v>147</v>
      </c>
      <c r="C2692" s="92" t="s">
        <v>466</v>
      </c>
      <c r="D2692" s="33" t="s">
        <v>410</v>
      </c>
      <c r="E2692" s="34">
        <v>45471</v>
      </c>
      <c r="F2692" s="34">
        <v>45474</v>
      </c>
      <c r="G2692" s="34">
        <v>45477</v>
      </c>
      <c r="H2692" s="35">
        <v>0.05</v>
      </c>
      <c r="I2692" s="67">
        <v>5.8799999999999998E-2</v>
      </c>
      <c r="J2692" s="67">
        <v>0</v>
      </c>
      <c r="K2692" s="67">
        <v>5.8799999999999998E-2</v>
      </c>
      <c r="L2692" s="36">
        <f>+K2692-((K2692*0.114*0.125)+(K2692*(1-0.114)*0.26))</f>
        <v>4.4416931999999999E-2</v>
      </c>
      <c r="M2692" s="64">
        <f t="shared" si="81"/>
        <v>4.4416931999999999E-2</v>
      </c>
      <c r="N2692" s="33" t="s">
        <v>248</v>
      </c>
    </row>
    <row r="2693" spans="1:14" ht="15">
      <c r="A2693" s="12"/>
      <c r="B2693" s="33" t="s">
        <v>164</v>
      </c>
      <c r="C2693" s="92" t="s">
        <v>467</v>
      </c>
      <c r="D2693" s="33" t="s">
        <v>410</v>
      </c>
      <c r="E2693" s="34">
        <v>45471</v>
      </c>
      <c r="F2693" s="34">
        <v>45474</v>
      </c>
      <c r="G2693" s="34">
        <v>45477</v>
      </c>
      <c r="H2693" s="35">
        <v>0.05</v>
      </c>
      <c r="I2693" s="67">
        <v>5.4399999999999997E-2</v>
      </c>
      <c r="J2693" s="67">
        <v>0</v>
      </c>
      <c r="K2693" s="67">
        <v>5.4399999999999997E-2</v>
      </c>
      <c r="L2693" s="36">
        <f>+K2693-((K2693*0.114*0.125)+(K2693*(1-0.114)*0.26))</f>
        <v>4.1093216000000002E-2</v>
      </c>
      <c r="M2693" s="64">
        <f t="shared" si="81"/>
        <v>4.1093216000000002E-2</v>
      </c>
      <c r="N2693" s="33" t="s">
        <v>248</v>
      </c>
    </row>
    <row r="2694" spans="1:14" ht="15">
      <c r="A2694" s="12"/>
      <c r="B2694" s="33" t="s">
        <v>132</v>
      </c>
      <c r="C2694" s="92" t="s">
        <v>358</v>
      </c>
      <c r="D2694" s="33" t="s">
        <v>410</v>
      </c>
      <c r="E2694" s="34">
        <v>45498</v>
      </c>
      <c r="F2694" s="34">
        <v>45499</v>
      </c>
      <c r="G2694" s="34">
        <v>45504</v>
      </c>
      <c r="H2694" s="35">
        <v>4.4999999999999998E-2</v>
      </c>
      <c r="I2694" s="67">
        <v>4.9399999999999999E-2</v>
      </c>
      <c r="J2694" s="67">
        <v>0</v>
      </c>
      <c r="K2694" s="67">
        <v>4.9399999999999999E-2</v>
      </c>
      <c r="L2694" s="36">
        <f>+K2694-((K2694*0.2685*0.125)+(K2694*(1-0.2685)*0.26))</f>
        <v>3.8346626499999995E-2</v>
      </c>
      <c r="M2694" s="64">
        <f t="shared" si="81"/>
        <v>3.8346626499999995E-2</v>
      </c>
      <c r="N2694" s="33" t="s">
        <v>249</v>
      </c>
    </row>
    <row r="2695" spans="1:14" ht="15">
      <c r="A2695" s="12"/>
      <c r="B2695" s="33" t="s">
        <v>227</v>
      </c>
      <c r="C2695" s="92" t="s">
        <v>359</v>
      </c>
      <c r="D2695" s="33" t="s">
        <v>410</v>
      </c>
      <c r="E2695" s="34">
        <v>45498</v>
      </c>
      <c r="F2695" s="34">
        <v>45499</v>
      </c>
      <c r="G2695" s="34">
        <v>45504</v>
      </c>
      <c r="H2695" s="35">
        <v>4.4999999999999998E-2</v>
      </c>
      <c r="I2695" s="67">
        <v>4.87E-2</v>
      </c>
      <c r="J2695" s="67">
        <v>0</v>
      </c>
      <c r="K2695" s="67">
        <v>4.87E-2</v>
      </c>
      <c r="L2695" s="36">
        <f>+K2695-((K2695*0.2685*0.125)+(K2695*(1-0.2685)*0.26))</f>
        <v>3.7803253250000002E-2</v>
      </c>
      <c r="M2695" s="64">
        <f t="shared" si="81"/>
        <v>3.7803253250000002E-2</v>
      </c>
      <c r="N2695" s="33" t="s">
        <v>249</v>
      </c>
    </row>
    <row r="2696" spans="1:14" ht="15">
      <c r="A2696" s="12"/>
      <c r="B2696" s="33" t="s">
        <v>133</v>
      </c>
      <c r="C2696" s="92" t="s">
        <v>857</v>
      </c>
      <c r="D2696" s="33" t="s">
        <v>410</v>
      </c>
      <c r="E2696" s="34">
        <v>45498</v>
      </c>
      <c r="F2696" s="34">
        <v>45499</v>
      </c>
      <c r="G2696" s="34">
        <v>45504</v>
      </c>
      <c r="H2696" s="35">
        <v>3.5000000000000003E-2</v>
      </c>
      <c r="I2696" s="67">
        <v>4.4900000000000002E-2</v>
      </c>
      <c r="J2696" s="67">
        <v>0</v>
      </c>
      <c r="K2696" s="67">
        <v>4.4900000000000002E-2</v>
      </c>
      <c r="L2696" s="36">
        <f>+K2696-((K2696*0.0025*0.125)+(K2696*(1-0.0025)*0.26))</f>
        <v>3.3241153750000002E-2</v>
      </c>
      <c r="M2696" s="64">
        <f t="shared" si="81"/>
        <v>3.3241153750000002E-2</v>
      </c>
      <c r="N2696" s="33" t="s">
        <v>249</v>
      </c>
    </row>
    <row r="2697" spans="1:14" ht="15">
      <c r="A2697" s="12"/>
      <c r="B2697" s="33" t="s">
        <v>134</v>
      </c>
      <c r="C2697" s="92" t="s">
        <v>374</v>
      </c>
      <c r="D2697" s="33" t="s">
        <v>410</v>
      </c>
      <c r="E2697" s="34">
        <v>45498</v>
      </c>
      <c r="F2697" s="34">
        <v>45499</v>
      </c>
      <c r="G2697" s="34">
        <v>45504</v>
      </c>
      <c r="H2697" s="35">
        <v>5.5E-2</v>
      </c>
      <c r="I2697" s="67">
        <v>6.7199999999999996E-2</v>
      </c>
      <c r="J2697" s="67">
        <v>0</v>
      </c>
      <c r="K2697" s="67">
        <v>6.7199999999999996E-2</v>
      </c>
      <c r="L2697" s="36">
        <f>+K2697-((K2697*0.239*0.125)+(K2697*(1-0.239)*0.26))</f>
        <v>5.1896207999999999E-2</v>
      </c>
      <c r="M2697" s="64">
        <f t="shared" si="81"/>
        <v>5.1896207999999999E-2</v>
      </c>
      <c r="N2697" s="33" t="s">
        <v>249</v>
      </c>
    </row>
    <row r="2698" spans="1:14" ht="15">
      <c r="A2698" s="12"/>
      <c r="B2698" s="33" t="s">
        <v>168</v>
      </c>
      <c r="C2698" s="92" t="s">
        <v>376</v>
      </c>
      <c r="D2698" s="33" t="s">
        <v>410</v>
      </c>
      <c r="E2698" s="34">
        <v>45498</v>
      </c>
      <c r="F2698" s="34">
        <v>45499</v>
      </c>
      <c r="G2698" s="34">
        <v>45504</v>
      </c>
      <c r="H2698" s="35">
        <v>5.5E-2</v>
      </c>
      <c r="I2698" s="67">
        <v>5.2499999999999998E-2</v>
      </c>
      <c r="J2698" s="67">
        <v>0</v>
      </c>
      <c r="K2698" s="67">
        <v>5.2499999999999998E-2</v>
      </c>
      <c r="L2698" s="36">
        <f>+K2698-((K2698*0.239*0.125)+(K2698*(1-0.239)*0.26))</f>
        <v>4.0543912500000001E-2</v>
      </c>
      <c r="M2698" s="64">
        <f t="shared" si="81"/>
        <v>4.0543912500000001E-2</v>
      </c>
      <c r="N2698" s="33" t="s">
        <v>249</v>
      </c>
    </row>
    <row r="2699" spans="1:14" ht="15">
      <c r="A2699" s="12"/>
      <c r="B2699" s="33" t="s">
        <v>136</v>
      </c>
      <c r="C2699" s="92" t="s">
        <v>867</v>
      </c>
      <c r="D2699" s="33" t="s">
        <v>410</v>
      </c>
      <c r="E2699" s="34">
        <v>45498</v>
      </c>
      <c r="F2699" s="34">
        <v>45499</v>
      </c>
      <c r="G2699" s="34">
        <v>45504</v>
      </c>
      <c r="H2699" s="35">
        <v>0.04</v>
      </c>
      <c r="I2699" s="67">
        <v>4.8599999999999997E-2</v>
      </c>
      <c r="J2699" s="67">
        <v>0</v>
      </c>
      <c r="K2699" s="67">
        <v>4.8599999999999997E-2</v>
      </c>
      <c r="L2699" s="36">
        <f t="shared" ref="L2699:L2704" si="82">+K2699-((K2699*0.1275*0.125)+(K2699*(1-0.1275)*0.26))</f>
        <v>3.6800527499999999E-2</v>
      </c>
      <c r="M2699" s="64">
        <f t="shared" si="81"/>
        <v>3.6800527499999999E-2</v>
      </c>
      <c r="N2699" s="33" t="s">
        <v>249</v>
      </c>
    </row>
    <row r="2700" spans="1:14" ht="15">
      <c r="A2700" s="12"/>
      <c r="B2700" s="33" t="s">
        <v>137</v>
      </c>
      <c r="C2700" s="92" t="s">
        <v>868</v>
      </c>
      <c r="D2700" s="33" t="s">
        <v>410</v>
      </c>
      <c r="E2700" s="34">
        <v>45498</v>
      </c>
      <c r="F2700" s="34">
        <v>45499</v>
      </c>
      <c r="G2700" s="34">
        <v>45504</v>
      </c>
      <c r="H2700" s="35">
        <v>0.05</v>
      </c>
      <c r="I2700" s="67">
        <v>6.6500000000000004E-2</v>
      </c>
      <c r="J2700" s="67">
        <v>0</v>
      </c>
      <c r="K2700" s="67">
        <v>6.6500000000000004E-2</v>
      </c>
      <c r="L2700" s="36">
        <f t="shared" si="82"/>
        <v>5.0354631250000004E-2</v>
      </c>
      <c r="M2700" s="64">
        <f t="shared" si="81"/>
        <v>5.0354631250000004E-2</v>
      </c>
      <c r="N2700" s="33" t="s">
        <v>249</v>
      </c>
    </row>
    <row r="2701" spans="1:14" ht="15">
      <c r="A2701" s="12"/>
      <c r="B2701" s="33" t="s">
        <v>135</v>
      </c>
      <c r="C2701" s="92" t="s">
        <v>869</v>
      </c>
      <c r="D2701" s="33" t="s">
        <v>410</v>
      </c>
      <c r="E2701" s="34">
        <v>45498</v>
      </c>
      <c r="F2701" s="34">
        <v>45499</v>
      </c>
      <c r="G2701" s="34">
        <v>45504</v>
      </c>
      <c r="H2701" s="35">
        <v>5.7500000000000002E-2</v>
      </c>
      <c r="I2701" s="67">
        <v>7.5399999999999995E-2</v>
      </c>
      <c r="J2701" s="67">
        <v>0</v>
      </c>
      <c r="K2701" s="67">
        <v>7.5399999999999995E-2</v>
      </c>
      <c r="L2701" s="36">
        <f t="shared" si="82"/>
        <v>5.7093822499999995E-2</v>
      </c>
      <c r="M2701" s="64">
        <f t="shared" si="81"/>
        <v>5.7093822499999995E-2</v>
      </c>
      <c r="N2701" s="33" t="s">
        <v>249</v>
      </c>
    </row>
    <row r="2702" spans="1:14" ht="15">
      <c r="A2702" s="12"/>
      <c r="B2702" s="33" t="s">
        <v>170</v>
      </c>
      <c r="C2702" s="92" t="s">
        <v>870</v>
      </c>
      <c r="D2702" s="33" t="s">
        <v>410</v>
      </c>
      <c r="E2702" s="34">
        <v>45498</v>
      </c>
      <c r="F2702" s="34">
        <v>45499</v>
      </c>
      <c r="G2702" s="34">
        <v>45504</v>
      </c>
      <c r="H2702" s="35">
        <v>0.04</v>
      </c>
      <c r="I2702" s="67">
        <v>4.7199999999999999E-2</v>
      </c>
      <c r="J2702" s="67">
        <v>0</v>
      </c>
      <c r="K2702" s="67">
        <v>4.7199999999999999E-2</v>
      </c>
      <c r="L2702" s="36">
        <f t="shared" si="82"/>
        <v>3.5740429999999997E-2</v>
      </c>
      <c r="M2702" s="64">
        <f t="shared" si="81"/>
        <v>3.5740429999999997E-2</v>
      </c>
      <c r="N2702" s="33" t="s">
        <v>249</v>
      </c>
    </row>
    <row r="2703" spans="1:14" ht="15">
      <c r="A2703" s="12"/>
      <c r="B2703" s="33" t="s">
        <v>171</v>
      </c>
      <c r="C2703" s="92" t="s">
        <v>871</v>
      </c>
      <c r="D2703" s="33" t="s">
        <v>410</v>
      </c>
      <c r="E2703" s="34">
        <v>45498</v>
      </c>
      <c r="F2703" s="34">
        <v>45499</v>
      </c>
      <c r="G2703" s="34">
        <v>45504</v>
      </c>
      <c r="H2703" s="35">
        <v>0.05</v>
      </c>
      <c r="I2703" s="67">
        <v>6.3899999999999998E-2</v>
      </c>
      <c r="J2703" s="67">
        <v>0</v>
      </c>
      <c r="K2703" s="67">
        <v>6.3899999999999998E-2</v>
      </c>
      <c r="L2703" s="36">
        <f t="shared" si="82"/>
        <v>4.838587875E-2</v>
      </c>
      <c r="M2703" s="64">
        <f t="shared" si="81"/>
        <v>4.838587875E-2</v>
      </c>
      <c r="N2703" s="33" t="s">
        <v>249</v>
      </c>
    </row>
    <row r="2704" spans="1:14" ht="15">
      <c r="A2704" s="12"/>
      <c r="B2704" s="33" t="s">
        <v>172</v>
      </c>
      <c r="C2704" s="92" t="s">
        <v>872</v>
      </c>
      <c r="D2704" s="33" t="s">
        <v>410</v>
      </c>
      <c r="E2704" s="34">
        <v>45498</v>
      </c>
      <c r="F2704" s="34">
        <v>45499</v>
      </c>
      <c r="G2704" s="34">
        <v>45504</v>
      </c>
      <c r="H2704" s="35">
        <v>5.7500000000000002E-2</v>
      </c>
      <c r="I2704" s="67">
        <v>7.2900000000000006E-2</v>
      </c>
      <c r="J2704" s="67">
        <v>0</v>
      </c>
      <c r="K2704" s="67">
        <v>7.2900000000000006E-2</v>
      </c>
      <c r="L2704" s="36">
        <f t="shared" si="82"/>
        <v>5.5200791250000006E-2</v>
      </c>
      <c r="M2704" s="64">
        <f t="shared" si="81"/>
        <v>5.5200791250000006E-2</v>
      </c>
      <c r="N2704" s="33" t="s">
        <v>249</v>
      </c>
    </row>
    <row r="2705" spans="1:14" ht="15">
      <c r="A2705" s="12"/>
      <c r="B2705" s="33" t="s">
        <v>169</v>
      </c>
      <c r="C2705" s="92" t="s">
        <v>400</v>
      </c>
      <c r="D2705" s="33" t="s">
        <v>410</v>
      </c>
      <c r="E2705" s="34">
        <v>45498</v>
      </c>
      <c r="F2705" s="34">
        <v>45499</v>
      </c>
      <c r="G2705" s="34">
        <v>45504</v>
      </c>
      <c r="H2705" s="35">
        <v>6.5000000000000002E-2</v>
      </c>
      <c r="I2705" s="67">
        <v>5.96E-2</v>
      </c>
      <c r="J2705" s="67">
        <v>0</v>
      </c>
      <c r="K2705" s="67">
        <v>5.96E-2</v>
      </c>
      <c r="L2705" s="36">
        <f>+K2705-((K2705*0.1155*0.125)+(K2705*(1-0.1155)*0.26))</f>
        <v>4.5033312999999998E-2</v>
      </c>
      <c r="M2705" s="64">
        <f t="shared" si="81"/>
        <v>4.5033312999999998E-2</v>
      </c>
      <c r="N2705" s="33" t="s">
        <v>249</v>
      </c>
    </row>
    <row r="2706" spans="1:14" ht="15">
      <c r="A2706" s="12"/>
      <c r="B2706" s="33" t="s">
        <v>156</v>
      </c>
      <c r="C2706" s="92" t="s">
        <v>863</v>
      </c>
      <c r="D2706" s="33" t="s">
        <v>496</v>
      </c>
      <c r="E2706" s="34">
        <v>45498</v>
      </c>
      <c r="F2706" s="34">
        <v>45499</v>
      </c>
      <c r="G2706" s="34">
        <v>45504</v>
      </c>
      <c r="H2706" s="35">
        <v>0.04</v>
      </c>
      <c r="I2706" s="67">
        <v>0.10970000000000001</v>
      </c>
      <c r="J2706" s="67">
        <v>0</v>
      </c>
      <c r="K2706" s="67">
        <v>0.10970000000000001</v>
      </c>
      <c r="L2706" s="36">
        <f>+K2706-((K2706*0.000000001*0.125)+(K2706*(1-0.0000001)*0.26))</f>
        <v>8.1178002838487501E-2</v>
      </c>
      <c r="M2706" s="64">
        <f t="shared" si="81"/>
        <v>8.1178002838487501E-2</v>
      </c>
      <c r="N2706" s="33" t="s">
        <v>250</v>
      </c>
    </row>
    <row r="2707" spans="1:14" ht="15">
      <c r="A2707" s="12"/>
      <c r="B2707" s="33" t="s">
        <v>178</v>
      </c>
      <c r="C2707" s="92" t="s">
        <v>864</v>
      </c>
      <c r="D2707" s="33" t="s">
        <v>496</v>
      </c>
      <c r="E2707" s="34">
        <v>45498</v>
      </c>
      <c r="F2707" s="34">
        <v>45499</v>
      </c>
      <c r="G2707" s="34">
        <v>45504</v>
      </c>
      <c r="H2707" s="35">
        <v>0.04</v>
      </c>
      <c r="I2707" s="67">
        <v>9.4600000000000004E-2</v>
      </c>
      <c r="J2707" s="67">
        <v>0</v>
      </c>
      <c r="K2707" s="67">
        <v>9.4600000000000004E-2</v>
      </c>
      <c r="L2707" s="36">
        <f>+K2707-((K2707*0.000000001*0.125)+(K2707*(1-0.0000001)*0.26))</f>
        <v>7.0004002447774993E-2</v>
      </c>
      <c r="M2707" s="64">
        <f t="shared" si="81"/>
        <v>7.0004002447774993E-2</v>
      </c>
      <c r="N2707" s="33" t="s">
        <v>250</v>
      </c>
    </row>
    <row r="2708" spans="1:14" ht="15">
      <c r="A2708" s="12"/>
      <c r="B2708" s="33" t="s">
        <v>155</v>
      </c>
      <c r="C2708" s="92" t="s">
        <v>858</v>
      </c>
      <c r="D2708" s="33" t="s">
        <v>496</v>
      </c>
      <c r="E2708" s="34">
        <v>45498</v>
      </c>
      <c r="F2708" s="34">
        <v>45499</v>
      </c>
      <c r="G2708" s="34">
        <v>45504</v>
      </c>
      <c r="H2708" s="35">
        <v>3.5000000000000003E-2</v>
      </c>
      <c r="I2708" s="67">
        <v>0.1011</v>
      </c>
      <c r="J2708" s="67">
        <v>0</v>
      </c>
      <c r="K2708" s="67">
        <v>0.1011</v>
      </c>
      <c r="L2708" s="36">
        <f>+K2708-((K2708*0.0025*0.125)+(K2708*(1-0.0025)*0.26))</f>
        <v>7.4848121249999996E-2</v>
      </c>
      <c r="M2708" s="64">
        <f t="shared" si="81"/>
        <v>7.4848121249999996E-2</v>
      </c>
      <c r="N2708" s="33" t="s">
        <v>250</v>
      </c>
    </row>
    <row r="2709" spans="1:14" ht="15">
      <c r="A2709" s="12"/>
      <c r="B2709" s="33" t="s">
        <v>177</v>
      </c>
      <c r="C2709" s="92" t="s">
        <v>859</v>
      </c>
      <c r="D2709" s="33" t="s">
        <v>496</v>
      </c>
      <c r="E2709" s="34">
        <v>45498</v>
      </c>
      <c r="F2709" s="34">
        <v>45499</v>
      </c>
      <c r="G2709" s="34">
        <v>45504</v>
      </c>
      <c r="H2709" s="35">
        <v>3.5000000000000003E-2</v>
      </c>
      <c r="I2709" s="67">
        <v>0.1027</v>
      </c>
      <c r="J2709" s="67">
        <v>0</v>
      </c>
      <c r="K2709" s="67">
        <v>0.1027</v>
      </c>
      <c r="L2709" s="36">
        <f>+K2709-((K2709*0.0025*0.125)+(K2709*(1-0.0025)*0.26))</f>
        <v>7.6032661249999994E-2</v>
      </c>
      <c r="M2709" s="64">
        <f t="shared" si="81"/>
        <v>7.6032661249999994E-2</v>
      </c>
      <c r="N2709" s="33" t="s">
        <v>250</v>
      </c>
    </row>
    <row r="2710" spans="1:14" ht="15">
      <c r="A2710" s="12"/>
      <c r="B2710" s="33" t="s">
        <v>158</v>
      </c>
      <c r="C2710" s="92" t="s">
        <v>373</v>
      </c>
      <c r="D2710" s="33" t="s">
        <v>496</v>
      </c>
      <c r="E2710" s="34">
        <v>45498</v>
      </c>
      <c r="F2710" s="34">
        <v>45499</v>
      </c>
      <c r="G2710" s="34">
        <v>45504</v>
      </c>
      <c r="H2710" s="35">
        <v>5.5E-2</v>
      </c>
      <c r="I2710" s="67">
        <v>9.69E-2</v>
      </c>
      <c r="J2710" s="67">
        <v>0</v>
      </c>
      <c r="K2710" s="67">
        <v>9.69E-2</v>
      </c>
      <c r="L2710" s="36">
        <f>+K2710-((K2710*0.239*0.125)+(K2710*(1-0.239)*0.26))</f>
        <v>7.4832478499999994E-2</v>
      </c>
      <c r="M2710" s="64">
        <f t="shared" si="81"/>
        <v>7.4832478499999994E-2</v>
      </c>
      <c r="N2710" s="33" t="s">
        <v>250</v>
      </c>
    </row>
    <row r="2711" spans="1:14" ht="15">
      <c r="A2711" s="12"/>
      <c r="B2711" s="33" t="s">
        <v>157</v>
      </c>
      <c r="C2711" s="92" t="s">
        <v>375</v>
      </c>
      <c r="D2711" s="33" t="s">
        <v>496</v>
      </c>
      <c r="E2711" s="34">
        <v>45498</v>
      </c>
      <c r="F2711" s="34">
        <v>45499</v>
      </c>
      <c r="G2711" s="34">
        <v>45504</v>
      </c>
      <c r="H2711" s="35">
        <v>5.5E-2</v>
      </c>
      <c r="I2711" s="67">
        <v>0.1013</v>
      </c>
      <c r="J2711" s="67">
        <v>0</v>
      </c>
      <c r="K2711" s="67">
        <v>0.1013</v>
      </c>
      <c r="L2711" s="36">
        <f>+K2711-((K2711*0.239*0.125)+(K2711*(1-0.239)*0.26))</f>
        <v>7.8230444499999996E-2</v>
      </c>
      <c r="M2711" s="64">
        <f t="shared" si="81"/>
        <v>7.8230444499999996E-2</v>
      </c>
      <c r="N2711" s="33" t="s">
        <v>250</v>
      </c>
    </row>
    <row r="2712" spans="1:14" ht="15">
      <c r="A2712" s="12"/>
      <c r="B2712" s="33" t="s">
        <v>154</v>
      </c>
      <c r="C2712" s="92" t="s">
        <v>399</v>
      </c>
      <c r="D2712" s="33" t="s">
        <v>496</v>
      </c>
      <c r="E2712" s="34">
        <v>45498</v>
      </c>
      <c r="F2712" s="34">
        <v>45499</v>
      </c>
      <c r="G2712" s="34">
        <v>45504</v>
      </c>
      <c r="H2712" s="35">
        <v>6.5000000000000002E-2</v>
      </c>
      <c r="I2712" s="67">
        <v>0.107</v>
      </c>
      <c r="J2712" s="67">
        <v>0</v>
      </c>
      <c r="K2712" s="67">
        <v>0.107</v>
      </c>
      <c r="L2712" s="36">
        <f>+K2712-((K2712*0.1155*0.125)+(K2712*(1-0.1155)*0.26))</f>
        <v>8.0848397500000002E-2</v>
      </c>
      <c r="M2712" s="64">
        <f t="shared" si="81"/>
        <v>8.0848397500000002E-2</v>
      </c>
      <c r="N2712" s="33" t="s">
        <v>250</v>
      </c>
    </row>
    <row r="2713" spans="1:14" ht="15">
      <c r="A2713" s="12"/>
      <c r="B2713" s="33" t="s">
        <v>310</v>
      </c>
      <c r="C2713" s="92" t="s">
        <v>719</v>
      </c>
      <c r="D2713" s="33" t="s">
        <v>411</v>
      </c>
      <c r="E2713" s="34">
        <v>45504</v>
      </c>
      <c r="F2713" s="34">
        <v>45505</v>
      </c>
      <c r="G2713" s="34">
        <v>45510</v>
      </c>
      <c r="H2713" s="35">
        <v>0.05</v>
      </c>
      <c r="I2713" s="67">
        <v>1.43E-2</v>
      </c>
      <c r="J2713" s="67">
        <v>1.43E-2</v>
      </c>
      <c r="K2713" s="67">
        <v>0</v>
      </c>
      <c r="L2713" s="36">
        <f>+K2713-((K2713*0.0445*0.125)+(K2713*(1-0.0445)*0.26))</f>
        <v>0</v>
      </c>
      <c r="M2713" s="64">
        <f t="shared" si="81"/>
        <v>1.43E-2</v>
      </c>
      <c r="N2713" s="33" t="s">
        <v>718</v>
      </c>
    </row>
    <row r="2714" spans="1:14" ht="15">
      <c r="A2714" s="12"/>
      <c r="B2714" s="33" t="s">
        <v>188</v>
      </c>
      <c r="C2714" s="92" t="s">
        <v>720</v>
      </c>
      <c r="D2714" s="33" t="s">
        <v>411</v>
      </c>
      <c r="E2714" s="34">
        <v>45504</v>
      </c>
      <c r="F2714" s="34">
        <v>45505</v>
      </c>
      <c r="G2714" s="34">
        <v>45510</v>
      </c>
      <c r="H2714" s="35">
        <v>0.05</v>
      </c>
      <c r="I2714" s="67">
        <v>0.24859999999999999</v>
      </c>
      <c r="J2714" s="67">
        <v>0.24859999999999999</v>
      </c>
      <c r="K2714" s="67">
        <v>0</v>
      </c>
      <c r="L2714" s="36">
        <f>+K2714-((K2714*0.0445*0.125)+(K2714*(1-0.0445)*0.26))</f>
        <v>0</v>
      </c>
      <c r="M2714" s="64">
        <f t="shared" si="81"/>
        <v>0.24859999999999999</v>
      </c>
      <c r="N2714" s="33" t="s">
        <v>718</v>
      </c>
    </row>
    <row r="2715" spans="1:14" ht="15">
      <c r="A2715" s="12"/>
      <c r="B2715" s="33" t="s">
        <v>196</v>
      </c>
      <c r="C2715" s="92" t="s">
        <v>721</v>
      </c>
      <c r="D2715" s="33" t="s">
        <v>411</v>
      </c>
      <c r="E2715" s="34">
        <v>45504</v>
      </c>
      <c r="F2715" s="34">
        <v>45505</v>
      </c>
      <c r="G2715" s="34">
        <v>45510</v>
      </c>
      <c r="H2715" s="35">
        <v>0.05</v>
      </c>
      <c r="I2715" s="67">
        <v>0.26240000000000002</v>
      </c>
      <c r="J2715" s="67">
        <v>0.26240000000000002</v>
      </c>
      <c r="K2715" s="67">
        <v>0</v>
      </c>
      <c r="L2715" s="36">
        <f>+K2715-((K2715*0.0445*0.125)+(K2715*(1-0.0445)*0.26))</f>
        <v>0</v>
      </c>
      <c r="M2715" s="64">
        <f t="shared" si="81"/>
        <v>0.26240000000000002</v>
      </c>
      <c r="N2715" s="33" t="s">
        <v>718</v>
      </c>
    </row>
    <row r="2716" spans="1:14" ht="15">
      <c r="A2716" s="12"/>
      <c r="B2716" s="33" t="s">
        <v>191</v>
      </c>
      <c r="C2716" s="92" t="s">
        <v>722</v>
      </c>
      <c r="D2716" s="33" t="s">
        <v>411</v>
      </c>
      <c r="E2716" s="34">
        <v>45504</v>
      </c>
      <c r="F2716" s="34">
        <v>45505</v>
      </c>
      <c r="G2716" s="34">
        <v>45510</v>
      </c>
      <c r="H2716" s="35">
        <v>0.05</v>
      </c>
      <c r="I2716" s="67">
        <v>1.5100000000000001E-2</v>
      </c>
      <c r="J2716" s="67">
        <v>0</v>
      </c>
      <c r="K2716" s="67">
        <v>1.5100000000000001E-2</v>
      </c>
      <c r="L2716" s="36">
        <f>+K2716-((K2716*0.8545*0.125)+(K2716*(1-0.8545)*0.26))</f>
        <v>1.291589825E-2</v>
      </c>
      <c r="M2716" s="64">
        <f t="shared" si="81"/>
        <v>1.291589825E-2</v>
      </c>
      <c r="N2716" s="33" t="s">
        <v>718</v>
      </c>
    </row>
    <row r="2717" spans="1:14" ht="15">
      <c r="A2717" s="12"/>
      <c r="B2717" s="33" t="s">
        <v>199</v>
      </c>
      <c r="C2717" s="92" t="s">
        <v>723</v>
      </c>
      <c r="D2717" s="33" t="s">
        <v>411</v>
      </c>
      <c r="E2717" s="34">
        <v>45504</v>
      </c>
      <c r="F2717" s="34">
        <v>45505</v>
      </c>
      <c r="G2717" s="34">
        <v>45510</v>
      </c>
      <c r="H2717" s="35">
        <v>0.05</v>
      </c>
      <c r="I2717" s="67">
        <v>1.52E-2</v>
      </c>
      <c r="J2717" s="67">
        <v>0</v>
      </c>
      <c r="K2717" s="67">
        <v>1.52E-2</v>
      </c>
      <c r="L2717" s="36">
        <f>+K2717-((K2717*0.8545*0.125)+(K2717*(1-0.8545)*0.26))</f>
        <v>1.3001433999999999E-2</v>
      </c>
      <c r="M2717" s="64">
        <f t="shared" si="81"/>
        <v>1.3001433999999999E-2</v>
      </c>
      <c r="N2717" s="33" t="s">
        <v>718</v>
      </c>
    </row>
    <row r="2718" spans="1:14" ht="15">
      <c r="A2718" s="12"/>
      <c r="B2718" s="33" t="s">
        <v>306</v>
      </c>
      <c r="C2718" s="92" t="s">
        <v>724</v>
      </c>
      <c r="D2718" s="33" t="s">
        <v>411</v>
      </c>
      <c r="E2718" s="34">
        <v>45504</v>
      </c>
      <c r="F2718" s="34">
        <v>45505</v>
      </c>
      <c r="G2718" s="34">
        <v>45510</v>
      </c>
      <c r="H2718" s="35">
        <v>7.0000000000000007E-2</v>
      </c>
      <c r="I2718" s="67">
        <v>2.4899999999999999E-2</v>
      </c>
      <c r="J2718" s="67">
        <v>1.2669503509650461E-2</v>
      </c>
      <c r="K2718" s="67">
        <v>1.2230496490349537E-2</v>
      </c>
      <c r="L2718" s="36">
        <f>+K2718-((K2718*0.0015*0.125)+(K2718*(1-0.0015)*0.26))</f>
        <v>9.0530440783979545E-3</v>
      </c>
      <c r="M2718" s="64">
        <f t="shared" si="81"/>
        <v>2.1722547588048417E-2</v>
      </c>
      <c r="N2718" s="33" t="s">
        <v>718</v>
      </c>
    </row>
    <row r="2719" spans="1:14" ht="15">
      <c r="A2719" s="12"/>
      <c r="B2719" s="33" t="s">
        <v>184</v>
      </c>
      <c r="C2719" s="92" t="s">
        <v>725</v>
      </c>
      <c r="D2719" s="33" t="s">
        <v>411</v>
      </c>
      <c r="E2719" s="34">
        <v>45504</v>
      </c>
      <c r="F2719" s="34">
        <v>45505</v>
      </c>
      <c r="G2719" s="34">
        <v>45510</v>
      </c>
      <c r="H2719" s="35">
        <v>7.0000000000000007E-2</v>
      </c>
      <c r="I2719" s="67">
        <v>0.49859999999999999</v>
      </c>
      <c r="J2719" s="67">
        <v>0.26488344237282091</v>
      </c>
      <c r="K2719" s="67">
        <v>0.23371655762717911</v>
      </c>
      <c r="L2719" s="36">
        <f>+K2719-((K2719*0.0015*0.125)+(K2719*(1-0.0015)*0.26))</f>
        <v>0.17299758024703205</v>
      </c>
      <c r="M2719" s="64">
        <f t="shared" si="81"/>
        <v>0.43788102261985296</v>
      </c>
      <c r="N2719" s="33" t="s">
        <v>718</v>
      </c>
    </row>
    <row r="2720" spans="1:14" ht="15">
      <c r="A2720" s="12"/>
      <c r="B2720" s="33" t="s">
        <v>192</v>
      </c>
      <c r="C2720" s="92" t="s">
        <v>726</v>
      </c>
      <c r="D2720" s="33" t="s">
        <v>411</v>
      </c>
      <c r="E2720" s="34">
        <v>45504</v>
      </c>
      <c r="F2720" s="34">
        <v>45505</v>
      </c>
      <c r="G2720" s="34">
        <v>45510</v>
      </c>
      <c r="H2720" s="35">
        <v>7.0000000000000007E-2</v>
      </c>
      <c r="I2720" s="67">
        <v>0.51080000000000003</v>
      </c>
      <c r="J2720" s="67">
        <v>0.23554468817737395</v>
      </c>
      <c r="K2720" s="67">
        <v>0.27525531182262608</v>
      </c>
      <c r="L2720" s="36">
        <f>+K2720-((K2720*0.0015*0.125)+(K2720*(1-0.0015)*0.26))</f>
        <v>0.20374466994938739</v>
      </c>
      <c r="M2720" s="64">
        <f t="shared" si="81"/>
        <v>0.43928935812676134</v>
      </c>
      <c r="N2720" s="33" t="s">
        <v>718</v>
      </c>
    </row>
    <row r="2721" spans="1:14" ht="15">
      <c r="A2721" s="12"/>
      <c r="B2721" s="33" t="s">
        <v>311</v>
      </c>
      <c r="C2721" s="92" t="s">
        <v>727</v>
      </c>
      <c r="D2721" s="33" t="s">
        <v>411</v>
      </c>
      <c r="E2721" s="34">
        <v>45504</v>
      </c>
      <c r="F2721" s="34">
        <v>45505</v>
      </c>
      <c r="G2721" s="34">
        <v>45510</v>
      </c>
      <c r="H2721" s="35">
        <v>0.06</v>
      </c>
      <c r="I2721" s="67">
        <v>2.3199999999999998E-2</v>
      </c>
      <c r="J2721" s="67">
        <v>1.1728506118742349E-2</v>
      </c>
      <c r="K2721" s="67">
        <v>1.1471493881257649E-2</v>
      </c>
      <c r="L2721" s="36">
        <f>+K2721-((K2721*0.001*0.125)+(K2721*(1-0.001)*0.26))</f>
        <v>8.4904541238046312E-3</v>
      </c>
      <c r="M2721" s="64">
        <f t="shared" si="81"/>
        <v>2.021896024254698E-2</v>
      </c>
      <c r="N2721" s="33" t="s">
        <v>718</v>
      </c>
    </row>
    <row r="2722" spans="1:14" ht="15">
      <c r="A2722" s="12"/>
      <c r="B2722" s="33" t="s">
        <v>189</v>
      </c>
      <c r="C2722" s="92" t="s">
        <v>728</v>
      </c>
      <c r="D2722" s="33" t="s">
        <v>411</v>
      </c>
      <c r="E2722" s="34">
        <v>45504</v>
      </c>
      <c r="F2722" s="34">
        <v>45505</v>
      </c>
      <c r="G2722" s="34">
        <v>45510</v>
      </c>
      <c r="H2722" s="35">
        <v>0.06</v>
      </c>
      <c r="I2722" s="67">
        <v>0.4229</v>
      </c>
      <c r="J2722" s="67">
        <v>0.22468185587046274</v>
      </c>
      <c r="K2722" s="67">
        <v>0.19821814412953725</v>
      </c>
      <c r="L2722" s="36">
        <f>+K2722-((K2722*0.001*0.125)+(K2722*(1-0.001)*0.26))</f>
        <v>0.14670818610531505</v>
      </c>
      <c r="M2722" s="64">
        <f t="shared" si="81"/>
        <v>0.3713900419757778</v>
      </c>
      <c r="N2722" s="33" t="s">
        <v>718</v>
      </c>
    </row>
    <row r="2723" spans="1:14" ht="15">
      <c r="A2723" s="12"/>
      <c r="B2723" s="33" t="s">
        <v>197</v>
      </c>
      <c r="C2723" s="92" t="s">
        <v>729</v>
      </c>
      <c r="D2723" s="33" t="s">
        <v>411</v>
      </c>
      <c r="E2723" s="34">
        <v>45504</v>
      </c>
      <c r="F2723" s="34">
        <v>45505</v>
      </c>
      <c r="G2723" s="34">
        <v>45510</v>
      </c>
      <c r="H2723" s="35">
        <v>0.06</v>
      </c>
      <c r="I2723" s="67">
        <v>0.43669999999999998</v>
      </c>
      <c r="J2723" s="67">
        <v>0.19643603878594842</v>
      </c>
      <c r="K2723" s="67">
        <v>0.24026396121405155</v>
      </c>
      <c r="L2723" s="36">
        <f>+K2723-((K2723*0.001*0.125)+(K2723*(1-0.001)*0.26))</f>
        <v>0.17782776693316205</v>
      </c>
      <c r="M2723" s="64">
        <f t="shared" si="81"/>
        <v>0.37426380571911044</v>
      </c>
      <c r="N2723" s="33" t="s">
        <v>718</v>
      </c>
    </row>
    <row r="2724" spans="1:14" ht="15">
      <c r="A2724" s="12"/>
      <c r="B2724" s="33" t="s">
        <v>308</v>
      </c>
      <c r="C2724" s="92" t="s">
        <v>730</v>
      </c>
      <c r="D2724" s="33" t="s">
        <v>411</v>
      </c>
      <c r="E2724" s="34">
        <v>45504</v>
      </c>
      <c r="F2724" s="34">
        <v>45505</v>
      </c>
      <c r="G2724" s="34">
        <v>45510</v>
      </c>
      <c r="H2724" s="35">
        <v>0.05</v>
      </c>
      <c r="I2724" s="67">
        <v>1.7100000000000001E-2</v>
      </c>
      <c r="J2724" s="67">
        <v>9.4038095673921289E-3</v>
      </c>
      <c r="K2724" s="67">
        <v>7.6961904326078726E-3</v>
      </c>
      <c r="L2724" s="36">
        <f>+K2724-((K2724*0.5195*0.125)+(K2724*(1-0.5195)*0.26))</f>
        <v>6.2349339956446976E-3</v>
      </c>
      <c r="M2724" s="64">
        <f t="shared" si="81"/>
        <v>1.5638743563036826E-2</v>
      </c>
      <c r="N2724" s="33" t="s">
        <v>718</v>
      </c>
    </row>
    <row r="2725" spans="1:14" ht="15">
      <c r="A2725" s="12"/>
      <c r="B2725" s="33" t="s">
        <v>186</v>
      </c>
      <c r="C2725" s="92" t="s">
        <v>731</v>
      </c>
      <c r="D2725" s="33" t="s">
        <v>411</v>
      </c>
      <c r="E2725" s="34">
        <v>45504</v>
      </c>
      <c r="F2725" s="34">
        <v>45505</v>
      </c>
      <c r="G2725" s="34">
        <v>45510</v>
      </c>
      <c r="H2725" s="35">
        <v>0.05</v>
      </c>
      <c r="I2725" s="67">
        <v>0.3135</v>
      </c>
      <c r="J2725" s="67">
        <v>0.18363705100472083</v>
      </c>
      <c r="K2725" s="67">
        <v>0.12986294899527917</v>
      </c>
      <c r="L2725" s="36">
        <f>+K2725-((K2725*0.5195*0.125)+(K2725*(1-0.5195)*0.26))</f>
        <v>0.105206195526918</v>
      </c>
      <c r="M2725" s="64">
        <f t="shared" si="81"/>
        <v>0.28884324653163884</v>
      </c>
      <c r="N2725" s="33" t="s">
        <v>718</v>
      </c>
    </row>
    <row r="2726" spans="1:14" ht="15">
      <c r="A2726" s="12"/>
      <c r="B2726" s="33" t="s">
        <v>194</v>
      </c>
      <c r="C2726" s="92" t="s">
        <v>732</v>
      </c>
      <c r="D2726" s="33" t="s">
        <v>411</v>
      </c>
      <c r="E2726" s="34">
        <v>45504</v>
      </c>
      <c r="F2726" s="34">
        <v>45505</v>
      </c>
      <c r="G2726" s="34">
        <v>45510</v>
      </c>
      <c r="H2726" s="35">
        <v>0.05</v>
      </c>
      <c r="I2726" s="67">
        <v>0.32579999999999998</v>
      </c>
      <c r="J2726" s="67">
        <v>0.15637183026129131</v>
      </c>
      <c r="K2726" s="67">
        <v>0.16942816973870867</v>
      </c>
      <c r="L2726" s="36">
        <f>+K2726-((K2726*0.5195*0.125)+(K2726*(1-0.5195)*0.26))</f>
        <v>0.1372592667208444</v>
      </c>
      <c r="M2726" s="64">
        <f t="shared" si="81"/>
        <v>0.29363109698213574</v>
      </c>
      <c r="N2726" s="33" t="s">
        <v>718</v>
      </c>
    </row>
    <row r="2727" spans="1:14" ht="15">
      <c r="A2727" s="12"/>
      <c r="B2727" s="33" t="s">
        <v>307</v>
      </c>
      <c r="C2727" s="92" t="s">
        <v>733</v>
      </c>
      <c r="D2727" s="33" t="s">
        <v>411</v>
      </c>
      <c r="E2727" s="34">
        <v>45504</v>
      </c>
      <c r="F2727" s="34">
        <v>45505</v>
      </c>
      <c r="G2727" s="34">
        <v>45510</v>
      </c>
      <c r="H2727" s="35">
        <v>0.04</v>
      </c>
      <c r="I2727" s="67">
        <v>1.2E-2</v>
      </c>
      <c r="J2727" s="67">
        <v>6.8646794536721505E-3</v>
      </c>
      <c r="K2727" s="67">
        <v>5.1353205463278498E-3</v>
      </c>
      <c r="L2727" s="36">
        <f>+K2727-((K2727*0.6215*0.125)+(K2727*(1-0.6215)*0.26))</f>
        <v>4.2310034364208809E-3</v>
      </c>
      <c r="M2727" s="64">
        <f t="shared" si="81"/>
        <v>1.1095682890093031E-2</v>
      </c>
      <c r="N2727" s="33" t="s">
        <v>718</v>
      </c>
    </row>
    <row r="2728" spans="1:14" ht="15">
      <c r="A2728" s="12"/>
      <c r="B2728" s="33" t="s">
        <v>185</v>
      </c>
      <c r="C2728" s="92" t="s">
        <v>734</v>
      </c>
      <c r="D2728" s="33" t="s">
        <v>411</v>
      </c>
      <c r="E2728" s="34">
        <v>45504</v>
      </c>
      <c r="F2728" s="34">
        <v>45505</v>
      </c>
      <c r="G2728" s="34">
        <v>45510</v>
      </c>
      <c r="H2728" s="35">
        <v>0.04</v>
      </c>
      <c r="I2728" s="67">
        <v>0.19789999999999999</v>
      </c>
      <c r="J2728" s="67">
        <v>0.12146862016309215</v>
      </c>
      <c r="K2728" s="67">
        <v>7.6431379836907842E-2</v>
      </c>
      <c r="L2728" s="36">
        <f>+K2728-((K2728*0.6215*0.125)+(K2728*(1-0.6215)*0.26))</f>
        <v>6.2972004926077962E-2</v>
      </c>
      <c r="M2728" s="64">
        <f t="shared" si="81"/>
        <v>0.18444062508917011</v>
      </c>
      <c r="N2728" s="33" t="s">
        <v>718</v>
      </c>
    </row>
    <row r="2729" spans="1:14" ht="15">
      <c r="A2729" s="12"/>
      <c r="B2729" s="33" t="s">
        <v>193</v>
      </c>
      <c r="C2729" s="92" t="s">
        <v>735</v>
      </c>
      <c r="D2729" s="33" t="s">
        <v>411</v>
      </c>
      <c r="E2729" s="34">
        <v>45504</v>
      </c>
      <c r="F2729" s="34">
        <v>45505</v>
      </c>
      <c r="G2729" s="34">
        <v>45510</v>
      </c>
      <c r="H2729" s="35">
        <v>0.04</v>
      </c>
      <c r="I2729" s="67">
        <v>0.1966</v>
      </c>
      <c r="J2729" s="67">
        <v>9.5689036270538985E-2</v>
      </c>
      <c r="K2729" s="67">
        <v>0.10091096372946101</v>
      </c>
      <c r="L2729" s="36">
        <f>+K2729-((K2729*0.6215*0.125)+(K2729*(1-0.6215)*0.26))</f>
        <v>8.3140795294112252E-2</v>
      </c>
      <c r="M2729" s="64">
        <f t="shared" si="81"/>
        <v>0.17882983156465124</v>
      </c>
      <c r="N2729" s="33" t="s">
        <v>718</v>
      </c>
    </row>
    <row r="2730" spans="1:14" ht="15">
      <c r="A2730" s="12"/>
      <c r="B2730" s="33" t="s">
        <v>309</v>
      </c>
      <c r="C2730" s="92" t="s">
        <v>736</v>
      </c>
      <c r="D2730" s="33" t="s">
        <v>411</v>
      </c>
      <c r="E2730" s="34">
        <v>45504</v>
      </c>
      <c r="F2730" s="34">
        <v>45505</v>
      </c>
      <c r="G2730" s="34">
        <v>45510</v>
      </c>
      <c r="H2730" s="35">
        <v>5.5E-2</v>
      </c>
      <c r="I2730" s="67">
        <v>1.84E-2</v>
      </c>
      <c r="J2730" s="67">
        <v>8.6771400519347845E-3</v>
      </c>
      <c r="K2730" s="67">
        <v>9.7228599480652152E-3</v>
      </c>
      <c r="L2730" s="36">
        <f>+K2730-((K2730*0.0515*0.125)+(K2730*(1-0.0515)*0.26))</f>
        <v>7.2625145453571825E-3</v>
      </c>
      <c r="M2730" s="64">
        <f t="shared" si="81"/>
        <v>1.5939654597291967E-2</v>
      </c>
      <c r="N2730" s="33" t="s">
        <v>718</v>
      </c>
    </row>
    <row r="2731" spans="1:14" ht="15">
      <c r="A2731" s="12"/>
      <c r="B2731" s="33" t="s">
        <v>187</v>
      </c>
      <c r="C2731" s="92" t="s">
        <v>737</v>
      </c>
      <c r="D2731" s="33" t="s">
        <v>411</v>
      </c>
      <c r="E2731" s="34">
        <v>45504</v>
      </c>
      <c r="F2731" s="34">
        <v>45505</v>
      </c>
      <c r="G2731" s="34">
        <v>45510</v>
      </c>
      <c r="H2731" s="35">
        <v>5.5E-2</v>
      </c>
      <c r="I2731" s="67">
        <v>0.3231</v>
      </c>
      <c r="J2731" s="67">
        <v>0.16256099612802963</v>
      </c>
      <c r="K2731" s="67">
        <v>0.1605390038719704</v>
      </c>
      <c r="L2731" s="36">
        <f>+K2731-((K2731*0.0515*0.125)+(K2731*(1-0.0515)*0.26))</f>
        <v>0.11991501028967796</v>
      </c>
      <c r="M2731" s="64">
        <f t="shared" si="81"/>
        <v>0.28247600641770759</v>
      </c>
      <c r="N2731" s="33" t="s">
        <v>718</v>
      </c>
    </row>
    <row r="2732" spans="1:14" ht="15">
      <c r="A2732" s="12"/>
      <c r="B2732" s="33" t="s">
        <v>195</v>
      </c>
      <c r="C2732" s="92" t="s">
        <v>738</v>
      </c>
      <c r="D2732" s="33" t="s">
        <v>411</v>
      </c>
      <c r="E2732" s="34">
        <v>45504</v>
      </c>
      <c r="F2732" s="34">
        <v>45505</v>
      </c>
      <c r="G2732" s="34">
        <v>45510</v>
      </c>
      <c r="H2732" s="35">
        <v>5.5E-2</v>
      </c>
      <c r="I2732" s="67">
        <v>0.33889999999999998</v>
      </c>
      <c r="J2732" s="67">
        <v>0.137942638752168</v>
      </c>
      <c r="K2732" s="67">
        <v>0.20095736124783198</v>
      </c>
      <c r="L2732" s="36">
        <f>+K2732-((K2732*0.0515*0.125)+(K2732*(1-0.0515)*0.26))</f>
        <v>0.15010560337747123</v>
      </c>
      <c r="M2732" s="64">
        <f t="shared" si="81"/>
        <v>0.2880482421296392</v>
      </c>
      <c r="N2732" s="33" t="s">
        <v>718</v>
      </c>
    </row>
    <row r="2733" spans="1:14" ht="15">
      <c r="A2733" s="12"/>
      <c r="B2733" s="33" t="s">
        <v>312</v>
      </c>
      <c r="C2733" s="92" t="s">
        <v>739</v>
      </c>
      <c r="D2733" s="33" t="s">
        <v>411</v>
      </c>
      <c r="E2733" s="34">
        <v>45504</v>
      </c>
      <c r="F2733" s="34">
        <v>45505</v>
      </c>
      <c r="G2733" s="34">
        <v>45510</v>
      </c>
      <c r="H2733" s="35">
        <v>7.2499999999999995E-2</v>
      </c>
      <c r="I2733" s="67">
        <v>2.2499999999999999E-2</v>
      </c>
      <c r="J2733" s="67">
        <v>2.1770758295148558E-3</v>
      </c>
      <c r="K2733" s="67">
        <v>2.0322924170485143E-2</v>
      </c>
      <c r="L2733" s="36">
        <f>+K2733-((K2733*0.0000000000001*0.125)+(K2733*(1-0.0000000000001)*0.26))</f>
        <v>1.503896388615928E-2</v>
      </c>
      <c r="M2733" s="64">
        <f t="shared" si="81"/>
        <v>1.7216039715674137E-2</v>
      </c>
      <c r="N2733" s="33" t="s">
        <v>718</v>
      </c>
    </row>
    <row r="2734" spans="1:14" ht="15">
      <c r="A2734" s="12"/>
      <c r="B2734" s="33" t="s">
        <v>190</v>
      </c>
      <c r="C2734" s="92" t="s">
        <v>740</v>
      </c>
      <c r="D2734" s="33" t="s">
        <v>411</v>
      </c>
      <c r="E2734" s="34">
        <v>45504</v>
      </c>
      <c r="F2734" s="34">
        <v>45505</v>
      </c>
      <c r="G2734" s="34">
        <v>45510</v>
      </c>
      <c r="H2734" s="35">
        <v>7.2499999999999995E-2</v>
      </c>
      <c r="I2734" s="67">
        <v>0.42409999999999998</v>
      </c>
      <c r="J2734" s="67">
        <v>5.1379385955482137E-2</v>
      </c>
      <c r="K2734" s="67">
        <v>0.37272061404451784</v>
      </c>
      <c r="L2734" s="36">
        <f>+K2734-((K2734*0.0000000000001*0.125)+(K2734*(1-0.0000000000001)*0.26))</f>
        <v>0.27581325439294824</v>
      </c>
      <c r="M2734" s="64">
        <f t="shared" si="81"/>
        <v>0.32719264034843037</v>
      </c>
      <c r="N2734" s="33" t="s">
        <v>718</v>
      </c>
    </row>
    <row r="2735" spans="1:14" ht="15">
      <c r="A2735" s="12"/>
      <c r="B2735" s="33" t="s">
        <v>198</v>
      </c>
      <c r="C2735" s="92" t="s">
        <v>741</v>
      </c>
      <c r="D2735" s="33" t="s">
        <v>411</v>
      </c>
      <c r="E2735" s="34">
        <v>45504</v>
      </c>
      <c r="F2735" s="34">
        <v>45505</v>
      </c>
      <c r="G2735" s="34">
        <v>45510</v>
      </c>
      <c r="H2735" s="35">
        <v>7.2499999999999995E-2</v>
      </c>
      <c r="I2735" s="67">
        <v>0.43080000000000002</v>
      </c>
      <c r="J2735" s="67">
        <v>1.9268506518521116E-2</v>
      </c>
      <c r="K2735" s="67">
        <v>0.41153149348147888</v>
      </c>
      <c r="L2735" s="36">
        <f>+K2735-((K2735*0.0000000000001*0.125)+(K2735*(1-0.0000000000001)*0.26))</f>
        <v>0.30453330517629995</v>
      </c>
      <c r="M2735" s="64">
        <f t="shared" si="81"/>
        <v>0.32380181169482108</v>
      </c>
      <c r="N2735" s="33" t="s">
        <v>718</v>
      </c>
    </row>
    <row r="2736" spans="1:14" ht="15">
      <c r="A2736" s="12"/>
      <c r="B2736" s="33" t="s">
        <v>313</v>
      </c>
      <c r="C2736" s="92" t="s">
        <v>884</v>
      </c>
      <c r="D2736" s="33" t="s">
        <v>411</v>
      </c>
      <c r="E2736" s="34">
        <v>45504</v>
      </c>
      <c r="F2736" s="34">
        <v>45505</v>
      </c>
      <c r="G2736" s="34">
        <v>45510</v>
      </c>
      <c r="H2736" s="35">
        <v>4.7500000000000001E-2</v>
      </c>
      <c r="I2736" s="67">
        <v>1.61E-2</v>
      </c>
      <c r="J2736" s="67">
        <v>3.3136885994392439E-3</v>
      </c>
      <c r="K2736" s="67">
        <v>1.2786311400560756E-2</v>
      </c>
      <c r="L2736" s="36">
        <f>+K2736-((K2736*0.314*0.125)+(K2736*(1-0.314)*0.26))</f>
        <v>1.000388217668473E-2</v>
      </c>
      <c r="M2736" s="64">
        <f t="shared" si="81"/>
        <v>1.3317570776123973E-2</v>
      </c>
      <c r="N2736" s="33" t="s">
        <v>718</v>
      </c>
    </row>
    <row r="2737" spans="1:14" ht="15">
      <c r="A2737" s="12"/>
      <c r="B2737" s="33" t="s">
        <v>310</v>
      </c>
      <c r="C2737" s="92" t="s">
        <v>719</v>
      </c>
      <c r="D2737" s="33" t="s">
        <v>411</v>
      </c>
      <c r="E2737" s="34">
        <v>45534</v>
      </c>
      <c r="F2737" s="34">
        <v>45537</v>
      </c>
      <c r="G2737" s="34">
        <v>45540</v>
      </c>
      <c r="H2737" s="35">
        <v>0.05</v>
      </c>
      <c r="I2737" s="67">
        <v>1.43E-2</v>
      </c>
      <c r="J2737" s="67">
        <v>0</v>
      </c>
      <c r="K2737" s="67">
        <v>1.43E-2</v>
      </c>
      <c r="L2737" s="36">
        <f>+K2737-((K2737*0.0445*0.125)+(K2737*(1-0.0445)*0.26))</f>
        <v>1.0667907250000001E-2</v>
      </c>
      <c r="M2737" s="64">
        <f t="shared" si="81"/>
        <v>1.0667907250000001E-2</v>
      </c>
      <c r="N2737" s="33" t="s">
        <v>718</v>
      </c>
    </row>
    <row r="2738" spans="1:14" ht="15">
      <c r="A2738" s="12"/>
      <c r="B2738" s="33" t="s">
        <v>188</v>
      </c>
      <c r="C2738" s="92" t="s">
        <v>720</v>
      </c>
      <c r="D2738" s="33" t="s">
        <v>411</v>
      </c>
      <c r="E2738" s="34">
        <v>45534</v>
      </c>
      <c r="F2738" s="34">
        <v>45537</v>
      </c>
      <c r="G2738" s="34">
        <v>45540</v>
      </c>
      <c r="H2738" s="35">
        <v>0.05</v>
      </c>
      <c r="I2738" s="67">
        <v>0.24859999999999999</v>
      </c>
      <c r="J2738" s="67">
        <v>0</v>
      </c>
      <c r="K2738" s="67">
        <v>0.24859999999999999</v>
      </c>
      <c r="L2738" s="36">
        <f>+K2738-((K2738*0.0445*0.125)+(K2738*(1-0.0445)*0.26))</f>
        <v>0.1854574645</v>
      </c>
      <c r="M2738" s="64">
        <f t="shared" si="81"/>
        <v>0.1854574645</v>
      </c>
      <c r="N2738" s="33" t="s">
        <v>718</v>
      </c>
    </row>
    <row r="2739" spans="1:14" ht="15">
      <c r="A2739" s="12"/>
      <c r="B2739" s="33" t="s">
        <v>196</v>
      </c>
      <c r="C2739" s="92" t="s">
        <v>721</v>
      </c>
      <c r="D2739" s="33" t="s">
        <v>411</v>
      </c>
      <c r="E2739" s="34">
        <v>45534</v>
      </c>
      <c r="F2739" s="34">
        <v>45537</v>
      </c>
      <c r="G2739" s="34">
        <v>45540</v>
      </c>
      <c r="H2739" s="35">
        <v>0.05</v>
      </c>
      <c r="I2739" s="67">
        <v>0.26240000000000002</v>
      </c>
      <c r="J2739" s="67">
        <v>0</v>
      </c>
      <c r="K2739" s="67">
        <v>0.26240000000000002</v>
      </c>
      <c r="L2739" s="36">
        <f>+K2739-((K2739*0.0445*0.125)+(K2739*(1-0.0445)*0.26))</f>
        <v>0.19575236800000001</v>
      </c>
      <c r="M2739" s="64">
        <f t="shared" si="81"/>
        <v>0.19575236800000001</v>
      </c>
      <c r="N2739" s="33" t="s">
        <v>718</v>
      </c>
    </row>
    <row r="2740" spans="1:14" ht="15">
      <c r="A2740" s="12"/>
      <c r="B2740" s="33" t="s">
        <v>191</v>
      </c>
      <c r="C2740" s="92" t="s">
        <v>722</v>
      </c>
      <c r="D2740" s="33" t="s">
        <v>411</v>
      </c>
      <c r="E2740" s="34">
        <v>45534</v>
      </c>
      <c r="F2740" s="34">
        <v>45537</v>
      </c>
      <c r="G2740" s="34">
        <v>45540</v>
      </c>
      <c r="H2740" s="35">
        <v>0.05</v>
      </c>
      <c r="I2740" s="67">
        <v>1.5100000000000001E-2</v>
      </c>
      <c r="J2740" s="67">
        <v>0</v>
      </c>
      <c r="K2740" s="67">
        <v>1.5100000000000001E-2</v>
      </c>
      <c r="L2740" s="36">
        <f>+K2740-((K2740*0.8545*0.125)+(K2740*(1-0.8545)*0.26))</f>
        <v>1.291589825E-2</v>
      </c>
      <c r="M2740" s="64">
        <f t="shared" si="81"/>
        <v>1.291589825E-2</v>
      </c>
      <c r="N2740" s="33" t="s">
        <v>718</v>
      </c>
    </row>
    <row r="2741" spans="1:14" ht="15">
      <c r="A2741" s="12"/>
      <c r="B2741" s="33" t="s">
        <v>199</v>
      </c>
      <c r="C2741" s="92" t="s">
        <v>723</v>
      </c>
      <c r="D2741" s="33" t="s">
        <v>411</v>
      </c>
      <c r="E2741" s="34">
        <v>45534</v>
      </c>
      <c r="F2741" s="34">
        <v>45537</v>
      </c>
      <c r="G2741" s="34">
        <v>45540</v>
      </c>
      <c r="H2741" s="35">
        <v>0.05</v>
      </c>
      <c r="I2741" s="67">
        <v>1.52E-2</v>
      </c>
      <c r="J2741" s="67">
        <v>0</v>
      </c>
      <c r="K2741" s="67">
        <v>1.52E-2</v>
      </c>
      <c r="L2741" s="36">
        <f>+K2741-((K2741*0.8545*0.125)+(K2741*(1-0.8545)*0.26))</f>
        <v>1.3001433999999999E-2</v>
      </c>
      <c r="M2741" s="64">
        <f t="shared" si="81"/>
        <v>1.3001433999999999E-2</v>
      </c>
      <c r="N2741" s="33" t="s">
        <v>718</v>
      </c>
    </row>
    <row r="2742" spans="1:14" ht="15">
      <c r="A2742" s="12"/>
      <c r="B2742" s="33" t="s">
        <v>306</v>
      </c>
      <c r="C2742" s="92" t="s">
        <v>724</v>
      </c>
      <c r="D2742" s="33" t="s">
        <v>411</v>
      </c>
      <c r="E2742" s="34">
        <v>45534</v>
      </c>
      <c r="F2742" s="34">
        <v>45537</v>
      </c>
      <c r="G2742" s="34">
        <v>45540</v>
      </c>
      <c r="H2742" s="35">
        <v>7.0000000000000007E-2</v>
      </c>
      <c r="I2742" s="67">
        <v>2.4899999999999999E-2</v>
      </c>
      <c r="J2742" s="67">
        <v>0</v>
      </c>
      <c r="K2742" s="67">
        <v>2.4899999999999999E-2</v>
      </c>
      <c r="L2742" s="36">
        <f>+K2742-((K2742*0.0015*0.125)+(K2742*(1-0.0015)*0.26))</f>
        <v>1.8431042249999998E-2</v>
      </c>
      <c r="M2742" s="64">
        <f t="shared" si="81"/>
        <v>1.8431042249999998E-2</v>
      </c>
      <c r="N2742" s="33" t="s">
        <v>718</v>
      </c>
    </row>
    <row r="2743" spans="1:14" ht="15">
      <c r="A2743" s="12"/>
      <c r="B2743" s="33" t="s">
        <v>184</v>
      </c>
      <c r="C2743" s="92" t="s">
        <v>725</v>
      </c>
      <c r="D2743" s="33" t="s">
        <v>411</v>
      </c>
      <c r="E2743" s="34">
        <v>45534</v>
      </c>
      <c r="F2743" s="34">
        <v>45537</v>
      </c>
      <c r="G2743" s="34">
        <v>45540</v>
      </c>
      <c r="H2743" s="35">
        <v>7.0000000000000007E-2</v>
      </c>
      <c r="I2743" s="67">
        <v>0.49859999999999999</v>
      </c>
      <c r="J2743" s="67">
        <v>0</v>
      </c>
      <c r="K2743" s="67">
        <v>0.49859999999999999</v>
      </c>
      <c r="L2743" s="36">
        <f>+K2743-((K2743*0.0015*0.125)+(K2743*(1-0.0015)*0.26))</f>
        <v>0.36906496649999998</v>
      </c>
      <c r="M2743" s="64">
        <f t="shared" si="81"/>
        <v>0.36906496649999998</v>
      </c>
      <c r="N2743" s="33" t="s">
        <v>718</v>
      </c>
    </row>
    <row r="2744" spans="1:14" ht="15">
      <c r="A2744" s="12"/>
      <c r="B2744" s="33" t="s">
        <v>192</v>
      </c>
      <c r="C2744" s="92" t="s">
        <v>726</v>
      </c>
      <c r="D2744" s="33" t="s">
        <v>411</v>
      </c>
      <c r="E2744" s="34">
        <v>45534</v>
      </c>
      <c r="F2744" s="34">
        <v>45537</v>
      </c>
      <c r="G2744" s="34">
        <v>45540</v>
      </c>
      <c r="H2744" s="35">
        <v>7.0000000000000007E-2</v>
      </c>
      <c r="I2744" s="67">
        <v>0.51080000000000003</v>
      </c>
      <c r="J2744" s="67">
        <v>0</v>
      </c>
      <c r="K2744" s="67">
        <v>0.51080000000000003</v>
      </c>
      <c r="L2744" s="36">
        <f>+K2744-((K2744*0.0015*0.125)+(K2744*(1-0.0015)*0.26))</f>
        <v>0.37809543700000003</v>
      </c>
      <c r="M2744" s="64">
        <f t="shared" si="81"/>
        <v>0.37809543700000003</v>
      </c>
      <c r="N2744" s="33" t="s">
        <v>718</v>
      </c>
    </row>
    <row r="2745" spans="1:14" ht="15">
      <c r="A2745" s="12"/>
      <c r="B2745" s="33" t="s">
        <v>311</v>
      </c>
      <c r="C2745" s="92" t="s">
        <v>727</v>
      </c>
      <c r="D2745" s="33" t="s">
        <v>411</v>
      </c>
      <c r="E2745" s="34">
        <v>45534</v>
      </c>
      <c r="F2745" s="34">
        <v>45537</v>
      </c>
      <c r="G2745" s="34">
        <v>45540</v>
      </c>
      <c r="H2745" s="35">
        <v>0.06</v>
      </c>
      <c r="I2745" s="67">
        <v>2.3199999999999998E-2</v>
      </c>
      <c r="J2745" s="67">
        <v>0</v>
      </c>
      <c r="K2745" s="67">
        <v>2.3199999999999998E-2</v>
      </c>
      <c r="L2745" s="36">
        <f>+K2745-((K2745*0.001*0.125)+(K2745*(1-0.001)*0.26))</f>
        <v>1.7171131999999999E-2</v>
      </c>
      <c r="M2745" s="64">
        <f t="shared" ref="M2745:M2808" si="83">J2745+L2745</f>
        <v>1.7171131999999999E-2</v>
      </c>
      <c r="N2745" s="33" t="s">
        <v>718</v>
      </c>
    </row>
    <row r="2746" spans="1:14" ht="15">
      <c r="A2746" s="12"/>
      <c r="B2746" s="33" t="s">
        <v>189</v>
      </c>
      <c r="C2746" s="92" t="s">
        <v>728</v>
      </c>
      <c r="D2746" s="33" t="s">
        <v>411</v>
      </c>
      <c r="E2746" s="34">
        <v>45534</v>
      </c>
      <c r="F2746" s="34">
        <v>45537</v>
      </c>
      <c r="G2746" s="34">
        <v>45540</v>
      </c>
      <c r="H2746" s="35">
        <v>0.06</v>
      </c>
      <c r="I2746" s="67">
        <v>0.4229</v>
      </c>
      <c r="J2746" s="67">
        <v>0</v>
      </c>
      <c r="K2746" s="67">
        <v>0.4229</v>
      </c>
      <c r="L2746" s="36">
        <f>+K2746-((K2746*0.001*0.125)+(K2746*(1-0.001)*0.26))</f>
        <v>0.3130030915</v>
      </c>
      <c r="M2746" s="64">
        <f t="shared" si="83"/>
        <v>0.3130030915</v>
      </c>
      <c r="N2746" s="33" t="s">
        <v>718</v>
      </c>
    </row>
    <row r="2747" spans="1:14" ht="15">
      <c r="A2747" s="12"/>
      <c r="B2747" s="33" t="s">
        <v>197</v>
      </c>
      <c r="C2747" s="92" t="s">
        <v>729</v>
      </c>
      <c r="D2747" s="33" t="s">
        <v>411</v>
      </c>
      <c r="E2747" s="34">
        <v>45534</v>
      </c>
      <c r="F2747" s="34">
        <v>45537</v>
      </c>
      <c r="G2747" s="34">
        <v>45540</v>
      </c>
      <c r="H2747" s="35">
        <v>0.06</v>
      </c>
      <c r="I2747" s="67">
        <v>0.43669999999999998</v>
      </c>
      <c r="J2747" s="67">
        <v>0</v>
      </c>
      <c r="K2747" s="67">
        <v>0.43669999999999998</v>
      </c>
      <c r="L2747" s="36">
        <f>+K2747-((K2747*0.001*0.125)+(K2747*(1-0.001)*0.26))</f>
        <v>0.32321695449999999</v>
      </c>
      <c r="M2747" s="64">
        <f t="shared" si="83"/>
        <v>0.32321695449999999</v>
      </c>
      <c r="N2747" s="33" t="s">
        <v>718</v>
      </c>
    </row>
    <row r="2748" spans="1:14" ht="15">
      <c r="A2748" s="12"/>
      <c r="B2748" s="33" t="s">
        <v>308</v>
      </c>
      <c r="C2748" s="92" t="s">
        <v>730</v>
      </c>
      <c r="D2748" s="33" t="s">
        <v>411</v>
      </c>
      <c r="E2748" s="34">
        <v>45534</v>
      </c>
      <c r="F2748" s="34">
        <v>45537</v>
      </c>
      <c r="G2748" s="34">
        <v>45540</v>
      </c>
      <c r="H2748" s="35">
        <v>0.05</v>
      </c>
      <c r="I2748" s="67">
        <v>1.7100000000000001E-2</v>
      </c>
      <c r="J2748" s="67">
        <v>0</v>
      </c>
      <c r="K2748" s="67">
        <v>1.7100000000000001E-2</v>
      </c>
      <c r="L2748" s="36">
        <f>+K2748-((K2748*0.5195*0.125)+(K2748*(1-0.5195)*0.26))</f>
        <v>1.385326575E-2</v>
      </c>
      <c r="M2748" s="64">
        <f t="shared" si="83"/>
        <v>1.385326575E-2</v>
      </c>
      <c r="N2748" s="33" t="s">
        <v>718</v>
      </c>
    </row>
    <row r="2749" spans="1:14" ht="15">
      <c r="A2749" s="12"/>
      <c r="B2749" s="33" t="s">
        <v>186</v>
      </c>
      <c r="C2749" s="92" t="s">
        <v>731</v>
      </c>
      <c r="D2749" s="33" t="s">
        <v>411</v>
      </c>
      <c r="E2749" s="34">
        <v>45534</v>
      </c>
      <c r="F2749" s="34">
        <v>45537</v>
      </c>
      <c r="G2749" s="34">
        <v>45540</v>
      </c>
      <c r="H2749" s="35">
        <v>0.05</v>
      </c>
      <c r="I2749" s="67">
        <v>0.3135</v>
      </c>
      <c r="J2749" s="67">
        <v>0</v>
      </c>
      <c r="K2749" s="67">
        <v>0.3135</v>
      </c>
      <c r="L2749" s="36">
        <f>+K2749-((K2749*0.5195*0.125)+(K2749*(1-0.5195)*0.26))</f>
        <v>0.25397653874999998</v>
      </c>
      <c r="M2749" s="64">
        <f t="shared" si="83"/>
        <v>0.25397653874999998</v>
      </c>
      <c r="N2749" s="33" t="s">
        <v>718</v>
      </c>
    </row>
    <row r="2750" spans="1:14" ht="15">
      <c r="A2750" s="12"/>
      <c r="B2750" s="33" t="s">
        <v>194</v>
      </c>
      <c r="C2750" s="92" t="s">
        <v>732</v>
      </c>
      <c r="D2750" s="33" t="s">
        <v>411</v>
      </c>
      <c r="E2750" s="34">
        <v>45534</v>
      </c>
      <c r="F2750" s="34">
        <v>45537</v>
      </c>
      <c r="G2750" s="34">
        <v>45540</v>
      </c>
      <c r="H2750" s="35">
        <v>0.05</v>
      </c>
      <c r="I2750" s="67">
        <v>0.32579999999999998</v>
      </c>
      <c r="J2750" s="67">
        <v>0</v>
      </c>
      <c r="K2750" s="67">
        <v>0.32579999999999998</v>
      </c>
      <c r="L2750" s="36">
        <f>+K2750-((K2750*0.5195*0.125)+(K2750*(1-0.5195)*0.26))</f>
        <v>0.26394116849999999</v>
      </c>
      <c r="M2750" s="64">
        <f t="shared" si="83"/>
        <v>0.26394116849999999</v>
      </c>
      <c r="N2750" s="33" t="s">
        <v>718</v>
      </c>
    </row>
    <row r="2751" spans="1:14" ht="15">
      <c r="A2751" s="12"/>
      <c r="B2751" s="33" t="s">
        <v>307</v>
      </c>
      <c r="C2751" s="92" t="s">
        <v>733</v>
      </c>
      <c r="D2751" s="33" t="s">
        <v>411</v>
      </c>
      <c r="E2751" s="34">
        <v>45534</v>
      </c>
      <c r="F2751" s="34">
        <v>45537</v>
      </c>
      <c r="G2751" s="34">
        <v>45540</v>
      </c>
      <c r="H2751" s="35">
        <v>0.04</v>
      </c>
      <c r="I2751" s="67">
        <v>1.2E-2</v>
      </c>
      <c r="J2751" s="67">
        <v>0</v>
      </c>
      <c r="K2751" s="67">
        <v>1.2E-2</v>
      </c>
      <c r="L2751" s="36">
        <f>+K2751-((K2751*0.6215*0.125)+(K2751*(1-0.6215)*0.26))</f>
        <v>9.8868299999999992E-3</v>
      </c>
      <c r="M2751" s="64">
        <f t="shared" si="83"/>
        <v>9.8868299999999992E-3</v>
      </c>
      <c r="N2751" s="33" t="s">
        <v>718</v>
      </c>
    </row>
    <row r="2752" spans="1:14" ht="15">
      <c r="A2752" s="12"/>
      <c r="B2752" s="33" t="s">
        <v>185</v>
      </c>
      <c r="C2752" s="92" t="s">
        <v>734</v>
      </c>
      <c r="D2752" s="33" t="s">
        <v>411</v>
      </c>
      <c r="E2752" s="34">
        <v>45534</v>
      </c>
      <c r="F2752" s="34">
        <v>45537</v>
      </c>
      <c r="G2752" s="34">
        <v>45540</v>
      </c>
      <c r="H2752" s="35">
        <v>0.04</v>
      </c>
      <c r="I2752" s="67">
        <v>0.19789999999999999</v>
      </c>
      <c r="J2752" s="67">
        <v>0</v>
      </c>
      <c r="K2752" s="67">
        <v>0.19789999999999999</v>
      </c>
      <c r="L2752" s="36">
        <f>+K2752-((K2752*0.6215*0.125)+(K2752*(1-0.6215)*0.26))</f>
        <v>0.16305030474999999</v>
      </c>
      <c r="M2752" s="64">
        <f t="shared" si="83"/>
        <v>0.16305030474999999</v>
      </c>
      <c r="N2752" s="33" t="s">
        <v>718</v>
      </c>
    </row>
    <row r="2753" spans="1:14" ht="15">
      <c r="A2753" s="12"/>
      <c r="B2753" s="33" t="s">
        <v>193</v>
      </c>
      <c r="C2753" s="92" t="s">
        <v>735</v>
      </c>
      <c r="D2753" s="33" t="s">
        <v>411</v>
      </c>
      <c r="E2753" s="34">
        <v>45534</v>
      </c>
      <c r="F2753" s="34">
        <v>45537</v>
      </c>
      <c r="G2753" s="34">
        <v>45540</v>
      </c>
      <c r="H2753" s="35">
        <v>0.04</v>
      </c>
      <c r="I2753" s="67">
        <v>0.1966</v>
      </c>
      <c r="J2753" s="67">
        <v>0</v>
      </c>
      <c r="K2753" s="67">
        <v>0.1966</v>
      </c>
      <c r="L2753" s="36">
        <f>+K2753-((K2753*0.6215*0.125)+(K2753*(1-0.6215)*0.26))</f>
        <v>0.16197923149999999</v>
      </c>
      <c r="M2753" s="64">
        <f t="shared" si="83"/>
        <v>0.16197923149999999</v>
      </c>
      <c r="N2753" s="33" t="s">
        <v>718</v>
      </c>
    </row>
    <row r="2754" spans="1:14" ht="15">
      <c r="A2754" s="12"/>
      <c r="B2754" s="33" t="s">
        <v>309</v>
      </c>
      <c r="C2754" s="92" t="s">
        <v>736</v>
      </c>
      <c r="D2754" s="33" t="s">
        <v>411</v>
      </c>
      <c r="E2754" s="34">
        <v>45534</v>
      </c>
      <c r="F2754" s="34">
        <v>45537</v>
      </c>
      <c r="G2754" s="34">
        <v>45540</v>
      </c>
      <c r="H2754" s="35">
        <v>5.5E-2</v>
      </c>
      <c r="I2754" s="67">
        <v>1.84E-2</v>
      </c>
      <c r="J2754" s="67">
        <v>0</v>
      </c>
      <c r="K2754" s="67">
        <v>1.84E-2</v>
      </c>
      <c r="L2754" s="36">
        <f>+K2754-((K2754*0.0515*0.125)+(K2754*(1-0.0515)*0.26))</f>
        <v>1.3743926E-2</v>
      </c>
      <c r="M2754" s="64">
        <f t="shared" si="83"/>
        <v>1.3743926E-2</v>
      </c>
      <c r="N2754" s="33" t="s">
        <v>718</v>
      </c>
    </row>
    <row r="2755" spans="1:14" ht="15">
      <c r="A2755" s="12"/>
      <c r="B2755" s="33" t="s">
        <v>187</v>
      </c>
      <c r="C2755" s="92" t="s">
        <v>737</v>
      </c>
      <c r="D2755" s="33" t="s">
        <v>411</v>
      </c>
      <c r="E2755" s="34">
        <v>45534</v>
      </c>
      <c r="F2755" s="34">
        <v>45537</v>
      </c>
      <c r="G2755" s="34">
        <v>45540</v>
      </c>
      <c r="H2755" s="35">
        <v>5.5E-2</v>
      </c>
      <c r="I2755" s="67">
        <v>0.3231</v>
      </c>
      <c r="J2755" s="67">
        <v>0</v>
      </c>
      <c r="K2755" s="67">
        <v>0.3231</v>
      </c>
      <c r="L2755" s="36">
        <f>+K2755-((K2755*0.0515*0.125)+(K2755*(1-0.0515)*0.26))</f>
        <v>0.24134035274999999</v>
      </c>
      <c r="M2755" s="64">
        <f t="shared" si="83"/>
        <v>0.24134035274999999</v>
      </c>
      <c r="N2755" s="33" t="s">
        <v>718</v>
      </c>
    </row>
    <row r="2756" spans="1:14" ht="15">
      <c r="A2756" s="12"/>
      <c r="B2756" s="33" t="s">
        <v>195</v>
      </c>
      <c r="C2756" s="92" t="s">
        <v>738</v>
      </c>
      <c r="D2756" s="33" t="s">
        <v>411</v>
      </c>
      <c r="E2756" s="34">
        <v>45534</v>
      </c>
      <c r="F2756" s="34">
        <v>45537</v>
      </c>
      <c r="G2756" s="34">
        <v>45540</v>
      </c>
      <c r="H2756" s="35">
        <v>5.5E-2</v>
      </c>
      <c r="I2756" s="67">
        <v>0.33889999999999998</v>
      </c>
      <c r="J2756" s="67">
        <v>0</v>
      </c>
      <c r="K2756" s="67">
        <v>0.33889999999999998</v>
      </c>
      <c r="L2756" s="36">
        <f>+K2756-((K2756*0.0515*0.125)+(K2756*(1-0.0515)*0.26))</f>
        <v>0.25314220224999995</v>
      </c>
      <c r="M2756" s="64">
        <f t="shared" si="83"/>
        <v>0.25314220224999995</v>
      </c>
      <c r="N2756" s="33" t="s">
        <v>718</v>
      </c>
    </row>
    <row r="2757" spans="1:14" ht="15">
      <c r="A2757" s="12"/>
      <c r="B2757" s="33" t="s">
        <v>312</v>
      </c>
      <c r="C2757" s="92" t="s">
        <v>739</v>
      </c>
      <c r="D2757" s="33" t="s">
        <v>411</v>
      </c>
      <c r="E2757" s="34">
        <v>45534</v>
      </c>
      <c r="F2757" s="34">
        <v>45537</v>
      </c>
      <c r="G2757" s="34">
        <v>45540</v>
      </c>
      <c r="H2757" s="35">
        <v>7.2499999999999995E-2</v>
      </c>
      <c r="I2757" s="67">
        <v>2.2499999999999999E-2</v>
      </c>
      <c r="J2757" s="67">
        <v>0</v>
      </c>
      <c r="K2757" s="67">
        <v>2.2499999999999999E-2</v>
      </c>
      <c r="L2757" s="36">
        <f>+K2757-((K2757*0.0000000000001*0.125)+(K2757*(1-0.0000000000001)*0.26))</f>
        <v>1.6650000000000303E-2</v>
      </c>
      <c r="M2757" s="64">
        <f t="shared" si="83"/>
        <v>1.6650000000000303E-2</v>
      </c>
      <c r="N2757" s="33" t="s">
        <v>718</v>
      </c>
    </row>
    <row r="2758" spans="1:14" ht="15">
      <c r="A2758" s="12"/>
      <c r="B2758" s="33" t="s">
        <v>190</v>
      </c>
      <c r="C2758" s="92" t="s">
        <v>740</v>
      </c>
      <c r="D2758" s="33" t="s">
        <v>411</v>
      </c>
      <c r="E2758" s="34">
        <v>45534</v>
      </c>
      <c r="F2758" s="34">
        <v>45537</v>
      </c>
      <c r="G2758" s="34">
        <v>45540</v>
      </c>
      <c r="H2758" s="35">
        <v>7.2499999999999995E-2</v>
      </c>
      <c r="I2758" s="67">
        <v>0.42409999999999998</v>
      </c>
      <c r="J2758" s="67">
        <v>0</v>
      </c>
      <c r="K2758" s="67">
        <v>0.42409999999999998</v>
      </c>
      <c r="L2758" s="36">
        <f>+K2758-((K2758*0.0000000000001*0.125)+(K2758*(1-0.0000000000001)*0.26))</f>
        <v>0.31383400000000572</v>
      </c>
      <c r="M2758" s="64">
        <f t="shared" si="83"/>
        <v>0.31383400000000572</v>
      </c>
      <c r="N2758" s="33" t="s">
        <v>718</v>
      </c>
    </row>
    <row r="2759" spans="1:14" ht="15">
      <c r="A2759" s="12"/>
      <c r="B2759" s="33" t="s">
        <v>198</v>
      </c>
      <c r="C2759" s="92" t="s">
        <v>741</v>
      </c>
      <c r="D2759" s="33" t="s">
        <v>411</v>
      </c>
      <c r="E2759" s="34">
        <v>45534</v>
      </c>
      <c r="F2759" s="34">
        <v>45537</v>
      </c>
      <c r="G2759" s="34">
        <v>45540</v>
      </c>
      <c r="H2759" s="35">
        <v>7.2499999999999995E-2</v>
      </c>
      <c r="I2759" s="67">
        <v>0.43080000000000002</v>
      </c>
      <c r="J2759" s="67">
        <v>0</v>
      </c>
      <c r="K2759" s="67">
        <v>0.43080000000000002</v>
      </c>
      <c r="L2759" s="36">
        <f>+K2759-((K2759*0.0000000000001*0.125)+(K2759*(1-0.0000000000001)*0.26))</f>
        <v>0.31879200000000585</v>
      </c>
      <c r="M2759" s="64">
        <f t="shared" si="83"/>
        <v>0.31879200000000585</v>
      </c>
      <c r="N2759" s="33" t="s">
        <v>718</v>
      </c>
    </row>
    <row r="2760" spans="1:14" ht="15">
      <c r="A2760" s="12"/>
      <c r="B2760" s="33" t="s">
        <v>313</v>
      </c>
      <c r="C2760" s="92" t="s">
        <v>884</v>
      </c>
      <c r="D2760" s="33" t="s">
        <v>411</v>
      </c>
      <c r="E2760" s="34">
        <v>45534</v>
      </c>
      <c r="F2760" s="34">
        <v>45537</v>
      </c>
      <c r="G2760" s="34">
        <v>45540</v>
      </c>
      <c r="H2760" s="35">
        <v>4.7500000000000001E-2</v>
      </c>
      <c r="I2760" s="67">
        <v>1.61E-2</v>
      </c>
      <c r="J2760" s="67">
        <v>0</v>
      </c>
      <c r="K2760" s="67">
        <v>1.61E-2</v>
      </c>
      <c r="L2760" s="36">
        <f>+K2760-((K2760*0.314*0.125)+(K2760*(1-0.314)*0.26))</f>
        <v>1.2596479000000001E-2</v>
      </c>
      <c r="M2760" s="64">
        <f t="shared" si="83"/>
        <v>1.2596479000000001E-2</v>
      </c>
      <c r="N2760" s="33" t="s">
        <v>718</v>
      </c>
    </row>
    <row r="2761" spans="1:14" ht="15">
      <c r="A2761" s="12"/>
      <c r="B2761" s="33" t="s">
        <v>745</v>
      </c>
      <c r="C2761" s="92" t="s">
        <v>746</v>
      </c>
      <c r="D2761" s="33" t="s">
        <v>412</v>
      </c>
      <c r="E2761" s="34">
        <v>45544</v>
      </c>
      <c r="F2761" s="34">
        <v>45545</v>
      </c>
      <c r="G2761" s="34">
        <v>45548</v>
      </c>
      <c r="H2761" s="35"/>
      <c r="I2761" s="67">
        <v>0.14000000000000001</v>
      </c>
      <c r="J2761" s="67">
        <v>0</v>
      </c>
      <c r="K2761" s="67">
        <v>0.14000000000000001</v>
      </c>
      <c r="L2761" s="36">
        <f>+K2761-((K2761*0.372*0.125)+(K2761*(1-0.372)*0.26))</f>
        <v>0.1106308</v>
      </c>
      <c r="M2761" s="64">
        <f t="shared" si="83"/>
        <v>0.1106308</v>
      </c>
      <c r="N2761" s="33" t="s">
        <v>288</v>
      </c>
    </row>
    <row r="2762" spans="1:14" ht="15">
      <c r="A2762" s="12"/>
      <c r="B2762" s="33" t="s">
        <v>747</v>
      </c>
      <c r="C2762" s="92" t="s">
        <v>748</v>
      </c>
      <c r="D2762" s="33" t="s">
        <v>412</v>
      </c>
      <c r="E2762" s="34">
        <v>45544</v>
      </c>
      <c r="F2762" s="34">
        <v>45545</v>
      </c>
      <c r="G2762" s="34">
        <v>45548</v>
      </c>
      <c r="H2762" s="35"/>
      <c r="I2762" s="67">
        <v>0.11</v>
      </c>
      <c r="J2762" s="67">
        <v>0</v>
      </c>
      <c r="K2762" s="67">
        <v>0.11</v>
      </c>
      <c r="L2762" s="36">
        <f>+K2762-((K2762*0.372*0.125)+(K2762*(1-0.372)*0.26))</f>
        <v>8.6924200000000007E-2</v>
      </c>
      <c r="M2762" s="64">
        <f t="shared" si="83"/>
        <v>8.6924200000000007E-2</v>
      </c>
      <c r="N2762" s="33" t="s">
        <v>288</v>
      </c>
    </row>
    <row r="2763" spans="1:14" ht="15">
      <c r="A2763" s="12"/>
      <c r="B2763" s="33" t="s">
        <v>749</v>
      </c>
      <c r="C2763" s="92" t="s">
        <v>750</v>
      </c>
      <c r="D2763" s="33" t="s">
        <v>412</v>
      </c>
      <c r="E2763" s="34">
        <v>45544</v>
      </c>
      <c r="F2763" s="34">
        <v>45545</v>
      </c>
      <c r="G2763" s="34">
        <v>45548</v>
      </c>
      <c r="H2763" s="35"/>
      <c r="I2763" s="67">
        <v>0.13</v>
      </c>
      <c r="J2763" s="67">
        <v>0</v>
      </c>
      <c r="K2763" s="67">
        <v>0.13</v>
      </c>
      <c r="L2763" s="36">
        <f>+K2763-((K2763*0.372*0.125)+(K2763*(1-0.372)*0.26))</f>
        <v>0.1027286</v>
      </c>
      <c r="M2763" s="64">
        <f t="shared" si="83"/>
        <v>0.1027286</v>
      </c>
      <c r="N2763" s="33" t="s">
        <v>288</v>
      </c>
    </row>
    <row r="2764" spans="1:14" ht="15">
      <c r="A2764" s="12"/>
      <c r="B2764" s="33" t="s">
        <v>272</v>
      </c>
      <c r="C2764" s="92" t="s">
        <v>431</v>
      </c>
      <c r="D2764" s="33" t="s">
        <v>412</v>
      </c>
      <c r="E2764" s="34">
        <v>45544</v>
      </c>
      <c r="F2764" s="34">
        <v>45545</v>
      </c>
      <c r="G2764" s="34">
        <v>45548</v>
      </c>
      <c r="H2764" s="35"/>
      <c r="I2764" s="67">
        <v>0.26</v>
      </c>
      <c r="J2764" s="67">
        <v>0</v>
      </c>
      <c r="K2764" s="67">
        <v>0.26</v>
      </c>
      <c r="L2764" s="36">
        <f>+K2764-((K2764*0.363*0.125)+(K2764*(1-0.363)*0.26))</f>
        <v>0.2051413</v>
      </c>
      <c r="M2764" s="64">
        <f t="shared" si="83"/>
        <v>0.2051413</v>
      </c>
      <c r="N2764" s="33" t="s">
        <v>288</v>
      </c>
    </row>
    <row r="2765" spans="1:14" ht="15">
      <c r="A2765" s="12"/>
      <c r="B2765" s="33" t="s">
        <v>273</v>
      </c>
      <c r="C2765" s="92" t="s">
        <v>343</v>
      </c>
      <c r="D2765" s="33" t="s">
        <v>412</v>
      </c>
      <c r="E2765" s="34">
        <v>45544</v>
      </c>
      <c r="F2765" s="34">
        <v>45545</v>
      </c>
      <c r="G2765" s="34">
        <v>45548</v>
      </c>
      <c r="H2765" s="35"/>
      <c r="I2765" s="67">
        <v>0.21</v>
      </c>
      <c r="J2765" s="67">
        <v>0</v>
      </c>
      <c r="K2765" s="67">
        <v>0.21</v>
      </c>
      <c r="L2765" s="36">
        <f>+K2765-((K2765*0.8545*0.125)+(K2765*(1-0.8545)*0.26))</f>
        <v>0.179625075</v>
      </c>
      <c r="M2765" s="64">
        <f t="shared" si="83"/>
        <v>0.179625075</v>
      </c>
      <c r="N2765" s="33" t="s">
        <v>288</v>
      </c>
    </row>
    <row r="2766" spans="1:14" ht="15">
      <c r="A2766" s="12"/>
      <c r="B2766" s="33" t="s">
        <v>274</v>
      </c>
      <c r="C2766" s="92" t="s">
        <v>432</v>
      </c>
      <c r="D2766" s="33" t="s">
        <v>412</v>
      </c>
      <c r="E2766" s="34">
        <v>45544</v>
      </c>
      <c r="F2766" s="34">
        <v>45545</v>
      </c>
      <c r="G2766" s="34">
        <v>45548</v>
      </c>
      <c r="H2766" s="35"/>
      <c r="I2766" s="67">
        <v>0.2</v>
      </c>
      <c r="J2766" s="67">
        <v>0</v>
      </c>
      <c r="K2766" s="67">
        <v>0.2</v>
      </c>
      <c r="L2766" s="36">
        <f>+K2766-((K2766*0.8545*0.125)+(K2766*(1-0.8545)*0.26))</f>
        <v>0.17107150000000002</v>
      </c>
      <c r="M2766" s="64">
        <f t="shared" si="83"/>
        <v>0.17107150000000002</v>
      </c>
      <c r="N2766" s="33" t="s">
        <v>288</v>
      </c>
    </row>
    <row r="2767" spans="1:14" ht="15">
      <c r="A2767" s="12"/>
      <c r="B2767" s="33" t="s">
        <v>275</v>
      </c>
      <c r="C2767" s="92" t="s">
        <v>418</v>
      </c>
      <c r="D2767" s="33" t="s">
        <v>412</v>
      </c>
      <c r="E2767" s="34">
        <v>45544</v>
      </c>
      <c r="F2767" s="34">
        <v>45545</v>
      </c>
      <c r="G2767" s="34">
        <v>45548</v>
      </c>
      <c r="H2767" s="35"/>
      <c r="I2767" s="67">
        <v>7.0000000000000007E-2</v>
      </c>
      <c r="J2767" s="67">
        <v>0</v>
      </c>
      <c r="K2767" s="67">
        <v>7.0000000000000007E-2</v>
      </c>
      <c r="L2767" s="36">
        <f>+K2767-((K2767*0.449*0.125)+(K2767*(1-0.449)*0.26))</f>
        <v>5.6043050000000004E-2</v>
      </c>
      <c r="M2767" s="64">
        <f t="shared" si="83"/>
        <v>5.6043050000000004E-2</v>
      </c>
      <c r="N2767" s="33" t="s">
        <v>288</v>
      </c>
    </row>
    <row r="2768" spans="1:14" ht="15">
      <c r="A2768" s="12"/>
      <c r="B2768" s="33" t="s">
        <v>276</v>
      </c>
      <c r="C2768" s="92" t="s">
        <v>419</v>
      </c>
      <c r="D2768" s="33" t="s">
        <v>412</v>
      </c>
      <c r="E2768" s="34">
        <v>45544</v>
      </c>
      <c r="F2768" s="34">
        <v>45545</v>
      </c>
      <c r="G2768" s="34">
        <v>45548</v>
      </c>
      <c r="H2768" s="35"/>
      <c r="I2768" s="67">
        <v>0.04</v>
      </c>
      <c r="J2768" s="67">
        <v>0</v>
      </c>
      <c r="K2768" s="67">
        <v>0.04</v>
      </c>
      <c r="L2768" s="36">
        <f>+K2768-((K2768*0.449*0.125)+(K2768*(1-0.449)*0.26))</f>
        <v>3.20246E-2</v>
      </c>
      <c r="M2768" s="64">
        <f t="shared" si="83"/>
        <v>3.20246E-2</v>
      </c>
      <c r="N2768" s="33" t="s">
        <v>288</v>
      </c>
    </row>
    <row r="2769" spans="1:14" ht="15">
      <c r="A2769" s="12"/>
      <c r="B2769" s="33" t="s">
        <v>696</v>
      </c>
      <c r="C2769" s="92" t="s">
        <v>695</v>
      </c>
      <c r="D2769" s="33" t="s">
        <v>412</v>
      </c>
      <c r="E2769" s="34">
        <v>45544</v>
      </c>
      <c r="F2769" s="34">
        <v>45545</v>
      </c>
      <c r="G2769" s="34">
        <v>45548</v>
      </c>
      <c r="H2769" s="35"/>
      <c r="I2769" s="67">
        <v>0.09</v>
      </c>
      <c r="J2769" s="67">
        <v>0</v>
      </c>
      <c r="K2769" s="67">
        <v>0.09</v>
      </c>
      <c r="L2769" s="36">
        <f>+K2769-((K2769*0.4715*0.125)+(K2769*(1-0.4715)*0.26))</f>
        <v>7.2328724999999996E-2</v>
      </c>
      <c r="M2769" s="64">
        <f t="shared" si="83"/>
        <v>7.2328724999999996E-2</v>
      </c>
      <c r="N2769" s="33" t="s">
        <v>288</v>
      </c>
    </row>
    <row r="2770" spans="1:14" ht="15">
      <c r="A2770" s="12"/>
      <c r="B2770" s="33" t="s">
        <v>280</v>
      </c>
      <c r="C2770" s="92" t="s">
        <v>385</v>
      </c>
      <c r="D2770" s="33" t="s">
        <v>412</v>
      </c>
      <c r="E2770" s="34">
        <v>45544</v>
      </c>
      <c r="F2770" s="34">
        <v>45545</v>
      </c>
      <c r="G2770" s="34">
        <v>45548</v>
      </c>
      <c r="H2770" s="35"/>
      <c r="I2770" s="67">
        <v>0.24</v>
      </c>
      <c r="J2770" s="67">
        <v>0</v>
      </c>
      <c r="K2770" s="67">
        <v>0.24</v>
      </c>
      <c r="L2770" s="36">
        <f>+K2770-((K2770*0.015*0.125)+(K2770*(1-0.015)*0.26))</f>
        <v>0.17808599999999999</v>
      </c>
      <c r="M2770" s="64">
        <f t="shared" si="83"/>
        <v>0.17808599999999999</v>
      </c>
      <c r="N2770" s="33" t="s">
        <v>288</v>
      </c>
    </row>
    <row r="2771" spans="1:14" ht="15">
      <c r="A2771" s="12"/>
      <c r="B2771" s="33" t="s">
        <v>281</v>
      </c>
      <c r="C2771" s="92" t="s">
        <v>433</v>
      </c>
      <c r="D2771" s="33" t="s">
        <v>412</v>
      </c>
      <c r="E2771" s="34">
        <v>45544</v>
      </c>
      <c r="F2771" s="34">
        <v>45545</v>
      </c>
      <c r="G2771" s="34">
        <v>45548</v>
      </c>
      <c r="H2771" s="35"/>
      <c r="I2771" s="67">
        <v>0.22</v>
      </c>
      <c r="J2771" s="67">
        <v>0</v>
      </c>
      <c r="K2771" s="67">
        <v>0.22</v>
      </c>
      <c r="L2771" s="36">
        <f>+K2771-((K2771*0.0305*0.125)+(K2771*(1-0.0305)*0.26))</f>
        <v>0.16370584999999999</v>
      </c>
      <c r="M2771" s="64">
        <f t="shared" si="83"/>
        <v>0.16370584999999999</v>
      </c>
      <c r="N2771" s="33" t="s">
        <v>288</v>
      </c>
    </row>
    <row r="2772" spans="1:14" ht="15">
      <c r="A2772" s="12"/>
      <c r="B2772" s="33" t="s">
        <v>282</v>
      </c>
      <c r="C2772" s="92" t="s">
        <v>878</v>
      </c>
      <c r="D2772" s="33" t="s">
        <v>412</v>
      </c>
      <c r="E2772" s="34">
        <v>45544</v>
      </c>
      <c r="F2772" s="34">
        <v>45545</v>
      </c>
      <c r="G2772" s="34">
        <v>45548</v>
      </c>
      <c r="H2772" s="35"/>
      <c r="I2772" s="67">
        <v>0.23</v>
      </c>
      <c r="J2772" s="67">
        <v>0</v>
      </c>
      <c r="K2772" s="67">
        <v>0.23</v>
      </c>
      <c r="L2772" s="36">
        <f>+K2772-((K2772*0.262*0.125)+(K2772*(1-0.262)*0.26))</f>
        <v>0.17833510000000002</v>
      </c>
      <c r="M2772" s="64">
        <f t="shared" si="83"/>
        <v>0.17833510000000002</v>
      </c>
      <c r="N2772" s="33" t="s">
        <v>288</v>
      </c>
    </row>
    <row r="2773" spans="1:14" ht="15">
      <c r="A2773" s="12"/>
      <c r="B2773" s="33" t="s">
        <v>283</v>
      </c>
      <c r="C2773" s="92" t="s">
        <v>879</v>
      </c>
      <c r="D2773" s="33" t="s">
        <v>412</v>
      </c>
      <c r="E2773" s="34">
        <v>45544</v>
      </c>
      <c r="F2773" s="34">
        <v>45545</v>
      </c>
      <c r="G2773" s="34">
        <v>45548</v>
      </c>
      <c r="H2773" s="35"/>
      <c r="I2773" s="67">
        <v>0.17</v>
      </c>
      <c r="J2773" s="67">
        <v>0</v>
      </c>
      <c r="K2773" s="67">
        <v>0.17</v>
      </c>
      <c r="L2773" s="36">
        <f>+K2773-((K2773*0.262*0.125)+(K2773*(1-0.262)*0.26))</f>
        <v>0.13181290000000001</v>
      </c>
      <c r="M2773" s="64">
        <f t="shared" si="83"/>
        <v>0.13181290000000001</v>
      </c>
      <c r="N2773" s="33" t="s">
        <v>288</v>
      </c>
    </row>
    <row r="2774" spans="1:14" ht="15">
      <c r="A2774" s="12"/>
      <c r="B2774" s="33" t="s">
        <v>284</v>
      </c>
      <c r="C2774" s="92" t="s">
        <v>880</v>
      </c>
      <c r="D2774" s="33" t="s">
        <v>412</v>
      </c>
      <c r="E2774" s="34">
        <v>45544</v>
      </c>
      <c r="F2774" s="34">
        <v>45545</v>
      </c>
      <c r="G2774" s="34">
        <v>45548</v>
      </c>
      <c r="H2774" s="35"/>
      <c r="I2774" s="67">
        <v>0.21</v>
      </c>
      <c r="J2774" s="67">
        <v>0</v>
      </c>
      <c r="K2774" s="67">
        <v>0.21</v>
      </c>
      <c r="L2774" s="36">
        <f>+K2774-((K2774*0.262*0.125)+(K2774*(1-0.262)*0.26))</f>
        <v>0.16282769999999999</v>
      </c>
      <c r="M2774" s="64">
        <f t="shared" si="83"/>
        <v>0.16282769999999999</v>
      </c>
      <c r="N2774" s="33" t="s">
        <v>288</v>
      </c>
    </row>
    <row r="2775" spans="1:14" ht="15">
      <c r="A2775" s="12"/>
      <c r="B2775" s="33" t="s">
        <v>285</v>
      </c>
      <c r="C2775" s="92" t="s">
        <v>881</v>
      </c>
      <c r="D2775" s="33" t="s">
        <v>412</v>
      </c>
      <c r="E2775" s="34">
        <v>45544</v>
      </c>
      <c r="F2775" s="34">
        <v>45545</v>
      </c>
      <c r="G2775" s="34">
        <v>45548</v>
      </c>
      <c r="H2775" s="35"/>
      <c r="I2775" s="67">
        <v>0.12</v>
      </c>
      <c r="J2775" s="67">
        <v>0</v>
      </c>
      <c r="K2775" s="67">
        <v>0.12</v>
      </c>
      <c r="L2775" s="36">
        <f>+K2775-((K2775*0.262*0.125)+(K2775*(1-0.262)*0.26))</f>
        <v>9.3044399999999999E-2</v>
      </c>
      <c r="M2775" s="64">
        <f t="shared" si="83"/>
        <v>9.3044399999999999E-2</v>
      </c>
      <c r="N2775" s="33" t="s">
        <v>288</v>
      </c>
    </row>
    <row r="2776" spans="1:14" ht="15">
      <c r="A2776" s="12"/>
      <c r="B2776" s="33" t="s">
        <v>286</v>
      </c>
      <c r="C2776" s="92" t="s">
        <v>882</v>
      </c>
      <c r="D2776" s="33" t="s">
        <v>412</v>
      </c>
      <c r="E2776" s="34">
        <v>45544</v>
      </c>
      <c r="F2776" s="34">
        <v>45545</v>
      </c>
      <c r="G2776" s="34">
        <v>45548</v>
      </c>
      <c r="H2776" s="35"/>
      <c r="I2776" s="67">
        <v>0.16</v>
      </c>
      <c r="J2776" s="67">
        <v>0</v>
      </c>
      <c r="K2776" s="67">
        <v>0.16</v>
      </c>
      <c r="L2776" s="36">
        <f>+K2776-((K2776*0.262*0.125)+(K2776*(1-0.262)*0.26))</f>
        <v>0.12405920000000001</v>
      </c>
      <c r="M2776" s="64">
        <f t="shared" si="83"/>
        <v>0.12405920000000001</v>
      </c>
      <c r="N2776" s="33" t="s">
        <v>288</v>
      </c>
    </row>
    <row r="2777" spans="1:14" ht="15">
      <c r="A2777" s="12"/>
      <c r="B2777" s="33" t="s">
        <v>277</v>
      </c>
      <c r="C2777" s="92" t="s">
        <v>468</v>
      </c>
      <c r="D2777" s="33" t="s">
        <v>412</v>
      </c>
      <c r="E2777" s="34">
        <v>45544</v>
      </c>
      <c r="F2777" s="34">
        <v>45545</v>
      </c>
      <c r="G2777" s="34">
        <v>45548</v>
      </c>
      <c r="H2777" s="35"/>
      <c r="I2777" s="67">
        <v>0.35</v>
      </c>
      <c r="J2777" s="67">
        <v>0</v>
      </c>
      <c r="K2777" s="67">
        <v>0.35</v>
      </c>
      <c r="L2777" s="36">
        <f>+K2777-((K2777*0.107*0.125)+(K2777*(1-0.107)*0.26))</f>
        <v>0.26405574999999998</v>
      </c>
      <c r="M2777" s="64">
        <f t="shared" si="83"/>
        <v>0.26405574999999998</v>
      </c>
      <c r="N2777" s="33" t="s">
        <v>288</v>
      </c>
    </row>
    <row r="2778" spans="1:14" ht="15">
      <c r="A2778" s="12"/>
      <c r="B2778" s="33" t="s">
        <v>278</v>
      </c>
      <c r="C2778" s="92" t="s">
        <v>469</v>
      </c>
      <c r="D2778" s="33" t="s">
        <v>412</v>
      </c>
      <c r="E2778" s="34">
        <v>45544</v>
      </c>
      <c r="F2778" s="34">
        <v>45545</v>
      </c>
      <c r="G2778" s="34">
        <v>45548</v>
      </c>
      <c r="H2778" s="35"/>
      <c r="I2778" s="67">
        <v>0.33</v>
      </c>
      <c r="J2778" s="67">
        <v>0</v>
      </c>
      <c r="K2778" s="67">
        <v>0.33</v>
      </c>
      <c r="L2778" s="36">
        <f>+K2778-((K2778*0.107*0.125)+(K2778*(1-0.107)*0.26))</f>
        <v>0.24896685000000002</v>
      </c>
      <c r="M2778" s="64">
        <f t="shared" si="83"/>
        <v>0.24896685000000002</v>
      </c>
      <c r="N2778" s="33" t="s">
        <v>288</v>
      </c>
    </row>
    <row r="2779" spans="1:14" ht="15">
      <c r="A2779" s="12"/>
      <c r="B2779" s="33" t="s">
        <v>279</v>
      </c>
      <c r="C2779" s="92" t="s">
        <v>470</v>
      </c>
      <c r="D2779" s="33" t="s">
        <v>412</v>
      </c>
      <c r="E2779" s="34">
        <v>45544</v>
      </c>
      <c r="F2779" s="34">
        <v>45545</v>
      </c>
      <c r="G2779" s="34">
        <v>45548</v>
      </c>
      <c r="H2779" s="35"/>
      <c r="I2779" s="67">
        <v>0.37</v>
      </c>
      <c r="J2779" s="67">
        <v>0</v>
      </c>
      <c r="K2779" s="67">
        <v>0.37</v>
      </c>
      <c r="L2779" s="36">
        <f>+K2779-((K2779*0.107*0.125)+(K2779*(1-0.107)*0.26))</f>
        <v>0.27914464999999999</v>
      </c>
      <c r="M2779" s="64">
        <f t="shared" si="83"/>
        <v>0.27914464999999999</v>
      </c>
      <c r="N2779" s="33" t="s">
        <v>288</v>
      </c>
    </row>
    <row r="2780" spans="1:14" ht="15">
      <c r="A2780" s="12"/>
      <c r="B2780" s="33" t="s">
        <v>174</v>
      </c>
      <c r="C2780" s="92" t="s">
        <v>382</v>
      </c>
      <c r="D2780" s="33" t="s">
        <v>410</v>
      </c>
      <c r="E2780" s="34">
        <v>45562</v>
      </c>
      <c r="F2780" s="34">
        <v>45565</v>
      </c>
      <c r="G2780" s="34">
        <v>45568</v>
      </c>
      <c r="H2780" s="35"/>
      <c r="I2780" s="67">
        <v>3.8377000000000001E-2</v>
      </c>
      <c r="J2780" s="67">
        <v>0</v>
      </c>
      <c r="K2780" s="67">
        <v>3.837695E-2</v>
      </c>
      <c r="L2780" s="36">
        <f>+K2780-((K2780*0.0255*0.125)+(K2780*(1-0.0255)*0.26))</f>
        <v>2.8531055650375E-2</v>
      </c>
      <c r="M2780" s="64">
        <f t="shared" si="83"/>
        <v>2.8531055650375E-2</v>
      </c>
      <c r="N2780" s="33" t="s">
        <v>247</v>
      </c>
    </row>
    <row r="2781" spans="1:14" ht="15">
      <c r="A2781" s="12"/>
      <c r="B2781" s="33" t="s">
        <v>176</v>
      </c>
      <c r="C2781" s="92" t="s">
        <v>877</v>
      </c>
      <c r="D2781" s="33" t="s">
        <v>410</v>
      </c>
      <c r="E2781" s="34">
        <v>45562</v>
      </c>
      <c r="F2781" s="34">
        <v>45565</v>
      </c>
      <c r="G2781" s="34">
        <v>45568</v>
      </c>
      <c r="H2781" s="35"/>
      <c r="I2781" s="67">
        <v>4.138E-2</v>
      </c>
      <c r="J2781" s="67">
        <v>0</v>
      </c>
      <c r="K2781" s="67">
        <v>4.1379859999999997E-2</v>
      </c>
      <c r="L2781" s="36">
        <f>+K2781-((K2781*0.262*0.125)+(K2781*(1-0.262)*0.26))</f>
        <v>3.2084702048199999E-2</v>
      </c>
      <c r="M2781" s="64">
        <f t="shared" si="83"/>
        <v>3.2084702048199999E-2</v>
      </c>
      <c r="N2781" s="33" t="s">
        <v>247</v>
      </c>
    </row>
    <row r="2782" spans="1:14" ht="15">
      <c r="A2782" s="12"/>
      <c r="B2782" s="33" t="s">
        <v>175</v>
      </c>
      <c r="C2782" s="92" t="s">
        <v>465</v>
      </c>
      <c r="D2782" s="33" t="s">
        <v>410</v>
      </c>
      <c r="E2782" s="34">
        <v>45562</v>
      </c>
      <c r="F2782" s="34">
        <v>45565</v>
      </c>
      <c r="G2782" s="34">
        <v>45568</v>
      </c>
      <c r="H2782" s="35"/>
      <c r="I2782" s="67">
        <v>7.0671999999999999E-2</v>
      </c>
      <c r="J2782" s="67">
        <v>0</v>
      </c>
      <c r="K2782" s="67">
        <v>7.0672100000000002E-2</v>
      </c>
      <c r="L2782" s="36">
        <f>+K2782-((K2782*0.107*0.125)+(K2782*(1-0.107)*0.26))</f>
        <v>5.3318212484499999E-2</v>
      </c>
      <c r="M2782" s="64">
        <f t="shared" si="83"/>
        <v>5.3318212484499999E-2</v>
      </c>
      <c r="N2782" s="33" t="s">
        <v>247</v>
      </c>
    </row>
    <row r="2783" spans="1:14" ht="15">
      <c r="A2783" s="12"/>
      <c r="B2783" s="33" t="s">
        <v>310</v>
      </c>
      <c r="C2783" s="92" t="s">
        <v>719</v>
      </c>
      <c r="D2783" s="33" t="s">
        <v>411</v>
      </c>
      <c r="E2783" s="34">
        <v>45565</v>
      </c>
      <c r="F2783" s="34">
        <v>45566</v>
      </c>
      <c r="G2783" s="34">
        <v>45569</v>
      </c>
      <c r="H2783" s="35">
        <v>0.05</v>
      </c>
      <c r="I2783" s="67">
        <v>1.43E-2</v>
      </c>
      <c r="J2783" s="67">
        <v>0</v>
      </c>
      <c r="K2783" s="67">
        <v>1.43E-2</v>
      </c>
      <c r="L2783" s="36">
        <f>+K2783-((K2783*0.0445*0.125)+(K2783*(1-0.0445)*0.26))</f>
        <v>1.0667907250000001E-2</v>
      </c>
      <c r="M2783" s="64">
        <f t="shared" si="83"/>
        <v>1.0667907250000001E-2</v>
      </c>
      <c r="N2783" s="33" t="s">
        <v>718</v>
      </c>
    </row>
    <row r="2784" spans="1:14" ht="15">
      <c r="A2784" s="12"/>
      <c r="B2784" s="33" t="s">
        <v>188</v>
      </c>
      <c r="C2784" s="92" t="s">
        <v>720</v>
      </c>
      <c r="D2784" s="33" t="s">
        <v>411</v>
      </c>
      <c r="E2784" s="34">
        <v>45565</v>
      </c>
      <c r="F2784" s="34">
        <v>45566</v>
      </c>
      <c r="G2784" s="34">
        <v>45569</v>
      </c>
      <c r="H2784" s="35">
        <v>0.05</v>
      </c>
      <c r="I2784" s="67">
        <v>0.24859999999999999</v>
      </c>
      <c r="J2784" s="67">
        <v>0</v>
      </c>
      <c r="K2784" s="67">
        <v>0.24859999999999999</v>
      </c>
      <c r="L2784" s="36">
        <f>+K2784-((K2784*0.0445*0.125)+(K2784*(1-0.0445)*0.26))</f>
        <v>0.1854574645</v>
      </c>
      <c r="M2784" s="64">
        <f t="shared" si="83"/>
        <v>0.1854574645</v>
      </c>
      <c r="N2784" s="33" t="s">
        <v>718</v>
      </c>
    </row>
    <row r="2785" spans="1:14" ht="15">
      <c r="A2785" s="12"/>
      <c r="B2785" s="33" t="s">
        <v>196</v>
      </c>
      <c r="C2785" s="92" t="s">
        <v>721</v>
      </c>
      <c r="D2785" s="33" t="s">
        <v>411</v>
      </c>
      <c r="E2785" s="34">
        <v>45565</v>
      </c>
      <c r="F2785" s="34">
        <v>45566</v>
      </c>
      <c r="G2785" s="34">
        <v>45569</v>
      </c>
      <c r="H2785" s="35">
        <v>0.05</v>
      </c>
      <c r="I2785" s="67">
        <v>0.26240000000000002</v>
      </c>
      <c r="J2785" s="67">
        <v>0</v>
      </c>
      <c r="K2785" s="67">
        <v>0.26240000000000002</v>
      </c>
      <c r="L2785" s="36">
        <f>+K2785-((K2785*0.0445*0.125)+(K2785*(1-0.0445)*0.26))</f>
        <v>0.19575236800000001</v>
      </c>
      <c r="M2785" s="64">
        <f t="shared" si="83"/>
        <v>0.19575236800000001</v>
      </c>
      <c r="N2785" s="33" t="s">
        <v>718</v>
      </c>
    </row>
    <row r="2786" spans="1:14" ht="15">
      <c r="A2786" s="12"/>
      <c r="B2786" s="33" t="s">
        <v>191</v>
      </c>
      <c r="C2786" s="92" t="s">
        <v>722</v>
      </c>
      <c r="D2786" s="33" t="s">
        <v>411</v>
      </c>
      <c r="E2786" s="34">
        <v>45565</v>
      </c>
      <c r="F2786" s="34">
        <v>45566</v>
      </c>
      <c r="G2786" s="34">
        <v>45569</v>
      </c>
      <c r="H2786" s="35">
        <v>0.05</v>
      </c>
      <c r="I2786" s="67">
        <v>1.5100000000000001E-2</v>
      </c>
      <c r="J2786" s="67">
        <v>0</v>
      </c>
      <c r="K2786" s="67">
        <v>1.5100000000000001E-2</v>
      </c>
      <c r="L2786" s="36">
        <f>+K2786-((K2786*0.8545*0.125)+(K2786*(1-0.8545)*0.26))</f>
        <v>1.291589825E-2</v>
      </c>
      <c r="M2786" s="64">
        <f t="shared" si="83"/>
        <v>1.291589825E-2</v>
      </c>
      <c r="N2786" s="33" t="s">
        <v>718</v>
      </c>
    </row>
    <row r="2787" spans="1:14" ht="15">
      <c r="A2787" s="12"/>
      <c r="B2787" s="33" t="s">
        <v>199</v>
      </c>
      <c r="C2787" s="92" t="s">
        <v>723</v>
      </c>
      <c r="D2787" s="33" t="s">
        <v>411</v>
      </c>
      <c r="E2787" s="34">
        <v>45565</v>
      </c>
      <c r="F2787" s="34">
        <v>45566</v>
      </c>
      <c r="G2787" s="34">
        <v>45569</v>
      </c>
      <c r="H2787" s="35">
        <v>0.05</v>
      </c>
      <c r="I2787" s="67">
        <v>1.52E-2</v>
      </c>
      <c r="J2787" s="67">
        <v>0</v>
      </c>
      <c r="K2787" s="67">
        <v>1.52E-2</v>
      </c>
      <c r="L2787" s="36">
        <f>+K2787-((K2787*0.8545*0.125)+(K2787*(1-0.8545)*0.26))</f>
        <v>1.3001433999999999E-2</v>
      </c>
      <c r="M2787" s="64">
        <f t="shared" si="83"/>
        <v>1.3001433999999999E-2</v>
      </c>
      <c r="N2787" s="33" t="s">
        <v>718</v>
      </c>
    </row>
    <row r="2788" spans="1:14" ht="15">
      <c r="A2788" s="12"/>
      <c r="B2788" s="33" t="s">
        <v>306</v>
      </c>
      <c r="C2788" s="92" t="s">
        <v>724</v>
      </c>
      <c r="D2788" s="33" t="s">
        <v>411</v>
      </c>
      <c r="E2788" s="34">
        <v>45565</v>
      </c>
      <c r="F2788" s="34">
        <v>45566</v>
      </c>
      <c r="G2788" s="34">
        <v>45569</v>
      </c>
      <c r="H2788" s="35">
        <v>7.0000000000000007E-2</v>
      </c>
      <c r="I2788" s="67">
        <v>2.4899999999999999E-2</v>
      </c>
      <c r="J2788" s="67">
        <v>0</v>
      </c>
      <c r="K2788" s="67">
        <v>2.4899999999999999E-2</v>
      </c>
      <c r="L2788" s="36">
        <f>+K2788-((K2788*0.0015*0.125)+(K2788*(1-0.0015)*0.26))</f>
        <v>1.8431042249999998E-2</v>
      </c>
      <c r="M2788" s="64">
        <f t="shared" si="83"/>
        <v>1.8431042249999998E-2</v>
      </c>
      <c r="N2788" s="33" t="s">
        <v>718</v>
      </c>
    </row>
    <row r="2789" spans="1:14" ht="15">
      <c r="A2789" s="12"/>
      <c r="B2789" s="33" t="s">
        <v>184</v>
      </c>
      <c r="C2789" s="92" t="s">
        <v>725</v>
      </c>
      <c r="D2789" s="33" t="s">
        <v>411</v>
      </c>
      <c r="E2789" s="34">
        <v>45565</v>
      </c>
      <c r="F2789" s="34">
        <v>45566</v>
      </c>
      <c r="G2789" s="34">
        <v>45569</v>
      </c>
      <c r="H2789" s="35">
        <v>7.0000000000000007E-2</v>
      </c>
      <c r="I2789" s="67">
        <v>0.49859999999999999</v>
      </c>
      <c r="J2789" s="67">
        <v>0</v>
      </c>
      <c r="K2789" s="67">
        <v>0.49859999999999999</v>
      </c>
      <c r="L2789" s="36">
        <f>+K2789-((K2789*0.0015*0.125)+(K2789*(1-0.0015)*0.26))</f>
        <v>0.36906496649999998</v>
      </c>
      <c r="M2789" s="64">
        <f t="shared" si="83"/>
        <v>0.36906496649999998</v>
      </c>
      <c r="N2789" s="33" t="s">
        <v>718</v>
      </c>
    </row>
    <row r="2790" spans="1:14" ht="15">
      <c r="A2790" s="12"/>
      <c r="B2790" s="33" t="s">
        <v>192</v>
      </c>
      <c r="C2790" s="92" t="s">
        <v>726</v>
      </c>
      <c r="D2790" s="33" t="s">
        <v>411</v>
      </c>
      <c r="E2790" s="34">
        <v>45565</v>
      </c>
      <c r="F2790" s="34">
        <v>45566</v>
      </c>
      <c r="G2790" s="34">
        <v>45569</v>
      </c>
      <c r="H2790" s="35">
        <v>7.0000000000000007E-2</v>
      </c>
      <c r="I2790" s="67">
        <v>0.51080000000000003</v>
      </c>
      <c r="J2790" s="67">
        <v>0</v>
      </c>
      <c r="K2790" s="67">
        <v>0.51080000000000003</v>
      </c>
      <c r="L2790" s="36">
        <f>+K2790-((K2790*0.0015*0.125)+(K2790*(1-0.0015)*0.26))</f>
        <v>0.37809543700000003</v>
      </c>
      <c r="M2790" s="64">
        <f t="shared" si="83"/>
        <v>0.37809543700000003</v>
      </c>
      <c r="N2790" s="33" t="s">
        <v>718</v>
      </c>
    </row>
    <row r="2791" spans="1:14" ht="15">
      <c r="A2791" s="12"/>
      <c r="B2791" s="33" t="s">
        <v>311</v>
      </c>
      <c r="C2791" s="92" t="s">
        <v>727</v>
      </c>
      <c r="D2791" s="33" t="s">
        <v>411</v>
      </c>
      <c r="E2791" s="34">
        <v>45565</v>
      </c>
      <c r="F2791" s="34">
        <v>45566</v>
      </c>
      <c r="G2791" s="34">
        <v>45569</v>
      </c>
      <c r="H2791" s="35">
        <v>0.06</v>
      </c>
      <c r="I2791" s="67">
        <v>2.3199999999999998E-2</v>
      </c>
      <c r="J2791" s="67">
        <v>0</v>
      </c>
      <c r="K2791" s="67">
        <v>2.3199999999999998E-2</v>
      </c>
      <c r="L2791" s="36">
        <f>+K2791-((K2791*0.001*0.125)+(K2791*(1-0.001)*0.26))</f>
        <v>1.7171131999999999E-2</v>
      </c>
      <c r="M2791" s="64">
        <f t="shared" si="83"/>
        <v>1.7171131999999999E-2</v>
      </c>
      <c r="N2791" s="33" t="s">
        <v>718</v>
      </c>
    </row>
    <row r="2792" spans="1:14" ht="15">
      <c r="A2792" s="12"/>
      <c r="B2792" s="33" t="s">
        <v>189</v>
      </c>
      <c r="C2792" s="92" t="s">
        <v>728</v>
      </c>
      <c r="D2792" s="33" t="s">
        <v>411</v>
      </c>
      <c r="E2792" s="34">
        <v>45565</v>
      </c>
      <c r="F2792" s="34">
        <v>45566</v>
      </c>
      <c r="G2792" s="34">
        <v>45569</v>
      </c>
      <c r="H2792" s="35">
        <v>0.06</v>
      </c>
      <c r="I2792" s="67">
        <v>0.4229</v>
      </c>
      <c r="J2792" s="67">
        <v>0</v>
      </c>
      <c r="K2792" s="67">
        <v>0.4229</v>
      </c>
      <c r="L2792" s="36">
        <f>+K2792-((K2792*0.001*0.125)+(K2792*(1-0.001)*0.26))</f>
        <v>0.3130030915</v>
      </c>
      <c r="M2792" s="64">
        <f t="shared" si="83"/>
        <v>0.3130030915</v>
      </c>
      <c r="N2792" s="33" t="s">
        <v>718</v>
      </c>
    </row>
    <row r="2793" spans="1:14" ht="15">
      <c r="A2793" s="12"/>
      <c r="B2793" s="33" t="s">
        <v>197</v>
      </c>
      <c r="C2793" s="92" t="s">
        <v>729</v>
      </c>
      <c r="D2793" s="33" t="s">
        <v>411</v>
      </c>
      <c r="E2793" s="34">
        <v>45565</v>
      </c>
      <c r="F2793" s="34">
        <v>45566</v>
      </c>
      <c r="G2793" s="34">
        <v>45569</v>
      </c>
      <c r="H2793" s="35">
        <v>0.06</v>
      </c>
      <c r="I2793" s="67">
        <v>0.43669999999999998</v>
      </c>
      <c r="J2793" s="67">
        <v>0</v>
      </c>
      <c r="K2793" s="67">
        <v>0.43669999999999998</v>
      </c>
      <c r="L2793" s="36">
        <f>+K2793-((K2793*0.001*0.125)+(K2793*(1-0.001)*0.26))</f>
        <v>0.32321695449999999</v>
      </c>
      <c r="M2793" s="64">
        <f t="shared" si="83"/>
        <v>0.32321695449999999</v>
      </c>
      <c r="N2793" s="33" t="s">
        <v>718</v>
      </c>
    </row>
    <row r="2794" spans="1:14" ht="15">
      <c r="A2794" s="12"/>
      <c r="B2794" s="33" t="s">
        <v>308</v>
      </c>
      <c r="C2794" s="92" t="s">
        <v>730</v>
      </c>
      <c r="D2794" s="33" t="s">
        <v>411</v>
      </c>
      <c r="E2794" s="34">
        <v>45565</v>
      </c>
      <c r="F2794" s="34">
        <v>45566</v>
      </c>
      <c r="G2794" s="34">
        <v>45569</v>
      </c>
      <c r="H2794" s="35">
        <v>0.05</v>
      </c>
      <c r="I2794" s="67">
        <v>1.7100000000000001E-2</v>
      </c>
      <c r="J2794" s="67">
        <v>0</v>
      </c>
      <c r="K2794" s="67">
        <v>1.7100000000000001E-2</v>
      </c>
      <c r="L2794" s="36">
        <f>+K2794-((K2794*0.5195*0.125)+(K2794*(1-0.5195)*0.26))</f>
        <v>1.385326575E-2</v>
      </c>
      <c r="M2794" s="64">
        <f t="shared" si="83"/>
        <v>1.385326575E-2</v>
      </c>
      <c r="N2794" s="33" t="s">
        <v>718</v>
      </c>
    </row>
    <row r="2795" spans="1:14" ht="15">
      <c r="A2795" s="12"/>
      <c r="B2795" s="33" t="s">
        <v>186</v>
      </c>
      <c r="C2795" s="92" t="s">
        <v>731</v>
      </c>
      <c r="D2795" s="33" t="s">
        <v>411</v>
      </c>
      <c r="E2795" s="34">
        <v>45565</v>
      </c>
      <c r="F2795" s="34">
        <v>45566</v>
      </c>
      <c r="G2795" s="34">
        <v>45569</v>
      </c>
      <c r="H2795" s="35">
        <v>0.05</v>
      </c>
      <c r="I2795" s="67">
        <v>0.3135</v>
      </c>
      <c r="J2795" s="67">
        <v>0</v>
      </c>
      <c r="K2795" s="67">
        <v>0.3135</v>
      </c>
      <c r="L2795" s="36">
        <f>+K2795-((K2795*0.5195*0.125)+(K2795*(1-0.5195)*0.26))</f>
        <v>0.25397653874999998</v>
      </c>
      <c r="M2795" s="64">
        <f t="shared" si="83"/>
        <v>0.25397653874999998</v>
      </c>
      <c r="N2795" s="33" t="s">
        <v>718</v>
      </c>
    </row>
    <row r="2796" spans="1:14" ht="15">
      <c r="A2796" s="12"/>
      <c r="B2796" s="33" t="s">
        <v>194</v>
      </c>
      <c r="C2796" s="92" t="s">
        <v>732</v>
      </c>
      <c r="D2796" s="33" t="s">
        <v>411</v>
      </c>
      <c r="E2796" s="34">
        <v>45565</v>
      </c>
      <c r="F2796" s="34">
        <v>45566</v>
      </c>
      <c r="G2796" s="34">
        <v>45569</v>
      </c>
      <c r="H2796" s="35">
        <v>0.05</v>
      </c>
      <c r="I2796" s="67">
        <v>0.32579999999999998</v>
      </c>
      <c r="J2796" s="67">
        <v>0</v>
      </c>
      <c r="K2796" s="67">
        <v>0.32579999999999998</v>
      </c>
      <c r="L2796" s="36">
        <f>+K2796-((K2796*0.5195*0.125)+(K2796*(1-0.5195)*0.26))</f>
        <v>0.26394116849999999</v>
      </c>
      <c r="M2796" s="64">
        <f t="shared" si="83"/>
        <v>0.26394116849999999</v>
      </c>
      <c r="N2796" s="33" t="s">
        <v>718</v>
      </c>
    </row>
    <row r="2797" spans="1:14" ht="15">
      <c r="A2797" s="12"/>
      <c r="B2797" s="33" t="s">
        <v>307</v>
      </c>
      <c r="C2797" s="92" t="s">
        <v>733</v>
      </c>
      <c r="D2797" s="33" t="s">
        <v>411</v>
      </c>
      <c r="E2797" s="34">
        <v>45565</v>
      </c>
      <c r="F2797" s="34">
        <v>45566</v>
      </c>
      <c r="G2797" s="34">
        <v>45569</v>
      </c>
      <c r="H2797" s="35">
        <v>0.04</v>
      </c>
      <c r="I2797" s="67">
        <v>1.2E-2</v>
      </c>
      <c r="J2797" s="67">
        <v>0</v>
      </c>
      <c r="K2797" s="67">
        <v>1.2E-2</v>
      </c>
      <c r="L2797" s="36">
        <f>+K2797-((K2797*0.6215*0.125)+(K2797*(1-0.6215)*0.26))</f>
        <v>9.8868299999999992E-3</v>
      </c>
      <c r="M2797" s="64">
        <f t="shared" si="83"/>
        <v>9.8868299999999992E-3</v>
      </c>
      <c r="N2797" s="33" t="s">
        <v>718</v>
      </c>
    </row>
    <row r="2798" spans="1:14" ht="15">
      <c r="A2798" s="12"/>
      <c r="B2798" s="33" t="s">
        <v>185</v>
      </c>
      <c r="C2798" s="92" t="s">
        <v>734</v>
      </c>
      <c r="D2798" s="33" t="s">
        <v>411</v>
      </c>
      <c r="E2798" s="34">
        <v>45565</v>
      </c>
      <c r="F2798" s="34">
        <v>45566</v>
      </c>
      <c r="G2798" s="34">
        <v>45569</v>
      </c>
      <c r="H2798" s="35">
        <v>0.04</v>
      </c>
      <c r="I2798" s="67">
        <v>0.19789999999999999</v>
      </c>
      <c r="J2798" s="67">
        <v>0</v>
      </c>
      <c r="K2798" s="67">
        <v>0.19789999999999999</v>
      </c>
      <c r="L2798" s="36">
        <f>+K2798-((K2798*0.6215*0.125)+(K2798*(1-0.6215)*0.26))</f>
        <v>0.16305030474999999</v>
      </c>
      <c r="M2798" s="64">
        <f t="shared" si="83"/>
        <v>0.16305030474999999</v>
      </c>
      <c r="N2798" s="33" t="s">
        <v>718</v>
      </c>
    </row>
    <row r="2799" spans="1:14" ht="15">
      <c r="A2799" s="12"/>
      <c r="B2799" s="33" t="s">
        <v>193</v>
      </c>
      <c r="C2799" s="92" t="s">
        <v>735</v>
      </c>
      <c r="D2799" s="33" t="s">
        <v>411</v>
      </c>
      <c r="E2799" s="34">
        <v>45565</v>
      </c>
      <c r="F2799" s="34">
        <v>45566</v>
      </c>
      <c r="G2799" s="34">
        <v>45569</v>
      </c>
      <c r="H2799" s="35">
        <v>0.04</v>
      </c>
      <c r="I2799" s="67">
        <v>0.1966</v>
      </c>
      <c r="J2799" s="67">
        <v>0</v>
      </c>
      <c r="K2799" s="67">
        <v>0.1966</v>
      </c>
      <c r="L2799" s="36">
        <f>+K2799-((K2799*0.6215*0.125)+(K2799*(1-0.6215)*0.26))</f>
        <v>0.16197923149999999</v>
      </c>
      <c r="M2799" s="64">
        <f t="shared" si="83"/>
        <v>0.16197923149999999</v>
      </c>
      <c r="N2799" s="33" t="s">
        <v>718</v>
      </c>
    </row>
    <row r="2800" spans="1:14" ht="15">
      <c r="A2800" s="12"/>
      <c r="B2800" s="33" t="s">
        <v>309</v>
      </c>
      <c r="C2800" s="92" t="s">
        <v>736</v>
      </c>
      <c r="D2800" s="33" t="s">
        <v>411</v>
      </c>
      <c r="E2800" s="34">
        <v>45565</v>
      </c>
      <c r="F2800" s="34">
        <v>45566</v>
      </c>
      <c r="G2800" s="34">
        <v>45569</v>
      </c>
      <c r="H2800" s="35">
        <v>5.5E-2</v>
      </c>
      <c r="I2800" s="67">
        <v>1.84E-2</v>
      </c>
      <c r="J2800" s="67">
        <v>0</v>
      </c>
      <c r="K2800" s="67">
        <v>1.84E-2</v>
      </c>
      <c r="L2800" s="36">
        <f>+K2800-((K2800*0.0515*0.125)+(K2800*(1-0.0515)*0.26))</f>
        <v>1.3743926E-2</v>
      </c>
      <c r="M2800" s="64">
        <f t="shared" si="83"/>
        <v>1.3743926E-2</v>
      </c>
      <c r="N2800" s="33" t="s">
        <v>718</v>
      </c>
    </row>
    <row r="2801" spans="1:14" ht="15">
      <c r="A2801" s="12"/>
      <c r="B2801" s="33" t="s">
        <v>187</v>
      </c>
      <c r="C2801" s="92" t="s">
        <v>737</v>
      </c>
      <c r="D2801" s="33" t="s">
        <v>411</v>
      </c>
      <c r="E2801" s="34">
        <v>45565</v>
      </c>
      <c r="F2801" s="34">
        <v>45566</v>
      </c>
      <c r="G2801" s="34">
        <v>45569</v>
      </c>
      <c r="H2801" s="35">
        <v>5.5E-2</v>
      </c>
      <c r="I2801" s="67">
        <v>0.3231</v>
      </c>
      <c r="J2801" s="67">
        <v>0</v>
      </c>
      <c r="K2801" s="67">
        <v>0.3231</v>
      </c>
      <c r="L2801" s="36">
        <f>+K2801-((K2801*0.0515*0.125)+(K2801*(1-0.0515)*0.26))</f>
        <v>0.24134035274999999</v>
      </c>
      <c r="M2801" s="64">
        <f t="shared" si="83"/>
        <v>0.24134035274999999</v>
      </c>
      <c r="N2801" s="33" t="s">
        <v>718</v>
      </c>
    </row>
    <row r="2802" spans="1:14" ht="15">
      <c r="A2802" s="12"/>
      <c r="B2802" s="33" t="s">
        <v>195</v>
      </c>
      <c r="C2802" s="92" t="s">
        <v>738</v>
      </c>
      <c r="D2802" s="33" t="s">
        <v>411</v>
      </c>
      <c r="E2802" s="34">
        <v>45565</v>
      </c>
      <c r="F2802" s="34">
        <v>45566</v>
      </c>
      <c r="G2802" s="34">
        <v>45569</v>
      </c>
      <c r="H2802" s="35">
        <v>5.5E-2</v>
      </c>
      <c r="I2802" s="67">
        <v>0.33889999999999998</v>
      </c>
      <c r="J2802" s="67">
        <v>0</v>
      </c>
      <c r="K2802" s="67">
        <v>0.33889999999999998</v>
      </c>
      <c r="L2802" s="36">
        <f>+K2802-((K2802*0.0515*0.125)+(K2802*(1-0.0515)*0.26))</f>
        <v>0.25314220224999995</v>
      </c>
      <c r="M2802" s="64">
        <f t="shared" si="83"/>
        <v>0.25314220224999995</v>
      </c>
      <c r="N2802" s="33" t="s">
        <v>718</v>
      </c>
    </row>
    <row r="2803" spans="1:14" ht="15">
      <c r="A2803" s="12"/>
      <c r="B2803" s="33" t="s">
        <v>312</v>
      </c>
      <c r="C2803" s="92" t="s">
        <v>739</v>
      </c>
      <c r="D2803" s="33" t="s">
        <v>411</v>
      </c>
      <c r="E2803" s="34">
        <v>45565</v>
      </c>
      <c r="F2803" s="34">
        <v>45566</v>
      </c>
      <c r="G2803" s="34">
        <v>45569</v>
      </c>
      <c r="H2803" s="35">
        <v>7.2499999999999995E-2</v>
      </c>
      <c r="I2803" s="67">
        <v>2.2499999999999999E-2</v>
      </c>
      <c r="J2803" s="67">
        <v>0</v>
      </c>
      <c r="K2803" s="67">
        <v>2.2499999999999999E-2</v>
      </c>
      <c r="L2803" s="36">
        <f>+K2803-((K2803*0.0000000000001*0.125)+(K2803*(1-0.0000000000001)*0.26))</f>
        <v>1.6650000000000303E-2</v>
      </c>
      <c r="M2803" s="64">
        <f t="shared" si="83"/>
        <v>1.6650000000000303E-2</v>
      </c>
      <c r="N2803" s="33" t="s">
        <v>718</v>
      </c>
    </row>
    <row r="2804" spans="1:14" ht="15">
      <c r="A2804" s="12"/>
      <c r="B2804" s="33" t="s">
        <v>190</v>
      </c>
      <c r="C2804" s="92" t="s">
        <v>740</v>
      </c>
      <c r="D2804" s="33" t="s">
        <v>411</v>
      </c>
      <c r="E2804" s="34">
        <v>45565</v>
      </c>
      <c r="F2804" s="34">
        <v>45566</v>
      </c>
      <c r="G2804" s="34">
        <v>45569</v>
      </c>
      <c r="H2804" s="35">
        <v>7.2499999999999995E-2</v>
      </c>
      <c r="I2804" s="67">
        <v>0.42409999999999998</v>
      </c>
      <c r="J2804" s="67">
        <v>0</v>
      </c>
      <c r="K2804" s="67">
        <v>0.42409999999999998</v>
      </c>
      <c r="L2804" s="36">
        <f>+K2804-((K2804*0.0000000000001*0.125)+(K2804*(1-0.0000000000001)*0.26))</f>
        <v>0.31383400000000572</v>
      </c>
      <c r="M2804" s="64">
        <f t="shared" si="83"/>
        <v>0.31383400000000572</v>
      </c>
      <c r="N2804" s="33" t="s">
        <v>718</v>
      </c>
    </row>
    <row r="2805" spans="1:14" ht="15">
      <c r="A2805" s="12"/>
      <c r="B2805" s="33" t="s">
        <v>198</v>
      </c>
      <c r="C2805" s="92" t="s">
        <v>741</v>
      </c>
      <c r="D2805" s="33" t="s">
        <v>411</v>
      </c>
      <c r="E2805" s="34">
        <v>45565</v>
      </c>
      <c r="F2805" s="34">
        <v>45566</v>
      </c>
      <c r="G2805" s="34">
        <v>45569</v>
      </c>
      <c r="H2805" s="35">
        <v>7.2499999999999995E-2</v>
      </c>
      <c r="I2805" s="67">
        <v>0.43080000000000002</v>
      </c>
      <c r="J2805" s="67">
        <v>0</v>
      </c>
      <c r="K2805" s="67">
        <v>0.43080000000000002</v>
      </c>
      <c r="L2805" s="36">
        <f>+K2805-((K2805*0.0000000000001*0.125)+(K2805*(1-0.0000000000001)*0.26))</f>
        <v>0.31879200000000585</v>
      </c>
      <c r="M2805" s="64">
        <f t="shared" si="83"/>
        <v>0.31879200000000585</v>
      </c>
      <c r="N2805" s="33" t="s">
        <v>718</v>
      </c>
    </row>
    <row r="2806" spans="1:14" ht="15">
      <c r="A2806" s="12"/>
      <c r="B2806" s="33" t="s">
        <v>313</v>
      </c>
      <c r="C2806" s="92" t="s">
        <v>884</v>
      </c>
      <c r="D2806" s="33" t="s">
        <v>411</v>
      </c>
      <c r="E2806" s="34">
        <v>45565</v>
      </c>
      <c r="F2806" s="34">
        <v>45566</v>
      </c>
      <c r="G2806" s="34">
        <v>45569</v>
      </c>
      <c r="H2806" s="35">
        <v>4.7500000000000001E-2</v>
      </c>
      <c r="I2806" s="67">
        <v>1.61E-2</v>
      </c>
      <c r="J2806" s="67">
        <v>0</v>
      </c>
      <c r="K2806" s="67">
        <v>1.61E-2</v>
      </c>
      <c r="L2806" s="36">
        <f>+K2806-((K2806*0.314*0.125)+(K2806*(1-0.314)*0.26))</f>
        <v>1.2596479000000001E-2</v>
      </c>
      <c r="M2806" s="64">
        <f t="shared" si="83"/>
        <v>1.2596479000000001E-2</v>
      </c>
      <c r="N2806" s="33" t="s">
        <v>718</v>
      </c>
    </row>
    <row r="2807" spans="1:14" ht="15">
      <c r="A2807" s="12"/>
      <c r="B2807" s="33" t="s">
        <v>298</v>
      </c>
      <c r="C2807" s="92" t="s">
        <v>403</v>
      </c>
      <c r="D2807" s="33" t="s">
        <v>410</v>
      </c>
      <c r="E2807" s="34">
        <v>45565</v>
      </c>
      <c r="F2807" s="34">
        <v>45566</v>
      </c>
      <c r="G2807" s="34">
        <v>45569</v>
      </c>
      <c r="H2807" s="35">
        <v>0.05</v>
      </c>
      <c r="I2807" s="67">
        <v>4.82E-2</v>
      </c>
      <c r="J2807" s="67">
        <v>7.1521686128029009E-3</v>
      </c>
      <c r="K2807" s="67">
        <v>4.1047831387197101E-2</v>
      </c>
      <c r="L2807" s="36">
        <f>+K2807-((K2807*0.4935*0.125)+(K2807*(1-0.4935)*0.26))</f>
        <v>3.3110104373119391E-2</v>
      </c>
      <c r="M2807" s="64">
        <f t="shared" si="83"/>
        <v>4.026227298592229E-2</v>
      </c>
      <c r="N2807" s="33" t="s">
        <v>248</v>
      </c>
    </row>
    <row r="2808" spans="1:14" ht="15">
      <c r="A2808" s="12"/>
      <c r="B2808" s="33" t="s">
        <v>181</v>
      </c>
      <c r="C2808" s="92" t="s">
        <v>335</v>
      </c>
      <c r="D2808" s="33" t="s">
        <v>410</v>
      </c>
      <c r="E2808" s="34">
        <v>45565</v>
      </c>
      <c r="F2808" s="34">
        <v>45566</v>
      </c>
      <c r="G2808" s="34">
        <v>45569</v>
      </c>
      <c r="H2808" s="35">
        <v>0.05</v>
      </c>
      <c r="I2808" s="67">
        <v>0.8589</v>
      </c>
      <c r="J2808" s="67">
        <v>0.14709207332595292</v>
      </c>
      <c r="K2808" s="67">
        <v>0.71180792667404713</v>
      </c>
      <c r="L2808" s="36">
        <f>+K2808-((K2808*0.4935*0.125)+(K2808*(1-0.4935)*0.26))</f>
        <v>0.57416028933363661</v>
      </c>
      <c r="M2808" s="64">
        <f t="shared" si="83"/>
        <v>0.72125236265958947</v>
      </c>
      <c r="N2808" s="33" t="s">
        <v>248</v>
      </c>
    </row>
    <row r="2809" spans="1:14" ht="15">
      <c r="A2809" s="12"/>
      <c r="B2809" s="33" t="s">
        <v>201</v>
      </c>
      <c r="C2809" s="92" t="s">
        <v>336</v>
      </c>
      <c r="D2809" s="33" t="s">
        <v>410</v>
      </c>
      <c r="E2809" s="34">
        <v>45565</v>
      </c>
      <c r="F2809" s="34">
        <v>45566</v>
      </c>
      <c r="G2809" s="34">
        <v>45569</v>
      </c>
      <c r="H2809" s="35">
        <v>0.05</v>
      </c>
      <c r="I2809" s="67">
        <v>0.88009999999999999</v>
      </c>
      <c r="J2809" s="67">
        <v>7.3322980660474338E-2</v>
      </c>
      <c r="K2809" s="67">
        <v>0.80677701933952561</v>
      </c>
      <c r="L2809" s="36">
        <f>+K2809-((K2809*0.4935*0.125)+(K2809*(1-0.4935)*0.26))</f>
        <v>0.65076449628219657</v>
      </c>
      <c r="M2809" s="64">
        <f t="shared" ref="M2809:M2872" si="84">J2809+L2809</f>
        <v>0.72408747694267095</v>
      </c>
      <c r="N2809" s="33" t="s">
        <v>248</v>
      </c>
    </row>
    <row r="2810" spans="1:14" ht="15">
      <c r="A2810" s="12"/>
      <c r="B2810" s="33" t="s">
        <v>138</v>
      </c>
      <c r="C2810" s="92" t="s">
        <v>337</v>
      </c>
      <c r="D2810" s="33" t="s">
        <v>410</v>
      </c>
      <c r="E2810" s="34">
        <v>45565</v>
      </c>
      <c r="F2810" s="34">
        <v>45566</v>
      </c>
      <c r="G2810" s="34">
        <v>45569</v>
      </c>
      <c r="H2810" s="35">
        <v>0.05</v>
      </c>
      <c r="I2810" s="67">
        <v>6.2100000000000002E-2</v>
      </c>
      <c r="J2810" s="67">
        <v>0</v>
      </c>
      <c r="K2810" s="67">
        <v>6.2100000000000002E-2</v>
      </c>
      <c r="L2810" s="36">
        <f>+K2810-((K2810*0.363*0.125)+(K2810*(1-0.363)*0.26))</f>
        <v>4.8997210499999999E-2</v>
      </c>
      <c r="M2810" s="64">
        <f t="shared" si="84"/>
        <v>4.8997210499999999E-2</v>
      </c>
      <c r="N2810" s="33" t="s">
        <v>248</v>
      </c>
    </row>
    <row r="2811" spans="1:14" ht="15">
      <c r="A2811" s="12"/>
      <c r="B2811" s="33" t="s">
        <v>160</v>
      </c>
      <c r="C2811" s="92" t="s">
        <v>338</v>
      </c>
      <c r="D2811" s="33" t="s">
        <v>410</v>
      </c>
      <c r="E2811" s="34">
        <v>45565</v>
      </c>
      <c r="F2811" s="34">
        <v>45566</v>
      </c>
      <c r="G2811" s="34">
        <v>45569</v>
      </c>
      <c r="H2811" s="35">
        <v>0.05</v>
      </c>
      <c r="I2811" s="67">
        <v>6.0400000000000002E-2</v>
      </c>
      <c r="J2811" s="67">
        <v>0</v>
      </c>
      <c r="K2811" s="67">
        <v>6.0400000000000002E-2</v>
      </c>
      <c r="L2811" s="36">
        <f>+K2811-((K2811*0.363*0.125)+(K2811*(1-0.363)*0.26))</f>
        <v>4.7655902E-2</v>
      </c>
      <c r="M2811" s="64">
        <f t="shared" si="84"/>
        <v>4.7655902E-2</v>
      </c>
      <c r="N2811" s="33" t="s">
        <v>248</v>
      </c>
    </row>
    <row r="2812" spans="1:14" ht="15">
      <c r="A2812" s="12"/>
      <c r="B2812" s="33" t="s">
        <v>300</v>
      </c>
      <c r="C2812" s="92" t="s">
        <v>404</v>
      </c>
      <c r="D2812" s="33" t="s">
        <v>410</v>
      </c>
      <c r="E2812" s="34">
        <v>45565</v>
      </c>
      <c r="F2812" s="34">
        <v>45566</v>
      </c>
      <c r="G2812" s="34">
        <v>45569</v>
      </c>
      <c r="H2812" s="35">
        <v>0.05</v>
      </c>
      <c r="I2812" s="67">
        <v>4.7600000000000003E-2</v>
      </c>
      <c r="J2812" s="67">
        <v>0</v>
      </c>
      <c r="K2812" s="67">
        <v>4.7600000000000003E-2</v>
      </c>
      <c r="L2812" s="36">
        <f>+K2812-((K2812*0.363*0.125)+(K2812*(1-0.363)*0.26))</f>
        <v>3.7556638000000003E-2</v>
      </c>
      <c r="M2812" s="64">
        <f t="shared" si="84"/>
        <v>3.7556638000000003E-2</v>
      </c>
      <c r="N2812" s="33" t="s">
        <v>248</v>
      </c>
    </row>
    <row r="2813" spans="1:14" ht="15">
      <c r="A2813" s="12"/>
      <c r="B2813" s="33" t="s">
        <v>142</v>
      </c>
      <c r="C2813" s="92" t="s">
        <v>341</v>
      </c>
      <c r="D2813" s="33" t="s">
        <v>410</v>
      </c>
      <c r="E2813" s="34">
        <v>45565</v>
      </c>
      <c r="F2813" s="34">
        <v>45566</v>
      </c>
      <c r="G2813" s="34">
        <v>45569</v>
      </c>
      <c r="H2813" s="35">
        <v>5.7500000000000002E-2</v>
      </c>
      <c r="I2813" s="67">
        <v>7.5600000000000001E-2</v>
      </c>
      <c r="J2813" s="67">
        <v>0</v>
      </c>
      <c r="K2813" s="67">
        <v>7.5600000000000001E-2</v>
      </c>
      <c r="L2813" s="36">
        <f>+K2813-((K2813*0.0175*0.125)+(K2813*(1-0.0175)*0.26))</f>
        <v>5.6122604999999999E-2</v>
      </c>
      <c r="M2813" s="64">
        <f t="shared" si="84"/>
        <v>5.6122604999999999E-2</v>
      </c>
      <c r="N2813" s="33" t="s">
        <v>248</v>
      </c>
    </row>
    <row r="2814" spans="1:14" ht="15">
      <c r="A2814" s="12"/>
      <c r="B2814" s="33" t="s">
        <v>159</v>
      </c>
      <c r="C2814" s="92" t="s">
        <v>342</v>
      </c>
      <c r="D2814" s="33" t="s">
        <v>410</v>
      </c>
      <c r="E2814" s="34">
        <v>45565</v>
      </c>
      <c r="F2814" s="34">
        <v>45566</v>
      </c>
      <c r="G2814" s="34">
        <v>45569</v>
      </c>
      <c r="H2814" s="35">
        <v>5.7500000000000002E-2</v>
      </c>
      <c r="I2814" s="67">
        <v>7.3899999999999993E-2</v>
      </c>
      <c r="J2814" s="67">
        <v>0</v>
      </c>
      <c r="K2814" s="67">
        <v>7.3899999999999993E-2</v>
      </c>
      <c r="L2814" s="36">
        <f>+K2814-((K2814*0.0175*0.125)+(K2814*(1-0.0175)*0.26))</f>
        <v>5.4860588749999994E-2</v>
      </c>
      <c r="M2814" s="64">
        <f t="shared" si="84"/>
        <v>5.4860588749999994E-2</v>
      </c>
      <c r="N2814" s="33" t="s">
        <v>248</v>
      </c>
    </row>
    <row r="2815" spans="1:14" ht="15">
      <c r="A2815" s="12"/>
      <c r="B2815" s="33" t="s">
        <v>507</v>
      </c>
      <c r="C2815" s="92" t="s">
        <v>508</v>
      </c>
      <c r="D2815" s="33" t="s">
        <v>410</v>
      </c>
      <c r="E2815" s="34">
        <v>45565</v>
      </c>
      <c r="F2815" s="34">
        <v>45566</v>
      </c>
      <c r="G2815" s="34">
        <v>45569</v>
      </c>
      <c r="H2815" s="35">
        <v>5.7500000000000002E-2</v>
      </c>
      <c r="I2815" s="67">
        <v>5.9400000000000001E-2</v>
      </c>
      <c r="J2815" s="67">
        <v>0</v>
      </c>
      <c r="K2815" s="67">
        <v>5.9400000000000001E-2</v>
      </c>
      <c r="L2815" s="36">
        <f>+K2815-((K2815*0.0175*0.125)+(K2815*(1-0.0175)*0.26))</f>
        <v>4.4096332500000002E-2</v>
      </c>
      <c r="M2815" s="64">
        <f t="shared" si="84"/>
        <v>4.4096332500000002E-2</v>
      </c>
      <c r="N2815" s="33" t="s">
        <v>248</v>
      </c>
    </row>
    <row r="2816" spans="1:14" ht="15">
      <c r="A2816" s="12"/>
      <c r="B2816" s="33" t="s">
        <v>139</v>
      </c>
      <c r="C2816" s="92" t="s">
        <v>344</v>
      </c>
      <c r="D2816" s="33" t="s">
        <v>410</v>
      </c>
      <c r="E2816" s="34">
        <v>45565</v>
      </c>
      <c r="F2816" s="34">
        <v>45566</v>
      </c>
      <c r="G2816" s="34">
        <v>45569</v>
      </c>
      <c r="H2816" s="35">
        <v>0.05</v>
      </c>
      <c r="I2816" s="67">
        <v>4.9000000000000002E-2</v>
      </c>
      <c r="J2816" s="67">
        <v>0</v>
      </c>
      <c r="K2816" s="67">
        <v>4.9000000000000002E-2</v>
      </c>
      <c r="L2816" s="36">
        <f>+K2816-((K2816*0.8545*0.125)+(K2816*(1-0.8545)*0.26))</f>
        <v>4.1912517500000003E-2</v>
      </c>
      <c r="M2816" s="64">
        <f t="shared" si="84"/>
        <v>4.1912517500000003E-2</v>
      </c>
      <c r="N2816" s="33" t="s">
        <v>248</v>
      </c>
    </row>
    <row r="2817" spans="1:14" ht="15">
      <c r="A2817" s="12"/>
      <c r="B2817" s="33" t="s">
        <v>161</v>
      </c>
      <c r="C2817" s="92" t="s">
        <v>345</v>
      </c>
      <c r="D2817" s="33" t="s">
        <v>410</v>
      </c>
      <c r="E2817" s="34">
        <v>45565</v>
      </c>
      <c r="F2817" s="34">
        <v>45566</v>
      </c>
      <c r="G2817" s="34">
        <v>45569</v>
      </c>
      <c r="H2817" s="35">
        <v>0.05</v>
      </c>
      <c r="I2817" s="67">
        <v>4.8000000000000001E-2</v>
      </c>
      <c r="J2817" s="67">
        <v>0</v>
      </c>
      <c r="K2817" s="67">
        <v>4.8000000000000001E-2</v>
      </c>
      <c r="L2817" s="36">
        <f>+K2817-((K2817*0.8545*0.125)+(K2817*(1-0.8545)*0.26))</f>
        <v>4.1057160000000002E-2</v>
      </c>
      <c r="M2817" s="64">
        <f t="shared" si="84"/>
        <v>4.1057160000000002E-2</v>
      </c>
      <c r="N2817" s="33" t="s">
        <v>248</v>
      </c>
    </row>
    <row r="2818" spans="1:14" ht="15">
      <c r="A2818" s="12"/>
      <c r="B2818" s="33" t="s">
        <v>141</v>
      </c>
      <c r="C2818" s="92" t="s">
        <v>348</v>
      </c>
      <c r="D2818" s="33" t="s">
        <v>410</v>
      </c>
      <c r="E2818" s="34">
        <v>45565</v>
      </c>
      <c r="F2818" s="34">
        <v>45566</v>
      </c>
      <c r="G2818" s="34">
        <v>45569</v>
      </c>
      <c r="H2818" s="35">
        <v>0.05</v>
      </c>
      <c r="I2818" s="67">
        <v>4.4900000000000002E-2</v>
      </c>
      <c r="J2818" s="67">
        <v>0</v>
      </c>
      <c r="K2818" s="67">
        <v>4.4900000000000002E-2</v>
      </c>
      <c r="L2818" s="36">
        <f>+K2818-((K2818*0.0475*0.125)+(K2818*(1-0.0475)*0.26))</f>
        <v>3.3513921250000002E-2</v>
      </c>
      <c r="M2818" s="64">
        <f t="shared" si="84"/>
        <v>3.3513921250000002E-2</v>
      </c>
      <c r="N2818" s="33" t="s">
        <v>248</v>
      </c>
    </row>
    <row r="2819" spans="1:14" ht="15">
      <c r="A2819" s="12"/>
      <c r="B2819" s="33" t="s">
        <v>140</v>
      </c>
      <c r="C2819" s="92" t="s">
        <v>349</v>
      </c>
      <c r="D2819" s="33" t="s">
        <v>410</v>
      </c>
      <c r="E2819" s="34">
        <v>45565</v>
      </c>
      <c r="F2819" s="34">
        <v>45566</v>
      </c>
      <c r="G2819" s="34">
        <v>45569</v>
      </c>
      <c r="H2819" s="35">
        <v>0.05</v>
      </c>
      <c r="I2819" s="67">
        <v>5.3999999999999999E-2</v>
      </c>
      <c r="J2819" s="67">
        <v>0</v>
      </c>
      <c r="K2819" s="67">
        <v>5.3999999999999999E-2</v>
      </c>
      <c r="L2819" s="36">
        <f>+K2819-((K2819*0.0475*0.125)+(K2819*(1-0.0475)*0.26))</f>
        <v>4.0306275000000003E-2</v>
      </c>
      <c r="M2819" s="64">
        <f t="shared" si="84"/>
        <v>4.0306275000000003E-2</v>
      </c>
      <c r="N2819" s="33" t="s">
        <v>248</v>
      </c>
    </row>
    <row r="2820" spans="1:14" ht="15">
      <c r="A2820" s="12"/>
      <c r="B2820" s="33" t="s">
        <v>162</v>
      </c>
      <c r="C2820" s="92" t="s">
        <v>350</v>
      </c>
      <c r="D2820" s="33" t="s">
        <v>410</v>
      </c>
      <c r="E2820" s="34">
        <v>45565</v>
      </c>
      <c r="F2820" s="34">
        <v>45566</v>
      </c>
      <c r="G2820" s="34">
        <v>45569</v>
      </c>
      <c r="H2820" s="35">
        <v>0.05</v>
      </c>
      <c r="I2820" s="67">
        <v>5.2499999999999998E-2</v>
      </c>
      <c r="J2820" s="67">
        <v>0</v>
      </c>
      <c r="K2820" s="67">
        <v>5.2499999999999998E-2</v>
      </c>
      <c r="L2820" s="36">
        <f>+K2820-((K2820*0.0475*0.125)+(K2820*(1-0.0475)*0.26))</f>
        <v>3.9186656249999993E-2</v>
      </c>
      <c r="M2820" s="64">
        <f t="shared" si="84"/>
        <v>3.9186656249999993E-2</v>
      </c>
      <c r="N2820" s="33" t="s">
        <v>248</v>
      </c>
    </row>
    <row r="2821" spans="1:14" ht="15">
      <c r="A2821" s="12"/>
      <c r="B2821" s="33" t="s">
        <v>302</v>
      </c>
      <c r="C2821" s="92" t="s">
        <v>405</v>
      </c>
      <c r="D2821" s="33" t="s">
        <v>410</v>
      </c>
      <c r="E2821" s="34">
        <v>45565</v>
      </c>
      <c r="F2821" s="34">
        <v>45566</v>
      </c>
      <c r="G2821" s="34">
        <v>45569</v>
      </c>
      <c r="H2821" s="35">
        <v>0.05</v>
      </c>
      <c r="I2821" s="67">
        <v>4.6399999999999997E-2</v>
      </c>
      <c r="J2821" s="67">
        <v>0</v>
      </c>
      <c r="K2821" s="67">
        <v>4.6399999999999997E-2</v>
      </c>
      <c r="L2821" s="36">
        <f>+K2821-((K2821*0.0475*0.125)+(K2821*(1-0.0475)*0.26))</f>
        <v>3.4633539999999997E-2</v>
      </c>
      <c r="M2821" s="64">
        <f t="shared" si="84"/>
        <v>3.4633539999999997E-2</v>
      </c>
      <c r="N2821" s="33" t="s">
        <v>248</v>
      </c>
    </row>
    <row r="2822" spans="1:14" ht="15">
      <c r="A2822" s="12"/>
      <c r="B2822" s="33" t="s">
        <v>303</v>
      </c>
      <c r="C2822" s="92" t="s">
        <v>406</v>
      </c>
      <c r="D2822" s="33" t="s">
        <v>410</v>
      </c>
      <c r="E2822" s="34">
        <v>45565</v>
      </c>
      <c r="F2822" s="34">
        <v>45566</v>
      </c>
      <c r="G2822" s="34">
        <v>45569</v>
      </c>
      <c r="H2822" s="35">
        <v>0.05</v>
      </c>
      <c r="I2822" s="67">
        <v>5.0299999999999997E-2</v>
      </c>
      <c r="J2822" s="67">
        <v>0</v>
      </c>
      <c r="K2822" s="67">
        <v>5.0299999999999997E-2</v>
      </c>
      <c r="L2822" s="36">
        <f>+K2822-((K2822*0.0475*0.125)+(K2822*(1-0.0475)*0.26))</f>
        <v>3.7544548749999997E-2</v>
      </c>
      <c r="M2822" s="64">
        <f t="shared" si="84"/>
        <v>3.7544548749999997E-2</v>
      </c>
      <c r="N2822" s="33" t="s">
        <v>248</v>
      </c>
    </row>
    <row r="2823" spans="1:14" ht="15">
      <c r="A2823" s="12"/>
      <c r="B2823" s="33" t="s">
        <v>143</v>
      </c>
      <c r="C2823" s="92" t="s">
        <v>351</v>
      </c>
      <c r="D2823" s="33" t="s">
        <v>410</v>
      </c>
      <c r="E2823" s="34">
        <v>45565</v>
      </c>
      <c r="F2823" s="34">
        <v>45566</v>
      </c>
      <c r="G2823" s="34">
        <v>45569</v>
      </c>
      <c r="H2823" s="35">
        <v>0.03</v>
      </c>
      <c r="I2823" s="67">
        <v>3.2899999999999999E-2</v>
      </c>
      <c r="J2823" s="67">
        <v>1.050404770341848E-2</v>
      </c>
      <c r="K2823" s="67">
        <v>2.239595229658152E-2</v>
      </c>
      <c r="L2823" s="36">
        <f>+K2823-((K2823*0.449*0.125)+(K2823*(1-0.449)*0.26))</f>
        <v>1.7930535347927615E-2</v>
      </c>
      <c r="M2823" s="64">
        <f t="shared" si="84"/>
        <v>2.8434583051346093E-2</v>
      </c>
      <c r="N2823" s="33" t="s">
        <v>248</v>
      </c>
    </row>
    <row r="2824" spans="1:14" ht="15">
      <c r="A2824" s="12"/>
      <c r="B2824" s="33" t="s">
        <v>145</v>
      </c>
      <c r="C2824" s="92" t="s">
        <v>889</v>
      </c>
      <c r="D2824" s="33" t="s">
        <v>410</v>
      </c>
      <c r="E2824" s="34">
        <v>45565</v>
      </c>
      <c r="F2824" s="34">
        <v>45566</v>
      </c>
      <c r="G2824" s="34">
        <v>45569</v>
      </c>
      <c r="H2824" s="35">
        <v>0.04</v>
      </c>
      <c r="I2824" s="67">
        <v>4.53E-2</v>
      </c>
      <c r="J2824" s="67">
        <v>7.6371164767705807E-3</v>
      </c>
      <c r="K2824" s="67">
        <v>3.7662883523229419E-2</v>
      </c>
      <c r="L2824" s="36">
        <f>+K2824-((K2824*0.0275*0.125)+(K2824*(1-0.0275)*0.26))</f>
        <v>2.8010357262269761E-2</v>
      </c>
      <c r="M2824" s="64">
        <f t="shared" si="84"/>
        <v>3.5647473739040342E-2</v>
      </c>
      <c r="N2824" s="33" t="s">
        <v>248</v>
      </c>
    </row>
    <row r="2825" spans="1:14" ht="15">
      <c r="A2825" s="12"/>
      <c r="B2825" s="33" t="s">
        <v>144</v>
      </c>
      <c r="C2825" s="92" t="s">
        <v>986</v>
      </c>
      <c r="D2825" s="33" t="s">
        <v>410</v>
      </c>
      <c r="E2825" s="34">
        <v>45565</v>
      </c>
      <c r="F2825" s="34">
        <v>45566</v>
      </c>
      <c r="G2825" s="34">
        <v>45569</v>
      </c>
      <c r="H2825" s="35">
        <v>0.03</v>
      </c>
      <c r="I2825" s="67">
        <v>3.2500000000000001E-2</v>
      </c>
      <c r="J2825" s="67">
        <v>1.4442906057182042E-2</v>
      </c>
      <c r="K2825" s="67">
        <v>1.8057093942817959E-2</v>
      </c>
      <c r="L2825" s="36">
        <f>+K2825-((K2825*0.7185*0.125)+(K2825*(1-0.7185)*0.26))</f>
        <v>1.5113742487403775E-2</v>
      </c>
      <c r="M2825" s="64">
        <f t="shared" si="84"/>
        <v>2.9556648544585819E-2</v>
      </c>
      <c r="N2825" s="33" t="s">
        <v>248</v>
      </c>
    </row>
    <row r="2826" spans="1:14" ht="15">
      <c r="A2826" s="12"/>
      <c r="B2826" s="33" t="s">
        <v>148</v>
      </c>
      <c r="C2826" s="92" t="s">
        <v>362</v>
      </c>
      <c r="D2826" s="33" t="s">
        <v>410</v>
      </c>
      <c r="E2826" s="34">
        <v>45565</v>
      </c>
      <c r="F2826" s="34">
        <v>45566</v>
      </c>
      <c r="G2826" s="34">
        <v>45569</v>
      </c>
      <c r="H2826" s="35">
        <v>0.05</v>
      </c>
      <c r="I2826" s="67">
        <v>6.1699999999999998E-2</v>
      </c>
      <c r="J2826" s="67">
        <v>2.6181981214022577E-2</v>
      </c>
      <c r="K2826" s="67">
        <v>3.551801878597742E-2</v>
      </c>
      <c r="L2826" s="36">
        <f>+K2826-((K2826*0.5195*0.125)+(K2826*(1-0.5195)*0.26))</f>
        <v>2.8774301354130852E-2</v>
      </c>
      <c r="M2826" s="64">
        <f t="shared" si="84"/>
        <v>5.4956282568153429E-2</v>
      </c>
      <c r="N2826" s="33" t="s">
        <v>248</v>
      </c>
    </row>
    <row r="2827" spans="1:14" ht="15">
      <c r="A2827" s="12"/>
      <c r="B2827" s="33" t="s">
        <v>200</v>
      </c>
      <c r="C2827" s="92" t="s">
        <v>365</v>
      </c>
      <c r="D2827" s="33" t="s">
        <v>410</v>
      </c>
      <c r="E2827" s="34">
        <v>45565</v>
      </c>
      <c r="F2827" s="34">
        <v>45566</v>
      </c>
      <c r="G2827" s="34">
        <v>45569</v>
      </c>
      <c r="H2827" s="35">
        <v>0.05</v>
      </c>
      <c r="I2827" s="67">
        <v>1.0330999999999999</v>
      </c>
      <c r="J2827" s="67">
        <v>0.49875230578447682</v>
      </c>
      <c r="K2827" s="67">
        <v>0.53434769421552308</v>
      </c>
      <c r="L2827" s="36">
        <f>+K2827-((K2827*0.5195*0.125)+(K2827*(1-0.5195)*0.26))</f>
        <v>0.43289243338405725</v>
      </c>
      <c r="M2827" s="64">
        <f t="shared" si="84"/>
        <v>0.93164473916853408</v>
      </c>
      <c r="N2827" s="33" t="s">
        <v>248</v>
      </c>
    </row>
    <row r="2828" spans="1:14" ht="15">
      <c r="A2828" s="12"/>
      <c r="B2828" s="33" t="s">
        <v>173</v>
      </c>
      <c r="C2828" s="92" t="s">
        <v>372</v>
      </c>
      <c r="D2828" s="33" t="s">
        <v>410</v>
      </c>
      <c r="E2828" s="34">
        <v>45565</v>
      </c>
      <c r="F2828" s="34">
        <v>45566</v>
      </c>
      <c r="G2828" s="34">
        <v>45569</v>
      </c>
      <c r="H2828" s="35">
        <v>0.03</v>
      </c>
      <c r="I2828" s="67">
        <v>3.78E-2</v>
      </c>
      <c r="J2828" s="67">
        <v>1.4048268539760662E-2</v>
      </c>
      <c r="K2828" s="67">
        <v>2.3751731460239338E-2</v>
      </c>
      <c r="L2828" s="36">
        <f>+K2828-((K2828*0.4715*0.125)+(K2828*(1-0.4715)*0.26))</f>
        <v>1.9088138367349995E-2</v>
      </c>
      <c r="M2828" s="64">
        <f t="shared" si="84"/>
        <v>3.3136406907110658E-2</v>
      </c>
      <c r="N2828" s="33" t="s">
        <v>248</v>
      </c>
    </row>
    <row r="2829" spans="1:14" ht="15">
      <c r="A2829" s="12"/>
      <c r="B2829" s="33" t="s">
        <v>150</v>
      </c>
      <c r="C2829" s="92" t="s">
        <v>377</v>
      </c>
      <c r="D2829" s="33" t="s">
        <v>410</v>
      </c>
      <c r="E2829" s="34">
        <v>45565</v>
      </c>
      <c r="F2829" s="34">
        <v>45566</v>
      </c>
      <c r="G2829" s="34">
        <v>45569</v>
      </c>
      <c r="H2829" s="35">
        <v>7.4999999999999997E-2</v>
      </c>
      <c r="I2829" s="67">
        <v>8.72E-2</v>
      </c>
      <c r="J2829" s="67">
        <v>3.0997599592029409E-2</v>
      </c>
      <c r="K2829" s="67">
        <v>5.6202400407970587E-2</v>
      </c>
      <c r="L2829" s="36">
        <f>+K2829-((K2829*0.0000001*0.125)+(K2829*(1-0.0000001)*0.26))</f>
        <v>4.1589777060630641E-2</v>
      </c>
      <c r="M2829" s="64">
        <f t="shared" si="84"/>
        <v>7.2587376652660046E-2</v>
      </c>
      <c r="N2829" s="33" t="s">
        <v>248</v>
      </c>
    </row>
    <row r="2830" spans="1:14" ht="15">
      <c r="A2830" s="12"/>
      <c r="B2830" s="33" t="s">
        <v>510</v>
      </c>
      <c r="C2830" s="92" t="s">
        <v>509</v>
      </c>
      <c r="D2830" s="33" t="s">
        <v>410</v>
      </c>
      <c r="E2830" s="34">
        <v>45565</v>
      </c>
      <c r="F2830" s="34">
        <v>45566</v>
      </c>
      <c r="G2830" s="34">
        <v>45569</v>
      </c>
      <c r="H2830" s="35">
        <v>7.4999999999999997E-2</v>
      </c>
      <c r="I2830" s="67">
        <v>7.6999999999999999E-2</v>
      </c>
      <c r="J2830" s="67">
        <v>3.0208411328317086E-2</v>
      </c>
      <c r="K2830" s="67">
        <v>4.6791588671682913E-2</v>
      </c>
      <c r="L2830" s="36">
        <f>+K2830-((K2830*0.0000001*0.125)+(K2830*(1-0.0000001)*0.26))</f>
        <v>3.4625776248731803E-2</v>
      </c>
      <c r="M2830" s="64">
        <f t="shared" si="84"/>
        <v>6.4834187577048896E-2</v>
      </c>
      <c r="N2830" s="33" t="s">
        <v>248</v>
      </c>
    </row>
    <row r="2831" spans="1:14" ht="15">
      <c r="A2831" s="12"/>
      <c r="B2831" s="33" t="s">
        <v>441</v>
      </c>
      <c r="C2831" s="92" t="s">
        <v>444</v>
      </c>
      <c r="D2831" s="33" t="s">
        <v>410</v>
      </c>
      <c r="E2831" s="34">
        <v>45565</v>
      </c>
      <c r="F2831" s="34">
        <v>45566</v>
      </c>
      <c r="G2831" s="34">
        <v>45569</v>
      </c>
      <c r="H2831" s="35">
        <v>0.04</v>
      </c>
      <c r="I2831" s="67">
        <v>4.2700000000000002E-2</v>
      </c>
      <c r="J2831" s="67">
        <v>4.2700000000000002E-2</v>
      </c>
      <c r="K2831" s="67">
        <v>0</v>
      </c>
      <c r="L2831" s="36">
        <f>+K2831-((K2831*0.203*0.125)+(K2831*(1-0.203)*0.26))</f>
        <v>0</v>
      </c>
      <c r="M2831" s="64">
        <f t="shared" si="84"/>
        <v>4.2700000000000002E-2</v>
      </c>
      <c r="N2831" s="33" t="s">
        <v>248</v>
      </c>
    </row>
    <row r="2832" spans="1:14" ht="15">
      <c r="A2832" s="12"/>
      <c r="B2832" s="33" t="s">
        <v>440</v>
      </c>
      <c r="C2832" s="92" t="s">
        <v>443</v>
      </c>
      <c r="D2832" s="33" t="s">
        <v>410</v>
      </c>
      <c r="E2832" s="34">
        <v>45565</v>
      </c>
      <c r="F2832" s="34">
        <v>45566</v>
      </c>
      <c r="G2832" s="34">
        <v>45569</v>
      </c>
      <c r="H2832" s="35">
        <v>0.04</v>
      </c>
      <c r="I2832" s="67">
        <v>0.87919999999999998</v>
      </c>
      <c r="J2832" s="67">
        <v>0.87919999999999998</v>
      </c>
      <c r="K2832" s="67">
        <v>0</v>
      </c>
      <c r="L2832" s="36">
        <f>+K2832-((K2832*0.203*0.125)+(K2832*(1-0.203)*0.26))</f>
        <v>0</v>
      </c>
      <c r="M2832" s="64">
        <f t="shared" si="84"/>
        <v>0.87919999999999998</v>
      </c>
      <c r="N2832" s="33" t="s">
        <v>248</v>
      </c>
    </row>
    <row r="2833" spans="1:14" ht="15">
      <c r="A2833" s="12"/>
      <c r="B2833" s="33" t="s">
        <v>299</v>
      </c>
      <c r="C2833" s="92" t="s">
        <v>517</v>
      </c>
      <c r="D2833" s="33" t="s">
        <v>410</v>
      </c>
      <c r="E2833" s="34">
        <v>45565</v>
      </c>
      <c r="F2833" s="34">
        <v>45566</v>
      </c>
      <c r="G2833" s="34">
        <v>45569</v>
      </c>
      <c r="H2833" s="35">
        <v>0.03</v>
      </c>
      <c r="I2833" s="67">
        <v>3.39E-2</v>
      </c>
      <c r="J2833" s="67">
        <v>3.1368692681179269E-2</v>
      </c>
      <c r="K2833" s="67">
        <v>2.5313073188207341E-3</v>
      </c>
      <c r="L2833" s="36">
        <f>+K2833-((K2833*0.3855*0.125)+(K2833*(1-0.3855)*0.26))</f>
        <v>2.0049029770670712E-3</v>
      </c>
      <c r="M2833" s="64">
        <f t="shared" si="84"/>
        <v>3.3373595658246338E-2</v>
      </c>
      <c r="N2833" s="33" t="s">
        <v>248</v>
      </c>
    </row>
    <row r="2834" spans="1:14" ht="15">
      <c r="A2834" s="12"/>
      <c r="B2834" s="33" t="s">
        <v>182</v>
      </c>
      <c r="C2834" s="92" t="s">
        <v>477</v>
      </c>
      <c r="D2834" s="33" t="s">
        <v>410</v>
      </c>
      <c r="E2834" s="34">
        <v>45565</v>
      </c>
      <c r="F2834" s="34">
        <v>45566</v>
      </c>
      <c r="G2834" s="34">
        <v>45569</v>
      </c>
      <c r="H2834" s="35">
        <v>0.03</v>
      </c>
      <c r="I2834" s="67">
        <v>0.65820000000000001</v>
      </c>
      <c r="J2834" s="67">
        <v>0.653810303851171</v>
      </c>
      <c r="K2834" s="67">
        <v>4.3896961488290032E-3</v>
      </c>
      <c r="L2834" s="36">
        <f>+K2834-((K2834*0.3855*0.125)+(K2834*(1-0.3855)*0.26))</f>
        <v>3.4768259119588958E-3</v>
      </c>
      <c r="M2834" s="64">
        <f t="shared" si="84"/>
        <v>0.65728712976312986</v>
      </c>
      <c r="N2834" s="33" t="s">
        <v>248</v>
      </c>
    </row>
    <row r="2835" spans="1:14" ht="15">
      <c r="A2835" s="12"/>
      <c r="B2835" s="33" t="s">
        <v>202</v>
      </c>
      <c r="C2835" s="92" t="s">
        <v>478</v>
      </c>
      <c r="D2835" s="33" t="s">
        <v>410</v>
      </c>
      <c r="E2835" s="34">
        <v>45565</v>
      </c>
      <c r="F2835" s="34">
        <v>45566</v>
      </c>
      <c r="G2835" s="34">
        <v>45569</v>
      </c>
      <c r="H2835" s="35">
        <v>0.03</v>
      </c>
      <c r="I2835" s="67">
        <v>0.67610000000000003</v>
      </c>
      <c r="J2835" s="67">
        <v>0.54391499932011866</v>
      </c>
      <c r="K2835" s="67">
        <v>0.13218500067988137</v>
      </c>
      <c r="L2835" s="36">
        <f>+K2835-((K2835*0.3855*0.125)+(K2835*(1-0.3855)*0.26))</f>
        <v>0.10469613840099494</v>
      </c>
      <c r="M2835" s="64">
        <f t="shared" si="84"/>
        <v>0.64861113772111356</v>
      </c>
      <c r="N2835" s="33" t="s">
        <v>248</v>
      </c>
    </row>
    <row r="2836" spans="1:14" ht="15">
      <c r="A2836" s="12"/>
      <c r="B2836" s="33" t="s">
        <v>146</v>
      </c>
      <c r="C2836" s="92" t="s">
        <v>380</v>
      </c>
      <c r="D2836" s="33" t="s">
        <v>410</v>
      </c>
      <c r="E2836" s="34">
        <v>45565</v>
      </c>
      <c r="F2836" s="34">
        <v>45566</v>
      </c>
      <c r="G2836" s="34">
        <v>45569</v>
      </c>
      <c r="H2836" s="35">
        <v>4.4999999999999998E-2</v>
      </c>
      <c r="I2836" s="67">
        <v>6.0900000000000003E-2</v>
      </c>
      <c r="J2836" s="67">
        <v>1.1442301521935951E-2</v>
      </c>
      <c r="K2836" s="67">
        <v>4.9457698478064055E-2</v>
      </c>
      <c r="L2836" s="36">
        <f>+K2836-((K2836*0.0255*0.125)+(K2836*(1-0.0255)*0.26))</f>
        <v>3.6768955000778134E-2</v>
      </c>
      <c r="M2836" s="64">
        <f t="shared" si="84"/>
        <v>4.8211256522714088E-2</v>
      </c>
      <c r="N2836" s="33" t="s">
        <v>248</v>
      </c>
    </row>
    <row r="2837" spans="1:14" ht="15">
      <c r="A2837" s="12"/>
      <c r="B2837" s="33" t="s">
        <v>163</v>
      </c>
      <c r="C2837" s="92" t="s">
        <v>381</v>
      </c>
      <c r="D2837" s="33" t="s">
        <v>410</v>
      </c>
      <c r="E2837" s="34">
        <v>45565</v>
      </c>
      <c r="F2837" s="34">
        <v>45566</v>
      </c>
      <c r="G2837" s="34">
        <v>45569</v>
      </c>
      <c r="H2837" s="35">
        <v>4.4999999999999998E-2</v>
      </c>
      <c r="I2837" s="67">
        <v>5.3999999999999999E-2</v>
      </c>
      <c r="J2837" s="67">
        <v>1.6590690062737549E-2</v>
      </c>
      <c r="K2837" s="67">
        <v>3.740930993726245E-2</v>
      </c>
      <c r="L2837" s="36">
        <f>+K2837-((K2837*0.0255*0.125)+(K2837*(1-0.0255)*0.26))</f>
        <v>2.7811670903033239E-2</v>
      </c>
      <c r="M2837" s="64">
        <f t="shared" si="84"/>
        <v>4.4402360965770785E-2</v>
      </c>
      <c r="N2837" s="33" t="s">
        <v>248</v>
      </c>
    </row>
    <row r="2838" spans="1:14" ht="15">
      <c r="A2838" s="12"/>
      <c r="B2838" s="33" t="s">
        <v>151</v>
      </c>
      <c r="C2838" s="92" t="s">
        <v>383</v>
      </c>
      <c r="D2838" s="33" t="s">
        <v>410</v>
      </c>
      <c r="E2838" s="34">
        <v>45565</v>
      </c>
      <c r="F2838" s="34">
        <v>45566</v>
      </c>
      <c r="G2838" s="34">
        <v>45569</v>
      </c>
      <c r="H2838" s="35">
        <v>4.4999999999999998E-2</v>
      </c>
      <c r="I2838" s="67">
        <v>4.82E-2</v>
      </c>
      <c r="J2838" s="67">
        <v>0</v>
      </c>
      <c r="K2838" s="67">
        <v>4.82E-2</v>
      </c>
      <c r="L2838" s="36">
        <f>+K2838-((K2838*0.015*0.125)+(K2838*(1-0.015)*0.26))</f>
        <v>3.5765604999999999E-2</v>
      </c>
      <c r="M2838" s="64">
        <f t="shared" si="84"/>
        <v>3.5765604999999999E-2</v>
      </c>
      <c r="N2838" s="33" t="s">
        <v>248</v>
      </c>
    </row>
    <row r="2839" spans="1:14" ht="15">
      <c r="A2839" s="12"/>
      <c r="B2839" s="33" t="s">
        <v>166</v>
      </c>
      <c r="C2839" s="92" t="s">
        <v>384</v>
      </c>
      <c r="D2839" s="33" t="s">
        <v>410</v>
      </c>
      <c r="E2839" s="34">
        <v>45565</v>
      </c>
      <c r="F2839" s="34">
        <v>45566</v>
      </c>
      <c r="G2839" s="34">
        <v>45569</v>
      </c>
      <c r="H2839" s="35">
        <v>4.4999999999999998E-2</v>
      </c>
      <c r="I2839" s="67">
        <v>4.7199999999999999E-2</v>
      </c>
      <c r="J2839" s="67">
        <v>0</v>
      </c>
      <c r="K2839" s="67">
        <v>4.7199999999999999E-2</v>
      </c>
      <c r="L2839" s="36">
        <f>+K2839-((K2839*0.015*0.125)+(K2839*(1-0.015)*0.26))</f>
        <v>3.5023579999999999E-2</v>
      </c>
      <c r="M2839" s="64">
        <f t="shared" si="84"/>
        <v>3.5023579999999999E-2</v>
      </c>
      <c r="N2839" s="33" t="s">
        <v>248</v>
      </c>
    </row>
    <row r="2840" spans="1:14" ht="15">
      <c r="A2840" s="12"/>
      <c r="B2840" s="33" t="s">
        <v>149</v>
      </c>
      <c r="C2840" s="92" t="s">
        <v>386</v>
      </c>
      <c r="D2840" s="33" t="s">
        <v>410</v>
      </c>
      <c r="E2840" s="34">
        <v>45565</v>
      </c>
      <c r="F2840" s="34">
        <v>45566</v>
      </c>
      <c r="G2840" s="34">
        <v>45569</v>
      </c>
      <c r="H2840" s="35">
        <v>7.2499999999999995E-2</v>
      </c>
      <c r="I2840" s="67">
        <v>9.2600000000000002E-2</v>
      </c>
      <c r="J2840" s="67">
        <v>1.4217777299315951E-2</v>
      </c>
      <c r="K2840" s="67">
        <v>7.8382222700684054E-2</v>
      </c>
      <c r="L2840" s="36">
        <f>+K2840-((K2840*0.0305*0.125)+(K2840*(1-0.0305)*0.26))</f>
        <v>5.8325583600476266E-2</v>
      </c>
      <c r="M2840" s="64">
        <f t="shared" si="84"/>
        <v>7.2543360899792214E-2</v>
      </c>
      <c r="N2840" s="33" t="s">
        <v>248</v>
      </c>
    </row>
    <row r="2841" spans="1:14" ht="15">
      <c r="A2841" s="12"/>
      <c r="B2841" s="33" t="s">
        <v>165</v>
      </c>
      <c r="C2841" s="92" t="s">
        <v>387</v>
      </c>
      <c r="D2841" s="33" t="s">
        <v>410</v>
      </c>
      <c r="E2841" s="34">
        <v>45565</v>
      </c>
      <c r="F2841" s="34">
        <v>45566</v>
      </c>
      <c r="G2841" s="34">
        <v>45569</v>
      </c>
      <c r="H2841" s="35">
        <v>7.2499999999999995E-2</v>
      </c>
      <c r="I2841" s="67">
        <v>8.5300000000000001E-2</v>
      </c>
      <c r="J2841" s="67">
        <v>1.9572593621823019E-2</v>
      </c>
      <c r="K2841" s="67">
        <v>6.5727406378176978E-2</v>
      </c>
      <c r="L2841" s="36">
        <f>+K2841-((K2841*0.0305*0.125)+(K2841*(1-0.0305)*0.26))</f>
        <v>4.8908913315613103E-2</v>
      </c>
      <c r="M2841" s="64">
        <f t="shared" si="84"/>
        <v>6.8481506937436126E-2</v>
      </c>
      <c r="N2841" s="33" t="s">
        <v>248</v>
      </c>
    </row>
    <row r="2842" spans="1:14" ht="15">
      <c r="A2842" s="12"/>
      <c r="B2842" s="33" t="s">
        <v>153</v>
      </c>
      <c r="C2842" s="92" t="s">
        <v>873</v>
      </c>
      <c r="D2842" s="33" t="s">
        <v>410</v>
      </c>
      <c r="E2842" s="34">
        <v>45565</v>
      </c>
      <c r="F2842" s="34">
        <v>45566</v>
      </c>
      <c r="G2842" s="34">
        <v>45569</v>
      </c>
      <c r="H2842" s="35">
        <v>5.3499999999999999E-2</v>
      </c>
      <c r="I2842" s="67">
        <v>5.4600000000000003E-2</v>
      </c>
      <c r="J2842" s="67">
        <v>1.2191738100505174E-2</v>
      </c>
      <c r="K2842" s="67">
        <v>4.2408261899494828E-2</v>
      </c>
      <c r="L2842" s="36">
        <f>+K2842-((K2842*0.262*0.125)+(K2842*(1-0.262)*0.26))</f>
        <v>3.2882094029011308E-2</v>
      </c>
      <c r="M2842" s="64">
        <f t="shared" si="84"/>
        <v>4.5073832129516482E-2</v>
      </c>
      <c r="N2842" s="33" t="s">
        <v>248</v>
      </c>
    </row>
    <row r="2843" spans="1:14" ht="15">
      <c r="A2843" s="12"/>
      <c r="B2843" s="33" t="s">
        <v>152</v>
      </c>
      <c r="C2843" s="92" t="s">
        <v>874</v>
      </c>
      <c r="D2843" s="33" t="s">
        <v>410</v>
      </c>
      <c r="E2843" s="34">
        <v>45565</v>
      </c>
      <c r="F2843" s="34">
        <v>45566</v>
      </c>
      <c r="G2843" s="34">
        <v>45569</v>
      </c>
      <c r="H2843" s="35">
        <v>5.3499999999999999E-2</v>
      </c>
      <c r="I2843" s="67">
        <v>8.0600000000000005E-2</v>
      </c>
      <c r="J2843" s="67">
        <v>1.7632052509742396E-2</v>
      </c>
      <c r="K2843" s="67">
        <v>6.2967947490257609E-2</v>
      </c>
      <c r="L2843" s="36">
        <f>+K2843-((K2843*0.262*0.125)+(K2843*(1-0.262)*0.26))</f>
        <v>4.8823457445521037E-2</v>
      </c>
      <c r="M2843" s="64">
        <f t="shared" si="84"/>
        <v>6.6455509955263434E-2</v>
      </c>
      <c r="N2843" s="33" t="s">
        <v>248</v>
      </c>
    </row>
    <row r="2844" spans="1:14" ht="15">
      <c r="A2844" s="12"/>
      <c r="B2844" s="33" t="s">
        <v>167</v>
      </c>
      <c r="C2844" s="92" t="s">
        <v>875</v>
      </c>
      <c r="D2844" s="33" t="s">
        <v>410</v>
      </c>
      <c r="E2844" s="34">
        <v>45565</v>
      </c>
      <c r="F2844" s="34">
        <v>45566</v>
      </c>
      <c r="G2844" s="34">
        <v>45569</v>
      </c>
      <c r="H2844" s="35">
        <v>5.3499999999999999E-2</v>
      </c>
      <c r="I2844" s="67">
        <v>7.5800000000000006E-2</v>
      </c>
      <c r="J2844" s="67">
        <v>2.2909479791747758E-2</v>
      </c>
      <c r="K2844" s="67">
        <v>5.2890520208252245E-2</v>
      </c>
      <c r="L2844" s="36">
        <f>+K2844-((K2844*0.262*0.125)+(K2844*(1-0.262)*0.26))</f>
        <v>4.1009722653872545E-2</v>
      </c>
      <c r="M2844" s="64">
        <f t="shared" si="84"/>
        <v>6.3919202445620299E-2</v>
      </c>
      <c r="N2844" s="33" t="s">
        <v>248</v>
      </c>
    </row>
    <row r="2845" spans="1:14" ht="15">
      <c r="A2845" s="12"/>
      <c r="B2845" s="33" t="s">
        <v>301</v>
      </c>
      <c r="C2845" s="92" t="s">
        <v>876</v>
      </c>
      <c r="D2845" s="33" t="s">
        <v>410</v>
      </c>
      <c r="E2845" s="34">
        <v>45565</v>
      </c>
      <c r="F2845" s="34">
        <v>45566</v>
      </c>
      <c r="G2845" s="34">
        <v>45569</v>
      </c>
      <c r="H2845" s="35">
        <v>5.3499999999999999E-2</v>
      </c>
      <c r="I2845" s="67">
        <v>6.0100000000000001E-2</v>
      </c>
      <c r="J2845" s="67">
        <v>1.5177186819485987E-2</v>
      </c>
      <c r="K2845" s="67">
        <v>4.4922813180514012E-2</v>
      </c>
      <c r="L2845" s="36">
        <f>+K2845-((K2845*0.262*0.125)+(K2845*(1-0.262)*0.26))</f>
        <v>3.4831801655775152E-2</v>
      </c>
      <c r="M2845" s="64">
        <f t="shared" si="84"/>
        <v>5.000898847526114E-2</v>
      </c>
      <c r="N2845" s="33" t="s">
        <v>248</v>
      </c>
    </row>
    <row r="2846" spans="1:14" ht="15">
      <c r="A2846" s="12"/>
      <c r="B2846" s="33" t="s">
        <v>304</v>
      </c>
      <c r="C2846" s="92" t="s">
        <v>885</v>
      </c>
      <c r="D2846" s="33" t="s">
        <v>410</v>
      </c>
      <c r="E2846" s="34">
        <v>45565</v>
      </c>
      <c r="F2846" s="34">
        <v>45566</v>
      </c>
      <c r="G2846" s="34">
        <v>45569</v>
      </c>
      <c r="H2846" s="35">
        <v>4.7500000000000001E-2</v>
      </c>
      <c r="I2846" s="67">
        <v>4.7600000000000003E-2</v>
      </c>
      <c r="J2846" s="67">
        <v>1.6144606883193739E-2</v>
      </c>
      <c r="K2846" s="67">
        <v>3.1455393116806264E-2</v>
      </c>
      <c r="L2846" s="36">
        <f>+K2846-((K2846*0.314*0.125)+(K2846*(1-0.314)*0.26))</f>
        <v>2.4610385020658054E-2</v>
      </c>
      <c r="M2846" s="64">
        <f t="shared" si="84"/>
        <v>4.0754991903851789E-2</v>
      </c>
      <c r="N2846" s="33" t="s">
        <v>248</v>
      </c>
    </row>
    <row r="2847" spans="1:14" ht="15">
      <c r="A2847" s="12"/>
      <c r="B2847" s="33" t="s">
        <v>183</v>
      </c>
      <c r="C2847" s="92" t="s">
        <v>886</v>
      </c>
      <c r="D2847" s="33" t="s">
        <v>410</v>
      </c>
      <c r="E2847" s="34">
        <v>45565</v>
      </c>
      <c r="F2847" s="34">
        <v>45566</v>
      </c>
      <c r="G2847" s="34">
        <v>45569</v>
      </c>
      <c r="H2847" s="35">
        <v>4.7500000000000001E-2</v>
      </c>
      <c r="I2847" s="67">
        <v>4.7500000000000001E-2</v>
      </c>
      <c r="J2847" s="67">
        <v>1.7644919902871876E-2</v>
      </c>
      <c r="K2847" s="67">
        <v>2.9855080097128124E-2</v>
      </c>
      <c r="L2847" s="36">
        <f>+K2847-((K2847*0.314*0.125)+(K2847*(1-0.314)*0.26))</f>
        <v>2.3358316117192073E-2</v>
      </c>
      <c r="M2847" s="64">
        <f t="shared" si="84"/>
        <v>4.1003236020063949E-2</v>
      </c>
      <c r="N2847" s="33" t="s">
        <v>248</v>
      </c>
    </row>
    <row r="2848" spans="1:14" ht="15">
      <c r="A2848" s="12"/>
      <c r="B2848" s="33" t="s">
        <v>305</v>
      </c>
      <c r="C2848" s="92" t="s">
        <v>887</v>
      </c>
      <c r="D2848" s="33" t="s">
        <v>410</v>
      </c>
      <c r="E2848" s="34">
        <v>45565</v>
      </c>
      <c r="F2848" s="34">
        <v>45566</v>
      </c>
      <c r="G2848" s="34">
        <v>45569</v>
      </c>
      <c r="H2848" s="35">
        <v>4.7500000000000001E-2</v>
      </c>
      <c r="I2848" s="67">
        <v>4.8399999999999999E-2</v>
      </c>
      <c r="J2848" s="67">
        <v>1.3360634372772273E-2</v>
      </c>
      <c r="K2848" s="67">
        <v>3.5039365627227724E-2</v>
      </c>
      <c r="L2848" s="36">
        <f>+K2848-((K2848*0.314*0.125)+(K2848*(1-0.314)*0.26))</f>
        <v>2.74144492730867E-2</v>
      </c>
      <c r="M2848" s="64">
        <f t="shared" si="84"/>
        <v>4.0775083645858974E-2</v>
      </c>
      <c r="N2848" s="33" t="s">
        <v>248</v>
      </c>
    </row>
    <row r="2849" spans="1:14" ht="15">
      <c r="A2849" s="12"/>
      <c r="B2849" s="33" t="s">
        <v>147</v>
      </c>
      <c r="C2849" s="92" t="s">
        <v>466</v>
      </c>
      <c r="D2849" s="33" t="s">
        <v>410</v>
      </c>
      <c r="E2849" s="34">
        <v>45565</v>
      </c>
      <c r="F2849" s="34">
        <v>45566</v>
      </c>
      <c r="G2849" s="34">
        <v>45569</v>
      </c>
      <c r="H2849" s="35">
        <v>0.05</v>
      </c>
      <c r="I2849" s="67">
        <v>5.8799999999999998E-2</v>
      </c>
      <c r="J2849" s="67">
        <v>0</v>
      </c>
      <c r="K2849" s="67">
        <v>5.8799999999999998E-2</v>
      </c>
      <c r="L2849" s="36">
        <f>+K2849-((K2849*0.107*0.125)+(K2849*(1-0.107)*0.26))</f>
        <v>4.4361365999999999E-2</v>
      </c>
      <c r="M2849" s="64">
        <f t="shared" si="84"/>
        <v>4.4361365999999999E-2</v>
      </c>
      <c r="N2849" s="33" t="s">
        <v>248</v>
      </c>
    </row>
    <row r="2850" spans="1:14" ht="15">
      <c r="A2850" s="12"/>
      <c r="B2850" s="33" t="s">
        <v>164</v>
      </c>
      <c r="C2850" s="92" t="s">
        <v>467</v>
      </c>
      <c r="D2850" s="33" t="s">
        <v>410</v>
      </c>
      <c r="E2850" s="34">
        <v>45565</v>
      </c>
      <c r="F2850" s="34">
        <v>45566</v>
      </c>
      <c r="G2850" s="34">
        <v>45569</v>
      </c>
      <c r="H2850" s="35">
        <v>0.05</v>
      </c>
      <c r="I2850" s="67">
        <v>5.4399999999999997E-2</v>
      </c>
      <c r="J2850" s="67">
        <v>0</v>
      </c>
      <c r="K2850" s="67">
        <v>5.4399999999999997E-2</v>
      </c>
      <c r="L2850" s="36">
        <f>+K2850-((K2850*0.107*0.125)+(K2850*(1-0.107)*0.26))</f>
        <v>4.1041807999999999E-2</v>
      </c>
      <c r="M2850" s="64">
        <f t="shared" si="84"/>
        <v>4.1041807999999999E-2</v>
      </c>
      <c r="N2850" s="33" t="s">
        <v>248</v>
      </c>
    </row>
    <row r="2851" spans="1:14" ht="15">
      <c r="A2851" s="12"/>
      <c r="B2851" s="33" t="s">
        <v>132</v>
      </c>
      <c r="C2851" s="92" t="s">
        <v>358</v>
      </c>
      <c r="D2851" s="33" t="s">
        <v>410</v>
      </c>
      <c r="E2851" s="34">
        <v>45590</v>
      </c>
      <c r="F2851" s="34">
        <v>45593</v>
      </c>
      <c r="G2851" s="34">
        <v>45596</v>
      </c>
      <c r="H2851" s="35">
        <v>4.4999999999999998E-2</v>
      </c>
      <c r="I2851" s="67">
        <v>4.9399999999999999E-2</v>
      </c>
      <c r="J2851" s="67">
        <v>0</v>
      </c>
      <c r="K2851" s="67">
        <v>4.9399999999999999E-2</v>
      </c>
      <c r="L2851" s="36">
        <f>+K2851-((K2851*0.2685*0.125)+(K2851*(1-0.2685)*0.26))</f>
        <v>3.8346626499999995E-2</v>
      </c>
      <c r="M2851" s="64">
        <f t="shared" si="84"/>
        <v>3.8346626499999995E-2</v>
      </c>
      <c r="N2851" s="33" t="s">
        <v>249</v>
      </c>
    </row>
    <row r="2852" spans="1:14" ht="15">
      <c r="A2852" s="12"/>
      <c r="B2852" s="33" t="s">
        <v>227</v>
      </c>
      <c r="C2852" s="92" t="s">
        <v>359</v>
      </c>
      <c r="D2852" s="33" t="s">
        <v>410</v>
      </c>
      <c r="E2852" s="34">
        <v>45590</v>
      </c>
      <c r="F2852" s="34">
        <v>45593</v>
      </c>
      <c r="G2852" s="34">
        <v>45596</v>
      </c>
      <c r="H2852" s="35">
        <v>4.4999999999999998E-2</v>
      </c>
      <c r="I2852" s="67">
        <v>4.87E-2</v>
      </c>
      <c r="J2852" s="67">
        <v>0</v>
      </c>
      <c r="K2852" s="67">
        <v>4.87E-2</v>
      </c>
      <c r="L2852" s="36">
        <f>+K2852-((K2852*0.2685*0.125)+(K2852*(1-0.2685)*0.26))</f>
        <v>3.7803253250000002E-2</v>
      </c>
      <c r="M2852" s="64">
        <f t="shared" si="84"/>
        <v>3.7803253250000002E-2</v>
      </c>
      <c r="N2852" s="33" t="s">
        <v>249</v>
      </c>
    </row>
    <row r="2853" spans="1:14" ht="15">
      <c r="A2853" s="12"/>
      <c r="B2853" s="33" t="s">
        <v>133</v>
      </c>
      <c r="C2853" s="92" t="s">
        <v>857</v>
      </c>
      <c r="D2853" s="33" t="s">
        <v>410</v>
      </c>
      <c r="E2853" s="34">
        <v>45590</v>
      </c>
      <c r="F2853" s="34">
        <v>45593</v>
      </c>
      <c r="G2853" s="34">
        <v>45596</v>
      </c>
      <c r="H2853" s="35">
        <v>3.5000000000000003E-2</v>
      </c>
      <c r="I2853" s="67">
        <v>4.4900000000000002E-2</v>
      </c>
      <c r="J2853" s="67">
        <v>1.0277710000000001E-2</v>
      </c>
      <c r="K2853" s="67">
        <v>3.462229E-2</v>
      </c>
      <c r="L2853" s="36">
        <f>+K2853-((K2853*0.0025*0.125)+(K2853*(1-0.0025)*0.26))</f>
        <v>2.5632179622875E-2</v>
      </c>
      <c r="M2853" s="64">
        <f t="shared" si="84"/>
        <v>3.5909889622875002E-2</v>
      </c>
      <c r="N2853" s="33" t="s">
        <v>249</v>
      </c>
    </row>
    <row r="2854" spans="1:14" ht="15">
      <c r="A2854" s="12"/>
      <c r="B2854" s="33" t="s">
        <v>134</v>
      </c>
      <c r="C2854" s="92" t="s">
        <v>374</v>
      </c>
      <c r="D2854" s="33" t="s">
        <v>410</v>
      </c>
      <c r="E2854" s="34">
        <v>45590</v>
      </c>
      <c r="F2854" s="34">
        <v>45593</v>
      </c>
      <c r="G2854" s="34">
        <v>45596</v>
      </c>
      <c r="H2854" s="35">
        <v>5.5E-2</v>
      </c>
      <c r="I2854" s="67">
        <v>6.7199999999999996E-2</v>
      </c>
      <c r="J2854" s="67">
        <v>0</v>
      </c>
      <c r="K2854" s="67">
        <v>6.7199999999999996E-2</v>
      </c>
      <c r="L2854" s="36">
        <f>+K2854-((K2854*0.239*0.125)+(K2854*(1-0.239)*0.26))</f>
        <v>5.1896207999999999E-2</v>
      </c>
      <c r="M2854" s="64">
        <f t="shared" si="84"/>
        <v>5.1896207999999999E-2</v>
      </c>
      <c r="N2854" s="33" t="s">
        <v>249</v>
      </c>
    </row>
    <row r="2855" spans="1:14" ht="15">
      <c r="A2855" s="12"/>
      <c r="B2855" s="33" t="s">
        <v>168</v>
      </c>
      <c r="C2855" s="92" t="s">
        <v>376</v>
      </c>
      <c r="D2855" s="33" t="s">
        <v>410</v>
      </c>
      <c r="E2855" s="34">
        <v>45590</v>
      </c>
      <c r="F2855" s="34">
        <v>45593</v>
      </c>
      <c r="G2855" s="34">
        <v>45596</v>
      </c>
      <c r="H2855" s="35">
        <v>5.5E-2</v>
      </c>
      <c r="I2855" s="67">
        <v>5.2499999999999998E-2</v>
      </c>
      <c r="J2855" s="67">
        <v>0</v>
      </c>
      <c r="K2855" s="67">
        <v>5.2499999999999998E-2</v>
      </c>
      <c r="L2855" s="36">
        <f>+K2855-((K2855*0.239*0.125)+(K2855*(1-0.239)*0.26))</f>
        <v>4.0543912500000001E-2</v>
      </c>
      <c r="M2855" s="64">
        <f t="shared" si="84"/>
        <v>4.0543912500000001E-2</v>
      </c>
      <c r="N2855" s="33" t="s">
        <v>249</v>
      </c>
    </row>
    <row r="2856" spans="1:14" ht="15">
      <c r="A2856" s="12"/>
      <c r="B2856" s="33" t="s">
        <v>136</v>
      </c>
      <c r="C2856" s="92" t="s">
        <v>867</v>
      </c>
      <c r="D2856" s="33" t="s">
        <v>410</v>
      </c>
      <c r="E2856" s="34">
        <v>45590</v>
      </c>
      <c r="F2856" s="34">
        <v>45593</v>
      </c>
      <c r="G2856" s="34">
        <v>45596</v>
      </c>
      <c r="H2856" s="35">
        <v>0.04</v>
      </c>
      <c r="I2856" s="67">
        <v>4.8599999999999997E-2</v>
      </c>
      <c r="J2856" s="67">
        <v>0</v>
      </c>
      <c r="K2856" s="67">
        <v>4.8599999999999997E-2</v>
      </c>
      <c r="L2856" s="36">
        <f t="shared" ref="L2856:L2861" si="85">+K2856-((K2856*0.1275*0.125)+(K2856*(1-0.1275)*0.26))</f>
        <v>3.6800527499999999E-2</v>
      </c>
      <c r="M2856" s="64">
        <f t="shared" si="84"/>
        <v>3.6800527499999999E-2</v>
      </c>
      <c r="N2856" s="33" t="s">
        <v>249</v>
      </c>
    </row>
    <row r="2857" spans="1:14" ht="15">
      <c r="A2857" s="12"/>
      <c r="B2857" s="33" t="s">
        <v>137</v>
      </c>
      <c r="C2857" s="92" t="s">
        <v>868</v>
      </c>
      <c r="D2857" s="33" t="s">
        <v>410</v>
      </c>
      <c r="E2857" s="34">
        <v>45590</v>
      </c>
      <c r="F2857" s="34">
        <v>45593</v>
      </c>
      <c r="G2857" s="34">
        <v>45596</v>
      </c>
      <c r="H2857" s="35">
        <v>0.05</v>
      </c>
      <c r="I2857" s="67">
        <v>6.6500000000000004E-2</v>
      </c>
      <c r="J2857" s="67">
        <v>0</v>
      </c>
      <c r="K2857" s="67">
        <v>6.6500000000000004E-2</v>
      </c>
      <c r="L2857" s="36">
        <f t="shared" si="85"/>
        <v>5.0354631250000004E-2</v>
      </c>
      <c r="M2857" s="64">
        <f t="shared" si="84"/>
        <v>5.0354631250000004E-2</v>
      </c>
      <c r="N2857" s="33" t="s">
        <v>249</v>
      </c>
    </row>
    <row r="2858" spans="1:14" ht="15">
      <c r="A2858" s="12"/>
      <c r="B2858" s="33" t="s">
        <v>135</v>
      </c>
      <c r="C2858" s="92" t="s">
        <v>869</v>
      </c>
      <c r="D2858" s="33" t="s">
        <v>410</v>
      </c>
      <c r="E2858" s="34">
        <v>45590</v>
      </c>
      <c r="F2858" s="34">
        <v>45593</v>
      </c>
      <c r="G2858" s="34">
        <v>45596</v>
      </c>
      <c r="H2858" s="35">
        <v>5.7500000000000002E-2</v>
      </c>
      <c r="I2858" s="67">
        <v>7.5399999999999995E-2</v>
      </c>
      <c r="J2858" s="67">
        <v>0</v>
      </c>
      <c r="K2858" s="67">
        <v>7.5399999999999995E-2</v>
      </c>
      <c r="L2858" s="36">
        <f t="shared" si="85"/>
        <v>5.7093822499999995E-2</v>
      </c>
      <c r="M2858" s="64">
        <f t="shared" si="84"/>
        <v>5.7093822499999995E-2</v>
      </c>
      <c r="N2858" s="33" t="s">
        <v>249</v>
      </c>
    </row>
    <row r="2859" spans="1:14" ht="15">
      <c r="A2859" s="12"/>
      <c r="B2859" s="33" t="s">
        <v>170</v>
      </c>
      <c r="C2859" s="92" t="s">
        <v>870</v>
      </c>
      <c r="D2859" s="33" t="s">
        <v>410</v>
      </c>
      <c r="E2859" s="34">
        <v>45590</v>
      </c>
      <c r="F2859" s="34">
        <v>45593</v>
      </c>
      <c r="G2859" s="34">
        <v>45596</v>
      </c>
      <c r="H2859" s="35">
        <v>0.04</v>
      </c>
      <c r="I2859" s="67">
        <v>4.7199999999999999E-2</v>
      </c>
      <c r="J2859" s="67">
        <v>0</v>
      </c>
      <c r="K2859" s="67">
        <v>4.7199999999999999E-2</v>
      </c>
      <c r="L2859" s="36">
        <f t="shared" si="85"/>
        <v>3.5740429999999997E-2</v>
      </c>
      <c r="M2859" s="64">
        <f t="shared" si="84"/>
        <v>3.5740429999999997E-2</v>
      </c>
      <c r="N2859" s="33" t="s">
        <v>249</v>
      </c>
    </row>
    <row r="2860" spans="1:14" ht="15">
      <c r="A2860" s="12"/>
      <c r="B2860" s="33" t="s">
        <v>171</v>
      </c>
      <c r="C2860" s="92" t="s">
        <v>871</v>
      </c>
      <c r="D2860" s="33" t="s">
        <v>410</v>
      </c>
      <c r="E2860" s="34">
        <v>45590</v>
      </c>
      <c r="F2860" s="34">
        <v>45593</v>
      </c>
      <c r="G2860" s="34">
        <v>45596</v>
      </c>
      <c r="H2860" s="35">
        <v>0.05</v>
      </c>
      <c r="I2860" s="67">
        <v>6.3899999999999998E-2</v>
      </c>
      <c r="J2860" s="67">
        <v>0</v>
      </c>
      <c r="K2860" s="67">
        <v>6.3899999999999998E-2</v>
      </c>
      <c r="L2860" s="36">
        <f t="shared" si="85"/>
        <v>4.838587875E-2</v>
      </c>
      <c r="M2860" s="64">
        <f t="shared" si="84"/>
        <v>4.838587875E-2</v>
      </c>
      <c r="N2860" s="33" t="s">
        <v>249</v>
      </c>
    </row>
    <row r="2861" spans="1:14" ht="15">
      <c r="A2861" s="12"/>
      <c r="B2861" s="33" t="s">
        <v>172</v>
      </c>
      <c r="C2861" s="92" t="s">
        <v>872</v>
      </c>
      <c r="D2861" s="33" t="s">
        <v>410</v>
      </c>
      <c r="E2861" s="34">
        <v>45590</v>
      </c>
      <c r="F2861" s="34">
        <v>45593</v>
      </c>
      <c r="G2861" s="34">
        <v>45596</v>
      </c>
      <c r="H2861" s="35">
        <v>5.7500000000000002E-2</v>
      </c>
      <c r="I2861" s="67">
        <v>7.2900000000000006E-2</v>
      </c>
      <c r="J2861" s="67">
        <v>0</v>
      </c>
      <c r="K2861" s="67">
        <v>7.2900000000000006E-2</v>
      </c>
      <c r="L2861" s="36">
        <f t="shared" si="85"/>
        <v>5.5200791250000006E-2</v>
      </c>
      <c r="M2861" s="64">
        <f t="shared" si="84"/>
        <v>5.5200791250000006E-2</v>
      </c>
      <c r="N2861" s="33" t="s">
        <v>249</v>
      </c>
    </row>
    <row r="2862" spans="1:14" ht="15">
      <c r="A2862" s="12"/>
      <c r="B2862" s="33" t="s">
        <v>169</v>
      </c>
      <c r="C2862" s="92" t="s">
        <v>400</v>
      </c>
      <c r="D2862" s="33" t="s">
        <v>410</v>
      </c>
      <c r="E2862" s="34">
        <v>45590</v>
      </c>
      <c r="F2862" s="34">
        <v>45593</v>
      </c>
      <c r="G2862" s="34">
        <v>45596</v>
      </c>
      <c r="H2862" s="35">
        <v>6.5000000000000002E-2</v>
      </c>
      <c r="I2862" s="67">
        <v>5.96E-2</v>
      </c>
      <c r="J2862" s="67">
        <v>0</v>
      </c>
      <c r="K2862" s="67">
        <v>5.96E-2</v>
      </c>
      <c r="L2862" s="36">
        <f>+K2862-((K2862*0.1155*0.125)+(K2862*(1-0.1155)*0.26))</f>
        <v>4.5033312999999998E-2</v>
      </c>
      <c r="M2862" s="64">
        <f t="shared" si="84"/>
        <v>4.5033312999999998E-2</v>
      </c>
      <c r="N2862" s="33" t="s">
        <v>249</v>
      </c>
    </row>
    <row r="2863" spans="1:14" ht="15">
      <c r="A2863" s="12"/>
      <c r="B2863" s="33" t="s">
        <v>310</v>
      </c>
      <c r="C2863" s="92" t="s">
        <v>719</v>
      </c>
      <c r="D2863" s="33" t="s">
        <v>411</v>
      </c>
      <c r="E2863" s="34">
        <v>45596</v>
      </c>
      <c r="F2863" s="34">
        <v>45600</v>
      </c>
      <c r="G2863" s="34">
        <v>45603</v>
      </c>
      <c r="H2863" s="35">
        <v>0.05</v>
      </c>
      <c r="I2863" s="67">
        <v>1.43E-2</v>
      </c>
      <c r="J2863" s="67">
        <v>0</v>
      </c>
      <c r="K2863" s="67">
        <v>1.43E-2</v>
      </c>
      <c r="L2863" s="36">
        <f>+K2863-((K2863*0.0445*0.125)+(K2863*(1-0.0445)*0.26))</f>
        <v>1.0667907250000001E-2</v>
      </c>
      <c r="M2863" s="64">
        <f t="shared" si="84"/>
        <v>1.0667907250000001E-2</v>
      </c>
      <c r="N2863" s="33" t="s">
        <v>718</v>
      </c>
    </row>
    <row r="2864" spans="1:14" ht="15">
      <c r="A2864" s="12"/>
      <c r="B2864" s="33" t="s">
        <v>188</v>
      </c>
      <c r="C2864" s="92" t="s">
        <v>720</v>
      </c>
      <c r="D2864" s="33" t="s">
        <v>411</v>
      </c>
      <c r="E2864" s="34">
        <v>45596</v>
      </c>
      <c r="F2864" s="34">
        <v>45600</v>
      </c>
      <c r="G2864" s="34">
        <v>45603</v>
      </c>
      <c r="H2864" s="35">
        <v>0.05</v>
      </c>
      <c r="I2864" s="67">
        <v>0.24859999999999999</v>
      </c>
      <c r="J2864" s="67">
        <v>0</v>
      </c>
      <c r="K2864" s="67">
        <v>0.24859999999999999</v>
      </c>
      <c r="L2864" s="36">
        <f>+K2864-((K2864*0.0445*0.125)+(K2864*(1-0.0445)*0.26))</f>
        <v>0.1854574645</v>
      </c>
      <c r="M2864" s="64">
        <f t="shared" si="84"/>
        <v>0.1854574645</v>
      </c>
      <c r="N2864" s="33" t="s">
        <v>718</v>
      </c>
    </row>
    <row r="2865" spans="1:14" ht="15">
      <c r="A2865" s="12"/>
      <c r="B2865" s="33" t="s">
        <v>196</v>
      </c>
      <c r="C2865" s="92" t="s">
        <v>721</v>
      </c>
      <c r="D2865" s="33" t="s">
        <v>411</v>
      </c>
      <c r="E2865" s="34">
        <v>45596</v>
      </c>
      <c r="F2865" s="34">
        <v>45600</v>
      </c>
      <c r="G2865" s="34">
        <v>45603</v>
      </c>
      <c r="H2865" s="35">
        <v>0.05</v>
      </c>
      <c r="I2865" s="67">
        <v>0.26240000000000002</v>
      </c>
      <c r="J2865" s="67">
        <v>0</v>
      </c>
      <c r="K2865" s="67">
        <v>0.26240000000000002</v>
      </c>
      <c r="L2865" s="36">
        <f>+K2865-((K2865*0.0445*0.125)+(K2865*(1-0.0445)*0.26))</f>
        <v>0.19575236800000001</v>
      </c>
      <c r="M2865" s="64">
        <f t="shared" si="84"/>
        <v>0.19575236800000001</v>
      </c>
      <c r="N2865" s="33" t="s">
        <v>718</v>
      </c>
    </row>
    <row r="2866" spans="1:14" ht="15">
      <c r="A2866" s="12"/>
      <c r="B2866" s="33" t="s">
        <v>191</v>
      </c>
      <c r="C2866" s="92" t="s">
        <v>722</v>
      </c>
      <c r="D2866" s="33" t="s">
        <v>411</v>
      </c>
      <c r="E2866" s="34">
        <v>45596</v>
      </c>
      <c r="F2866" s="34">
        <v>45600</v>
      </c>
      <c r="G2866" s="34">
        <v>45603</v>
      </c>
      <c r="H2866" s="35">
        <v>0.05</v>
      </c>
      <c r="I2866" s="67">
        <v>1.5100000000000001E-2</v>
      </c>
      <c r="J2866" s="67">
        <v>0</v>
      </c>
      <c r="K2866" s="67">
        <v>1.5100000000000001E-2</v>
      </c>
      <c r="L2866" s="36">
        <f>+K2866-((K2866*0.8545*0.125)+(K2866*(1-0.8545)*0.26))</f>
        <v>1.291589825E-2</v>
      </c>
      <c r="M2866" s="64">
        <f t="shared" si="84"/>
        <v>1.291589825E-2</v>
      </c>
      <c r="N2866" s="33" t="s">
        <v>718</v>
      </c>
    </row>
    <row r="2867" spans="1:14" ht="15">
      <c r="A2867" s="12"/>
      <c r="B2867" s="33" t="s">
        <v>199</v>
      </c>
      <c r="C2867" s="92" t="s">
        <v>723</v>
      </c>
      <c r="D2867" s="33" t="s">
        <v>411</v>
      </c>
      <c r="E2867" s="34">
        <v>45596</v>
      </c>
      <c r="F2867" s="34">
        <v>45600</v>
      </c>
      <c r="G2867" s="34">
        <v>45603</v>
      </c>
      <c r="H2867" s="35">
        <v>0.05</v>
      </c>
      <c r="I2867" s="67">
        <v>1.52E-2</v>
      </c>
      <c r="J2867" s="67">
        <v>0</v>
      </c>
      <c r="K2867" s="67">
        <v>1.52E-2</v>
      </c>
      <c r="L2867" s="36">
        <f>+K2867-((K2867*0.8545*0.125)+(K2867*(1-0.8545)*0.26))</f>
        <v>1.3001433999999999E-2</v>
      </c>
      <c r="M2867" s="64">
        <f t="shared" si="84"/>
        <v>1.3001433999999999E-2</v>
      </c>
      <c r="N2867" s="33" t="s">
        <v>718</v>
      </c>
    </row>
    <row r="2868" spans="1:14" ht="15">
      <c r="A2868" s="12"/>
      <c r="B2868" s="33" t="s">
        <v>306</v>
      </c>
      <c r="C2868" s="92" t="s">
        <v>724</v>
      </c>
      <c r="D2868" s="33" t="s">
        <v>411</v>
      </c>
      <c r="E2868" s="34">
        <v>45596</v>
      </c>
      <c r="F2868" s="34">
        <v>45600</v>
      </c>
      <c r="G2868" s="34">
        <v>45603</v>
      </c>
      <c r="H2868" s="35">
        <v>7.0000000000000007E-2</v>
      </c>
      <c r="I2868" s="67">
        <v>2.4899999999999999E-2</v>
      </c>
      <c r="J2868" s="67">
        <v>0</v>
      </c>
      <c r="K2868" s="67">
        <v>2.4899999999999999E-2</v>
      </c>
      <c r="L2868" s="36">
        <f>+K2868-((K2868*0.0015*0.125)+(K2868*(1-0.0015)*0.26))</f>
        <v>1.8431042249999998E-2</v>
      </c>
      <c r="M2868" s="64">
        <f t="shared" si="84"/>
        <v>1.8431042249999998E-2</v>
      </c>
      <c r="N2868" s="33" t="s">
        <v>718</v>
      </c>
    </row>
    <row r="2869" spans="1:14" ht="15">
      <c r="A2869" s="12"/>
      <c r="B2869" s="33" t="s">
        <v>184</v>
      </c>
      <c r="C2869" s="92" t="s">
        <v>725</v>
      </c>
      <c r="D2869" s="33" t="s">
        <v>411</v>
      </c>
      <c r="E2869" s="34">
        <v>45596</v>
      </c>
      <c r="F2869" s="34">
        <v>45600</v>
      </c>
      <c r="G2869" s="34">
        <v>45603</v>
      </c>
      <c r="H2869" s="35">
        <v>7.0000000000000007E-2</v>
      </c>
      <c r="I2869" s="67">
        <v>0.49859999999999999</v>
      </c>
      <c r="J2869" s="67">
        <v>0</v>
      </c>
      <c r="K2869" s="67">
        <v>0.49859999999999999</v>
      </c>
      <c r="L2869" s="36">
        <f>+K2869-((K2869*0.0015*0.125)+(K2869*(1-0.0015)*0.26))</f>
        <v>0.36906496649999998</v>
      </c>
      <c r="M2869" s="64">
        <f t="shared" si="84"/>
        <v>0.36906496649999998</v>
      </c>
      <c r="N2869" s="33" t="s">
        <v>718</v>
      </c>
    </row>
    <row r="2870" spans="1:14" ht="15">
      <c r="A2870" s="12"/>
      <c r="B2870" s="33" t="s">
        <v>192</v>
      </c>
      <c r="C2870" s="92" t="s">
        <v>726</v>
      </c>
      <c r="D2870" s="33" t="s">
        <v>411</v>
      </c>
      <c r="E2870" s="34">
        <v>45596</v>
      </c>
      <c r="F2870" s="34">
        <v>45600</v>
      </c>
      <c r="G2870" s="34">
        <v>45603</v>
      </c>
      <c r="H2870" s="35">
        <v>7.0000000000000007E-2</v>
      </c>
      <c r="I2870" s="67">
        <v>0.51080000000000003</v>
      </c>
      <c r="J2870" s="67">
        <v>0</v>
      </c>
      <c r="K2870" s="67">
        <v>0.51080000000000003</v>
      </c>
      <c r="L2870" s="36">
        <f>+K2870-((K2870*0.0015*0.125)+(K2870*(1-0.0015)*0.26))</f>
        <v>0.37809543700000003</v>
      </c>
      <c r="M2870" s="64">
        <f t="shared" si="84"/>
        <v>0.37809543700000003</v>
      </c>
      <c r="N2870" s="33" t="s">
        <v>718</v>
      </c>
    </row>
    <row r="2871" spans="1:14" ht="15">
      <c r="A2871" s="12"/>
      <c r="B2871" s="33" t="s">
        <v>311</v>
      </c>
      <c r="C2871" s="92" t="s">
        <v>727</v>
      </c>
      <c r="D2871" s="33" t="s">
        <v>411</v>
      </c>
      <c r="E2871" s="34">
        <v>45596</v>
      </c>
      <c r="F2871" s="34">
        <v>45600</v>
      </c>
      <c r="G2871" s="34">
        <v>45603</v>
      </c>
      <c r="H2871" s="35">
        <v>0.06</v>
      </c>
      <c r="I2871" s="67">
        <v>2.3199999999999998E-2</v>
      </c>
      <c r="J2871" s="67">
        <v>0</v>
      </c>
      <c r="K2871" s="67">
        <v>2.3199999999999998E-2</v>
      </c>
      <c r="L2871" s="36">
        <f>+K2871-((K2871*0.001*0.125)+(K2871*(1-0.001)*0.26))</f>
        <v>1.7171131999999999E-2</v>
      </c>
      <c r="M2871" s="64">
        <f t="shared" si="84"/>
        <v>1.7171131999999999E-2</v>
      </c>
      <c r="N2871" s="33" t="s">
        <v>718</v>
      </c>
    </row>
    <row r="2872" spans="1:14" ht="15">
      <c r="A2872" s="12"/>
      <c r="B2872" s="33" t="s">
        <v>189</v>
      </c>
      <c r="C2872" s="92" t="s">
        <v>728</v>
      </c>
      <c r="D2872" s="33" t="s">
        <v>411</v>
      </c>
      <c r="E2872" s="34">
        <v>45596</v>
      </c>
      <c r="F2872" s="34">
        <v>45600</v>
      </c>
      <c r="G2872" s="34">
        <v>45603</v>
      </c>
      <c r="H2872" s="35">
        <v>0.06</v>
      </c>
      <c r="I2872" s="67">
        <v>0.4229</v>
      </c>
      <c r="J2872" s="67">
        <v>0</v>
      </c>
      <c r="K2872" s="67">
        <v>0.4229</v>
      </c>
      <c r="L2872" s="36">
        <f>+K2872-((K2872*0.001*0.125)+(K2872*(1-0.001)*0.26))</f>
        <v>0.3130030915</v>
      </c>
      <c r="M2872" s="64">
        <f t="shared" si="84"/>
        <v>0.3130030915</v>
      </c>
      <c r="N2872" s="33" t="s">
        <v>718</v>
      </c>
    </row>
    <row r="2873" spans="1:14" ht="15">
      <c r="A2873" s="12"/>
      <c r="B2873" s="33" t="s">
        <v>197</v>
      </c>
      <c r="C2873" s="92" t="s">
        <v>729</v>
      </c>
      <c r="D2873" s="33" t="s">
        <v>411</v>
      </c>
      <c r="E2873" s="34">
        <v>45596</v>
      </c>
      <c r="F2873" s="34">
        <v>45600</v>
      </c>
      <c r="G2873" s="34">
        <v>45603</v>
      </c>
      <c r="H2873" s="35">
        <v>0.06</v>
      </c>
      <c r="I2873" s="67">
        <v>0.43669999999999998</v>
      </c>
      <c r="J2873" s="67">
        <v>0</v>
      </c>
      <c r="K2873" s="67">
        <v>0.43669999999999998</v>
      </c>
      <c r="L2873" s="36">
        <f>+K2873-((K2873*0.001*0.125)+(K2873*(1-0.001)*0.26))</f>
        <v>0.32321695449999999</v>
      </c>
      <c r="M2873" s="64">
        <f t="shared" ref="M2873:M2936" si="86">J2873+L2873</f>
        <v>0.32321695449999999</v>
      </c>
      <c r="N2873" s="33" t="s">
        <v>718</v>
      </c>
    </row>
    <row r="2874" spans="1:14" ht="15">
      <c r="A2874" s="12"/>
      <c r="B2874" s="33" t="s">
        <v>308</v>
      </c>
      <c r="C2874" s="92" t="s">
        <v>730</v>
      </c>
      <c r="D2874" s="33" t="s">
        <v>411</v>
      </c>
      <c r="E2874" s="34">
        <v>45596</v>
      </c>
      <c r="F2874" s="34">
        <v>45600</v>
      </c>
      <c r="G2874" s="34">
        <v>45603</v>
      </c>
      <c r="H2874" s="35">
        <v>0.05</v>
      </c>
      <c r="I2874" s="67">
        <v>1.7100000000000001E-2</v>
      </c>
      <c r="J2874" s="67">
        <v>0</v>
      </c>
      <c r="K2874" s="67">
        <v>1.7100000000000001E-2</v>
      </c>
      <c r="L2874" s="36">
        <f>+K2874-((K2874*0.5195*0.125)+(K2874*(1-0.5195)*0.26))</f>
        <v>1.385326575E-2</v>
      </c>
      <c r="M2874" s="64">
        <f t="shared" si="86"/>
        <v>1.385326575E-2</v>
      </c>
      <c r="N2874" s="33" t="s">
        <v>718</v>
      </c>
    </row>
    <row r="2875" spans="1:14" ht="15">
      <c r="A2875" s="12"/>
      <c r="B2875" s="33" t="s">
        <v>186</v>
      </c>
      <c r="C2875" s="92" t="s">
        <v>731</v>
      </c>
      <c r="D2875" s="33" t="s">
        <v>411</v>
      </c>
      <c r="E2875" s="34">
        <v>45596</v>
      </c>
      <c r="F2875" s="34">
        <v>45600</v>
      </c>
      <c r="G2875" s="34">
        <v>45603</v>
      </c>
      <c r="H2875" s="35">
        <v>0.05</v>
      </c>
      <c r="I2875" s="67">
        <v>0.3135</v>
      </c>
      <c r="J2875" s="67">
        <v>0</v>
      </c>
      <c r="K2875" s="67">
        <v>0.3135</v>
      </c>
      <c r="L2875" s="36">
        <f>+K2875-((K2875*0.5195*0.125)+(K2875*(1-0.5195)*0.26))</f>
        <v>0.25397653874999998</v>
      </c>
      <c r="M2875" s="64">
        <f t="shared" si="86"/>
        <v>0.25397653874999998</v>
      </c>
      <c r="N2875" s="33" t="s">
        <v>718</v>
      </c>
    </row>
    <row r="2876" spans="1:14" ht="15">
      <c r="A2876" s="12"/>
      <c r="B2876" s="33" t="s">
        <v>194</v>
      </c>
      <c r="C2876" s="92" t="s">
        <v>732</v>
      </c>
      <c r="D2876" s="33" t="s">
        <v>411</v>
      </c>
      <c r="E2876" s="34">
        <v>45596</v>
      </c>
      <c r="F2876" s="34">
        <v>45600</v>
      </c>
      <c r="G2876" s="34">
        <v>45603</v>
      </c>
      <c r="H2876" s="35">
        <v>0.05</v>
      </c>
      <c r="I2876" s="67">
        <v>0.32579999999999998</v>
      </c>
      <c r="J2876" s="67">
        <v>0</v>
      </c>
      <c r="K2876" s="67">
        <v>0.32579999999999998</v>
      </c>
      <c r="L2876" s="36">
        <f>+K2876-((K2876*0.5195*0.125)+(K2876*(1-0.5195)*0.26))</f>
        <v>0.26394116849999999</v>
      </c>
      <c r="M2876" s="64">
        <f t="shared" si="86"/>
        <v>0.26394116849999999</v>
      </c>
      <c r="N2876" s="33" t="s">
        <v>718</v>
      </c>
    </row>
    <row r="2877" spans="1:14" ht="15">
      <c r="A2877" s="12"/>
      <c r="B2877" s="33" t="s">
        <v>307</v>
      </c>
      <c r="C2877" s="92" t="s">
        <v>733</v>
      </c>
      <c r="D2877" s="33" t="s">
        <v>411</v>
      </c>
      <c r="E2877" s="34">
        <v>45596</v>
      </c>
      <c r="F2877" s="34">
        <v>45600</v>
      </c>
      <c r="G2877" s="34">
        <v>45603</v>
      </c>
      <c r="H2877" s="35">
        <v>0.04</v>
      </c>
      <c r="I2877" s="67">
        <v>1.2E-2</v>
      </c>
      <c r="J2877" s="67">
        <v>0</v>
      </c>
      <c r="K2877" s="67">
        <v>1.2E-2</v>
      </c>
      <c r="L2877" s="36">
        <f>+K2877-((K2877*0.6215*0.125)+(K2877*(1-0.6215)*0.26))</f>
        <v>9.8868299999999992E-3</v>
      </c>
      <c r="M2877" s="64">
        <f t="shared" si="86"/>
        <v>9.8868299999999992E-3</v>
      </c>
      <c r="N2877" s="33" t="s">
        <v>718</v>
      </c>
    </row>
    <row r="2878" spans="1:14" ht="15">
      <c r="A2878" s="12"/>
      <c r="B2878" s="33" t="s">
        <v>185</v>
      </c>
      <c r="C2878" s="92" t="s">
        <v>734</v>
      </c>
      <c r="D2878" s="33" t="s">
        <v>411</v>
      </c>
      <c r="E2878" s="34">
        <v>45596</v>
      </c>
      <c r="F2878" s="34">
        <v>45600</v>
      </c>
      <c r="G2878" s="34">
        <v>45603</v>
      </c>
      <c r="H2878" s="35">
        <v>0.04</v>
      </c>
      <c r="I2878" s="67">
        <v>0.19789999999999999</v>
      </c>
      <c r="J2878" s="67">
        <v>0</v>
      </c>
      <c r="K2878" s="67">
        <v>0.19789999999999999</v>
      </c>
      <c r="L2878" s="36">
        <f>+K2878-((K2878*0.6215*0.125)+(K2878*(1-0.6215)*0.26))</f>
        <v>0.16305030474999999</v>
      </c>
      <c r="M2878" s="64">
        <f t="shared" si="86"/>
        <v>0.16305030474999999</v>
      </c>
      <c r="N2878" s="33" t="s">
        <v>718</v>
      </c>
    </row>
    <row r="2879" spans="1:14" ht="15">
      <c r="A2879" s="12"/>
      <c r="B2879" s="33" t="s">
        <v>193</v>
      </c>
      <c r="C2879" s="92" t="s">
        <v>735</v>
      </c>
      <c r="D2879" s="33" t="s">
        <v>411</v>
      </c>
      <c r="E2879" s="34">
        <v>45596</v>
      </c>
      <c r="F2879" s="34">
        <v>45600</v>
      </c>
      <c r="G2879" s="34">
        <v>45603</v>
      </c>
      <c r="H2879" s="35">
        <v>0.04</v>
      </c>
      <c r="I2879" s="67">
        <v>0.1966</v>
      </c>
      <c r="J2879" s="67">
        <v>0</v>
      </c>
      <c r="K2879" s="67">
        <v>0.1966</v>
      </c>
      <c r="L2879" s="36">
        <f>+K2879-((K2879*0.6215*0.125)+(K2879*(1-0.6215)*0.26))</f>
        <v>0.16197923149999999</v>
      </c>
      <c r="M2879" s="64">
        <f t="shared" si="86"/>
        <v>0.16197923149999999</v>
      </c>
      <c r="N2879" s="33" t="s">
        <v>718</v>
      </c>
    </row>
    <row r="2880" spans="1:14" ht="15">
      <c r="A2880" s="12"/>
      <c r="B2880" s="33" t="s">
        <v>309</v>
      </c>
      <c r="C2880" s="92" t="s">
        <v>736</v>
      </c>
      <c r="D2880" s="33" t="s">
        <v>411</v>
      </c>
      <c r="E2880" s="34">
        <v>45596</v>
      </c>
      <c r="F2880" s="34">
        <v>45600</v>
      </c>
      <c r="G2880" s="34">
        <v>45603</v>
      </c>
      <c r="H2880" s="35">
        <v>5.5E-2</v>
      </c>
      <c r="I2880" s="67">
        <v>1.84E-2</v>
      </c>
      <c r="J2880" s="67">
        <v>0</v>
      </c>
      <c r="K2880" s="67">
        <v>1.84E-2</v>
      </c>
      <c r="L2880" s="36">
        <f>+K2880-((K2880*0.0515*0.125)+(K2880*(1-0.0515)*0.26))</f>
        <v>1.3743926E-2</v>
      </c>
      <c r="M2880" s="64">
        <f t="shared" si="86"/>
        <v>1.3743926E-2</v>
      </c>
      <c r="N2880" s="33" t="s">
        <v>718</v>
      </c>
    </row>
    <row r="2881" spans="1:14" ht="15">
      <c r="A2881" s="12"/>
      <c r="B2881" s="33" t="s">
        <v>187</v>
      </c>
      <c r="C2881" s="92" t="s">
        <v>737</v>
      </c>
      <c r="D2881" s="33" t="s">
        <v>411</v>
      </c>
      <c r="E2881" s="34">
        <v>45596</v>
      </c>
      <c r="F2881" s="34">
        <v>45600</v>
      </c>
      <c r="G2881" s="34">
        <v>45603</v>
      </c>
      <c r="H2881" s="35">
        <v>5.5E-2</v>
      </c>
      <c r="I2881" s="67">
        <v>0.3231</v>
      </c>
      <c r="J2881" s="67">
        <v>0</v>
      </c>
      <c r="K2881" s="67">
        <v>0.3231</v>
      </c>
      <c r="L2881" s="36">
        <f>+K2881-((K2881*0.0515*0.125)+(K2881*(1-0.0515)*0.26))</f>
        <v>0.24134035274999999</v>
      </c>
      <c r="M2881" s="64">
        <f t="shared" si="86"/>
        <v>0.24134035274999999</v>
      </c>
      <c r="N2881" s="33" t="s">
        <v>718</v>
      </c>
    </row>
    <row r="2882" spans="1:14" ht="15">
      <c r="A2882" s="12"/>
      <c r="B2882" s="33" t="s">
        <v>195</v>
      </c>
      <c r="C2882" s="92" t="s">
        <v>738</v>
      </c>
      <c r="D2882" s="33" t="s">
        <v>411</v>
      </c>
      <c r="E2882" s="34">
        <v>45596</v>
      </c>
      <c r="F2882" s="34">
        <v>45600</v>
      </c>
      <c r="G2882" s="34">
        <v>45603</v>
      </c>
      <c r="H2882" s="35">
        <v>5.5E-2</v>
      </c>
      <c r="I2882" s="67">
        <v>0.33889999999999998</v>
      </c>
      <c r="J2882" s="67">
        <v>0</v>
      </c>
      <c r="K2882" s="67">
        <v>0.33889999999999998</v>
      </c>
      <c r="L2882" s="36">
        <f>+K2882-((K2882*0.0515*0.125)+(K2882*(1-0.0515)*0.26))</f>
        <v>0.25314220224999995</v>
      </c>
      <c r="M2882" s="64">
        <f t="shared" si="86"/>
        <v>0.25314220224999995</v>
      </c>
      <c r="N2882" s="33" t="s">
        <v>718</v>
      </c>
    </row>
    <row r="2883" spans="1:14" ht="15">
      <c r="A2883" s="12"/>
      <c r="B2883" s="33" t="s">
        <v>312</v>
      </c>
      <c r="C2883" s="92" t="s">
        <v>739</v>
      </c>
      <c r="D2883" s="33" t="s">
        <v>411</v>
      </c>
      <c r="E2883" s="34">
        <v>45596</v>
      </c>
      <c r="F2883" s="34">
        <v>45600</v>
      </c>
      <c r="G2883" s="34">
        <v>45603</v>
      </c>
      <c r="H2883" s="35">
        <v>7.2499999999999995E-2</v>
      </c>
      <c r="I2883" s="67">
        <v>2.2499999999999999E-2</v>
      </c>
      <c r="J2883" s="67">
        <v>0</v>
      </c>
      <c r="K2883" s="67">
        <v>2.2499999999999999E-2</v>
      </c>
      <c r="L2883" s="36">
        <f>+K2883-((K2883*0.0000000000001*0.125)+(K2883*(1-0.0000000000001)*0.26))</f>
        <v>1.6650000000000303E-2</v>
      </c>
      <c r="M2883" s="64">
        <f t="shared" si="86"/>
        <v>1.6650000000000303E-2</v>
      </c>
      <c r="N2883" s="33" t="s">
        <v>718</v>
      </c>
    </row>
    <row r="2884" spans="1:14" ht="15">
      <c r="A2884" s="12"/>
      <c r="B2884" s="33" t="s">
        <v>190</v>
      </c>
      <c r="C2884" s="92" t="s">
        <v>740</v>
      </c>
      <c r="D2884" s="33" t="s">
        <v>411</v>
      </c>
      <c r="E2884" s="34">
        <v>45596</v>
      </c>
      <c r="F2884" s="34">
        <v>45600</v>
      </c>
      <c r="G2884" s="34">
        <v>45603</v>
      </c>
      <c r="H2884" s="35">
        <v>7.2499999999999995E-2</v>
      </c>
      <c r="I2884" s="67">
        <v>0.42409999999999998</v>
      </c>
      <c r="J2884" s="67">
        <v>0</v>
      </c>
      <c r="K2884" s="67">
        <v>0.42409999999999998</v>
      </c>
      <c r="L2884" s="36">
        <f>+K2884-((K2884*0.0000000000001*0.125)+(K2884*(1-0.0000000000001)*0.26))</f>
        <v>0.31383400000000572</v>
      </c>
      <c r="M2884" s="64">
        <f t="shared" si="86"/>
        <v>0.31383400000000572</v>
      </c>
      <c r="N2884" s="33" t="s">
        <v>718</v>
      </c>
    </row>
    <row r="2885" spans="1:14" ht="15">
      <c r="A2885" s="12"/>
      <c r="B2885" s="33" t="s">
        <v>198</v>
      </c>
      <c r="C2885" s="92" t="s">
        <v>741</v>
      </c>
      <c r="D2885" s="33" t="s">
        <v>411</v>
      </c>
      <c r="E2885" s="34">
        <v>45596</v>
      </c>
      <c r="F2885" s="34">
        <v>45600</v>
      </c>
      <c r="G2885" s="34">
        <v>45603</v>
      </c>
      <c r="H2885" s="35">
        <v>7.2499999999999995E-2</v>
      </c>
      <c r="I2885" s="67">
        <v>0.43080000000000002</v>
      </c>
      <c r="J2885" s="67">
        <v>0</v>
      </c>
      <c r="K2885" s="67">
        <v>0.43080000000000002</v>
      </c>
      <c r="L2885" s="36">
        <f>+K2885-((K2885*0.0000000000001*0.125)+(K2885*(1-0.0000000000001)*0.26))</f>
        <v>0.31879200000000585</v>
      </c>
      <c r="M2885" s="64">
        <f t="shared" si="86"/>
        <v>0.31879200000000585</v>
      </c>
      <c r="N2885" s="33" t="s">
        <v>718</v>
      </c>
    </row>
    <row r="2886" spans="1:14" ht="15">
      <c r="A2886" s="12"/>
      <c r="B2886" s="33" t="s">
        <v>313</v>
      </c>
      <c r="C2886" s="92" t="s">
        <v>884</v>
      </c>
      <c r="D2886" s="33" t="s">
        <v>411</v>
      </c>
      <c r="E2886" s="34">
        <v>45596</v>
      </c>
      <c r="F2886" s="34">
        <v>45600</v>
      </c>
      <c r="G2886" s="34">
        <v>45603</v>
      </c>
      <c r="H2886" s="35">
        <v>4.7500000000000001E-2</v>
      </c>
      <c r="I2886" s="67">
        <v>1.61E-2</v>
      </c>
      <c r="J2886" s="67">
        <v>0</v>
      </c>
      <c r="K2886" s="67">
        <v>1.61E-2</v>
      </c>
      <c r="L2886" s="36">
        <f>+K2886-((K2886*0.314*0.125)+(K2886*(1-0.314)*0.26))</f>
        <v>1.2596479000000001E-2</v>
      </c>
      <c r="M2886" s="64">
        <f t="shared" si="86"/>
        <v>1.2596479000000001E-2</v>
      </c>
      <c r="N2886" s="33" t="s">
        <v>718</v>
      </c>
    </row>
    <row r="2887" spans="1:14" ht="15">
      <c r="A2887" s="12"/>
      <c r="B2887" s="33" t="s">
        <v>334</v>
      </c>
      <c r="C2887" s="92" t="s">
        <v>401</v>
      </c>
      <c r="D2887" s="33" t="s">
        <v>412</v>
      </c>
      <c r="E2887" s="34">
        <v>45608</v>
      </c>
      <c r="F2887" s="34">
        <v>45609</v>
      </c>
      <c r="G2887" s="34">
        <v>45614</v>
      </c>
      <c r="H2887" s="35"/>
      <c r="I2887" s="67">
        <v>4.5</v>
      </c>
      <c r="J2887" s="67">
        <v>0</v>
      </c>
      <c r="K2887" s="67">
        <v>4.5</v>
      </c>
      <c r="L2887" s="36">
        <f>+K2887-((K2887*0.0000001*0.125)+(K2887*(1-0.0000001)*0.26))</f>
        <v>3.3300000607499998</v>
      </c>
      <c r="M2887" s="64">
        <f t="shared" si="86"/>
        <v>3.3300000607499998</v>
      </c>
      <c r="N2887" s="33" t="s">
        <v>288</v>
      </c>
    </row>
    <row r="2888" spans="1:14" ht="15">
      <c r="A2888" s="12"/>
      <c r="B2888" s="33" t="s">
        <v>333</v>
      </c>
      <c r="C2888" s="92" t="s">
        <v>402</v>
      </c>
      <c r="D2888" s="33" t="s">
        <v>412</v>
      </c>
      <c r="E2888" s="34">
        <v>45608</v>
      </c>
      <c r="F2888" s="34">
        <v>45609</v>
      </c>
      <c r="G2888" s="34">
        <v>45614</v>
      </c>
      <c r="H2888" s="35"/>
      <c r="I2888" s="67">
        <v>4.5</v>
      </c>
      <c r="J2888" s="67">
        <v>0</v>
      </c>
      <c r="K2888" s="67">
        <v>4.5</v>
      </c>
      <c r="L2888" s="36">
        <f>+K2888-((K2888*0.0000001*0.125)+(K2888*(1-0.0000001)*0.26))</f>
        <v>3.3300000607499998</v>
      </c>
      <c r="M2888" s="64">
        <f t="shared" si="86"/>
        <v>3.3300000607499998</v>
      </c>
      <c r="N2888" s="33" t="s">
        <v>288</v>
      </c>
    </row>
    <row r="2889" spans="1:14" ht="15">
      <c r="A2889" s="12"/>
      <c r="B2889" s="33" t="s">
        <v>310</v>
      </c>
      <c r="C2889" s="92" t="s">
        <v>719</v>
      </c>
      <c r="D2889" s="33" t="s">
        <v>411</v>
      </c>
      <c r="E2889" s="34">
        <v>45625</v>
      </c>
      <c r="F2889" s="34">
        <v>45628</v>
      </c>
      <c r="G2889" s="34">
        <v>45631</v>
      </c>
      <c r="H2889" s="35">
        <v>0.05</v>
      </c>
      <c r="I2889" s="67">
        <v>1.43E-2</v>
      </c>
      <c r="J2889" s="67">
        <v>0</v>
      </c>
      <c r="K2889" s="67">
        <v>1.43E-2</v>
      </c>
      <c r="L2889" s="36">
        <f>+K2889-((K2889*0.0445*0.125)+(K2889*(1-0.0445)*0.26))</f>
        <v>1.0667907250000001E-2</v>
      </c>
      <c r="M2889" s="64">
        <f t="shared" si="86"/>
        <v>1.0667907250000001E-2</v>
      </c>
      <c r="N2889" s="33" t="s">
        <v>718</v>
      </c>
    </row>
    <row r="2890" spans="1:14" ht="15">
      <c r="A2890" s="12"/>
      <c r="B2890" s="33" t="s">
        <v>188</v>
      </c>
      <c r="C2890" s="92" t="s">
        <v>720</v>
      </c>
      <c r="D2890" s="33" t="s">
        <v>411</v>
      </c>
      <c r="E2890" s="34">
        <v>45625</v>
      </c>
      <c r="F2890" s="34">
        <v>45628</v>
      </c>
      <c r="G2890" s="34">
        <v>45631</v>
      </c>
      <c r="H2890" s="35">
        <v>0.05</v>
      </c>
      <c r="I2890" s="67">
        <v>0.24859999999999999</v>
      </c>
      <c r="J2890" s="67">
        <v>0</v>
      </c>
      <c r="K2890" s="67">
        <v>0.24859999999999999</v>
      </c>
      <c r="L2890" s="36">
        <f>+K2890-((K2890*0.0445*0.125)+(K2890*(1-0.0445)*0.26))</f>
        <v>0.1854574645</v>
      </c>
      <c r="M2890" s="64">
        <f t="shared" si="86"/>
        <v>0.1854574645</v>
      </c>
      <c r="N2890" s="33" t="s">
        <v>718</v>
      </c>
    </row>
    <row r="2891" spans="1:14" ht="15">
      <c r="A2891" s="12"/>
      <c r="B2891" s="33" t="s">
        <v>196</v>
      </c>
      <c r="C2891" s="92" t="s">
        <v>721</v>
      </c>
      <c r="D2891" s="33" t="s">
        <v>411</v>
      </c>
      <c r="E2891" s="34">
        <v>45625</v>
      </c>
      <c r="F2891" s="34">
        <v>45628</v>
      </c>
      <c r="G2891" s="34">
        <v>45631</v>
      </c>
      <c r="H2891" s="35">
        <v>0.05</v>
      </c>
      <c r="I2891" s="67">
        <v>0.26240000000000002</v>
      </c>
      <c r="J2891" s="67">
        <v>0</v>
      </c>
      <c r="K2891" s="67">
        <v>0.26240000000000002</v>
      </c>
      <c r="L2891" s="36">
        <f>+K2891-((K2891*0.0445*0.125)+(K2891*(1-0.0445)*0.26))</f>
        <v>0.19575236800000001</v>
      </c>
      <c r="M2891" s="64">
        <f t="shared" si="86"/>
        <v>0.19575236800000001</v>
      </c>
      <c r="N2891" s="33" t="s">
        <v>718</v>
      </c>
    </row>
    <row r="2892" spans="1:14" ht="15">
      <c r="A2892" s="12"/>
      <c r="B2892" s="33" t="s">
        <v>191</v>
      </c>
      <c r="C2892" s="92" t="s">
        <v>722</v>
      </c>
      <c r="D2892" s="33" t="s">
        <v>411</v>
      </c>
      <c r="E2892" s="34">
        <v>45625</v>
      </c>
      <c r="F2892" s="34">
        <v>45628</v>
      </c>
      <c r="G2892" s="34">
        <v>45631</v>
      </c>
      <c r="H2892" s="35">
        <v>0.05</v>
      </c>
      <c r="I2892" s="67">
        <v>1.5100000000000001E-2</v>
      </c>
      <c r="J2892" s="67">
        <v>0</v>
      </c>
      <c r="K2892" s="67">
        <v>1.5100000000000001E-2</v>
      </c>
      <c r="L2892" s="36">
        <f>+K2892-((K2892*0.8545*0.125)+(K2892*(1-0.8545)*0.26))</f>
        <v>1.291589825E-2</v>
      </c>
      <c r="M2892" s="64">
        <f t="shared" si="86"/>
        <v>1.291589825E-2</v>
      </c>
      <c r="N2892" s="33" t="s">
        <v>718</v>
      </c>
    </row>
    <row r="2893" spans="1:14" ht="15">
      <c r="A2893" s="12"/>
      <c r="B2893" s="33" t="s">
        <v>199</v>
      </c>
      <c r="C2893" s="92" t="s">
        <v>723</v>
      </c>
      <c r="D2893" s="33" t="s">
        <v>411</v>
      </c>
      <c r="E2893" s="34">
        <v>45625</v>
      </c>
      <c r="F2893" s="34">
        <v>45628</v>
      </c>
      <c r="G2893" s="34">
        <v>45631</v>
      </c>
      <c r="H2893" s="35">
        <v>0.05</v>
      </c>
      <c r="I2893" s="67">
        <v>1.52E-2</v>
      </c>
      <c r="J2893" s="67">
        <v>0</v>
      </c>
      <c r="K2893" s="67">
        <v>1.52E-2</v>
      </c>
      <c r="L2893" s="36">
        <f>+K2893-((K2893*0.8545*0.125)+(K2893*(1-0.8545)*0.26))</f>
        <v>1.3001433999999999E-2</v>
      </c>
      <c r="M2893" s="64">
        <f t="shared" si="86"/>
        <v>1.3001433999999999E-2</v>
      </c>
      <c r="N2893" s="33" t="s">
        <v>718</v>
      </c>
    </row>
    <row r="2894" spans="1:14" ht="15">
      <c r="A2894" s="12"/>
      <c r="B2894" s="33" t="s">
        <v>306</v>
      </c>
      <c r="C2894" s="92" t="s">
        <v>724</v>
      </c>
      <c r="D2894" s="33" t="s">
        <v>411</v>
      </c>
      <c r="E2894" s="34">
        <v>45625</v>
      </c>
      <c r="F2894" s="34">
        <v>45628</v>
      </c>
      <c r="G2894" s="34">
        <v>45631</v>
      </c>
      <c r="H2894" s="35">
        <v>7.0000000000000007E-2</v>
      </c>
      <c r="I2894" s="67">
        <v>2.4899999999999999E-2</v>
      </c>
      <c r="J2894" s="67">
        <v>0</v>
      </c>
      <c r="K2894" s="67">
        <v>2.4899999999999999E-2</v>
      </c>
      <c r="L2894" s="36">
        <f>+K2894-((K2894*0.0015*0.125)+(K2894*(1-0.0015)*0.26))</f>
        <v>1.8431042249999998E-2</v>
      </c>
      <c r="M2894" s="64">
        <f t="shared" si="86"/>
        <v>1.8431042249999998E-2</v>
      </c>
      <c r="N2894" s="33" t="s">
        <v>718</v>
      </c>
    </row>
    <row r="2895" spans="1:14" ht="15">
      <c r="A2895" s="12"/>
      <c r="B2895" s="33" t="s">
        <v>184</v>
      </c>
      <c r="C2895" s="92" t="s">
        <v>725</v>
      </c>
      <c r="D2895" s="33" t="s">
        <v>411</v>
      </c>
      <c r="E2895" s="34">
        <v>45625</v>
      </c>
      <c r="F2895" s="34">
        <v>45628</v>
      </c>
      <c r="G2895" s="34">
        <v>45631</v>
      </c>
      <c r="H2895" s="35">
        <v>7.0000000000000007E-2</v>
      </c>
      <c r="I2895" s="67">
        <v>0.49859999999999999</v>
      </c>
      <c r="J2895" s="67">
        <v>0</v>
      </c>
      <c r="K2895" s="67">
        <v>0.49859999999999999</v>
      </c>
      <c r="L2895" s="36">
        <f>+K2895-((K2895*0.0015*0.125)+(K2895*(1-0.0015)*0.26))</f>
        <v>0.36906496649999998</v>
      </c>
      <c r="M2895" s="64">
        <f t="shared" si="86"/>
        <v>0.36906496649999998</v>
      </c>
      <c r="N2895" s="33" t="s">
        <v>718</v>
      </c>
    </row>
    <row r="2896" spans="1:14" ht="15">
      <c r="A2896" s="12"/>
      <c r="B2896" s="33" t="s">
        <v>192</v>
      </c>
      <c r="C2896" s="92" t="s">
        <v>726</v>
      </c>
      <c r="D2896" s="33" t="s">
        <v>411</v>
      </c>
      <c r="E2896" s="34">
        <v>45625</v>
      </c>
      <c r="F2896" s="34">
        <v>45628</v>
      </c>
      <c r="G2896" s="34">
        <v>45631</v>
      </c>
      <c r="H2896" s="35">
        <v>7.0000000000000007E-2</v>
      </c>
      <c r="I2896" s="67">
        <v>0.51080000000000003</v>
      </c>
      <c r="J2896" s="67">
        <v>0</v>
      </c>
      <c r="K2896" s="67">
        <v>0.51080000000000003</v>
      </c>
      <c r="L2896" s="36">
        <f>+K2896-((K2896*0.0015*0.125)+(K2896*(1-0.0015)*0.26))</f>
        <v>0.37809543700000003</v>
      </c>
      <c r="M2896" s="64">
        <f t="shared" si="86"/>
        <v>0.37809543700000003</v>
      </c>
      <c r="N2896" s="33" t="s">
        <v>718</v>
      </c>
    </row>
    <row r="2897" spans="1:14" ht="15">
      <c r="A2897" s="12"/>
      <c r="B2897" s="33" t="s">
        <v>311</v>
      </c>
      <c r="C2897" s="92" t="s">
        <v>727</v>
      </c>
      <c r="D2897" s="33" t="s">
        <v>411</v>
      </c>
      <c r="E2897" s="34">
        <v>45625</v>
      </c>
      <c r="F2897" s="34">
        <v>45628</v>
      </c>
      <c r="G2897" s="34">
        <v>45631</v>
      </c>
      <c r="H2897" s="35">
        <v>0.06</v>
      </c>
      <c r="I2897" s="67">
        <v>2.3199999999999998E-2</v>
      </c>
      <c r="J2897" s="67">
        <v>0</v>
      </c>
      <c r="K2897" s="67">
        <v>2.3199999999999998E-2</v>
      </c>
      <c r="L2897" s="36">
        <f>+K2897-((K2897*0.001*0.125)+(K2897*(1-0.001)*0.26))</f>
        <v>1.7171131999999999E-2</v>
      </c>
      <c r="M2897" s="64">
        <f t="shared" si="86"/>
        <v>1.7171131999999999E-2</v>
      </c>
      <c r="N2897" s="33" t="s">
        <v>718</v>
      </c>
    </row>
    <row r="2898" spans="1:14" ht="15">
      <c r="A2898" s="12"/>
      <c r="B2898" s="33" t="s">
        <v>189</v>
      </c>
      <c r="C2898" s="92" t="s">
        <v>728</v>
      </c>
      <c r="D2898" s="33" t="s">
        <v>411</v>
      </c>
      <c r="E2898" s="34">
        <v>45625</v>
      </c>
      <c r="F2898" s="34">
        <v>45628</v>
      </c>
      <c r="G2898" s="34">
        <v>45631</v>
      </c>
      <c r="H2898" s="35">
        <v>0.06</v>
      </c>
      <c r="I2898" s="67">
        <v>0.4229</v>
      </c>
      <c r="J2898" s="67">
        <v>0</v>
      </c>
      <c r="K2898" s="67">
        <v>0.4229</v>
      </c>
      <c r="L2898" s="36">
        <f>+K2898-((K2898*0.001*0.125)+(K2898*(1-0.001)*0.26))</f>
        <v>0.3130030915</v>
      </c>
      <c r="M2898" s="64">
        <f t="shared" si="86"/>
        <v>0.3130030915</v>
      </c>
      <c r="N2898" s="33" t="s">
        <v>718</v>
      </c>
    </row>
    <row r="2899" spans="1:14" ht="15">
      <c r="A2899" s="12"/>
      <c r="B2899" s="33" t="s">
        <v>197</v>
      </c>
      <c r="C2899" s="92" t="s">
        <v>729</v>
      </c>
      <c r="D2899" s="33" t="s">
        <v>411</v>
      </c>
      <c r="E2899" s="34">
        <v>45625</v>
      </c>
      <c r="F2899" s="34">
        <v>45628</v>
      </c>
      <c r="G2899" s="34">
        <v>45631</v>
      </c>
      <c r="H2899" s="35">
        <v>0.06</v>
      </c>
      <c r="I2899" s="67">
        <v>0.43669999999999998</v>
      </c>
      <c r="J2899" s="67">
        <v>0</v>
      </c>
      <c r="K2899" s="67">
        <v>0.43669999999999998</v>
      </c>
      <c r="L2899" s="36">
        <f>+K2899-((K2899*0.001*0.125)+(K2899*(1-0.001)*0.26))</f>
        <v>0.32321695449999999</v>
      </c>
      <c r="M2899" s="64">
        <f t="shared" si="86"/>
        <v>0.32321695449999999</v>
      </c>
      <c r="N2899" s="33" t="s">
        <v>718</v>
      </c>
    </row>
    <row r="2900" spans="1:14" ht="15">
      <c r="A2900" s="12"/>
      <c r="B2900" s="33" t="s">
        <v>308</v>
      </c>
      <c r="C2900" s="92" t="s">
        <v>730</v>
      </c>
      <c r="D2900" s="33" t="s">
        <v>411</v>
      </c>
      <c r="E2900" s="34">
        <v>45625</v>
      </c>
      <c r="F2900" s="34">
        <v>45628</v>
      </c>
      <c r="G2900" s="34">
        <v>45631</v>
      </c>
      <c r="H2900" s="35">
        <v>0.05</v>
      </c>
      <c r="I2900" s="67">
        <v>1.7100000000000001E-2</v>
      </c>
      <c r="J2900" s="67">
        <v>0</v>
      </c>
      <c r="K2900" s="67">
        <v>1.7100000000000001E-2</v>
      </c>
      <c r="L2900" s="36">
        <f>+K2900-((K2900*0.5195*0.125)+(K2900*(1-0.5195)*0.26))</f>
        <v>1.385326575E-2</v>
      </c>
      <c r="M2900" s="64">
        <f t="shared" si="86"/>
        <v>1.385326575E-2</v>
      </c>
      <c r="N2900" s="33" t="s">
        <v>718</v>
      </c>
    </row>
    <row r="2901" spans="1:14" ht="15">
      <c r="A2901" s="12"/>
      <c r="B2901" s="33" t="s">
        <v>186</v>
      </c>
      <c r="C2901" s="92" t="s">
        <v>731</v>
      </c>
      <c r="D2901" s="33" t="s">
        <v>411</v>
      </c>
      <c r="E2901" s="34">
        <v>45625</v>
      </c>
      <c r="F2901" s="34">
        <v>45628</v>
      </c>
      <c r="G2901" s="34">
        <v>45631</v>
      </c>
      <c r="H2901" s="35">
        <v>0.05</v>
      </c>
      <c r="I2901" s="67">
        <v>0.3135</v>
      </c>
      <c r="J2901" s="67">
        <v>0</v>
      </c>
      <c r="K2901" s="67">
        <v>0.3135</v>
      </c>
      <c r="L2901" s="36">
        <f>+K2901-((K2901*0.5195*0.125)+(K2901*(1-0.5195)*0.26))</f>
        <v>0.25397653874999998</v>
      </c>
      <c r="M2901" s="64">
        <f t="shared" si="86"/>
        <v>0.25397653874999998</v>
      </c>
      <c r="N2901" s="33" t="s">
        <v>718</v>
      </c>
    </row>
    <row r="2902" spans="1:14" ht="15">
      <c r="A2902" s="12"/>
      <c r="B2902" s="33" t="s">
        <v>194</v>
      </c>
      <c r="C2902" s="92" t="s">
        <v>732</v>
      </c>
      <c r="D2902" s="33" t="s">
        <v>411</v>
      </c>
      <c r="E2902" s="34">
        <v>45625</v>
      </c>
      <c r="F2902" s="34">
        <v>45628</v>
      </c>
      <c r="G2902" s="34">
        <v>45631</v>
      </c>
      <c r="H2902" s="35">
        <v>0.05</v>
      </c>
      <c r="I2902" s="67">
        <v>0.32579999999999998</v>
      </c>
      <c r="J2902" s="67">
        <v>0</v>
      </c>
      <c r="K2902" s="67">
        <v>0.32579999999999998</v>
      </c>
      <c r="L2902" s="36">
        <f>+K2902-((K2902*0.5195*0.125)+(K2902*(1-0.5195)*0.26))</f>
        <v>0.26394116849999999</v>
      </c>
      <c r="M2902" s="64">
        <f t="shared" si="86"/>
        <v>0.26394116849999999</v>
      </c>
      <c r="N2902" s="33" t="s">
        <v>718</v>
      </c>
    </row>
    <row r="2903" spans="1:14" ht="15">
      <c r="A2903" s="12"/>
      <c r="B2903" s="33" t="s">
        <v>307</v>
      </c>
      <c r="C2903" s="92" t="s">
        <v>733</v>
      </c>
      <c r="D2903" s="33" t="s">
        <v>411</v>
      </c>
      <c r="E2903" s="34">
        <v>45625</v>
      </c>
      <c r="F2903" s="34">
        <v>45628</v>
      </c>
      <c r="G2903" s="34">
        <v>45631</v>
      </c>
      <c r="H2903" s="35">
        <v>0.04</v>
      </c>
      <c r="I2903" s="67">
        <v>1.2E-2</v>
      </c>
      <c r="J2903" s="67">
        <v>0</v>
      </c>
      <c r="K2903" s="67">
        <v>1.2E-2</v>
      </c>
      <c r="L2903" s="36">
        <f>+K2903-((K2903*0.6215*0.125)+(K2903*(1-0.6215)*0.26))</f>
        <v>9.8868299999999992E-3</v>
      </c>
      <c r="M2903" s="64">
        <f t="shared" si="86"/>
        <v>9.8868299999999992E-3</v>
      </c>
      <c r="N2903" s="33" t="s">
        <v>718</v>
      </c>
    </row>
    <row r="2904" spans="1:14" ht="15">
      <c r="A2904" s="12"/>
      <c r="B2904" s="33" t="s">
        <v>185</v>
      </c>
      <c r="C2904" s="92" t="s">
        <v>734</v>
      </c>
      <c r="D2904" s="33" t="s">
        <v>411</v>
      </c>
      <c r="E2904" s="34">
        <v>45625</v>
      </c>
      <c r="F2904" s="34">
        <v>45628</v>
      </c>
      <c r="G2904" s="34">
        <v>45631</v>
      </c>
      <c r="H2904" s="35">
        <v>0.04</v>
      </c>
      <c r="I2904" s="67">
        <v>0.19789999999999999</v>
      </c>
      <c r="J2904" s="67">
        <v>0</v>
      </c>
      <c r="K2904" s="67">
        <v>0.19789999999999999</v>
      </c>
      <c r="L2904" s="36">
        <f>+K2904-((K2904*0.6215*0.125)+(K2904*(1-0.6215)*0.26))</f>
        <v>0.16305030474999999</v>
      </c>
      <c r="M2904" s="64">
        <f t="shared" si="86"/>
        <v>0.16305030474999999</v>
      </c>
      <c r="N2904" s="33" t="s">
        <v>718</v>
      </c>
    </row>
    <row r="2905" spans="1:14" ht="15">
      <c r="A2905" s="12"/>
      <c r="B2905" s="33" t="s">
        <v>193</v>
      </c>
      <c r="C2905" s="92" t="s">
        <v>735</v>
      </c>
      <c r="D2905" s="33" t="s">
        <v>411</v>
      </c>
      <c r="E2905" s="34">
        <v>45625</v>
      </c>
      <c r="F2905" s="34">
        <v>45628</v>
      </c>
      <c r="G2905" s="34">
        <v>45631</v>
      </c>
      <c r="H2905" s="35">
        <v>0.04</v>
      </c>
      <c r="I2905" s="67">
        <v>0.1966</v>
      </c>
      <c r="J2905" s="67">
        <v>0</v>
      </c>
      <c r="K2905" s="67">
        <v>0.1966</v>
      </c>
      <c r="L2905" s="36">
        <f>+K2905-((K2905*0.6215*0.125)+(K2905*(1-0.6215)*0.26))</f>
        <v>0.16197923149999999</v>
      </c>
      <c r="M2905" s="64">
        <f t="shared" si="86"/>
        <v>0.16197923149999999</v>
      </c>
      <c r="N2905" s="33" t="s">
        <v>718</v>
      </c>
    </row>
    <row r="2906" spans="1:14" ht="15">
      <c r="A2906" s="12"/>
      <c r="B2906" s="33" t="s">
        <v>309</v>
      </c>
      <c r="C2906" s="92" t="s">
        <v>736</v>
      </c>
      <c r="D2906" s="33" t="s">
        <v>411</v>
      </c>
      <c r="E2906" s="34">
        <v>45625</v>
      </c>
      <c r="F2906" s="34">
        <v>45628</v>
      </c>
      <c r="G2906" s="34">
        <v>45631</v>
      </c>
      <c r="H2906" s="35">
        <v>5.5E-2</v>
      </c>
      <c r="I2906" s="67">
        <v>1.84E-2</v>
      </c>
      <c r="J2906" s="67">
        <v>0</v>
      </c>
      <c r="K2906" s="67">
        <v>1.84E-2</v>
      </c>
      <c r="L2906" s="36">
        <f>+K2906-((K2906*0.0515*0.125)+(K2906*(1-0.0515)*0.26))</f>
        <v>1.3743926E-2</v>
      </c>
      <c r="M2906" s="64">
        <f t="shared" si="86"/>
        <v>1.3743926E-2</v>
      </c>
      <c r="N2906" s="33" t="s">
        <v>718</v>
      </c>
    </row>
    <row r="2907" spans="1:14" ht="15">
      <c r="A2907" s="12"/>
      <c r="B2907" s="33" t="s">
        <v>187</v>
      </c>
      <c r="C2907" s="92" t="s">
        <v>737</v>
      </c>
      <c r="D2907" s="33" t="s">
        <v>411</v>
      </c>
      <c r="E2907" s="34">
        <v>45625</v>
      </c>
      <c r="F2907" s="34">
        <v>45628</v>
      </c>
      <c r="G2907" s="34">
        <v>45631</v>
      </c>
      <c r="H2907" s="35">
        <v>5.5E-2</v>
      </c>
      <c r="I2907" s="67">
        <v>0.3231</v>
      </c>
      <c r="J2907" s="67">
        <v>0</v>
      </c>
      <c r="K2907" s="67">
        <v>0.3231</v>
      </c>
      <c r="L2907" s="36">
        <f>+K2907-((K2907*0.0515*0.125)+(K2907*(1-0.0515)*0.26))</f>
        <v>0.24134035274999999</v>
      </c>
      <c r="M2907" s="64">
        <f t="shared" si="86"/>
        <v>0.24134035274999999</v>
      </c>
      <c r="N2907" s="33" t="s">
        <v>718</v>
      </c>
    </row>
    <row r="2908" spans="1:14" ht="15">
      <c r="A2908" s="12"/>
      <c r="B2908" s="33" t="s">
        <v>195</v>
      </c>
      <c r="C2908" s="92" t="s">
        <v>738</v>
      </c>
      <c r="D2908" s="33" t="s">
        <v>411</v>
      </c>
      <c r="E2908" s="34">
        <v>45625</v>
      </c>
      <c r="F2908" s="34">
        <v>45628</v>
      </c>
      <c r="G2908" s="34">
        <v>45631</v>
      </c>
      <c r="H2908" s="35">
        <v>5.5E-2</v>
      </c>
      <c r="I2908" s="67">
        <v>1.43E-2</v>
      </c>
      <c r="J2908" s="67">
        <v>0</v>
      </c>
      <c r="K2908" s="67">
        <v>1.43E-2</v>
      </c>
      <c r="L2908" s="36">
        <f>+K2908-((K2908*0.0515*0.125)+(K2908*(1-0.0515)*0.26))</f>
        <v>1.068142075E-2</v>
      </c>
      <c r="M2908" s="64">
        <f t="shared" si="86"/>
        <v>1.068142075E-2</v>
      </c>
      <c r="N2908" s="33" t="s">
        <v>718</v>
      </c>
    </row>
    <row r="2909" spans="1:14" ht="15">
      <c r="A2909" s="12"/>
      <c r="B2909" s="33" t="s">
        <v>312</v>
      </c>
      <c r="C2909" s="92" t="s">
        <v>739</v>
      </c>
      <c r="D2909" s="33" t="s">
        <v>411</v>
      </c>
      <c r="E2909" s="34">
        <v>45625</v>
      </c>
      <c r="F2909" s="34">
        <v>45628</v>
      </c>
      <c r="G2909" s="34">
        <v>45631</v>
      </c>
      <c r="H2909" s="35">
        <v>7.2499999999999995E-2</v>
      </c>
      <c r="I2909" s="67">
        <v>0.24859999999999999</v>
      </c>
      <c r="J2909" s="67">
        <v>0</v>
      </c>
      <c r="K2909" s="67">
        <v>0.24859999999999999</v>
      </c>
      <c r="L2909" s="36">
        <f>+K2909-((K2909*0.0000000000001*0.125)+(K2909*(1-0.0000000000001)*0.26))</f>
        <v>0.18396400000000335</v>
      </c>
      <c r="M2909" s="64">
        <f t="shared" si="86"/>
        <v>0.18396400000000335</v>
      </c>
      <c r="N2909" s="33" t="s">
        <v>718</v>
      </c>
    </row>
    <row r="2910" spans="1:14" ht="15">
      <c r="A2910" s="12"/>
      <c r="B2910" s="33" t="s">
        <v>190</v>
      </c>
      <c r="C2910" s="92" t="s">
        <v>740</v>
      </c>
      <c r="D2910" s="33" t="s">
        <v>411</v>
      </c>
      <c r="E2910" s="34">
        <v>45625</v>
      </c>
      <c r="F2910" s="34">
        <v>45628</v>
      </c>
      <c r="G2910" s="34">
        <v>45631</v>
      </c>
      <c r="H2910" s="35">
        <v>7.2499999999999995E-2</v>
      </c>
      <c r="I2910" s="67">
        <v>0.26240000000000002</v>
      </c>
      <c r="J2910" s="67">
        <v>0</v>
      </c>
      <c r="K2910" s="67">
        <v>0.26240000000000002</v>
      </c>
      <c r="L2910" s="36">
        <f>+K2910-((K2910*0.0000000000001*0.125)+(K2910*(1-0.0000000000001)*0.26))</f>
        <v>0.19417600000000357</v>
      </c>
      <c r="M2910" s="64">
        <f t="shared" si="86"/>
        <v>0.19417600000000357</v>
      </c>
      <c r="N2910" s="33" t="s">
        <v>718</v>
      </c>
    </row>
    <row r="2911" spans="1:14" ht="15">
      <c r="A2911" s="12"/>
      <c r="B2911" s="33" t="s">
        <v>198</v>
      </c>
      <c r="C2911" s="92" t="s">
        <v>741</v>
      </c>
      <c r="D2911" s="33" t="s">
        <v>411</v>
      </c>
      <c r="E2911" s="34">
        <v>45625</v>
      </c>
      <c r="F2911" s="34">
        <v>45628</v>
      </c>
      <c r="G2911" s="34">
        <v>45631</v>
      </c>
      <c r="H2911" s="35">
        <v>7.2499999999999995E-2</v>
      </c>
      <c r="I2911" s="67">
        <v>1.5100000000000001E-2</v>
      </c>
      <c r="J2911" s="67">
        <v>0</v>
      </c>
      <c r="K2911" s="67">
        <v>1.5100000000000001E-2</v>
      </c>
      <c r="L2911" s="36">
        <f>+K2911-((K2911*0.0000000000001*0.125)+(K2911*(1-0.0000000000001)*0.26))</f>
        <v>1.1174000000000205E-2</v>
      </c>
      <c r="M2911" s="64">
        <f t="shared" si="86"/>
        <v>1.1174000000000205E-2</v>
      </c>
      <c r="N2911" s="33" t="s">
        <v>718</v>
      </c>
    </row>
    <row r="2912" spans="1:14" ht="15">
      <c r="A2912" s="12"/>
      <c r="B2912" s="33" t="s">
        <v>313</v>
      </c>
      <c r="C2912" s="92" t="s">
        <v>884</v>
      </c>
      <c r="D2912" s="33" t="s">
        <v>411</v>
      </c>
      <c r="E2912" s="34">
        <v>45625</v>
      </c>
      <c r="F2912" s="34">
        <v>45628</v>
      </c>
      <c r="G2912" s="34">
        <v>45631</v>
      </c>
      <c r="H2912" s="35">
        <v>4.7500000000000001E-2</v>
      </c>
      <c r="I2912" s="67">
        <v>1.52E-2</v>
      </c>
      <c r="J2912" s="67">
        <v>0</v>
      </c>
      <c r="K2912" s="67">
        <v>1.52E-2</v>
      </c>
      <c r="L2912" s="36">
        <f>+K2912-((K2912*0.314*0.125)+(K2912*(1-0.314)*0.26))</f>
        <v>1.1892328000000001E-2</v>
      </c>
      <c r="M2912" s="64">
        <f t="shared" si="86"/>
        <v>1.1892328000000001E-2</v>
      </c>
      <c r="N2912" s="33" t="s">
        <v>718</v>
      </c>
    </row>
    <row r="2913" spans="1:14" ht="15">
      <c r="A2913" s="12"/>
      <c r="B2913" s="33" t="s">
        <v>174</v>
      </c>
      <c r="C2913" s="92" t="s">
        <v>382</v>
      </c>
      <c r="D2913" s="33" t="s">
        <v>410</v>
      </c>
      <c r="E2913" s="34">
        <v>45656</v>
      </c>
      <c r="F2913" s="34">
        <v>45657</v>
      </c>
      <c r="G2913" s="34">
        <v>45663</v>
      </c>
      <c r="H2913" s="35"/>
      <c r="I2913" s="67">
        <v>3.9551999999999997E-2</v>
      </c>
      <c r="J2913" s="67">
        <v>0</v>
      </c>
      <c r="K2913" s="67">
        <v>3.9551679999999999E-2</v>
      </c>
      <c r="L2913" s="36">
        <f>+K2913-((K2913*0.0255*0.125)+(K2913*(1-0.0255)*0.26))</f>
        <v>2.9404399858400002E-2</v>
      </c>
      <c r="M2913" s="64">
        <f t="shared" si="86"/>
        <v>2.9404399858400002E-2</v>
      </c>
      <c r="N2913" s="33" t="s">
        <v>247</v>
      </c>
    </row>
    <row r="2914" spans="1:14" ht="15">
      <c r="A2914" s="12"/>
      <c r="B2914" s="33" t="s">
        <v>176</v>
      </c>
      <c r="C2914" s="92" t="s">
        <v>877</v>
      </c>
      <c r="D2914" s="33" t="s">
        <v>410</v>
      </c>
      <c r="E2914" s="34">
        <v>45656</v>
      </c>
      <c r="F2914" s="34">
        <v>45657</v>
      </c>
      <c r="G2914" s="34">
        <v>45663</v>
      </c>
      <c r="H2914" s="35"/>
      <c r="I2914" s="67">
        <v>4.6190000000000002E-2</v>
      </c>
      <c r="J2914" s="67">
        <v>0</v>
      </c>
      <c r="K2914" s="67">
        <v>4.6190210000000002E-2</v>
      </c>
      <c r="L2914" s="36">
        <f>+K2914-((K2914*0.262*0.125)+(K2914*(1-0.262)*0.26))</f>
        <v>3.5814503127700001E-2</v>
      </c>
      <c r="M2914" s="64">
        <f t="shared" si="86"/>
        <v>3.5814503127700001E-2</v>
      </c>
      <c r="N2914" s="33" t="s">
        <v>247</v>
      </c>
    </row>
    <row r="2915" spans="1:14" ht="15">
      <c r="A2915" s="12"/>
      <c r="B2915" s="33" t="s">
        <v>175</v>
      </c>
      <c r="C2915" s="92" t="s">
        <v>465</v>
      </c>
      <c r="D2915" s="33" t="s">
        <v>410</v>
      </c>
      <c r="E2915" s="34">
        <v>45656</v>
      </c>
      <c r="F2915" s="34">
        <v>45657</v>
      </c>
      <c r="G2915" s="34">
        <v>45663</v>
      </c>
      <c r="H2915" s="35"/>
      <c r="I2915" s="67">
        <v>8.2430000000000003E-2</v>
      </c>
      <c r="J2915" s="67">
        <v>0</v>
      </c>
      <c r="K2915" s="67">
        <v>8.2430050000000005E-2</v>
      </c>
      <c r="L2915" s="36">
        <f>+K2915-((K2915*0.107*0.125)+(K2915*(1-0.107)*0.26))</f>
        <v>6.2188939072250003E-2</v>
      </c>
      <c r="M2915" s="64">
        <f t="shared" si="86"/>
        <v>6.2188939072250003E-2</v>
      </c>
      <c r="N2915" s="33" t="s">
        <v>247</v>
      </c>
    </row>
    <row r="2916" spans="1:14" ht="15">
      <c r="A2916" s="12"/>
      <c r="B2916" s="33" t="s">
        <v>310</v>
      </c>
      <c r="C2916" s="92" t="s">
        <v>719</v>
      </c>
      <c r="D2916" s="33" t="s">
        <v>411</v>
      </c>
      <c r="E2916" s="34">
        <v>45657</v>
      </c>
      <c r="F2916" s="34">
        <v>45659</v>
      </c>
      <c r="G2916" s="34">
        <v>45664</v>
      </c>
      <c r="H2916" s="35">
        <v>0.05</v>
      </c>
      <c r="I2916" s="67">
        <v>1.43E-2</v>
      </c>
      <c r="J2916" s="67">
        <v>0</v>
      </c>
      <c r="K2916" s="67">
        <v>1.43E-2</v>
      </c>
      <c r="L2916" s="36">
        <f>+K2916-((K2916*0.0445*0.125)+(K2916*(1-0.0445)*0.26))</f>
        <v>1.0667907250000001E-2</v>
      </c>
      <c r="M2916" s="64">
        <f t="shared" si="86"/>
        <v>1.0667907250000001E-2</v>
      </c>
      <c r="N2916" s="33" t="s">
        <v>718</v>
      </c>
    </row>
    <row r="2917" spans="1:14" ht="15">
      <c r="A2917" s="12"/>
      <c r="B2917" s="33" t="s">
        <v>188</v>
      </c>
      <c r="C2917" s="92" t="s">
        <v>720</v>
      </c>
      <c r="D2917" s="33" t="s">
        <v>411</v>
      </c>
      <c r="E2917" s="34">
        <v>45657</v>
      </c>
      <c r="F2917" s="34">
        <v>45659</v>
      </c>
      <c r="G2917" s="34">
        <v>45664</v>
      </c>
      <c r="H2917" s="35">
        <v>0.05</v>
      </c>
      <c r="I2917" s="67">
        <v>0.24859999999999999</v>
      </c>
      <c r="J2917" s="67">
        <v>0</v>
      </c>
      <c r="K2917" s="67">
        <v>0.24859999999999999</v>
      </c>
      <c r="L2917" s="36">
        <f>+K2917-((K2917*0.0445*0.125)+(K2917*(1-0.0445)*0.26))</f>
        <v>0.1854574645</v>
      </c>
      <c r="M2917" s="64">
        <f t="shared" si="86"/>
        <v>0.1854574645</v>
      </c>
      <c r="N2917" s="33" t="s">
        <v>718</v>
      </c>
    </row>
    <row r="2918" spans="1:14" ht="15">
      <c r="A2918" s="12"/>
      <c r="B2918" s="33" t="s">
        <v>196</v>
      </c>
      <c r="C2918" s="92" t="s">
        <v>721</v>
      </c>
      <c r="D2918" s="33" t="s">
        <v>411</v>
      </c>
      <c r="E2918" s="34">
        <v>45657</v>
      </c>
      <c r="F2918" s="34">
        <v>45659</v>
      </c>
      <c r="G2918" s="34">
        <v>45664</v>
      </c>
      <c r="H2918" s="35">
        <v>0.05</v>
      </c>
      <c r="I2918" s="67">
        <v>0.26240000000000002</v>
      </c>
      <c r="J2918" s="67">
        <v>0</v>
      </c>
      <c r="K2918" s="67">
        <v>0.26240000000000002</v>
      </c>
      <c r="L2918" s="36">
        <f>+K2918-((K2918*0.0445*0.125)+(K2918*(1-0.0445)*0.26))</f>
        <v>0.19575236800000001</v>
      </c>
      <c r="M2918" s="64">
        <f t="shared" si="86"/>
        <v>0.19575236800000001</v>
      </c>
      <c r="N2918" s="33" t="s">
        <v>718</v>
      </c>
    </row>
    <row r="2919" spans="1:14" ht="15">
      <c r="A2919" s="12"/>
      <c r="B2919" s="33" t="s">
        <v>191</v>
      </c>
      <c r="C2919" s="92" t="s">
        <v>722</v>
      </c>
      <c r="D2919" s="33" t="s">
        <v>411</v>
      </c>
      <c r="E2919" s="34">
        <v>45657</v>
      </c>
      <c r="F2919" s="34">
        <v>45659</v>
      </c>
      <c r="G2919" s="34">
        <v>45664</v>
      </c>
      <c r="H2919" s="35">
        <v>0.05</v>
      </c>
      <c r="I2919" s="67">
        <v>1.5100000000000001E-2</v>
      </c>
      <c r="J2919" s="67">
        <v>0</v>
      </c>
      <c r="K2919" s="67">
        <v>1.5100000000000001E-2</v>
      </c>
      <c r="L2919" s="36">
        <f>+K2919-((K2919*0.8545*0.125)+(K2919*(1-0.8545)*0.26))</f>
        <v>1.291589825E-2</v>
      </c>
      <c r="M2919" s="64">
        <f t="shared" si="86"/>
        <v>1.291589825E-2</v>
      </c>
      <c r="N2919" s="33" t="s">
        <v>718</v>
      </c>
    </row>
    <row r="2920" spans="1:14" ht="15">
      <c r="A2920" s="12"/>
      <c r="B2920" s="33" t="s">
        <v>199</v>
      </c>
      <c r="C2920" s="92" t="s">
        <v>723</v>
      </c>
      <c r="D2920" s="33" t="s">
        <v>411</v>
      </c>
      <c r="E2920" s="34">
        <v>45657</v>
      </c>
      <c r="F2920" s="34">
        <v>45659</v>
      </c>
      <c r="G2920" s="34">
        <v>45664</v>
      </c>
      <c r="H2920" s="35">
        <v>0.05</v>
      </c>
      <c r="I2920" s="67">
        <v>1.52E-2</v>
      </c>
      <c r="J2920" s="67">
        <v>0</v>
      </c>
      <c r="K2920" s="67">
        <v>1.52E-2</v>
      </c>
      <c r="L2920" s="36">
        <f>+K2920-((K2920*0.8545*0.125)+(K2920*(1-0.8545)*0.26))</f>
        <v>1.3001433999999999E-2</v>
      </c>
      <c r="M2920" s="64">
        <f t="shared" si="86"/>
        <v>1.3001433999999999E-2</v>
      </c>
      <c r="N2920" s="33" t="s">
        <v>718</v>
      </c>
    </row>
    <row r="2921" spans="1:14" ht="15">
      <c r="A2921" s="12"/>
      <c r="B2921" s="33" t="s">
        <v>306</v>
      </c>
      <c r="C2921" s="92" t="s">
        <v>724</v>
      </c>
      <c r="D2921" s="33" t="s">
        <v>411</v>
      </c>
      <c r="E2921" s="34">
        <v>45657</v>
      </c>
      <c r="F2921" s="34">
        <v>45659</v>
      </c>
      <c r="G2921" s="34">
        <v>45664</v>
      </c>
      <c r="H2921" s="35">
        <v>7.0000000000000007E-2</v>
      </c>
      <c r="I2921" s="67">
        <v>2.4899999999999999E-2</v>
      </c>
      <c r="J2921" s="67">
        <v>0</v>
      </c>
      <c r="K2921" s="67">
        <v>2.4899999999999999E-2</v>
      </c>
      <c r="L2921" s="36">
        <f>+K2921-((K2921*0.0015*0.125)+(K2921*(1-0.0015)*0.26))</f>
        <v>1.8431042249999998E-2</v>
      </c>
      <c r="M2921" s="64">
        <f t="shared" si="86"/>
        <v>1.8431042249999998E-2</v>
      </c>
      <c r="N2921" s="33" t="s">
        <v>718</v>
      </c>
    </row>
    <row r="2922" spans="1:14" ht="15">
      <c r="A2922" s="12"/>
      <c r="B2922" s="33" t="s">
        <v>184</v>
      </c>
      <c r="C2922" s="92" t="s">
        <v>725</v>
      </c>
      <c r="D2922" s="33" t="s">
        <v>411</v>
      </c>
      <c r="E2922" s="34">
        <v>45657</v>
      </c>
      <c r="F2922" s="34">
        <v>45659</v>
      </c>
      <c r="G2922" s="34">
        <v>45664</v>
      </c>
      <c r="H2922" s="35">
        <v>7.0000000000000007E-2</v>
      </c>
      <c r="I2922" s="67">
        <v>0.49859999999999999</v>
      </c>
      <c r="J2922" s="67">
        <v>0</v>
      </c>
      <c r="K2922" s="67">
        <v>0.49859999999999999</v>
      </c>
      <c r="L2922" s="36">
        <f>+K2922-((K2922*0.0015*0.125)+(K2922*(1-0.0015)*0.26))</f>
        <v>0.36906496649999998</v>
      </c>
      <c r="M2922" s="64">
        <f t="shared" si="86"/>
        <v>0.36906496649999998</v>
      </c>
      <c r="N2922" s="33" t="s">
        <v>718</v>
      </c>
    </row>
    <row r="2923" spans="1:14" ht="15">
      <c r="A2923" s="12"/>
      <c r="B2923" s="33" t="s">
        <v>192</v>
      </c>
      <c r="C2923" s="92" t="s">
        <v>726</v>
      </c>
      <c r="D2923" s="33" t="s">
        <v>411</v>
      </c>
      <c r="E2923" s="34">
        <v>45657</v>
      </c>
      <c r="F2923" s="34">
        <v>45659</v>
      </c>
      <c r="G2923" s="34">
        <v>45664</v>
      </c>
      <c r="H2923" s="35">
        <v>7.0000000000000007E-2</v>
      </c>
      <c r="I2923" s="67">
        <v>0.51080000000000003</v>
      </c>
      <c r="J2923" s="67">
        <v>0</v>
      </c>
      <c r="K2923" s="67">
        <v>0.51080000000000003</v>
      </c>
      <c r="L2923" s="36">
        <f>+K2923-((K2923*0.0015*0.125)+(K2923*(1-0.0015)*0.26))</f>
        <v>0.37809543700000003</v>
      </c>
      <c r="M2923" s="64">
        <f t="shared" si="86"/>
        <v>0.37809543700000003</v>
      </c>
      <c r="N2923" s="33" t="s">
        <v>718</v>
      </c>
    </row>
    <row r="2924" spans="1:14" ht="15">
      <c r="A2924" s="12"/>
      <c r="B2924" s="33" t="s">
        <v>311</v>
      </c>
      <c r="C2924" s="92" t="s">
        <v>727</v>
      </c>
      <c r="D2924" s="33" t="s">
        <v>411</v>
      </c>
      <c r="E2924" s="34">
        <v>45657</v>
      </c>
      <c r="F2924" s="34">
        <v>45659</v>
      </c>
      <c r="G2924" s="34">
        <v>45664</v>
      </c>
      <c r="H2924" s="35">
        <v>0.06</v>
      </c>
      <c r="I2924" s="67">
        <v>2.3199999999999998E-2</v>
      </c>
      <c r="J2924" s="67">
        <v>0</v>
      </c>
      <c r="K2924" s="67">
        <v>2.3199999999999998E-2</v>
      </c>
      <c r="L2924" s="36">
        <f>+K2924-((K2924*0.001*0.125)+(K2924*(1-0.001)*0.26))</f>
        <v>1.7171131999999999E-2</v>
      </c>
      <c r="M2924" s="64">
        <f t="shared" si="86"/>
        <v>1.7171131999999999E-2</v>
      </c>
      <c r="N2924" s="33" t="s">
        <v>718</v>
      </c>
    </row>
    <row r="2925" spans="1:14" ht="15">
      <c r="A2925" s="12"/>
      <c r="B2925" s="33" t="s">
        <v>189</v>
      </c>
      <c r="C2925" s="92" t="s">
        <v>728</v>
      </c>
      <c r="D2925" s="33" t="s">
        <v>411</v>
      </c>
      <c r="E2925" s="34">
        <v>45657</v>
      </c>
      <c r="F2925" s="34">
        <v>45659</v>
      </c>
      <c r="G2925" s="34">
        <v>45664</v>
      </c>
      <c r="H2925" s="35">
        <v>0.06</v>
      </c>
      <c r="I2925" s="67">
        <v>0.4229</v>
      </c>
      <c r="J2925" s="67">
        <v>0</v>
      </c>
      <c r="K2925" s="67">
        <v>0.4229</v>
      </c>
      <c r="L2925" s="36">
        <f>+K2925-((K2925*0.001*0.125)+(K2925*(1-0.001)*0.26))</f>
        <v>0.3130030915</v>
      </c>
      <c r="M2925" s="64">
        <f t="shared" si="86"/>
        <v>0.3130030915</v>
      </c>
      <c r="N2925" s="33" t="s">
        <v>718</v>
      </c>
    </row>
    <row r="2926" spans="1:14" ht="15">
      <c r="A2926" s="12"/>
      <c r="B2926" s="33" t="s">
        <v>197</v>
      </c>
      <c r="C2926" s="92" t="s">
        <v>729</v>
      </c>
      <c r="D2926" s="33" t="s">
        <v>411</v>
      </c>
      <c r="E2926" s="34">
        <v>45657</v>
      </c>
      <c r="F2926" s="34">
        <v>45659</v>
      </c>
      <c r="G2926" s="34">
        <v>45664</v>
      </c>
      <c r="H2926" s="35">
        <v>0.06</v>
      </c>
      <c r="I2926" s="67">
        <v>0.43669999999999998</v>
      </c>
      <c r="J2926" s="67">
        <v>0</v>
      </c>
      <c r="K2926" s="67">
        <v>0.43669999999999998</v>
      </c>
      <c r="L2926" s="36">
        <f>+K2926-((K2926*0.001*0.125)+(K2926*(1-0.001)*0.26))</f>
        <v>0.32321695449999999</v>
      </c>
      <c r="M2926" s="64">
        <f t="shared" si="86"/>
        <v>0.32321695449999999</v>
      </c>
      <c r="N2926" s="33" t="s">
        <v>718</v>
      </c>
    </row>
    <row r="2927" spans="1:14" ht="15">
      <c r="A2927" s="12"/>
      <c r="B2927" s="33" t="s">
        <v>308</v>
      </c>
      <c r="C2927" s="92" t="s">
        <v>730</v>
      </c>
      <c r="D2927" s="33" t="s">
        <v>411</v>
      </c>
      <c r="E2927" s="34">
        <v>45657</v>
      </c>
      <c r="F2927" s="34">
        <v>45659</v>
      </c>
      <c r="G2927" s="34">
        <v>45664</v>
      </c>
      <c r="H2927" s="35">
        <v>0.05</v>
      </c>
      <c r="I2927" s="67">
        <v>1.7100000000000001E-2</v>
      </c>
      <c r="J2927" s="67">
        <v>0</v>
      </c>
      <c r="K2927" s="67">
        <v>1.7100000000000001E-2</v>
      </c>
      <c r="L2927" s="36">
        <f>+K2927-((K2927*0.5195*0.125)+(K2927*(1-0.5195)*0.26))</f>
        <v>1.385326575E-2</v>
      </c>
      <c r="M2927" s="64">
        <f t="shared" si="86"/>
        <v>1.385326575E-2</v>
      </c>
      <c r="N2927" s="33" t="s">
        <v>718</v>
      </c>
    </row>
    <row r="2928" spans="1:14" ht="15">
      <c r="A2928" s="12"/>
      <c r="B2928" s="33" t="s">
        <v>186</v>
      </c>
      <c r="C2928" s="92" t="s">
        <v>731</v>
      </c>
      <c r="D2928" s="33" t="s">
        <v>411</v>
      </c>
      <c r="E2928" s="34">
        <v>45657</v>
      </c>
      <c r="F2928" s="34">
        <v>45659</v>
      </c>
      <c r="G2928" s="34">
        <v>45664</v>
      </c>
      <c r="H2928" s="35">
        <v>0.05</v>
      </c>
      <c r="I2928" s="67">
        <v>0.3135</v>
      </c>
      <c r="J2928" s="67">
        <v>0</v>
      </c>
      <c r="K2928" s="67">
        <v>0.3135</v>
      </c>
      <c r="L2928" s="36">
        <f>+K2928-((K2928*0.5195*0.125)+(K2928*(1-0.5195)*0.26))</f>
        <v>0.25397653874999998</v>
      </c>
      <c r="M2928" s="64">
        <f t="shared" si="86"/>
        <v>0.25397653874999998</v>
      </c>
      <c r="N2928" s="33" t="s">
        <v>718</v>
      </c>
    </row>
    <row r="2929" spans="1:14" ht="15">
      <c r="A2929" s="12"/>
      <c r="B2929" s="33" t="s">
        <v>194</v>
      </c>
      <c r="C2929" s="92" t="s">
        <v>732</v>
      </c>
      <c r="D2929" s="33" t="s">
        <v>411</v>
      </c>
      <c r="E2929" s="34">
        <v>45657</v>
      </c>
      <c r="F2929" s="34">
        <v>45659</v>
      </c>
      <c r="G2929" s="34">
        <v>45664</v>
      </c>
      <c r="H2929" s="35">
        <v>0.05</v>
      </c>
      <c r="I2929" s="67">
        <v>0.32579999999999998</v>
      </c>
      <c r="J2929" s="67">
        <v>0</v>
      </c>
      <c r="K2929" s="67">
        <v>0.32579999999999998</v>
      </c>
      <c r="L2929" s="36">
        <f>+K2929-((K2929*0.5195*0.125)+(K2929*(1-0.5195)*0.26))</f>
        <v>0.26394116849999999</v>
      </c>
      <c r="M2929" s="64">
        <f t="shared" si="86"/>
        <v>0.26394116849999999</v>
      </c>
      <c r="N2929" s="33" t="s">
        <v>718</v>
      </c>
    </row>
    <row r="2930" spans="1:14" ht="15">
      <c r="A2930" s="12"/>
      <c r="B2930" s="33" t="s">
        <v>307</v>
      </c>
      <c r="C2930" s="92" t="s">
        <v>733</v>
      </c>
      <c r="D2930" s="33" t="s">
        <v>411</v>
      </c>
      <c r="E2930" s="34">
        <v>45657</v>
      </c>
      <c r="F2930" s="34">
        <v>45659</v>
      </c>
      <c r="G2930" s="34">
        <v>45664</v>
      </c>
      <c r="H2930" s="35">
        <v>0.04</v>
      </c>
      <c r="I2930" s="67">
        <v>1.2E-2</v>
      </c>
      <c r="J2930" s="67">
        <v>0</v>
      </c>
      <c r="K2930" s="67">
        <v>1.2E-2</v>
      </c>
      <c r="L2930" s="36">
        <f>+K2930-((K2930*0.6215*0.125)+(K2930*(1-0.6215)*0.26))</f>
        <v>9.8868299999999992E-3</v>
      </c>
      <c r="M2930" s="64">
        <f t="shared" si="86"/>
        <v>9.8868299999999992E-3</v>
      </c>
      <c r="N2930" s="33" t="s">
        <v>718</v>
      </c>
    </row>
    <row r="2931" spans="1:14" ht="15">
      <c r="A2931" s="12"/>
      <c r="B2931" s="33" t="s">
        <v>185</v>
      </c>
      <c r="C2931" s="92" t="s">
        <v>734</v>
      </c>
      <c r="D2931" s="33" t="s">
        <v>411</v>
      </c>
      <c r="E2931" s="34">
        <v>45657</v>
      </c>
      <c r="F2931" s="34">
        <v>45659</v>
      </c>
      <c r="G2931" s="34">
        <v>45664</v>
      </c>
      <c r="H2931" s="35">
        <v>0.04</v>
      </c>
      <c r="I2931" s="67">
        <v>0.19789999999999999</v>
      </c>
      <c r="J2931" s="67">
        <v>0</v>
      </c>
      <c r="K2931" s="67">
        <v>0.19789999999999999</v>
      </c>
      <c r="L2931" s="36">
        <f>+K2931-((K2931*0.6215*0.125)+(K2931*(1-0.6215)*0.26))</f>
        <v>0.16305030474999999</v>
      </c>
      <c r="M2931" s="64">
        <f t="shared" si="86"/>
        <v>0.16305030474999999</v>
      </c>
      <c r="N2931" s="33" t="s">
        <v>718</v>
      </c>
    </row>
    <row r="2932" spans="1:14" ht="15">
      <c r="A2932" s="12"/>
      <c r="B2932" s="33" t="s">
        <v>193</v>
      </c>
      <c r="C2932" s="92" t="s">
        <v>735</v>
      </c>
      <c r="D2932" s="33" t="s">
        <v>411</v>
      </c>
      <c r="E2932" s="34">
        <v>45657</v>
      </c>
      <c r="F2932" s="34">
        <v>45659</v>
      </c>
      <c r="G2932" s="34">
        <v>45664</v>
      </c>
      <c r="H2932" s="35">
        <v>0.04</v>
      </c>
      <c r="I2932" s="67">
        <v>0.1966</v>
      </c>
      <c r="J2932" s="67">
        <v>0</v>
      </c>
      <c r="K2932" s="67">
        <v>0.1966</v>
      </c>
      <c r="L2932" s="36">
        <f>+K2932-((K2932*0.6215*0.125)+(K2932*(1-0.6215)*0.26))</f>
        <v>0.16197923149999999</v>
      </c>
      <c r="M2932" s="64">
        <f t="shared" si="86"/>
        <v>0.16197923149999999</v>
      </c>
      <c r="N2932" s="33" t="s">
        <v>718</v>
      </c>
    </row>
    <row r="2933" spans="1:14" ht="15">
      <c r="A2933" s="12"/>
      <c r="B2933" s="33" t="s">
        <v>309</v>
      </c>
      <c r="C2933" s="92" t="s">
        <v>736</v>
      </c>
      <c r="D2933" s="33" t="s">
        <v>411</v>
      </c>
      <c r="E2933" s="34">
        <v>45657</v>
      </c>
      <c r="F2933" s="34">
        <v>45659</v>
      </c>
      <c r="G2933" s="34">
        <v>45664</v>
      </c>
      <c r="H2933" s="35">
        <v>5.5E-2</v>
      </c>
      <c r="I2933" s="67">
        <v>1.84E-2</v>
      </c>
      <c r="J2933" s="67">
        <v>0</v>
      </c>
      <c r="K2933" s="67">
        <v>1.84E-2</v>
      </c>
      <c r="L2933" s="36">
        <f>+K2933-((K2933*0.0515*0.125)+(K2933*(1-0.0515)*0.26))</f>
        <v>1.3743926E-2</v>
      </c>
      <c r="M2933" s="64">
        <f t="shared" si="86"/>
        <v>1.3743926E-2</v>
      </c>
      <c r="N2933" s="33" t="s">
        <v>718</v>
      </c>
    </row>
    <row r="2934" spans="1:14" ht="15">
      <c r="A2934" s="12"/>
      <c r="B2934" s="33" t="s">
        <v>187</v>
      </c>
      <c r="C2934" s="92" t="s">
        <v>737</v>
      </c>
      <c r="D2934" s="33" t="s">
        <v>411</v>
      </c>
      <c r="E2934" s="34">
        <v>45657</v>
      </c>
      <c r="F2934" s="34">
        <v>45659</v>
      </c>
      <c r="G2934" s="34">
        <v>45664</v>
      </c>
      <c r="H2934" s="35">
        <v>5.5E-2</v>
      </c>
      <c r="I2934" s="67">
        <v>0.3231</v>
      </c>
      <c r="J2934" s="67">
        <v>0</v>
      </c>
      <c r="K2934" s="67">
        <v>0.3231</v>
      </c>
      <c r="L2934" s="36">
        <f>+K2934-((K2934*0.0515*0.125)+(K2934*(1-0.0515)*0.26))</f>
        <v>0.24134035274999999</v>
      </c>
      <c r="M2934" s="64">
        <f t="shared" si="86"/>
        <v>0.24134035274999999</v>
      </c>
      <c r="N2934" s="33" t="s">
        <v>718</v>
      </c>
    </row>
    <row r="2935" spans="1:14" ht="15">
      <c r="A2935" s="12"/>
      <c r="B2935" s="33" t="s">
        <v>195</v>
      </c>
      <c r="C2935" s="92" t="s">
        <v>738</v>
      </c>
      <c r="D2935" s="33" t="s">
        <v>411</v>
      </c>
      <c r="E2935" s="34">
        <v>45657</v>
      </c>
      <c r="F2935" s="34">
        <v>45659</v>
      </c>
      <c r="G2935" s="34">
        <v>45664</v>
      </c>
      <c r="H2935" s="35">
        <v>5.5E-2</v>
      </c>
      <c r="I2935" s="67">
        <v>0.33889999999999998</v>
      </c>
      <c r="J2935" s="67">
        <v>0</v>
      </c>
      <c r="K2935" s="67">
        <v>0.33889999999999998</v>
      </c>
      <c r="L2935" s="36">
        <f>+K2935-((K2935*0.0515*0.125)+(K2935*(1-0.0515)*0.26))</f>
        <v>0.25314220224999995</v>
      </c>
      <c r="M2935" s="64">
        <f t="shared" si="86"/>
        <v>0.25314220224999995</v>
      </c>
      <c r="N2935" s="33" t="s">
        <v>718</v>
      </c>
    </row>
    <row r="2936" spans="1:14" ht="15">
      <c r="A2936" s="12"/>
      <c r="B2936" s="33" t="s">
        <v>312</v>
      </c>
      <c r="C2936" s="92" t="s">
        <v>739</v>
      </c>
      <c r="D2936" s="33" t="s">
        <v>411</v>
      </c>
      <c r="E2936" s="34">
        <v>45657</v>
      </c>
      <c r="F2936" s="34">
        <v>45659</v>
      </c>
      <c r="G2936" s="34">
        <v>45664</v>
      </c>
      <c r="H2936" s="35">
        <v>7.2499999999999995E-2</v>
      </c>
      <c r="I2936" s="67">
        <v>2.2499999999999999E-2</v>
      </c>
      <c r="J2936" s="67">
        <v>0</v>
      </c>
      <c r="K2936" s="67">
        <v>2.2499999999999999E-2</v>
      </c>
      <c r="L2936" s="36">
        <f>+K2936-((K2936*0.0000000000001*0.125)+(K2936*(1-0.0000000000001)*0.26))</f>
        <v>1.6650000000000303E-2</v>
      </c>
      <c r="M2936" s="64">
        <f t="shared" si="86"/>
        <v>1.6650000000000303E-2</v>
      </c>
      <c r="N2936" s="33" t="s">
        <v>718</v>
      </c>
    </row>
    <row r="2937" spans="1:14" ht="15">
      <c r="A2937" s="12"/>
      <c r="B2937" s="33" t="s">
        <v>190</v>
      </c>
      <c r="C2937" s="92" t="s">
        <v>740</v>
      </c>
      <c r="D2937" s="33" t="s">
        <v>411</v>
      </c>
      <c r="E2937" s="34">
        <v>45657</v>
      </c>
      <c r="F2937" s="34">
        <v>45659</v>
      </c>
      <c r="G2937" s="34">
        <v>45664</v>
      </c>
      <c r="H2937" s="35">
        <v>7.2499999999999995E-2</v>
      </c>
      <c r="I2937" s="67">
        <v>0.42409999999999998</v>
      </c>
      <c r="J2937" s="67">
        <v>0</v>
      </c>
      <c r="K2937" s="67">
        <v>0.42409999999999998</v>
      </c>
      <c r="L2937" s="36">
        <f>+K2937-((K2937*0.0000000000001*0.125)+(K2937*(1-0.0000000000001)*0.26))</f>
        <v>0.31383400000000572</v>
      </c>
      <c r="M2937" s="64">
        <f t="shared" ref="M2937:M3000" si="87">J2937+L2937</f>
        <v>0.31383400000000572</v>
      </c>
      <c r="N2937" s="33" t="s">
        <v>718</v>
      </c>
    </row>
    <row r="2938" spans="1:14" ht="15">
      <c r="A2938" s="12"/>
      <c r="B2938" s="33" t="s">
        <v>198</v>
      </c>
      <c r="C2938" s="92" t="s">
        <v>741</v>
      </c>
      <c r="D2938" s="33" t="s">
        <v>411</v>
      </c>
      <c r="E2938" s="34">
        <v>45657</v>
      </c>
      <c r="F2938" s="34">
        <v>45659</v>
      </c>
      <c r="G2938" s="34">
        <v>45664</v>
      </c>
      <c r="H2938" s="35">
        <v>7.2499999999999995E-2</v>
      </c>
      <c r="I2938" s="67">
        <v>0.43080000000000002</v>
      </c>
      <c r="J2938" s="67">
        <v>0</v>
      </c>
      <c r="K2938" s="67">
        <v>0.43080000000000002</v>
      </c>
      <c r="L2938" s="36">
        <f>+K2938-((K2938*0.0000000000001*0.125)+(K2938*(1-0.0000000000001)*0.26))</f>
        <v>0.31879200000000585</v>
      </c>
      <c r="M2938" s="64">
        <f t="shared" si="87"/>
        <v>0.31879200000000585</v>
      </c>
      <c r="N2938" s="33" t="s">
        <v>718</v>
      </c>
    </row>
    <row r="2939" spans="1:14" ht="15">
      <c r="A2939" s="12"/>
      <c r="B2939" s="33" t="s">
        <v>313</v>
      </c>
      <c r="C2939" s="92" t="s">
        <v>884</v>
      </c>
      <c r="D2939" s="33" t="s">
        <v>411</v>
      </c>
      <c r="E2939" s="34">
        <v>45657</v>
      </c>
      <c r="F2939" s="34">
        <v>45659</v>
      </c>
      <c r="G2939" s="34">
        <v>45664</v>
      </c>
      <c r="H2939" s="35">
        <v>4.7500000000000001E-2</v>
      </c>
      <c r="I2939" s="67">
        <v>1.61E-2</v>
      </c>
      <c r="J2939" s="67">
        <v>0</v>
      </c>
      <c r="K2939" s="67">
        <v>1.61E-2</v>
      </c>
      <c r="L2939" s="36">
        <f>+K2939-((K2939*0.314*0.125)+(K2939*(1-0.314)*0.26))</f>
        <v>1.2596479000000001E-2</v>
      </c>
      <c r="M2939" s="64">
        <f t="shared" si="87"/>
        <v>1.2596479000000001E-2</v>
      </c>
      <c r="N2939" s="33" t="s">
        <v>718</v>
      </c>
    </row>
    <row r="2940" spans="1:14" ht="15">
      <c r="A2940" s="12"/>
      <c r="B2940" s="33" t="s">
        <v>298</v>
      </c>
      <c r="C2940" s="92" t="s">
        <v>403</v>
      </c>
      <c r="D2940" s="33" t="s">
        <v>410</v>
      </c>
      <c r="E2940" s="34">
        <v>45657</v>
      </c>
      <c r="F2940" s="34">
        <v>45659</v>
      </c>
      <c r="G2940" s="34">
        <v>45664</v>
      </c>
      <c r="H2940" s="35">
        <v>0.05</v>
      </c>
      <c r="I2940" s="67">
        <v>4.82E-2</v>
      </c>
      <c r="J2940" s="67">
        <v>0</v>
      </c>
      <c r="K2940" s="67">
        <v>4.82E-2</v>
      </c>
      <c r="L2940" s="36">
        <f>+K2940-((K2940*0.4935*0.125)+(K2940*(1-0.4935)*0.26))</f>
        <v>3.88792045E-2</v>
      </c>
      <c r="M2940" s="64">
        <f t="shared" si="87"/>
        <v>3.88792045E-2</v>
      </c>
      <c r="N2940" s="33" t="s">
        <v>248</v>
      </c>
    </row>
    <row r="2941" spans="1:14" ht="15">
      <c r="A2941" s="12"/>
      <c r="B2941" s="33" t="s">
        <v>181</v>
      </c>
      <c r="C2941" s="92" t="s">
        <v>335</v>
      </c>
      <c r="D2941" s="33" t="s">
        <v>410</v>
      </c>
      <c r="E2941" s="34">
        <v>45657</v>
      </c>
      <c r="F2941" s="34">
        <v>45659</v>
      </c>
      <c r="G2941" s="34">
        <v>45664</v>
      </c>
      <c r="H2941" s="35">
        <v>0.05</v>
      </c>
      <c r="I2941" s="67">
        <v>0.8589</v>
      </c>
      <c r="J2941" s="67">
        <v>0</v>
      </c>
      <c r="K2941" s="67">
        <v>0.8589</v>
      </c>
      <c r="L2941" s="36">
        <f>+K2941-((K2941*0.4935*0.125)+(K2941*(1-0.4935)*0.26))</f>
        <v>0.69280806524999994</v>
      </c>
      <c r="M2941" s="64">
        <f t="shared" si="87"/>
        <v>0.69280806524999994</v>
      </c>
      <c r="N2941" s="33" t="s">
        <v>248</v>
      </c>
    </row>
    <row r="2942" spans="1:14" ht="15">
      <c r="A2942" s="12"/>
      <c r="B2942" s="33" t="s">
        <v>201</v>
      </c>
      <c r="C2942" s="92" t="s">
        <v>336</v>
      </c>
      <c r="D2942" s="33" t="s">
        <v>410</v>
      </c>
      <c r="E2942" s="34">
        <v>45657</v>
      </c>
      <c r="F2942" s="34">
        <v>45659</v>
      </c>
      <c r="G2942" s="34">
        <v>45664</v>
      </c>
      <c r="H2942" s="35">
        <v>0.05</v>
      </c>
      <c r="I2942" s="67">
        <v>0.88009999999999999</v>
      </c>
      <c r="J2942" s="67">
        <v>0</v>
      </c>
      <c r="K2942" s="67">
        <v>0.88009999999999999</v>
      </c>
      <c r="L2942" s="36">
        <f>+K2942-((K2942*0.4935*0.125)+(K2942*(1-0.4935)*0.26))</f>
        <v>0.70990846225000004</v>
      </c>
      <c r="M2942" s="64">
        <f t="shared" si="87"/>
        <v>0.70990846225000004</v>
      </c>
      <c r="N2942" s="33" t="s">
        <v>248</v>
      </c>
    </row>
    <row r="2943" spans="1:14" ht="15">
      <c r="A2943" s="12"/>
      <c r="B2943" s="33" t="s">
        <v>138</v>
      </c>
      <c r="C2943" s="92" t="s">
        <v>337</v>
      </c>
      <c r="D2943" s="33" t="s">
        <v>410</v>
      </c>
      <c r="E2943" s="34">
        <v>45657</v>
      </c>
      <c r="F2943" s="34">
        <v>45659</v>
      </c>
      <c r="G2943" s="34">
        <v>45664</v>
      </c>
      <c r="H2943" s="35">
        <v>0.05</v>
      </c>
      <c r="I2943" s="67">
        <v>6.2100000000000002E-2</v>
      </c>
      <c r="J2943" s="67">
        <v>0</v>
      </c>
      <c r="K2943" s="67">
        <v>6.2100000000000002E-2</v>
      </c>
      <c r="L2943" s="36">
        <f>+K2943-((K2943*0.363*0.125)+(K2943*(1-0.363)*0.26))</f>
        <v>4.8997210499999999E-2</v>
      </c>
      <c r="M2943" s="64">
        <f t="shared" si="87"/>
        <v>4.8997210499999999E-2</v>
      </c>
      <c r="N2943" s="33" t="s">
        <v>248</v>
      </c>
    </row>
    <row r="2944" spans="1:14" ht="15">
      <c r="A2944" s="12"/>
      <c r="B2944" s="33" t="s">
        <v>160</v>
      </c>
      <c r="C2944" s="92" t="s">
        <v>338</v>
      </c>
      <c r="D2944" s="33" t="s">
        <v>410</v>
      </c>
      <c r="E2944" s="34">
        <v>45657</v>
      </c>
      <c r="F2944" s="34">
        <v>45659</v>
      </c>
      <c r="G2944" s="34">
        <v>45664</v>
      </c>
      <c r="H2944" s="35">
        <v>0.05</v>
      </c>
      <c r="I2944" s="67">
        <v>6.0400000000000002E-2</v>
      </c>
      <c r="J2944" s="67">
        <v>0</v>
      </c>
      <c r="K2944" s="67">
        <v>6.0400000000000002E-2</v>
      </c>
      <c r="L2944" s="36">
        <f>+K2944-((K2944*0.363*0.125)+(K2944*(1-0.363)*0.26))</f>
        <v>4.7655902E-2</v>
      </c>
      <c r="M2944" s="64">
        <f t="shared" si="87"/>
        <v>4.7655902E-2</v>
      </c>
      <c r="N2944" s="33" t="s">
        <v>248</v>
      </c>
    </row>
    <row r="2945" spans="1:14" ht="15">
      <c r="A2945" s="12"/>
      <c r="B2945" s="33" t="s">
        <v>300</v>
      </c>
      <c r="C2945" s="92" t="s">
        <v>404</v>
      </c>
      <c r="D2945" s="33" t="s">
        <v>410</v>
      </c>
      <c r="E2945" s="34">
        <v>45657</v>
      </c>
      <c r="F2945" s="34">
        <v>45659</v>
      </c>
      <c r="G2945" s="34">
        <v>45664</v>
      </c>
      <c r="H2945" s="35">
        <v>0.05</v>
      </c>
      <c r="I2945" s="67">
        <v>4.7600000000000003E-2</v>
      </c>
      <c r="J2945" s="67">
        <v>0</v>
      </c>
      <c r="K2945" s="67">
        <v>4.7600000000000003E-2</v>
      </c>
      <c r="L2945" s="36">
        <f>+K2945-((K2945*0.363*0.125)+(K2945*(1-0.363)*0.26))</f>
        <v>3.7556638000000003E-2</v>
      </c>
      <c r="M2945" s="64">
        <f t="shared" si="87"/>
        <v>3.7556638000000003E-2</v>
      </c>
      <c r="N2945" s="33" t="s">
        <v>248</v>
      </c>
    </row>
    <row r="2946" spans="1:14" ht="15">
      <c r="A2946" s="12"/>
      <c r="B2946" s="33" t="s">
        <v>142</v>
      </c>
      <c r="C2946" s="92" t="s">
        <v>341</v>
      </c>
      <c r="D2946" s="33" t="s">
        <v>410</v>
      </c>
      <c r="E2946" s="34">
        <v>45657</v>
      </c>
      <c r="F2946" s="34">
        <v>45659</v>
      </c>
      <c r="G2946" s="34">
        <v>45664</v>
      </c>
      <c r="H2946" s="35">
        <v>5.7500000000000002E-2</v>
      </c>
      <c r="I2946" s="67">
        <v>7.5600000000000001E-2</v>
      </c>
      <c r="J2946" s="67">
        <v>0</v>
      </c>
      <c r="K2946" s="67">
        <v>7.5600000000000001E-2</v>
      </c>
      <c r="L2946" s="36">
        <f>+K2946-((K2946*0.0175*0.125)+(K2946*(1-0.0175)*0.26))</f>
        <v>5.6122604999999999E-2</v>
      </c>
      <c r="M2946" s="64">
        <f t="shared" si="87"/>
        <v>5.6122604999999999E-2</v>
      </c>
      <c r="N2946" s="33" t="s">
        <v>248</v>
      </c>
    </row>
    <row r="2947" spans="1:14" ht="15">
      <c r="A2947" s="12"/>
      <c r="B2947" s="33" t="s">
        <v>159</v>
      </c>
      <c r="C2947" s="92" t="s">
        <v>342</v>
      </c>
      <c r="D2947" s="33" t="s">
        <v>410</v>
      </c>
      <c r="E2947" s="34">
        <v>45657</v>
      </c>
      <c r="F2947" s="34">
        <v>45659</v>
      </c>
      <c r="G2947" s="34">
        <v>45664</v>
      </c>
      <c r="H2947" s="35">
        <v>5.7500000000000002E-2</v>
      </c>
      <c r="I2947" s="67">
        <v>7.3899999999999993E-2</v>
      </c>
      <c r="J2947" s="67">
        <v>0</v>
      </c>
      <c r="K2947" s="67">
        <v>7.3899999999999993E-2</v>
      </c>
      <c r="L2947" s="36">
        <f>+K2947-((K2947*0.0175*0.125)+(K2947*(1-0.0175)*0.26))</f>
        <v>5.4860588749999994E-2</v>
      </c>
      <c r="M2947" s="64">
        <f t="shared" si="87"/>
        <v>5.4860588749999994E-2</v>
      </c>
      <c r="N2947" s="33" t="s">
        <v>248</v>
      </c>
    </row>
    <row r="2948" spans="1:14" ht="15">
      <c r="A2948" s="12"/>
      <c r="B2948" s="33" t="s">
        <v>507</v>
      </c>
      <c r="C2948" s="92" t="s">
        <v>508</v>
      </c>
      <c r="D2948" s="33" t="s">
        <v>410</v>
      </c>
      <c r="E2948" s="34">
        <v>45657</v>
      </c>
      <c r="F2948" s="34">
        <v>45659</v>
      </c>
      <c r="G2948" s="34">
        <v>45664</v>
      </c>
      <c r="H2948" s="35">
        <v>5.7500000000000002E-2</v>
      </c>
      <c r="I2948" s="67">
        <v>5.9400000000000001E-2</v>
      </c>
      <c r="J2948" s="67">
        <v>0</v>
      </c>
      <c r="K2948" s="67">
        <v>5.9400000000000001E-2</v>
      </c>
      <c r="L2948" s="36">
        <f>+K2948-((K2948*0.0175*0.125)+(K2948*(1-0.0175)*0.26))</f>
        <v>4.4096332500000002E-2</v>
      </c>
      <c r="M2948" s="64">
        <f t="shared" si="87"/>
        <v>4.4096332500000002E-2</v>
      </c>
      <c r="N2948" s="33" t="s">
        <v>248</v>
      </c>
    </row>
    <row r="2949" spans="1:14" ht="15">
      <c r="A2949" s="12"/>
      <c r="B2949" s="33" t="s">
        <v>139</v>
      </c>
      <c r="C2949" s="92" t="s">
        <v>344</v>
      </c>
      <c r="D2949" s="33" t="s">
        <v>410</v>
      </c>
      <c r="E2949" s="34">
        <v>45657</v>
      </c>
      <c r="F2949" s="34">
        <v>45659</v>
      </c>
      <c r="G2949" s="34">
        <v>45664</v>
      </c>
      <c r="H2949" s="35">
        <v>0.05</v>
      </c>
      <c r="I2949" s="67">
        <v>4.9000000000000002E-2</v>
      </c>
      <c r="J2949" s="67">
        <v>0</v>
      </c>
      <c r="K2949" s="67">
        <v>4.9000000000000002E-2</v>
      </c>
      <c r="L2949" s="36">
        <f>+K2949-((K2949*0.8545*0.125)+(K2949*(1-0.8545)*0.26))</f>
        <v>4.1912517500000003E-2</v>
      </c>
      <c r="M2949" s="64">
        <f t="shared" si="87"/>
        <v>4.1912517500000003E-2</v>
      </c>
      <c r="N2949" s="33" t="s">
        <v>248</v>
      </c>
    </row>
    <row r="2950" spans="1:14" ht="15">
      <c r="A2950" s="12"/>
      <c r="B2950" s="33" t="s">
        <v>161</v>
      </c>
      <c r="C2950" s="92" t="s">
        <v>345</v>
      </c>
      <c r="D2950" s="33" t="s">
        <v>410</v>
      </c>
      <c r="E2950" s="34">
        <v>45657</v>
      </c>
      <c r="F2950" s="34">
        <v>45659</v>
      </c>
      <c r="G2950" s="34">
        <v>45664</v>
      </c>
      <c r="H2950" s="35">
        <v>0.05</v>
      </c>
      <c r="I2950" s="67">
        <v>4.8000000000000001E-2</v>
      </c>
      <c r="J2950" s="67">
        <v>0</v>
      </c>
      <c r="K2950" s="67">
        <v>4.8000000000000001E-2</v>
      </c>
      <c r="L2950" s="36">
        <f>+K2950-((K2950*0.8545*0.125)+(K2950*(1-0.8545)*0.26))</f>
        <v>4.1057160000000002E-2</v>
      </c>
      <c r="M2950" s="64">
        <f t="shared" si="87"/>
        <v>4.1057160000000002E-2</v>
      </c>
      <c r="N2950" s="33" t="s">
        <v>248</v>
      </c>
    </row>
    <row r="2951" spans="1:14" ht="15">
      <c r="A2951" s="12"/>
      <c r="B2951" s="33" t="s">
        <v>141</v>
      </c>
      <c r="C2951" s="92" t="s">
        <v>348</v>
      </c>
      <c r="D2951" s="33" t="s">
        <v>410</v>
      </c>
      <c r="E2951" s="34">
        <v>45657</v>
      </c>
      <c r="F2951" s="34">
        <v>45659</v>
      </c>
      <c r="G2951" s="34">
        <v>45664</v>
      </c>
      <c r="H2951" s="35">
        <v>0.05</v>
      </c>
      <c r="I2951" s="67">
        <v>4.4900000000000002E-2</v>
      </c>
      <c r="J2951" s="67">
        <v>0</v>
      </c>
      <c r="K2951" s="67">
        <v>4.4900000000000002E-2</v>
      </c>
      <c r="L2951" s="36">
        <f>+K2951-((K2951*0.0475*0.125)+(K2951*(1-0.0475)*0.26))</f>
        <v>3.3513921250000002E-2</v>
      </c>
      <c r="M2951" s="64">
        <f t="shared" si="87"/>
        <v>3.3513921250000002E-2</v>
      </c>
      <c r="N2951" s="33" t="s">
        <v>248</v>
      </c>
    </row>
    <row r="2952" spans="1:14" ht="15">
      <c r="A2952" s="12"/>
      <c r="B2952" s="33" t="s">
        <v>140</v>
      </c>
      <c r="C2952" s="92" t="s">
        <v>349</v>
      </c>
      <c r="D2952" s="33" t="s">
        <v>410</v>
      </c>
      <c r="E2952" s="34">
        <v>45657</v>
      </c>
      <c r="F2952" s="34">
        <v>45659</v>
      </c>
      <c r="G2952" s="34">
        <v>45664</v>
      </c>
      <c r="H2952" s="35">
        <v>0.05</v>
      </c>
      <c r="I2952" s="67">
        <v>5.3999999999999999E-2</v>
      </c>
      <c r="J2952" s="67">
        <v>0</v>
      </c>
      <c r="K2952" s="67">
        <v>5.3999999999999999E-2</v>
      </c>
      <c r="L2952" s="36">
        <f>+K2952-((K2952*0.0475*0.125)+(K2952*(1-0.0475)*0.26))</f>
        <v>4.0306275000000003E-2</v>
      </c>
      <c r="M2952" s="64">
        <f t="shared" si="87"/>
        <v>4.0306275000000003E-2</v>
      </c>
      <c r="N2952" s="33" t="s">
        <v>248</v>
      </c>
    </row>
    <row r="2953" spans="1:14" ht="15">
      <c r="A2953" s="12"/>
      <c r="B2953" s="33" t="s">
        <v>162</v>
      </c>
      <c r="C2953" s="92" t="s">
        <v>350</v>
      </c>
      <c r="D2953" s="33" t="s">
        <v>410</v>
      </c>
      <c r="E2953" s="34">
        <v>45657</v>
      </c>
      <c r="F2953" s="34">
        <v>45659</v>
      </c>
      <c r="G2953" s="34">
        <v>45664</v>
      </c>
      <c r="H2953" s="35">
        <v>0.05</v>
      </c>
      <c r="I2953" s="67">
        <v>5.2499999999999998E-2</v>
      </c>
      <c r="J2953" s="67">
        <v>0</v>
      </c>
      <c r="K2953" s="67">
        <v>5.2499999999999998E-2</v>
      </c>
      <c r="L2953" s="36">
        <f>+K2953-((K2953*0.0475*0.125)+(K2953*(1-0.0475)*0.26))</f>
        <v>3.9186656249999993E-2</v>
      </c>
      <c r="M2953" s="64">
        <f t="shared" si="87"/>
        <v>3.9186656249999993E-2</v>
      </c>
      <c r="N2953" s="33" t="s">
        <v>248</v>
      </c>
    </row>
    <row r="2954" spans="1:14" ht="15">
      <c r="A2954" s="12"/>
      <c r="B2954" s="33" t="s">
        <v>302</v>
      </c>
      <c r="C2954" s="92" t="s">
        <v>405</v>
      </c>
      <c r="D2954" s="33" t="s">
        <v>410</v>
      </c>
      <c r="E2954" s="34">
        <v>45657</v>
      </c>
      <c r="F2954" s="34">
        <v>45659</v>
      </c>
      <c r="G2954" s="34">
        <v>45664</v>
      </c>
      <c r="H2954" s="35">
        <v>0.05</v>
      </c>
      <c r="I2954" s="67">
        <v>4.6399999999999997E-2</v>
      </c>
      <c r="J2954" s="67">
        <v>0</v>
      </c>
      <c r="K2954" s="67">
        <v>4.6399999999999997E-2</v>
      </c>
      <c r="L2954" s="36">
        <f>+K2954-((K2954*0.0475*0.125)+(K2954*(1-0.0475)*0.26))</f>
        <v>3.4633539999999997E-2</v>
      </c>
      <c r="M2954" s="64">
        <f t="shared" si="87"/>
        <v>3.4633539999999997E-2</v>
      </c>
      <c r="N2954" s="33" t="s">
        <v>248</v>
      </c>
    </row>
    <row r="2955" spans="1:14" ht="15">
      <c r="A2955" s="12"/>
      <c r="B2955" s="33" t="s">
        <v>303</v>
      </c>
      <c r="C2955" s="92" t="s">
        <v>406</v>
      </c>
      <c r="D2955" s="33" t="s">
        <v>410</v>
      </c>
      <c r="E2955" s="34">
        <v>45657</v>
      </c>
      <c r="F2955" s="34">
        <v>45659</v>
      </c>
      <c r="G2955" s="34">
        <v>45664</v>
      </c>
      <c r="H2955" s="35">
        <v>0.05</v>
      </c>
      <c r="I2955" s="67">
        <v>5.0299999999999997E-2</v>
      </c>
      <c r="J2955" s="67">
        <v>0</v>
      </c>
      <c r="K2955" s="67">
        <v>5.0299999999999997E-2</v>
      </c>
      <c r="L2955" s="36">
        <f>+K2955-((K2955*0.0475*0.125)+(K2955*(1-0.0475)*0.26))</f>
        <v>3.7544548749999997E-2</v>
      </c>
      <c r="M2955" s="64">
        <f t="shared" si="87"/>
        <v>3.7544548749999997E-2</v>
      </c>
      <c r="N2955" s="33" t="s">
        <v>248</v>
      </c>
    </row>
    <row r="2956" spans="1:14" ht="15">
      <c r="A2956" s="12"/>
      <c r="B2956" s="33" t="s">
        <v>143</v>
      </c>
      <c r="C2956" s="92" t="s">
        <v>351</v>
      </c>
      <c r="D2956" s="33" t="s">
        <v>410</v>
      </c>
      <c r="E2956" s="34">
        <v>45657</v>
      </c>
      <c r="F2956" s="34">
        <v>45659</v>
      </c>
      <c r="G2956" s="34">
        <v>45664</v>
      </c>
      <c r="H2956" s="35">
        <v>0.03</v>
      </c>
      <c r="I2956" s="67">
        <v>3.2899999999999999E-2</v>
      </c>
      <c r="J2956" s="67">
        <v>7.0260843660981407E-3</v>
      </c>
      <c r="K2956" s="67">
        <v>2.5873915633901859E-2</v>
      </c>
      <c r="L2956" s="36">
        <f>+K2956-((K2956*0.449*0.125)+(K2956*(1-0.449)*0.26))</f>
        <v>2.0715044965236337E-2</v>
      </c>
      <c r="M2956" s="64">
        <f t="shared" si="87"/>
        <v>2.7741129331334477E-2</v>
      </c>
      <c r="N2956" s="33" t="s">
        <v>248</v>
      </c>
    </row>
    <row r="2957" spans="1:14" ht="15">
      <c r="A2957" s="12"/>
      <c r="B2957" s="33" t="s">
        <v>145</v>
      </c>
      <c r="C2957" s="92" t="s">
        <v>889</v>
      </c>
      <c r="D2957" s="33" t="s">
        <v>410</v>
      </c>
      <c r="E2957" s="34">
        <v>45657</v>
      </c>
      <c r="F2957" s="34">
        <v>45659</v>
      </c>
      <c r="G2957" s="34">
        <v>45664</v>
      </c>
      <c r="H2957" s="35">
        <v>0.04</v>
      </c>
      <c r="I2957" s="67">
        <v>4.53E-2</v>
      </c>
      <c r="J2957" s="67">
        <v>1.3550748208490971E-2</v>
      </c>
      <c r="K2957" s="67">
        <v>3.1749251791509031E-2</v>
      </c>
      <c r="L2957" s="36">
        <f>+K2957-((K2957*0.0275*0.125)+(K2957*(1-0.0275)*0.26))</f>
        <v>2.361231542299266E-2</v>
      </c>
      <c r="M2957" s="64">
        <f t="shared" si="87"/>
        <v>3.7163063631483632E-2</v>
      </c>
      <c r="N2957" s="33" t="s">
        <v>248</v>
      </c>
    </row>
    <row r="2958" spans="1:14" ht="15">
      <c r="A2958" s="12"/>
      <c r="B2958" s="33" t="s">
        <v>144</v>
      </c>
      <c r="C2958" s="92" t="s">
        <v>986</v>
      </c>
      <c r="D2958" s="33" t="s">
        <v>410</v>
      </c>
      <c r="E2958" s="34">
        <v>45657</v>
      </c>
      <c r="F2958" s="34">
        <v>45659</v>
      </c>
      <c r="G2958" s="34">
        <v>45664</v>
      </c>
      <c r="H2958" s="35">
        <v>0.03</v>
      </c>
      <c r="I2958" s="67">
        <v>3.2500000000000001E-2</v>
      </c>
      <c r="J2958" s="67">
        <v>1.5706844637616239E-2</v>
      </c>
      <c r="K2958" s="67">
        <v>1.6793155362383762E-2</v>
      </c>
      <c r="L2958" s="36">
        <f>+K2958-((K2958*0.7185*0.125)+(K2958*(1-0.7185)*0.26))</f>
        <v>1.4055829055426804E-2</v>
      </c>
      <c r="M2958" s="64">
        <f t="shared" si="87"/>
        <v>2.9762673693043043E-2</v>
      </c>
      <c r="N2958" s="33" t="s">
        <v>248</v>
      </c>
    </row>
    <row r="2959" spans="1:14" ht="15">
      <c r="A2959" s="12"/>
      <c r="B2959" s="33" t="s">
        <v>148</v>
      </c>
      <c r="C2959" s="92" t="s">
        <v>362</v>
      </c>
      <c r="D2959" s="33" t="s">
        <v>410</v>
      </c>
      <c r="E2959" s="34">
        <v>45657</v>
      </c>
      <c r="F2959" s="34">
        <v>45659</v>
      </c>
      <c r="G2959" s="34">
        <v>45664</v>
      </c>
      <c r="H2959" s="35">
        <v>0.05</v>
      </c>
      <c r="I2959" s="67">
        <v>6.1699999999999998E-2</v>
      </c>
      <c r="J2959" s="67">
        <v>3.207572085232456E-2</v>
      </c>
      <c r="K2959" s="67">
        <v>2.9624279147675445E-2</v>
      </c>
      <c r="L2959" s="36">
        <f>+K2959-((K2959*0.5195*0.125)+(K2959*(1-0.5195)*0.26))</f>
        <v>2.3999591326604175E-2</v>
      </c>
      <c r="M2959" s="64">
        <f t="shared" si="87"/>
        <v>5.6075312178928735E-2</v>
      </c>
      <c r="N2959" s="33" t="s">
        <v>248</v>
      </c>
    </row>
    <row r="2960" spans="1:14" ht="15">
      <c r="A2960" s="12"/>
      <c r="B2960" s="33" t="s">
        <v>200</v>
      </c>
      <c r="C2960" s="92" t="s">
        <v>365</v>
      </c>
      <c r="D2960" s="33" t="s">
        <v>410</v>
      </c>
      <c r="E2960" s="34">
        <v>45657</v>
      </c>
      <c r="F2960" s="34">
        <v>45659</v>
      </c>
      <c r="G2960" s="34">
        <v>45664</v>
      </c>
      <c r="H2960" s="35">
        <v>0.05</v>
      </c>
      <c r="I2960" s="67">
        <v>1.0330999999999999</v>
      </c>
      <c r="J2960" s="67">
        <v>0.60614743752084388</v>
      </c>
      <c r="K2960" s="67">
        <v>0.42695256247915603</v>
      </c>
      <c r="L2960" s="36">
        <f>+K2960-((K2960*0.5195*0.125)+(K2960*(1-0.5195)*0.26))</f>
        <v>0.34588814682264485</v>
      </c>
      <c r="M2960" s="64">
        <f t="shared" si="87"/>
        <v>0.95203558434348867</v>
      </c>
      <c r="N2960" s="33" t="s">
        <v>248</v>
      </c>
    </row>
    <row r="2961" spans="1:14" ht="15">
      <c r="A2961" s="12"/>
      <c r="B2961" s="33" t="s">
        <v>173</v>
      </c>
      <c r="C2961" s="92" t="s">
        <v>372</v>
      </c>
      <c r="D2961" s="33" t="s">
        <v>410</v>
      </c>
      <c r="E2961" s="34">
        <v>45657</v>
      </c>
      <c r="F2961" s="34">
        <v>45659</v>
      </c>
      <c r="G2961" s="34">
        <v>45664</v>
      </c>
      <c r="H2961" s="35">
        <v>0.03</v>
      </c>
      <c r="I2961" s="67">
        <v>3.78E-2</v>
      </c>
      <c r="J2961" s="67">
        <v>1.5044675167780637E-2</v>
      </c>
      <c r="K2961" s="67">
        <v>2.2755324832219363E-2</v>
      </c>
      <c r="L2961" s="36">
        <f>+K2961-((K2961*0.4715*0.125)+(K2961*(1-0.4715)*0.26))</f>
        <v>1.8287373689725172E-2</v>
      </c>
      <c r="M2961" s="64">
        <f t="shared" si="87"/>
        <v>3.3332048857505805E-2</v>
      </c>
      <c r="N2961" s="33" t="s">
        <v>248</v>
      </c>
    </row>
    <row r="2962" spans="1:14" ht="15">
      <c r="A2962" s="12"/>
      <c r="B2962" s="33" t="s">
        <v>150</v>
      </c>
      <c r="C2962" s="92" t="s">
        <v>377</v>
      </c>
      <c r="D2962" s="33" t="s">
        <v>410</v>
      </c>
      <c r="E2962" s="34">
        <v>45657</v>
      </c>
      <c r="F2962" s="34">
        <v>45659</v>
      </c>
      <c r="G2962" s="34">
        <v>45664</v>
      </c>
      <c r="H2962" s="35">
        <v>7.4999999999999997E-2</v>
      </c>
      <c r="I2962" s="67">
        <v>8.72E-2</v>
      </c>
      <c r="J2962" s="67">
        <v>3.4792196761818724E-2</v>
      </c>
      <c r="K2962" s="67">
        <v>5.2407803238181276E-2</v>
      </c>
      <c r="L2962" s="36">
        <f>+K2962-((K2962*0.0000001*0.125)+(K2962*(1-0.0000001)*0.26))</f>
        <v>3.8781775103759492E-2</v>
      </c>
      <c r="M2962" s="64">
        <f t="shared" si="87"/>
        <v>7.3573971865578208E-2</v>
      </c>
      <c r="N2962" s="33" t="s">
        <v>248</v>
      </c>
    </row>
    <row r="2963" spans="1:14" ht="15">
      <c r="A2963" s="12"/>
      <c r="B2963" s="33" t="s">
        <v>510</v>
      </c>
      <c r="C2963" s="92" t="s">
        <v>509</v>
      </c>
      <c r="D2963" s="33" t="s">
        <v>410</v>
      </c>
      <c r="E2963" s="34">
        <v>45657</v>
      </c>
      <c r="F2963" s="34">
        <v>45659</v>
      </c>
      <c r="G2963" s="34">
        <v>45664</v>
      </c>
      <c r="H2963" s="35">
        <v>7.4999999999999997E-2</v>
      </c>
      <c r="I2963" s="67">
        <v>7.6999999999999999E-2</v>
      </c>
      <c r="J2963" s="67">
        <v>3.3556378724160972E-2</v>
      </c>
      <c r="K2963" s="67">
        <v>4.3443621275839027E-2</v>
      </c>
      <c r="L2963" s="36">
        <f>+K2963-((K2963*0.0000001*0.125)+(K2963*(1-0.0000001)*0.26))</f>
        <v>3.2148280330609763E-2</v>
      </c>
      <c r="M2963" s="64">
        <f t="shared" si="87"/>
        <v>6.5704659054770742E-2</v>
      </c>
      <c r="N2963" s="33" t="s">
        <v>248</v>
      </c>
    </row>
    <row r="2964" spans="1:14" ht="15">
      <c r="A2964" s="12"/>
      <c r="B2964" s="33" t="s">
        <v>441</v>
      </c>
      <c r="C2964" s="92" t="s">
        <v>444</v>
      </c>
      <c r="D2964" s="33" t="s">
        <v>410</v>
      </c>
      <c r="E2964" s="34">
        <v>45657</v>
      </c>
      <c r="F2964" s="34">
        <v>45659</v>
      </c>
      <c r="G2964" s="34">
        <v>45664</v>
      </c>
      <c r="H2964" s="35">
        <v>0.04</v>
      </c>
      <c r="I2964" s="67">
        <v>4.2700000000000002E-2</v>
      </c>
      <c r="J2964" s="67">
        <v>4.2700000000000002E-2</v>
      </c>
      <c r="K2964" s="67">
        <v>0</v>
      </c>
      <c r="L2964" s="36">
        <f>+K2964-((K2964*0.203*0.125)+(K2964*(1-0.203)*0.26))</f>
        <v>0</v>
      </c>
      <c r="M2964" s="64">
        <f t="shared" si="87"/>
        <v>4.2700000000000002E-2</v>
      </c>
      <c r="N2964" s="33" t="s">
        <v>248</v>
      </c>
    </row>
    <row r="2965" spans="1:14" ht="15">
      <c r="A2965" s="12"/>
      <c r="B2965" s="33" t="s">
        <v>440</v>
      </c>
      <c r="C2965" s="92" t="s">
        <v>443</v>
      </c>
      <c r="D2965" s="33" t="s">
        <v>410</v>
      </c>
      <c r="E2965" s="34">
        <v>45657</v>
      </c>
      <c r="F2965" s="34">
        <v>45659</v>
      </c>
      <c r="G2965" s="34">
        <v>45664</v>
      </c>
      <c r="H2965" s="35">
        <v>0.04</v>
      </c>
      <c r="I2965" s="67">
        <v>0.87919999999999998</v>
      </c>
      <c r="J2965" s="67">
        <v>0.87919999999999998</v>
      </c>
      <c r="K2965" s="67">
        <v>0</v>
      </c>
      <c r="L2965" s="36">
        <f>+K2965-((K2965*0.203*0.125)+(K2965*(1-0.203)*0.26))</f>
        <v>0</v>
      </c>
      <c r="M2965" s="64">
        <f t="shared" si="87"/>
        <v>0.87919999999999998</v>
      </c>
      <c r="N2965" s="33" t="s">
        <v>248</v>
      </c>
    </row>
    <row r="2966" spans="1:14" ht="15">
      <c r="A2966" s="12"/>
      <c r="B2966" s="33" t="s">
        <v>299</v>
      </c>
      <c r="C2966" s="92" t="s">
        <v>517</v>
      </c>
      <c r="D2966" s="33" t="s">
        <v>410</v>
      </c>
      <c r="E2966" s="34">
        <v>45657</v>
      </c>
      <c r="F2966" s="34">
        <v>45659</v>
      </c>
      <c r="G2966" s="34">
        <v>45664</v>
      </c>
      <c r="H2966" s="35">
        <v>0.03</v>
      </c>
      <c r="I2966" s="67">
        <v>3.39E-2</v>
      </c>
      <c r="J2966" s="67">
        <v>2.9426252460827331E-2</v>
      </c>
      <c r="K2966" s="67">
        <v>4.4737475391726719E-3</v>
      </c>
      <c r="L2966" s="36">
        <f>+K2966-((K2966*0.3855*0.125)+(K2966*(1-0.3855)*0.26))</f>
        <v>3.5433981852951708E-3</v>
      </c>
      <c r="M2966" s="64">
        <f t="shared" si="87"/>
        <v>3.2969650646122499E-2</v>
      </c>
      <c r="N2966" s="33" t="s">
        <v>248</v>
      </c>
    </row>
    <row r="2967" spans="1:14" ht="15">
      <c r="A2967" s="12"/>
      <c r="B2967" s="33" t="s">
        <v>182</v>
      </c>
      <c r="C2967" s="92" t="s">
        <v>477</v>
      </c>
      <c r="D2967" s="33" t="s">
        <v>410</v>
      </c>
      <c r="E2967" s="34">
        <v>45657</v>
      </c>
      <c r="F2967" s="34">
        <v>45659</v>
      </c>
      <c r="G2967" s="34">
        <v>45664</v>
      </c>
      <c r="H2967" s="35">
        <v>0.03</v>
      </c>
      <c r="I2967" s="67">
        <v>0.65820000000000001</v>
      </c>
      <c r="J2967" s="67">
        <v>0.61585871606673559</v>
      </c>
      <c r="K2967" s="67">
        <v>4.2341283933264418E-2</v>
      </c>
      <c r="L2967" s="36">
        <f>+K2967-((K2967*0.3855*0.125)+(K2967*(1-0.3855)*0.26))</f>
        <v>3.3536096379712582E-2</v>
      </c>
      <c r="M2967" s="64">
        <f t="shared" si="87"/>
        <v>0.64939481244644814</v>
      </c>
      <c r="N2967" s="33" t="s">
        <v>248</v>
      </c>
    </row>
    <row r="2968" spans="1:14" ht="15">
      <c r="A2968" s="12"/>
      <c r="B2968" s="33" t="s">
        <v>202</v>
      </c>
      <c r="C2968" s="92" t="s">
        <v>478</v>
      </c>
      <c r="D2968" s="33" t="s">
        <v>410</v>
      </c>
      <c r="E2968" s="34">
        <v>45657</v>
      </c>
      <c r="F2968" s="34">
        <v>45659</v>
      </c>
      <c r="G2968" s="34">
        <v>45664</v>
      </c>
      <c r="H2968" s="35">
        <v>0.03</v>
      </c>
      <c r="I2968" s="67">
        <v>0.67610000000000003</v>
      </c>
      <c r="J2968" s="67">
        <v>0.50762906975550937</v>
      </c>
      <c r="K2968" s="67">
        <v>0.16847093024449067</v>
      </c>
      <c r="L2968" s="36">
        <f>+K2968-((K2968*0.3855*0.125)+(K2968*(1-0.3855)*0.26))</f>
        <v>0.13343613676817201</v>
      </c>
      <c r="M2968" s="64">
        <f t="shared" si="87"/>
        <v>0.64106520652368137</v>
      </c>
      <c r="N2968" s="33" t="s">
        <v>248</v>
      </c>
    </row>
    <row r="2969" spans="1:14" ht="15">
      <c r="A2969" s="12"/>
      <c r="B2969" s="33" t="s">
        <v>146</v>
      </c>
      <c r="C2969" s="92" t="s">
        <v>380</v>
      </c>
      <c r="D2969" s="33" t="s">
        <v>410</v>
      </c>
      <c r="E2969" s="34">
        <v>45657</v>
      </c>
      <c r="F2969" s="34">
        <v>45659</v>
      </c>
      <c r="G2969" s="34">
        <v>45664</v>
      </c>
      <c r="H2969" s="35">
        <v>4.4999999999999998E-2</v>
      </c>
      <c r="I2969" s="67">
        <v>6.0900000000000003E-2</v>
      </c>
      <c r="J2969" s="67">
        <v>1.0792722144400965E-2</v>
      </c>
      <c r="K2969" s="67">
        <v>5.0107277855599042E-2</v>
      </c>
      <c r="L2969" s="36">
        <f>+K2969-((K2969*0.0255*0.125)+(K2969*(1-0.0255)*0.26))</f>
        <v>3.7251879917161189E-2</v>
      </c>
      <c r="M2969" s="64">
        <f t="shared" si="87"/>
        <v>4.804460206156215E-2</v>
      </c>
      <c r="N2969" s="33" t="s">
        <v>248</v>
      </c>
    </row>
    <row r="2970" spans="1:14" ht="15">
      <c r="A2970" s="12"/>
      <c r="B2970" s="33" t="s">
        <v>163</v>
      </c>
      <c r="C2970" s="92" t="s">
        <v>381</v>
      </c>
      <c r="D2970" s="33" t="s">
        <v>410</v>
      </c>
      <c r="E2970" s="34">
        <v>45657</v>
      </c>
      <c r="F2970" s="34">
        <v>45659</v>
      </c>
      <c r="G2970" s="34">
        <v>45664</v>
      </c>
      <c r="H2970" s="35">
        <v>4.4999999999999998E-2</v>
      </c>
      <c r="I2970" s="67">
        <v>5.3999999999999999E-2</v>
      </c>
      <c r="J2970" s="67">
        <v>1.5954998016030189E-2</v>
      </c>
      <c r="K2970" s="67">
        <v>3.804500198396981E-2</v>
      </c>
      <c r="L2970" s="36">
        <f>+K2970-((K2970*0.0255*0.125)+(K2970*(1-0.0255)*0.26))</f>
        <v>2.8284271387467474E-2</v>
      </c>
      <c r="M2970" s="64">
        <f t="shared" si="87"/>
        <v>4.4239269403497664E-2</v>
      </c>
      <c r="N2970" s="33" t="s">
        <v>248</v>
      </c>
    </row>
    <row r="2971" spans="1:14" ht="15">
      <c r="A2971" s="12"/>
      <c r="B2971" s="33" t="s">
        <v>151</v>
      </c>
      <c r="C2971" s="92" t="s">
        <v>383</v>
      </c>
      <c r="D2971" s="33" t="s">
        <v>410</v>
      </c>
      <c r="E2971" s="34">
        <v>45657</v>
      </c>
      <c r="F2971" s="34">
        <v>45659</v>
      </c>
      <c r="G2971" s="34">
        <v>45664</v>
      </c>
      <c r="H2971" s="35">
        <v>4.4999999999999998E-2</v>
      </c>
      <c r="I2971" s="67">
        <v>4.82E-2</v>
      </c>
      <c r="J2971" s="67">
        <v>0</v>
      </c>
      <c r="K2971" s="67">
        <v>4.82E-2</v>
      </c>
      <c r="L2971" s="36">
        <f>+K2971-((K2971*0.015*0.125)+(K2971*(1-0.015)*0.26))</f>
        <v>3.5765604999999999E-2</v>
      </c>
      <c r="M2971" s="64">
        <f t="shared" si="87"/>
        <v>3.5765604999999999E-2</v>
      </c>
      <c r="N2971" s="33" t="s">
        <v>248</v>
      </c>
    </row>
    <row r="2972" spans="1:14" ht="15">
      <c r="A2972" s="12"/>
      <c r="B2972" s="33" t="s">
        <v>166</v>
      </c>
      <c r="C2972" s="92" t="s">
        <v>384</v>
      </c>
      <c r="D2972" s="33" t="s">
        <v>410</v>
      </c>
      <c r="E2972" s="34">
        <v>45657</v>
      </c>
      <c r="F2972" s="34">
        <v>45659</v>
      </c>
      <c r="G2972" s="34">
        <v>45664</v>
      </c>
      <c r="H2972" s="35">
        <v>4.4999999999999998E-2</v>
      </c>
      <c r="I2972" s="67">
        <v>4.7199999999999999E-2</v>
      </c>
      <c r="J2972" s="67">
        <v>0</v>
      </c>
      <c r="K2972" s="67">
        <v>4.7199999999999999E-2</v>
      </c>
      <c r="L2972" s="36">
        <f>+K2972-((K2972*0.015*0.125)+(K2972*(1-0.015)*0.26))</f>
        <v>3.5023579999999999E-2</v>
      </c>
      <c r="M2972" s="64">
        <f t="shared" si="87"/>
        <v>3.5023579999999999E-2</v>
      </c>
      <c r="N2972" s="33" t="s">
        <v>248</v>
      </c>
    </row>
    <row r="2973" spans="1:14" ht="15">
      <c r="A2973" s="12"/>
      <c r="B2973" s="33" t="s">
        <v>149</v>
      </c>
      <c r="C2973" s="92" t="s">
        <v>386</v>
      </c>
      <c r="D2973" s="33" t="s">
        <v>410</v>
      </c>
      <c r="E2973" s="34">
        <v>45657</v>
      </c>
      <c r="F2973" s="34">
        <v>45659</v>
      </c>
      <c r="G2973" s="34">
        <v>45664</v>
      </c>
      <c r="H2973" s="35">
        <v>7.2499999999999995E-2</v>
      </c>
      <c r="I2973" s="67">
        <v>9.2600000000000002E-2</v>
      </c>
      <c r="J2973" s="67">
        <v>3.5172125731397943E-3</v>
      </c>
      <c r="K2973" s="67">
        <v>8.908278742686021E-2</v>
      </c>
      <c r="L2973" s="36">
        <f>+K2973-((K2973*0.0305*0.125)+(K2973*(1-0.0305)*0.26))</f>
        <v>6.6288061073106641E-2</v>
      </c>
      <c r="M2973" s="64">
        <f t="shared" si="87"/>
        <v>6.9805273646246432E-2</v>
      </c>
      <c r="N2973" s="33" t="s">
        <v>248</v>
      </c>
    </row>
    <row r="2974" spans="1:14" ht="15">
      <c r="A2974" s="12"/>
      <c r="B2974" s="33" t="s">
        <v>165</v>
      </c>
      <c r="C2974" s="92" t="s">
        <v>387</v>
      </c>
      <c r="D2974" s="33" t="s">
        <v>410</v>
      </c>
      <c r="E2974" s="34">
        <v>45657</v>
      </c>
      <c r="F2974" s="34">
        <v>45659</v>
      </c>
      <c r="G2974" s="34">
        <v>45664</v>
      </c>
      <c r="H2974" s="35">
        <v>7.2499999999999995E-2</v>
      </c>
      <c r="I2974" s="67">
        <v>8.5300000000000001E-2</v>
      </c>
      <c r="J2974" s="67">
        <v>9.9965027519074261E-3</v>
      </c>
      <c r="K2974" s="67">
        <v>7.5303497248092571E-2</v>
      </c>
      <c r="L2974" s="36">
        <f>+K2974-((K2974*0.0305*0.125)+(K2974*(1-0.0305)*0.26))</f>
        <v>5.6034650113507528E-2</v>
      </c>
      <c r="M2974" s="64">
        <f t="shared" si="87"/>
        <v>6.6031152865414958E-2</v>
      </c>
      <c r="N2974" s="33" t="s">
        <v>248</v>
      </c>
    </row>
    <row r="2975" spans="1:14" ht="15">
      <c r="A2975" s="12"/>
      <c r="B2975" s="33" t="s">
        <v>153</v>
      </c>
      <c r="C2975" s="92" t="s">
        <v>873</v>
      </c>
      <c r="D2975" s="33" t="s">
        <v>410</v>
      </c>
      <c r="E2975" s="34">
        <v>45657</v>
      </c>
      <c r="F2975" s="34">
        <v>45659</v>
      </c>
      <c r="G2975" s="34">
        <v>45664</v>
      </c>
      <c r="H2975" s="35">
        <v>5.3499999999999999E-2</v>
      </c>
      <c r="I2975" s="67">
        <v>5.4600000000000003E-2</v>
      </c>
      <c r="J2975" s="67">
        <v>8.5379985560462886E-3</v>
      </c>
      <c r="K2975" s="67">
        <v>4.6062001443953712E-2</v>
      </c>
      <c r="L2975" s="36">
        <f>+K2975-((K2975*0.262*0.125)+(K2975*(1-0.262)*0.26))</f>
        <v>3.5715094059598392E-2</v>
      </c>
      <c r="M2975" s="64">
        <f t="shared" si="87"/>
        <v>4.4253092615644682E-2</v>
      </c>
      <c r="N2975" s="33" t="s">
        <v>248</v>
      </c>
    </row>
    <row r="2976" spans="1:14" ht="15">
      <c r="A2976" s="12"/>
      <c r="B2976" s="33" t="s">
        <v>152</v>
      </c>
      <c r="C2976" s="92" t="s">
        <v>874</v>
      </c>
      <c r="D2976" s="33" t="s">
        <v>410</v>
      </c>
      <c r="E2976" s="34">
        <v>45657</v>
      </c>
      <c r="F2976" s="34">
        <v>45659</v>
      </c>
      <c r="G2976" s="34">
        <v>45664</v>
      </c>
      <c r="H2976" s="35">
        <v>5.3499999999999999E-2</v>
      </c>
      <c r="I2976" s="67">
        <v>8.0600000000000005E-2</v>
      </c>
      <c r="J2976" s="67">
        <v>9.4089735823331983E-3</v>
      </c>
      <c r="K2976" s="67">
        <v>7.1191026417666808E-2</v>
      </c>
      <c r="L2976" s="36">
        <f>+K2976-((K2976*0.262*0.125)+(K2976*(1-0.262)*0.26))</f>
        <v>5.5199386153466312E-2</v>
      </c>
      <c r="M2976" s="64">
        <f t="shared" si="87"/>
        <v>6.4608359735799509E-2</v>
      </c>
      <c r="N2976" s="33" t="s">
        <v>248</v>
      </c>
    </row>
    <row r="2977" spans="1:14" ht="15">
      <c r="A2977" s="12"/>
      <c r="B2977" s="33" t="s">
        <v>167</v>
      </c>
      <c r="C2977" s="92" t="s">
        <v>875</v>
      </c>
      <c r="D2977" s="33" t="s">
        <v>410</v>
      </c>
      <c r="E2977" s="34">
        <v>45657</v>
      </c>
      <c r="F2977" s="34">
        <v>45659</v>
      </c>
      <c r="G2977" s="34">
        <v>45664</v>
      </c>
      <c r="H2977" s="35">
        <v>5.3499999999999999E-2</v>
      </c>
      <c r="I2977" s="67">
        <v>7.5800000000000006E-2</v>
      </c>
      <c r="J2977" s="67">
        <v>1.6568206686141933E-2</v>
      </c>
      <c r="K2977" s="67">
        <v>5.9231793313858069E-2</v>
      </c>
      <c r="L2977" s="36">
        <f>+K2977-((K2977*0.262*0.125)+(K2977*(1-0.262)*0.26))</f>
        <v>4.5926555581766129E-2</v>
      </c>
      <c r="M2977" s="64">
        <f t="shared" si="87"/>
        <v>6.2494762267908066E-2</v>
      </c>
      <c r="N2977" s="33" t="s">
        <v>248</v>
      </c>
    </row>
    <row r="2978" spans="1:14" ht="15">
      <c r="A2978" s="12"/>
      <c r="B2978" s="33" t="s">
        <v>301</v>
      </c>
      <c r="C2978" s="92" t="s">
        <v>876</v>
      </c>
      <c r="D2978" s="33" t="s">
        <v>410</v>
      </c>
      <c r="E2978" s="34">
        <v>45657</v>
      </c>
      <c r="F2978" s="34">
        <v>45659</v>
      </c>
      <c r="G2978" s="34">
        <v>45664</v>
      </c>
      <c r="H2978" s="35">
        <v>5.3499999999999999E-2</v>
      </c>
      <c r="I2978" s="67">
        <v>6.0100000000000001E-2</v>
      </c>
      <c r="J2978" s="67">
        <v>9.3973035462694959E-3</v>
      </c>
      <c r="K2978" s="67">
        <v>5.0702696453730503E-2</v>
      </c>
      <c r="L2978" s="36">
        <f>+K2978-((K2978*0.262*0.125)+(K2978*(1-0.262)*0.26))</f>
        <v>3.931334974932902E-2</v>
      </c>
      <c r="M2978" s="64">
        <f t="shared" si="87"/>
        <v>4.8710653295598517E-2</v>
      </c>
      <c r="N2978" s="33" t="s">
        <v>248</v>
      </c>
    </row>
    <row r="2979" spans="1:14" ht="15">
      <c r="A2979" s="12"/>
      <c r="B2979" s="33" t="s">
        <v>304</v>
      </c>
      <c r="C2979" s="92" t="s">
        <v>885</v>
      </c>
      <c r="D2979" s="33" t="s">
        <v>410</v>
      </c>
      <c r="E2979" s="34">
        <v>45657</v>
      </c>
      <c r="F2979" s="34">
        <v>45659</v>
      </c>
      <c r="G2979" s="34">
        <v>45664</v>
      </c>
      <c r="H2979" s="35">
        <v>4.7500000000000001E-2</v>
      </c>
      <c r="I2979" s="67">
        <v>4.7600000000000003E-2</v>
      </c>
      <c r="J2979" s="67">
        <v>1.4507296980495533E-2</v>
      </c>
      <c r="K2979" s="67">
        <v>3.3092703019504469E-2</v>
      </c>
      <c r="L2979" s="36">
        <f>+K2979-((K2979*0.314*0.125)+(K2979*(1-0.314)*0.26))</f>
        <v>2.5891399915430102E-2</v>
      </c>
      <c r="M2979" s="64">
        <f t="shared" si="87"/>
        <v>4.0398696895925637E-2</v>
      </c>
      <c r="N2979" s="33" t="s">
        <v>248</v>
      </c>
    </row>
    <row r="2980" spans="1:14" ht="15">
      <c r="A2980" s="12"/>
      <c r="B2980" s="33" t="s">
        <v>183</v>
      </c>
      <c r="C2980" s="92" t="s">
        <v>886</v>
      </c>
      <c r="D2980" s="33" t="s">
        <v>410</v>
      </c>
      <c r="E2980" s="34">
        <v>45657</v>
      </c>
      <c r="F2980" s="34">
        <v>45659</v>
      </c>
      <c r="G2980" s="34">
        <v>45664</v>
      </c>
      <c r="H2980" s="35">
        <v>4.7500000000000001E-2</v>
      </c>
      <c r="I2980" s="67">
        <v>4.7500000000000001E-2</v>
      </c>
      <c r="J2980" s="67">
        <v>1.586037144104277E-2</v>
      </c>
      <c r="K2980" s="67">
        <v>3.1639628558957231E-2</v>
      </c>
      <c r="L2980" s="36">
        <f>+K2980-((K2980*0.314*0.125)+(K2980*(1-0.314)*0.26))</f>
        <v>2.4754528988242548E-2</v>
      </c>
      <c r="M2980" s="64">
        <f t="shared" si="87"/>
        <v>4.0614900429285318E-2</v>
      </c>
      <c r="N2980" s="33" t="s">
        <v>248</v>
      </c>
    </row>
    <row r="2981" spans="1:14" ht="15">
      <c r="A2981" s="12"/>
      <c r="B2981" s="33" t="s">
        <v>305</v>
      </c>
      <c r="C2981" s="92" t="s">
        <v>887</v>
      </c>
      <c r="D2981" s="33" t="s">
        <v>410</v>
      </c>
      <c r="E2981" s="34">
        <v>45657</v>
      </c>
      <c r="F2981" s="34">
        <v>45659</v>
      </c>
      <c r="G2981" s="34">
        <v>45664</v>
      </c>
      <c r="H2981" s="35">
        <v>4.7500000000000001E-2</v>
      </c>
      <c r="I2981" s="67">
        <v>4.8399999999999999E-2</v>
      </c>
      <c r="J2981" s="67">
        <v>1.1693518888719383E-2</v>
      </c>
      <c r="K2981" s="67">
        <v>3.6706481111280616E-2</v>
      </c>
      <c r="L2981" s="36">
        <f>+K2981-((K2981*0.314*0.125)+(K2981*(1-0.314)*0.26))</f>
        <v>2.8718783756654841E-2</v>
      </c>
      <c r="M2981" s="64">
        <f t="shared" si="87"/>
        <v>4.0412302645374223E-2</v>
      </c>
      <c r="N2981" s="33" t="s">
        <v>248</v>
      </c>
    </row>
    <row r="2982" spans="1:14" ht="15">
      <c r="A2982" s="12"/>
      <c r="B2982" s="33" t="s">
        <v>147</v>
      </c>
      <c r="C2982" s="92" t="s">
        <v>466</v>
      </c>
      <c r="D2982" s="33" t="s">
        <v>410</v>
      </c>
      <c r="E2982" s="34">
        <v>45657</v>
      </c>
      <c r="F2982" s="34">
        <v>45659</v>
      </c>
      <c r="G2982" s="34">
        <v>45664</v>
      </c>
      <c r="H2982" s="35">
        <v>0.05</v>
      </c>
      <c r="I2982" s="67">
        <v>5.8799999999999998E-2</v>
      </c>
      <c r="J2982" s="67">
        <v>0</v>
      </c>
      <c r="K2982" s="67">
        <v>5.8799999999999998E-2</v>
      </c>
      <c r="L2982" s="36">
        <f>+K2982-((K2982*0.107*0.125)+(K2982*(1-0.107)*0.26))</f>
        <v>4.4361365999999999E-2</v>
      </c>
      <c r="M2982" s="64">
        <f t="shared" si="87"/>
        <v>4.4361365999999999E-2</v>
      </c>
      <c r="N2982" s="33" t="s">
        <v>248</v>
      </c>
    </row>
    <row r="2983" spans="1:14" ht="15">
      <c r="A2983" s="12"/>
      <c r="B2983" s="33" t="s">
        <v>164</v>
      </c>
      <c r="C2983" s="92" t="s">
        <v>467</v>
      </c>
      <c r="D2983" s="33" t="s">
        <v>410</v>
      </c>
      <c r="E2983" s="34">
        <v>45657</v>
      </c>
      <c r="F2983" s="34">
        <v>45659</v>
      </c>
      <c r="G2983" s="34">
        <v>45664</v>
      </c>
      <c r="H2983" s="35">
        <v>0.05</v>
      </c>
      <c r="I2983" s="67">
        <v>5.4399999999999997E-2</v>
      </c>
      <c r="J2983" s="67">
        <v>0</v>
      </c>
      <c r="K2983" s="67">
        <v>5.4399999999999997E-2</v>
      </c>
      <c r="L2983" s="36">
        <f>+K2983-((K2983*0.107*0.125)+(K2983*(1-0.107)*0.26))</f>
        <v>4.1041807999999999E-2</v>
      </c>
      <c r="M2983" s="64">
        <f t="shared" si="87"/>
        <v>4.1041807999999999E-2</v>
      </c>
      <c r="N2983" s="33" t="s">
        <v>248</v>
      </c>
    </row>
    <row r="2984" spans="1:14" ht="15">
      <c r="A2984" s="12"/>
      <c r="B2984" s="33" t="s">
        <v>479</v>
      </c>
      <c r="C2984" s="92" t="s">
        <v>481</v>
      </c>
      <c r="D2984" s="33" t="s">
        <v>412</v>
      </c>
      <c r="E2984" s="34">
        <v>45684</v>
      </c>
      <c r="F2984" s="34">
        <v>45685</v>
      </c>
      <c r="G2984" s="34">
        <v>45688</v>
      </c>
      <c r="H2984" s="35">
        <v>6.5000000000000002E-2</v>
      </c>
      <c r="I2984" s="67">
        <v>0.22700000000000001</v>
      </c>
      <c r="J2984" s="67">
        <v>0</v>
      </c>
      <c r="K2984" s="67">
        <v>0.22700000000000001</v>
      </c>
      <c r="L2984" s="36">
        <f>+K2984-((K2984*0.1102*0.125)+(K2984*(1-0.1102)*0.26))</f>
        <v>0.171357079</v>
      </c>
      <c r="M2984" s="64">
        <f t="shared" si="87"/>
        <v>0.171357079</v>
      </c>
      <c r="N2984" s="33" t="s">
        <v>495</v>
      </c>
    </row>
    <row r="2985" spans="1:14" ht="15">
      <c r="A2985" s="12"/>
      <c r="B2985" s="33" t="s">
        <v>480</v>
      </c>
      <c r="C2985" s="92" t="s">
        <v>482</v>
      </c>
      <c r="D2985" s="33" t="s">
        <v>412</v>
      </c>
      <c r="E2985" s="34">
        <v>45684</v>
      </c>
      <c r="F2985" s="34">
        <v>45685</v>
      </c>
      <c r="G2985" s="34">
        <v>45688</v>
      </c>
      <c r="H2985" s="35">
        <v>6.5000000000000002E-2</v>
      </c>
      <c r="I2985" s="67">
        <v>0.20830000000000001</v>
      </c>
      <c r="J2985" s="67">
        <v>0</v>
      </c>
      <c r="K2985" s="67">
        <v>0.20830000000000001</v>
      </c>
      <c r="L2985" s="36">
        <f>+K2985-((K2985*0.1102*0.125)+(K2985*(1-0.1102)*0.26))</f>
        <v>0.15724087910000001</v>
      </c>
      <c r="M2985" s="64">
        <f t="shared" si="87"/>
        <v>0.15724087910000001</v>
      </c>
      <c r="N2985" s="33" t="s">
        <v>495</v>
      </c>
    </row>
    <row r="2986" spans="1:14" ht="15">
      <c r="A2986" s="12"/>
      <c r="B2986" s="33" t="s">
        <v>132</v>
      </c>
      <c r="C2986" s="92" t="s">
        <v>358</v>
      </c>
      <c r="D2986" s="33" t="s">
        <v>410</v>
      </c>
      <c r="E2986" s="34">
        <v>45684</v>
      </c>
      <c r="F2986" s="34">
        <v>45685</v>
      </c>
      <c r="G2986" s="34">
        <v>45688</v>
      </c>
      <c r="H2986" s="35">
        <v>0.04</v>
      </c>
      <c r="I2986" s="67">
        <v>4.4299999999999999E-2</v>
      </c>
      <c r="J2986" s="67">
        <v>0</v>
      </c>
      <c r="K2986" s="67">
        <v>4.4299999999999999E-2</v>
      </c>
      <c r="L2986" s="36">
        <f>+K2986-((K2986*0.2675*0.125)+(K2986*(1-0.2675)*0.26))</f>
        <v>3.4381783749999999E-2</v>
      </c>
      <c r="M2986" s="64">
        <f t="shared" si="87"/>
        <v>3.4381783749999999E-2</v>
      </c>
      <c r="N2986" s="33" t="s">
        <v>249</v>
      </c>
    </row>
    <row r="2987" spans="1:14" ht="15">
      <c r="A2987" s="12"/>
      <c r="B2987" s="33" t="s">
        <v>227</v>
      </c>
      <c r="C2987" s="92" t="s">
        <v>359</v>
      </c>
      <c r="D2987" s="33" t="s">
        <v>410</v>
      </c>
      <c r="E2987" s="34">
        <v>45684</v>
      </c>
      <c r="F2987" s="34">
        <v>45685</v>
      </c>
      <c r="G2987" s="34">
        <v>45688</v>
      </c>
      <c r="H2987" s="35">
        <v>0.04</v>
      </c>
      <c r="I2987" s="67">
        <v>4.36E-2</v>
      </c>
      <c r="J2987" s="67">
        <v>0</v>
      </c>
      <c r="K2987" s="67">
        <v>4.36E-2</v>
      </c>
      <c r="L2987" s="36">
        <f>+K2987-((K2987*0.2675*0.125)+(K2987*(1-0.2675)*0.26))</f>
        <v>3.3838504999999998E-2</v>
      </c>
      <c r="M2987" s="64">
        <f t="shared" si="87"/>
        <v>3.3838504999999998E-2</v>
      </c>
      <c r="N2987" s="33" t="s">
        <v>249</v>
      </c>
    </row>
    <row r="2988" spans="1:14" ht="15">
      <c r="A2988" s="12"/>
      <c r="B2988" s="33" t="s">
        <v>133</v>
      </c>
      <c r="C2988" s="92" t="s">
        <v>857</v>
      </c>
      <c r="D2988" s="33" t="s">
        <v>410</v>
      </c>
      <c r="E2988" s="34">
        <v>45684</v>
      </c>
      <c r="F2988" s="34">
        <v>45685</v>
      </c>
      <c r="G2988" s="34">
        <v>45688</v>
      </c>
      <c r="H2988" s="35">
        <v>3.2500000000000001E-2</v>
      </c>
      <c r="I2988" s="67">
        <v>4.87E-2</v>
      </c>
      <c r="J2988" s="67">
        <v>3.9661440000000027E-2</v>
      </c>
      <c r="K2988" s="67">
        <v>9.038559999999975E-3</v>
      </c>
      <c r="L2988" s="36">
        <f>+K2988-((K2988*0.0017*0.125)+(K2988*(1-0.0017)*0.26))</f>
        <v>6.6906087495199815E-3</v>
      </c>
      <c r="M2988" s="64">
        <f t="shared" si="87"/>
        <v>4.6352048749520008E-2</v>
      </c>
      <c r="N2988" s="33" t="s">
        <v>249</v>
      </c>
    </row>
    <row r="2989" spans="1:14" ht="15">
      <c r="A2989" s="12"/>
      <c r="B2989" s="33" t="s">
        <v>134</v>
      </c>
      <c r="C2989" s="92" t="s">
        <v>374</v>
      </c>
      <c r="D2989" s="33" t="s">
        <v>410</v>
      </c>
      <c r="E2989" s="34">
        <v>45684</v>
      </c>
      <c r="F2989" s="34">
        <v>45685</v>
      </c>
      <c r="G2989" s="34">
        <v>45688</v>
      </c>
      <c r="H2989" s="35">
        <v>5.5E-2</v>
      </c>
      <c r="I2989" s="67">
        <v>7.1800000000000003E-2</v>
      </c>
      <c r="J2989" s="67">
        <v>0</v>
      </c>
      <c r="K2989" s="67">
        <v>7.1800000000000003E-2</v>
      </c>
      <c r="L2989" s="36">
        <f>+K2989-((K2989*0.2224*0.125)+(K2989*(1-0.2224)*0.26))</f>
        <v>5.52877232E-2</v>
      </c>
      <c r="M2989" s="64">
        <f t="shared" si="87"/>
        <v>5.52877232E-2</v>
      </c>
      <c r="N2989" s="33" t="s">
        <v>249</v>
      </c>
    </row>
    <row r="2990" spans="1:14" ht="15">
      <c r="A2990" s="12"/>
      <c r="B2990" s="33" t="s">
        <v>168</v>
      </c>
      <c r="C2990" s="92" t="s">
        <v>376</v>
      </c>
      <c r="D2990" s="33" t="s">
        <v>410</v>
      </c>
      <c r="E2990" s="34">
        <v>45684</v>
      </c>
      <c r="F2990" s="34">
        <v>45685</v>
      </c>
      <c r="G2990" s="34">
        <v>45688</v>
      </c>
      <c r="H2990" s="35">
        <v>5.5E-2</v>
      </c>
      <c r="I2990" s="67">
        <v>5.16E-2</v>
      </c>
      <c r="J2990" s="67">
        <v>0</v>
      </c>
      <c r="K2990" s="67">
        <v>5.16E-2</v>
      </c>
      <c r="L2990" s="36">
        <f>+K2990-((K2990*0.2224*0.125)+(K2990*(1-0.2224)*0.26))</f>
        <v>3.9733238399999996E-2</v>
      </c>
      <c r="M2990" s="64">
        <f t="shared" si="87"/>
        <v>3.9733238399999996E-2</v>
      </c>
      <c r="N2990" s="33" t="s">
        <v>249</v>
      </c>
    </row>
    <row r="2991" spans="1:14" ht="15">
      <c r="A2991" s="12"/>
      <c r="B2991" s="33" t="s">
        <v>136</v>
      </c>
      <c r="C2991" s="92" t="s">
        <v>867</v>
      </c>
      <c r="D2991" s="33" t="s">
        <v>410</v>
      </c>
      <c r="E2991" s="34">
        <v>45684</v>
      </c>
      <c r="F2991" s="34">
        <v>45685</v>
      </c>
      <c r="G2991" s="34">
        <v>45688</v>
      </c>
      <c r="H2991" s="35">
        <v>4.7500000000000001E-2</v>
      </c>
      <c r="I2991" s="67">
        <v>5.6899999999999999E-2</v>
      </c>
      <c r="J2991" s="67">
        <v>0</v>
      </c>
      <c r="K2991" s="67">
        <v>5.6899999999999999E-2</v>
      </c>
      <c r="L2991" s="36">
        <f t="shared" ref="L2991:L2996" si="88">+K2991-((K2991*0.0624*0.125)+(K2991*(1-0.0624)*0.26))</f>
        <v>4.2585325600000001E-2</v>
      </c>
      <c r="M2991" s="64">
        <f t="shared" si="87"/>
        <v>4.2585325600000001E-2</v>
      </c>
      <c r="N2991" s="33" t="s">
        <v>249</v>
      </c>
    </row>
    <row r="2992" spans="1:14" ht="15">
      <c r="A2992" s="12"/>
      <c r="B2992" s="33" t="s">
        <v>137</v>
      </c>
      <c r="C2992" s="92" t="s">
        <v>868</v>
      </c>
      <c r="D2992" s="33" t="s">
        <v>410</v>
      </c>
      <c r="E2992" s="34">
        <v>45684</v>
      </c>
      <c r="F2992" s="34">
        <v>45685</v>
      </c>
      <c r="G2992" s="34">
        <v>45688</v>
      </c>
      <c r="H2992" s="35">
        <v>4.7500000000000001E-2</v>
      </c>
      <c r="I2992" s="67">
        <v>6.4100000000000004E-2</v>
      </c>
      <c r="J2992" s="67">
        <v>0</v>
      </c>
      <c r="K2992" s="67">
        <v>6.4100000000000004E-2</v>
      </c>
      <c r="L2992" s="36">
        <f t="shared" si="88"/>
        <v>4.7973978400000006E-2</v>
      </c>
      <c r="M2992" s="64">
        <f t="shared" si="87"/>
        <v>4.7973978400000006E-2</v>
      </c>
      <c r="N2992" s="33" t="s">
        <v>249</v>
      </c>
    </row>
    <row r="2993" spans="1:14" ht="15">
      <c r="A2993" s="12"/>
      <c r="B2993" s="33" t="s">
        <v>135</v>
      </c>
      <c r="C2993" s="92" t="s">
        <v>869</v>
      </c>
      <c r="D2993" s="33" t="s">
        <v>410</v>
      </c>
      <c r="E2993" s="34">
        <v>45684</v>
      </c>
      <c r="F2993" s="34">
        <v>45685</v>
      </c>
      <c r="G2993" s="34">
        <v>45688</v>
      </c>
      <c r="H2993" s="35">
        <v>4.7500000000000001E-2</v>
      </c>
      <c r="I2993" s="67">
        <v>6.5500000000000003E-2</v>
      </c>
      <c r="J2993" s="67">
        <v>0</v>
      </c>
      <c r="K2993" s="67">
        <v>6.5500000000000003E-2</v>
      </c>
      <c r="L2993" s="36">
        <f t="shared" si="88"/>
        <v>4.9021771999999998E-2</v>
      </c>
      <c r="M2993" s="64">
        <f t="shared" si="87"/>
        <v>4.9021771999999998E-2</v>
      </c>
      <c r="N2993" s="33" t="s">
        <v>249</v>
      </c>
    </row>
    <row r="2994" spans="1:14" ht="15">
      <c r="A2994" s="12"/>
      <c r="B2994" s="33" t="s">
        <v>170</v>
      </c>
      <c r="C2994" s="92" t="s">
        <v>870</v>
      </c>
      <c r="D2994" s="33" t="s">
        <v>410</v>
      </c>
      <c r="E2994" s="34">
        <v>45684</v>
      </c>
      <c r="F2994" s="34">
        <v>45685</v>
      </c>
      <c r="G2994" s="34">
        <v>45688</v>
      </c>
      <c r="H2994" s="35">
        <v>4.7500000000000001E-2</v>
      </c>
      <c r="I2994" s="67">
        <v>5.5100000000000003E-2</v>
      </c>
      <c r="J2994" s="67">
        <v>0</v>
      </c>
      <c r="K2994" s="67">
        <v>5.5100000000000003E-2</v>
      </c>
      <c r="L2994" s="36">
        <f t="shared" si="88"/>
        <v>4.12381624E-2</v>
      </c>
      <c r="M2994" s="64">
        <f t="shared" si="87"/>
        <v>4.12381624E-2</v>
      </c>
      <c r="N2994" s="33" t="s">
        <v>249</v>
      </c>
    </row>
    <row r="2995" spans="1:14" ht="15">
      <c r="A2995" s="12"/>
      <c r="B2995" s="33" t="s">
        <v>171</v>
      </c>
      <c r="C2995" s="92" t="s">
        <v>871</v>
      </c>
      <c r="D2995" s="33" t="s">
        <v>410</v>
      </c>
      <c r="E2995" s="34">
        <v>45684</v>
      </c>
      <c r="F2995" s="34">
        <v>45685</v>
      </c>
      <c r="G2995" s="34">
        <v>45688</v>
      </c>
      <c r="H2995" s="35">
        <v>4.7500000000000001E-2</v>
      </c>
      <c r="I2995" s="67">
        <v>6.1400000000000003E-2</v>
      </c>
      <c r="J2995" s="67">
        <v>0</v>
      </c>
      <c r="K2995" s="67">
        <v>6.1400000000000003E-2</v>
      </c>
      <c r="L2995" s="36">
        <f t="shared" si="88"/>
        <v>4.5953233600000004E-2</v>
      </c>
      <c r="M2995" s="64">
        <f t="shared" si="87"/>
        <v>4.5953233600000004E-2</v>
      </c>
      <c r="N2995" s="33" t="s">
        <v>249</v>
      </c>
    </row>
    <row r="2996" spans="1:14" ht="15">
      <c r="A2996" s="12"/>
      <c r="B2996" s="33" t="s">
        <v>172</v>
      </c>
      <c r="C2996" s="92" t="s">
        <v>872</v>
      </c>
      <c r="D2996" s="33" t="s">
        <v>410</v>
      </c>
      <c r="E2996" s="34">
        <v>45684</v>
      </c>
      <c r="F2996" s="34">
        <v>45685</v>
      </c>
      <c r="G2996" s="34">
        <v>45688</v>
      </c>
      <c r="H2996" s="35">
        <v>4.7500000000000001E-2</v>
      </c>
      <c r="I2996" s="67">
        <v>6.3200000000000006E-2</v>
      </c>
      <c r="J2996" s="67">
        <v>0</v>
      </c>
      <c r="K2996" s="67">
        <v>6.3200000000000006E-2</v>
      </c>
      <c r="L2996" s="36">
        <f t="shared" si="88"/>
        <v>4.7300396800000005E-2</v>
      </c>
      <c r="M2996" s="64">
        <f t="shared" si="87"/>
        <v>4.7300396800000005E-2</v>
      </c>
      <c r="N2996" s="33" t="s">
        <v>249</v>
      </c>
    </row>
    <row r="2997" spans="1:14" ht="15">
      <c r="A2997" s="12"/>
      <c r="B2997" s="33" t="s">
        <v>169</v>
      </c>
      <c r="C2997" s="92" t="s">
        <v>400</v>
      </c>
      <c r="D2997" s="33" t="s">
        <v>410</v>
      </c>
      <c r="E2997" s="34">
        <v>45684</v>
      </c>
      <c r="F2997" s="34">
        <v>45685</v>
      </c>
      <c r="G2997" s="34">
        <v>45688</v>
      </c>
      <c r="H2997" s="35">
        <v>6.5000000000000002E-2</v>
      </c>
      <c r="I2997" s="67">
        <v>5.4300000000000001E-2</v>
      </c>
      <c r="J2997" s="67">
        <v>0</v>
      </c>
      <c r="K2997" s="67">
        <v>5.4300000000000001E-2</v>
      </c>
      <c r="L2997" s="36">
        <f>+K2997-((K2997*0.1102*0.125)+(K2997*(1-0.1102)*0.26))</f>
        <v>4.0989821100000004E-2</v>
      </c>
      <c r="M2997" s="64">
        <f t="shared" si="87"/>
        <v>4.0989821100000004E-2</v>
      </c>
      <c r="N2997" s="33" t="s">
        <v>249</v>
      </c>
    </row>
    <row r="2998" spans="1:14" ht="15">
      <c r="A2998" s="12"/>
      <c r="B2998" s="33" t="s">
        <v>156</v>
      </c>
      <c r="C2998" s="92" t="s">
        <v>863</v>
      </c>
      <c r="D2998" s="33" t="s">
        <v>496</v>
      </c>
      <c r="E2998" s="34">
        <v>45684</v>
      </c>
      <c r="F2998" s="34">
        <v>45685</v>
      </c>
      <c r="G2998" s="34">
        <v>45688</v>
      </c>
      <c r="H2998" s="35">
        <v>3.7499999999999999E-2</v>
      </c>
      <c r="I2998" s="67">
        <v>0.10580000000000001</v>
      </c>
      <c r="J2998" s="67">
        <v>0</v>
      </c>
      <c r="K2998" s="67">
        <v>0.10580000000000001</v>
      </c>
      <c r="L2998" s="36">
        <f>+K2998-((K2998*0.000000001*0.125)+(K2998*(1-0.000000001)*0.26))</f>
        <v>7.8292000014282992E-2</v>
      </c>
      <c r="M2998" s="64">
        <f t="shared" si="87"/>
        <v>7.8292000014282992E-2</v>
      </c>
      <c r="N2998" s="33" t="s">
        <v>250</v>
      </c>
    </row>
    <row r="2999" spans="1:14" ht="15">
      <c r="A2999" s="12"/>
      <c r="B2999" s="33" t="s">
        <v>178</v>
      </c>
      <c r="C2999" s="92" t="s">
        <v>864</v>
      </c>
      <c r="D2999" s="33" t="s">
        <v>496</v>
      </c>
      <c r="E2999" s="34">
        <v>45684</v>
      </c>
      <c r="F2999" s="34">
        <v>45685</v>
      </c>
      <c r="G2999" s="34">
        <v>45688</v>
      </c>
      <c r="H2999" s="35">
        <v>3.7499999999999999E-2</v>
      </c>
      <c r="I2999" s="67">
        <v>9.0999999999999998E-2</v>
      </c>
      <c r="J2999" s="67">
        <v>0</v>
      </c>
      <c r="K2999" s="67">
        <v>9.0999999999999998E-2</v>
      </c>
      <c r="L2999" s="36">
        <f>+K2999-((K2999*0.000000001*0.125)+(K2999*(1-0.000000001)*0.26))</f>
        <v>6.734000001228499E-2</v>
      </c>
      <c r="M2999" s="64">
        <f t="shared" si="87"/>
        <v>6.734000001228499E-2</v>
      </c>
      <c r="N2999" s="33" t="s">
        <v>250</v>
      </c>
    </row>
    <row r="3000" spans="1:14" ht="15">
      <c r="A3000" s="12"/>
      <c r="B3000" s="33" t="s">
        <v>155</v>
      </c>
      <c r="C3000" s="92" t="s">
        <v>858</v>
      </c>
      <c r="D3000" s="33" t="s">
        <v>496</v>
      </c>
      <c r="E3000" s="34">
        <v>45684</v>
      </c>
      <c r="F3000" s="34">
        <v>45685</v>
      </c>
      <c r="G3000" s="34">
        <v>45688</v>
      </c>
      <c r="H3000" s="35">
        <v>3.2500000000000001E-2</v>
      </c>
      <c r="I3000" s="67">
        <v>0.1095</v>
      </c>
      <c r="J3000" s="67">
        <v>4.9740489999999984E-2</v>
      </c>
      <c r="K3000" s="67">
        <v>5.9759510000000016E-2</v>
      </c>
      <c r="L3000" s="36">
        <f>+K3000-((K3000*0.0017*0.125)+(K3000*(1-0.0017)*0.26))</f>
        <v>4.4235752207545012E-2</v>
      </c>
      <c r="M3000" s="64">
        <f t="shared" si="87"/>
        <v>9.3976242207544997E-2</v>
      </c>
      <c r="N3000" s="33" t="s">
        <v>250</v>
      </c>
    </row>
    <row r="3001" spans="1:14" ht="15">
      <c r="A3001" s="12"/>
      <c r="B3001" s="33" t="s">
        <v>177</v>
      </c>
      <c r="C3001" s="92" t="s">
        <v>859</v>
      </c>
      <c r="D3001" s="33" t="s">
        <v>496</v>
      </c>
      <c r="E3001" s="34">
        <v>45684</v>
      </c>
      <c r="F3001" s="34">
        <v>45685</v>
      </c>
      <c r="G3001" s="34">
        <v>45688</v>
      </c>
      <c r="H3001" s="35">
        <v>3.2500000000000001E-2</v>
      </c>
      <c r="I3001" s="67">
        <v>0.111</v>
      </c>
      <c r="J3001" s="67">
        <v>5.053910000000001E-2</v>
      </c>
      <c r="K3001" s="67">
        <v>6.0460899999999991E-2</v>
      </c>
      <c r="L3001" s="36">
        <f>+K3001-((K3001*0.0017*0.125)+(K3001*(1-0.0017)*0.26))</f>
        <v>4.4754941776549997E-2</v>
      </c>
      <c r="M3001" s="64">
        <f t="shared" ref="M3001:M3064" si="89">J3001+L3001</f>
        <v>9.5294041776550015E-2</v>
      </c>
      <c r="N3001" s="33" t="s">
        <v>250</v>
      </c>
    </row>
    <row r="3002" spans="1:14" ht="15">
      <c r="A3002" s="12"/>
      <c r="B3002" s="33" t="s">
        <v>158</v>
      </c>
      <c r="C3002" s="92" t="s">
        <v>373</v>
      </c>
      <c r="D3002" s="33" t="s">
        <v>496</v>
      </c>
      <c r="E3002" s="34">
        <v>45684</v>
      </c>
      <c r="F3002" s="34">
        <v>45685</v>
      </c>
      <c r="G3002" s="34">
        <v>45688</v>
      </c>
      <c r="H3002" s="35">
        <v>5.5E-2</v>
      </c>
      <c r="I3002" s="67">
        <v>9.5200000000000007E-2</v>
      </c>
      <c r="J3002" s="67">
        <v>0</v>
      </c>
      <c r="K3002" s="67">
        <v>9.5200000000000007E-2</v>
      </c>
      <c r="L3002" s="36">
        <f>+K3002-((K3002*0.2224*0.125)+(K3002*(1-0.2224)*0.26))</f>
        <v>7.330628480000001E-2</v>
      </c>
      <c r="M3002" s="64">
        <f t="shared" si="89"/>
        <v>7.330628480000001E-2</v>
      </c>
      <c r="N3002" s="33" t="s">
        <v>250</v>
      </c>
    </row>
    <row r="3003" spans="1:14" ht="15">
      <c r="A3003" s="12"/>
      <c r="B3003" s="33" t="s">
        <v>157</v>
      </c>
      <c r="C3003" s="92" t="s">
        <v>375</v>
      </c>
      <c r="D3003" s="33" t="s">
        <v>496</v>
      </c>
      <c r="E3003" s="34">
        <v>45684</v>
      </c>
      <c r="F3003" s="34">
        <v>45685</v>
      </c>
      <c r="G3003" s="34">
        <v>45688</v>
      </c>
      <c r="H3003" s="35">
        <v>5.5E-2</v>
      </c>
      <c r="I3003" s="67">
        <v>0.1082</v>
      </c>
      <c r="J3003" s="67">
        <v>0</v>
      </c>
      <c r="K3003" s="67">
        <v>0.1082</v>
      </c>
      <c r="L3003" s="36">
        <f>+K3003-((K3003*0.2224*0.125)+(K3003*(1-0.2224)*0.26))</f>
        <v>8.3316596800000003E-2</v>
      </c>
      <c r="M3003" s="64">
        <f t="shared" si="89"/>
        <v>8.3316596800000003E-2</v>
      </c>
      <c r="N3003" s="33" t="s">
        <v>250</v>
      </c>
    </row>
    <row r="3004" spans="1:14" ht="15">
      <c r="A3004" s="12"/>
      <c r="B3004" s="33" t="s">
        <v>154</v>
      </c>
      <c r="C3004" s="92" t="s">
        <v>399</v>
      </c>
      <c r="D3004" s="33" t="s">
        <v>496</v>
      </c>
      <c r="E3004" s="34">
        <v>45684</v>
      </c>
      <c r="F3004" s="34">
        <v>45685</v>
      </c>
      <c r="G3004" s="34">
        <v>45688</v>
      </c>
      <c r="H3004" s="35">
        <v>6.5000000000000002E-2</v>
      </c>
      <c r="I3004" s="67">
        <v>9.7699999999999995E-2</v>
      </c>
      <c r="J3004" s="67">
        <v>0</v>
      </c>
      <c r="K3004" s="67">
        <v>9.7699999999999995E-2</v>
      </c>
      <c r="L3004" s="36">
        <f>+K3004-((K3004*0.1102*0.125)+(K3004*(1-0.1102)*0.26))</f>
        <v>7.3751482899999998E-2</v>
      </c>
      <c r="M3004" s="64">
        <f t="shared" si="89"/>
        <v>7.3751482899999998E-2</v>
      </c>
      <c r="N3004" s="33" t="s">
        <v>250</v>
      </c>
    </row>
    <row r="3005" spans="1:14" ht="15">
      <c r="A3005" s="12"/>
      <c r="B3005" s="33" t="s">
        <v>310</v>
      </c>
      <c r="C3005" s="92" t="s">
        <v>719</v>
      </c>
      <c r="D3005" s="33" t="s">
        <v>411</v>
      </c>
      <c r="E3005" s="34">
        <v>45688</v>
      </c>
      <c r="F3005" s="34">
        <v>45691</v>
      </c>
      <c r="G3005" s="34">
        <v>45694</v>
      </c>
      <c r="H3005" s="35">
        <v>0.05</v>
      </c>
      <c r="I3005" s="67">
        <v>1.44E-2</v>
      </c>
      <c r="J3005" s="67">
        <v>0</v>
      </c>
      <c r="K3005" s="67">
        <v>1.44E-2</v>
      </c>
      <c r="L3005" s="36">
        <f>+K3005-((K3005*0.037*0.125)+(K3005*(1-0.037)*0.26))</f>
        <v>1.0727927999999999E-2</v>
      </c>
      <c r="M3005" s="64">
        <f t="shared" si="89"/>
        <v>1.0727927999999999E-2</v>
      </c>
      <c r="N3005" s="33" t="s">
        <v>718</v>
      </c>
    </row>
    <row r="3006" spans="1:14" ht="15">
      <c r="A3006" s="12"/>
      <c r="B3006" s="33" t="s">
        <v>188</v>
      </c>
      <c r="C3006" s="92" t="s">
        <v>720</v>
      </c>
      <c r="D3006" s="33" t="s">
        <v>411</v>
      </c>
      <c r="E3006" s="34">
        <v>45688</v>
      </c>
      <c r="F3006" s="34">
        <v>45691</v>
      </c>
      <c r="G3006" s="34">
        <v>45694</v>
      </c>
      <c r="H3006" s="35">
        <v>0.05</v>
      </c>
      <c r="I3006" s="67">
        <v>0.24979999999999999</v>
      </c>
      <c r="J3006" s="67">
        <v>0</v>
      </c>
      <c r="K3006" s="67">
        <v>0.24979999999999999</v>
      </c>
      <c r="L3006" s="36">
        <f>+K3006-((K3006*0.037*0.125)+(K3006*(1-0.037)*0.26))</f>
        <v>0.18609975099999998</v>
      </c>
      <c r="M3006" s="64">
        <f t="shared" si="89"/>
        <v>0.18609975099999998</v>
      </c>
      <c r="N3006" s="33" t="s">
        <v>718</v>
      </c>
    </row>
    <row r="3007" spans="1:14" ht="15">
      <c r="A3007" s="12"/>
      <c r="B3007" s="33" t="s">
        <v>196</v>
      </c>
      <c r="C3007" s="92" t="s">
        <v>721</v>
      </c>
      <c r="D3007" s="33" t="s">
        <v>411</v>
      </c>
      <c r="E3007" s="34">
        <v>45688</v>
      </c>
      <c r="F3007" s="34">
        <v>45691</v>
      </c>
      <c r="G3007" s="34">
        <v>45694</v>
      </c>
      <c r="H3007" s="35">
        <v>0.05</v>
      </c>
      <c r="I3007" s="67">
        <v>0.26519999999999999</v>
      </c>
      <c r="J3007" s="67">
        <v>0</v>
      </c>
      <c r="K3007" s="67">
        <v>0.26519999999999999</v>
      </c>
      <c r="L3007" s="36">
        <f>+K3007-((K3007*0.037*0.125)+(K3007*(1-0.037)*0.26))</f>
        <v>0.197572674</v>
      </c>
      <c r="M3007" s="64">
        <f t="shared" si="89"/>
        <v>0.197572674</v>
      </c>
      <c r="N3007" s="33" t="s">
        <v>718</v>
      </c>
    </row>
    <row r="3008" spans="1:14" ht="15">
      <c r="A3008" s="12"/>
      <c r="B3008" s="33" t="s">
        <v>191</v>
      </c>
      <c r="C3008" s="92" t="s">
        <v>722</v>
      </c>
      <c r="D3008" s="33" t="s">
        <v>411</v>
      </c>
      <c r="E3008" s="34">
        <v>45688</v>
      </c>
      <c r="F3008" s="34">
        <v>45691</v>
      </c>
      <c r="G3008" s="34">
        <v>45694</v>
      </c>
      <c r="H3008" s="35">
        <v>0.05</v>
      </c>
      <c r="I3008" s="67">
        <v>1.37E-2</v>
      </c>
      <c r="J3008" s="67">
        <v>0</v>
      </c>
      <c r="K3008" s="67">
        <v>1.37E-2</v>
      </c>
      <c r="L3008" s="36">
        <f>+K3008-((K3008*0.8462*0.125)+(K3008*(1-0.8462)*0.26))</f>
        <v>1.17030469E-2</v>
      </c>
      <c r="M3008" s="64">
        <f t="shared" si="89"/>
        <v>1.17030469E-2</v>
      </c>
      <c r="N3008" s="33" t="s">
        <v>718</v>
      </c>
    </row>
    <row r="3009" spans="1:14" ht="15">
      <c r="A3009" s="12"/>
      <c r="B3009" s="33" t="s">
        <v>199</v>
      </c>
      <c r="C3009" s="92" t="s">
        <v>723</v>
      </c>
      <c r="D3009" s="33" t="s">
        <v>411</v>
      </c>
      <c r="E3009" s="34">
        <v>45688</v>
      </c>
      <c r="F3009" s="34">
        <v>45691</v>
      </c>
      <c r="G3009" s="34">
        <v>45694</v>
      </c>
      <c r="H3009" s="35">
        <v>0.05</v>
      </c>
      <c r="I3009" s="67">
        <v>1.38E-2</v>
      </c>
      <c r="J3009" s="67">
        <v>0</v>
      </c>
      <c r="K3009" s="67">
        <v>1.38E-2</v>
      </c>
      <c r="L3009" s="36">
        <f>+K3009-((K3009*0.8462*0.125)+(K3009*(1-0.8462)*0.26))</f>
        <v>1.17884706E-2</v>
      </c>
      <c r="M3009" s="64">
        <f t="shared" si="89"/>
        <v>1.17884706E-2</v>
      </c>
      <c r="N3009" s="33" t="s">
        <v>718</v>
      </c>
    </row>
    <row r="3010" spans="1:14" ht="15">
      <c r="A3010" s="12"/>
      <c r="B3010" s="33" t="s">
        <v>306</v>
      </c>
      <c r="C3010" s="92" t="s">
        <v>724</v>
      </c>
      <c r="D3010" s="33" t="s">
        <v>411</v>
      </c>
      <c r="E3010" s="34">
        <v>45688</v>
      </c>
      <c r="F3010" s="34">
        <v>45691</v>
      </c>
      <c r="G3010" s="34">
        <v>45694</v>
      </c>
      <c r="H3010" s="35">
        <v>0.04</v>
      </c>
      <c r="I3010" s="67">
        <v>1.4200000000000001E-2</v>
      </c>
      <c r="J3010" s="67">
        <v>0</v>
      </c>
      <c r="K3010" s="67">
        <v>1.4200000000000001E-2</v>
      </c>
      <c r="L3010" s="36">
        <f>+K3010-((K3010*0.0008*0.125)+(K3010*(1-0.0008)*0.26))</f>
        <v>1.0509533600000001E-2</v>
      </c>
      <c r="M3010" s="64">
        <f t="shared" si="89"/>
        <v>1.0509533600000001E-2</v>
      </c>
      <c r="N3010" s="33" t="s">
        <v>718</v>
      </c>
    </row>
    <row r="3011" spans="1:14" ht="15">
      <c r="A3011" s="12"/>
      <c r="B3011" s="33" t="s">
        <v>184</v>
      </c>
      <c r="C3011" s="92" t="s">
        <v>725</v>
      </c>
      <c r="D3011" s="33" t="s">
        <v>411</v>
      </c>
      <c r="E3011" s="34">
        <v>45688</v>
      </c>
      <c r="F3011" s="34">
        <v>45691</v>
      </c>
      <c r="G3011" s="34">
        <v>45694</v>
      </c>
      <c r="H3011" s="35">
        <v>0.04</v>
      </c>
      <c r="I3011" s="67">
        <v>0.28399999999999997</v>
      </c>
      <c r="J3011" s="67">
        <v>0</v>
      </c>
      <c r="K3011" s="67">
        <v>0.28399999999999997</v>
      </c>
      <c r="L3011" s="36">
        <f>+K3011-((K3011*0.0008*0.125)+(K3011*(1-0.0008)*0.26))</f>
        <v>0.21019067199999997</v>
      </c>
      <c r="M3011" s="64">
        <f t="shared" si="89"/>
        <v>0.21019067199999997</v>
      </c>
      <c r="N3011" s="33" t="s">
        <v>718</v>
      </c>
    </row>
    <row r="3012" spans="1:14" ht="15">
      <c r="A3012" s="12"/>
      <c r="B3012" s="33" t="s">
        <v>192</v>
      </c>
      <c r="C3012" s="92" t="s">
        <v>726</v>
      </c>
      <c r="D3012" s="33" t="s">
        <v>411</v>
      </c>
      <c r="E3012" s="34">
        <v>45688</v>
      </c>
      <c r="F3012" s="34">
        <v>45691</v>
      </c>
      <c r="G3012" s="34">
        <v>45694</v>
      </c>
      <c r="H3012" s="35">
        <v>0.04</v>
      </c>
      <c r="I3012" s="67">
        <v>0.2923</v>
      </c>
      <c r="J3012" s="67">
        <v>0</v>
      </c>
      <c r="K3012" s="67">
        <v>0.2923</v>
      </c>
      <c r="L3012" s="36">
        <f>+K3012-((K3012*0.0008*0.125)+(K3012*(1-0.0008)*0.26))</f>
        <v>0.21633356840000001</v>
      </c>
      <c r="M3012" s="64">
        <f t="shared" si="89"/>
        <v>0.21633356840000001</v>
      </c>
      <c r="N3012" s="33" t="s">
        <v>718</v>
      </c>
    </row>
    <row r="3013" spans="1:14" ht="15">
      <c r="A3013" s="12"/>
      <c r="B3013" s="33" t="s">
        <v>311</v>
      </c>
      <c r="C3013" s="92" t="s">
        <v>727</v>
      </c>
      <c r="D3013" s="33" t="s">
        <v>411</v>
      </c>
      <c r="E3013" s="34">
        <v>45688</v>
      </c>
      <c r="F3013" s="34">
        <v>45691</v>
      </c>
      <c r="G3013" s="34">
        <v>45694</v>
      </c>
      <c r="H3013" s="35">
        <v>0.04</v>
      </c>
      <c r="I3013" s="67">
        <v>1.5299999999999999E-2</v>
      </c>
      <c r="J3013" s="67">
        <v>0</v>
      </c>
      <c r="K3013" s="67">
        <v>1.5299999999999999E-2</v>
      </c>
      <c r="L3013" s="36">
        <f>+K3013-((K3013*0.0106*0.125)+(K3013*(1-0.0106)*0.26))</f>
        <v>1.1343894300000001E-2</v>
      </c>
      <c r="M3013" s="64">
        <f t="shared" si="89"/>
        <v>1.1343894300000001E-2</v>
      </c>
      <c r="N3013" s="33" t="s">
        <v>718</v>
      </c>
    </row>
    <row r="3014" spans="1:14" ht="15">
      <c r="A3014" s="12"/>
      <c r="B3014" s="33" t="s">
        <v>189</v>
      </c>
      <c r="C3014" s="92" t="s">
        <v>728</v>
      </c>
      <c r="D3014" s="33" t="s">
        <v>411</v>
      </c>
      <c r="E3014" s="34">
        <v>45688</v>
      </c>
      <c r="F3014" s="34">
        <v>45691</v>
      </c>
      <c r="G3014" s="34">
        <v>45694</v>
      </c>
      <c r="H3014" s="35">
        <v>0.04</v>
      </c>
      <c r="I3014" s="67">
        <v>0.27929999999999999</v>
      </c>
      <c r="J3014" s="67">
        <v>0</v>
      </c>
      <c r="K3014" s="67">
        <v>0.27929999999999999</v>
      </c>
      <c r="L3014" s="36">
        <f>+K3014-((K3014*0.0106*0.125)+(K3014*(1-0.0106)*0.26))</f>
        <v>0.20708167829999999</v>
      </c>
      <c r="M3014" s="64">
        <f t="shared" si="89"/>
        <v>0.20708167829999999</v>
      </c>
      <c r="N3014" s="33" t="s">
        <v>718</v>
      </c>
    </row>
    <row r="3015" spans="1:14" ht="15">
      <c r="A3015" s="12"/>
      <c r="B3015" s="33" t="s">
        <v>197</v>
      </c>
      <c r="C3015" s="92" t="s">
        <v>729</v>
      </c>
      <c r="D3015" s="33" t="s">
        <v>411</v>
      </c>
      <c r="E3015" s="34">
        <v>45688</v>
      </c>
      <c r="F3015" s="34">
        <v>45691</v>
      </c>
      <c r="G3015" s="34">
        <v>45694</v>
      </c>
      <c r="H3015" s="35">
        <v>0.04</v>
      </c>
      <c r="I3015" s="67">
        <v>0.28970000000000001</v>
      </c>
      <c r="J3015" s="67">
        <v>0</v>
      </c>
      <c r="K3015" s="67">
        <v>0.28970000000000001</v>
      </c>
      <c r="L3015" s="36">
        <f>+K3015-((K3015*0.0106*0.125)+(K3015*(1-0.0106)*0.26))</f>
        <v>0.21479256070000002</v>
      </c>
      <c r="M3015" s="64">
        <f t="shared" si="89"/>
        <v>0.21479256070000002</v>
      </c>
      <c r="N3015" s="33" t="s">
        <v>718</v>
      </c>
    </row>
    <row r="3016" spans="1:14" ht="15">
      <c r="A3016" s="12"/>
      <c r="B3016" s="33" t="s">
        <v>308</v>
      </c>
      <c r="C3016" s="92" t="s">
        <v>730</v>
      </c>
      <c r="D3016" s="33" t="s">
        <v>411</v>
      </c>
      <c r="E3016" s="34">
        <v>45688</v>
      </c>
      <c r="F3016" s="34">
        <v>45691</v>
      </c>
      <c r="G3016" s="34">
        <v>45694</v>
      </c>
      <c r="H3016" s="35">
        <v>0.05</v>
      </c>
      <c r="I3016" s="67">
        <v>1.66E-2</v>
      </c>
      <c r="J3016" s="67">
        <v>0</v>
      </c>
      <c r="K3016" s="67">
        <v>1.66E-2</v>
      </c>
      <c r="L3016" s="36">
        <f>+K3016-((K3016*0.5205*0.125)+(K3016*(1-0.5205)*0.26))</f>
        <v>1.3450440500000001E-2</v>
      </c>
      <c r="M3016" s="64">
        <f t="shared" si="89"/>
        <v>1.3450440500000001E-2</v>
      </c>
      <c r="N3016" s="33" t="s">
        <v>718</v>
      </c>
    </row>
    <row r="3017" spans="1:14" ht="15">
      <c r="A3017" s="12"/>
      <c r="B3017" s="33" t="s">
        <v>186</v>
      </c>
      <c r="C3017" s="92" t="s">
        <v>731</v>
      </c>
      <c r="D3017" s="33" t="s">
        <v>411</v>
      </c>
      <c r="E3017" s="34">
        <v>45688</v>
      </c>
      <c r="F3017" s="34">
        <v>45691</v>
      </c>
      <c r="G3017" s="34">
        <v>45694</v>
      </c>
      <c r="H3017" s="35">
        <v>0.05</v>
      </c>
      <c r="I3017" s="67">
        <v>0.3024</v>
      </c>
      <c r="J3017" s="67">
        <v>0</v>
      </c>
      <c r="K3017" s="67">
        <v>0.3024</v>
      </c>
      <c r="L3017" s="36">
        <f>+K3017-((K3017*0.5205*0.125)+(K3017*(1-0.5205)*0.26))</f>
        <v>0.24502489199999999</v>
      </c>
      <c r="M3017" s="64">
        <f t="shared" si="89"/>
        <v>0.24502489199999999</v>
      </c>
      <c r="N3017" s="33" t="s">
        <v>718</v>
      </c>
    </row>
    <row r="3018" spans="1:14" ht="15">
      <c r="A3018" s="12"/>
      <c r="B3018" s="33" t="s">
        <v>194</v>
      </c>
      <c r="C3018" s="92" t="s">
        <v>732</v>
      </c>
      <c r="D3018" s="33" t="s">
        <v>411</v>
      </c>
      <c r="E3018" s="34">
        <v>45688</v>
      </c>
      <c r="F3018" s="34">
        <v>45691</v>
      </c>
      <c r="G3018" s="34">
        <v>45694</v>
      </c>
      <c r="H3018" s="35">
        <v>0.05</v>
      </c>
      <c r="I3018" s="67">
        <v>0.31569999999999998</v>
      </c>
      <c r="J3018" s="67">
        <v>0</v>
      </c>
      <c r="K3018" s="67">
        <v>0.31569999999999998</v>
      </c>
      <c r="L3018" s="36">
        <f>+K3018-((K3018*0.5205*0.125)+(K3018*(1-0.5205)*0.26))</f>
        <v>0.25580144974999997</v>
      </c>
      <c r="M3018" s="64">
        <f t="shared" si="89"/>
        <v>0.25580144974999997</v>
      </c>
      <c r="N3018" s="33" t="s">
        <v>718</v>
      </c>
    </row>
    <row r="3019" spans="1:14" ht="15">
      <c r="A3019" s="12"/>
      <c r="B3019" s="33" t="s">
        <v>307</v>
      </c>
      <c r="C3019" s="92" t="s">
        <v>733</v>
      </c>
      <c r="D3019" s="33" t="s">
        <v>411</v>
      </c>
      <c r="E3019" s="34">
        <v>45688</v>
      </c>
      <c r="F3019" s="34">
        <v>45691</v>
      </c>
      <c r="G3019" s="34">
        <v>45694</v>
      </c>
      <c r="H3019" s="35">
        <v>0.04</v>
      </c>
      <c r="I3019" s="67">
        <v>1.09E-2</v>
      </c>
      <c r="J3019" s="67">
        <v>0</v>
      </c>
      <c r="K3019" s="67">
        <v>1.09E-2</v>
      </c>
      <c r="L3019" s="36">
        <f>+K3019-((K3019*0.6549*0.125)+(K3019*(1-0.6549)*0.26))</f>
        <v>9.0296853500000003E-3</v>
      </c>
      <c r="M3019" s="64">
        <f t="shared" si="89"/>
        <v>9.0296853500000003E-3</v>
      </c>
      <c r="N3019" s="33" t="s">
        <v>718</v>
      </c>
    </row>
    <row r="3020" spans="1:14" ht="15">
      <c r="A3020" s="12"/>
      <c r="B3020" s="33" t="s">
        <v>185</v>
      </c>
      <c r="C3020" s="92" t="s">
        <v>734</v>
      </c>
      <c r="D3020" s="33" t="s">
        <v>411</v>
      </c>
      <c r="E3020" s="34">
        <v>45688</v>
      </c>
      <c r="F3020" s="34">
        <v>45691</v>
      </c>
      <c r="G3020" s="34">
        <v>45694</v>
      </c>
      <c r="H3020" s="35">
        <v>0.04</v>
      </c>
      <c r="I3020" s="67">
        <v>0.17910000000000001</v>
      </c>
      <c r="J3020" s="67">
        <v>0</v>
      </c>
      <c r="K3020" s="67">
        <v>0.17910000000000001</v>
      </c>
      <c r="L3020" s="36">
        <f>+K3020-((K3020*0.6549*0.125)+(K3020*(1-0.6549)*0.26))</f>
        <v>0.14836849965000001</v>
      </c>
      <c r="M3020" s="64">
        <f t="shared" si="89"/>
        <v>0.14836849965000001</v>
      </c>
      <c r="N3020" s="33" t="s">
        <v>718</v>
      </c>
    </row>
    <row r="3021" spans="1:14" ht="15">
      <c r="A3021" s="12"/>
      <c r="B3021" s="33" t="s">
        <v>193</v>
      </c>
      <c r="C3021" s="92" t="s">
        <v>735</v>
      </c>
      <c r="D3021" s="33" t="s">
        <v>411</v>
      </c>
      <c r="E3021" s="34">
        <v>45688</v>
      </c>
      <c r="F3021" s="34">
        <v>45691</v>
      </c>
      <c r="G3021" s="34">
        <v>45694</v>
      </c>
      <c r="H3021" s="35">
        <v>0.04</v>
      </c>
      <c r="I3021" s="67">
        <v>0.1789</v>
      </c>
      <c r="J3021" s="67">
        <v>0</v>
      </c>
      <c r="K3021" s="67">
        <v>0.1789</v>
      </c>
      <c r="L3021" s="36">
        <f>+K3021-((K3021*0.6549*0.125)+(K3021*(1-0.6549)*0.26))</f>
        <v>0.14820281735000002</v>
      </c>
      <c r="M3021" s="64">
        <f t="shared" si="89"/>
        <v>0.14820281735000002</v>
      </c>
      <c r="N3021" s="33" t="s">
        <v>718</v>
      </c>
    </row>
    <row r="3022" spans="1:14" ht="15">
      <c r="A3022" s="12"/>
      <c r="B3022" s="33" t="s">
        <v>309</v>
      </c>
      <c r="C3022" s="92" t="s">
        <v>736</v>
      </c>
      <c r="D3022" s="33" t="s">
        <v>411</v>
      </c>
      <c r="E3022" s="34">
        <v>45688</v>
      </c>
      <c r="F3022" s="34">
        <v>45691</v>
      </c>
      <c r="G3022" s="34">
        <v>45694</v>
      </c>
      <c r="H3022" s="35">
        <v>0.05</v>
      </c>
      <c r="I3022" s="67">
        <v>1.61E-2</v>
      </c>
      <c r="J3022" s="67">
        <v>0</v>
      </c>
      <c r="K3022" s="67">
        <v>1.61E-2</v>
      </c>
      <c r="L3022" s="36">
        <f>+K3022-((K3022*0.0436*0.125)+(K3022*(1-0.0436)*0.26))</f>
        <v>1.2008764599999999E-2</v>
      </c>
      <c r="M3022" s="64">
        <f t="shared" si="89"/>
        <v>1.2008764599999999E-2</v>
      </c>
      <c r="N3022" s="33" t="s">
        <v>718</v>
      </c>
    </row>
    <row r="3023" spans="1:14" ht="15">
      <c r="A3023" s="12"/>
      <c r="B3023" s="33" t="s">
        <v>187</v>
      </c>
      <c r="C3023" s="92" t="s">
        <v>737</v>
      </c>
      <c r="D3023" s="33" t="s">
        <v>411</v>
      </c>
      <c r="E3023" s="34">
        <v>45688</v>
      </c>
      <c r="F3023" s="34">
        <v>45691</v>
      </c>
      <c r="G3023" s="34">
        <v>45694</v>
      </c>
      <c r="H3023" s="35">
        <v>0.05</v>
      </c>
      <c r="I3023" s="67">
        <v>0.28210000000000002</v>
      </c>
      <c r="J3023" s="67">
        <v>0</v>
      </c>
      <c r="K3023" s="67">
        <v>0.28210000000000002</v>
      </c>
      <c r="L3023" s="36">
        <f>+K3023-((K3023*0.0436*0.125)+(K3023*(1-0.0436)*0.26))</f>
        <v>0.2104144406</v>
      </c>
      <c r="M3023" s="64">
        <f t="shared" si="89"/>
        <v>0.2104144406</v>
      </c>
      <c r="N3023" s="33" t="s">
        <v>718</v>
      </c>
    </row>
    <row r="3024" spans="1:14" ht="15">
      <c r="A3024" s="12"/>
      <c r="B3024" s="33" t="s">
        <v>195</v>
      </c>
      <c r="C3024" s="92" t="s">
        <v>738</v>
      </c>
      <c r="D3024" s="33" t="s">
        <v>411</v>
      </c>
      <c r="E3024" s="34">
        <v>45688</v>
      </c>
      <c r="F3024" s="34">
        <v>45691</v>
      </c>
      <c r="G3024" s="34">
        <v>45694</v>
      </c>
      <c r="H3024" s="35">
        <v>0.05</v>
      </c>
      <c r="I3024" s="67">
        <v>0.29730000000000001</v>
      </c>
      <c r="J3024" s="67">
        <v>0</v>
      </c>
      <c r="K3024" s="67">
        <v>0.29730000000000001</v>
      </c>
      <c r="L3024" s="36">
        <f>+K3024-((K3024*0.0436*0.125)+(K3024*(1-0.0436)*0.26))</f>
        <v>0.22175190780000001</v>
      </c>
      <c r="M3024" s="64">
        <f t="shared" si="89"/>
        <v>0.22175190780000001</v>
      </c>
      <c r="N3024" s="33" t="s">
        <v>718</v>
      </c>
    </row>
    <row r="3025" spans="1:14" ht="15">
      <c r="A3025" s="12"/>
      <c r="B3025" s="33" t="s">
        <v>312</v>
      </c>
      <c r="C3025" s="92" t="s">
        <v>739</v>
      </c>
      <c r="D3025" s="33" t="s">
        <v>411</v>
      </c>
      <c r="E3025" s="34">
        <v>45688</v>
      </c>
      <c r="F3025" s="34">
        <v>45691</v>
      </c>
      <c r="G3025" s="34">
        <v>45694</v>
      </c>
      <c r="H3025" s="35">
        <v>5.2499999999999998E-2</v>
      </c>
      <c r="I3025" s="67">
        <v>1.6299999999999999E-2</v>
      </c>
      <c r="J3025" s="67">
        <v>0</v>
      </c>
      <c r="K3025" s="67">
        <v>1.6299999999999999E-2</v>
      </c>
      <c r="L3025" s="36">
        <f>+K3025-((K3025*0.000000001*0.125)+(K3025*(1-0.000000001)*0.26))</f>
        <v>1.2062000002200498E-2</v>
      </c>
      <c r="M3025" s="64">
        <f t="shared" si="89"/>
        <v>1.2062000002200498E-2</v>
      </c>
      <c r="N3025" s="33" t="s">
        <v>718</v>
      </c>
    </row>
    <row r="3026" spans="1:14" ht="15">
      <c r="A3026" s="12"/>
      <c r="B3026" s="33" t="s">
        <v>190</v>
      </c>
      <c r="C3026" s="92" t="s">
        <v>740</v>
      </c>
      <c r="D3026" s="33" t="s">
        <v>411</v>
      </c>
      <c r="E3026" s="34">
        <v>45688</v>
      </c>
      <c r="F3026" s="34">
        <v>45691</v>
      </c>
      <c r="G3026" s="34">
        <v>45694</v>
      </c>
      <c r="H3026" s="35">
        <v>5.2499999999999998E-2</v>
      </c>
      <c r="I3026" s="67">
        <v>0.30649999999999999</v>
      </c>
      <c r="J3026" s="67">
        <v>0</v>
      </c>
      <c r="K3026" s="67">
        <v>0.30649999999999999</v>
      </c>
      <c r="L3026" s="36">
        <f>+K3026-((K3026*0.000000001*0.125)+(K3026*(1-0.000000001)*0.26))</f>
        <v>0.22681000004137747</v>
      </c>
      <c r="M3026" s="64">
        <f t="shared" si="89"/>
        <v>0.22681000004137747</v>
      </c>
      <c r="N3026" s="33" t="s">
        <v>718</v>
      </c>
    </row>
    <row r="3027" spans="1:14" ht="15">
      <c r="A3027" s="12"/>
      <c r="B3027" s="33" t="s">
        <v>198</v>
      </c>
      <c r="C3027" s="92" t="s">
        <v>741</v>
      </c>
      <c r="D3027" s="33" t="s">
        <v>411</v>
      </c>
      <c r="E3027" s="34">
        <v>45688</v>
      </c>
      <c r="F3027" s="34">
        <v>45691</v>
      </c>
      <c r="G3027" s="34">
        <v>45694</v>
      </c>
      <c r="H3027" s="35">
        <v>5.2499999999999998E-2</v>
      </c>
      <c r="I3027" s="67">
        <v>0.31280000000000002</v>
      </c>
      <c r="J3027" s="67">
        <v>0</v>
      </c>
      <c r="K3027" s="67">
        <v>0.31280000000000002</v>
      </c>
      <c r="L3027" s="36">
        <f>+K3027-((K3027*0.000000001*0.125)+(K3027*(1-0.000000001)*0.26))</f>
        <v>0.23147200004222801</v>
      </c>
      <c r="M3027" s="64">
        <f t="shared" si="89"/>
        <v>0.23147200004222801</v>
      </c>
      <c r="N3027" s="33" t="s">
        <v>718</v>
      </c>
    </row>
    <row r="3028" spans="1:14" ht="15">
      <c r="A3028" s="12"/>
      <c r="B3028" s="33" t="s">
        <v>313</v>
      </c>
      <c r="C3028" s="92" t="s">
        <v>884</v>
      </c>
      <c r="D3028" s="33" t="s">
        <v>411</v>
      </c>
      <c r="E3028" s="34">
        <v>45688</v>
      </c>
      <c r="F3028" s="34">
        <v>45691</v>
      </c>
      <c r="G3028" s="34">
        <v>45694</v>
      </c>
      <c r="H3028" s="35">
        <v>4.1250000000000002E-2</v>
      </c>
      <c r="I3028" s="67">
        <v>1.3299999999999999E-2</v>
      </c>
      <c r="J3028" s="67">
        <v>0</v>
      </c>
      <c r="K3028" s="67">
        <v>1.3299999999999999E-2</v>
      </c>
      <c r="L3028" s="36">
        <f>+K3028-((K3028*0.3093*0.125)+(K3028*(1-0.3093)*0.26))</f>
        <v>1.0397348149999999E-2</v>
      </c>
      <c r="M3028" s="64">
        <f t="shared" si="89"/>
        <v>1.0397348149999999E-2</v>
      </c>
      <c r="N3028" s="33" t="s">
        <v>718</v>
      </c>
    </row>
    <row r="3029" spans="1:14" ht="15">
      <c r="A3029" s="12"/>
      <c r="B3029" s="33" t="s">
        <v>310</v>
      </c>
      <c r="C3029" s="92" t="s">
        <v>719</v>
      </c>
      <c r="D3029" s="33" t="s">
        <v>411</v>
      </c>
      <c r="E3029" s="34">
        <v>45716</v>
      </c>
      <c r="F3029" s="34">
        <v>45719</v>
      </c>
      <c r="G3029" s="34">
        <v>45722</v>
      </c>
      <c r="H3029" s="35">
        <v>0.05</v>
      </c>
      <c r="I3029" s="67">
        <v>1.44E-2</v>
      </c>
      <c r="J3029" s="67">
        <v>0</v>
      </c>
      <c r="K3029" s="67">
        <v>1.44E-2</v>
      </c>
      <c r="L3029" s="36">
        <f>+K3029-((K3029*0.037*0.125)+(K3029*(1-0.037)*0.26))</f>
        <v>1.0727927999999999E-2</v>
      </c>
      <c r="M3029" s="64">
        <f t="shared" si="89"/>
        <v>1.0727927999999999E-2</v>
      </c>
      <c r="N3029" s="33" t="s">
        <v>718</v>
      </c>
    </row>
    <row r="3030" spans="1:14" ht="15">
      <c r="A3030" s="12"/>
      <c r="B3030" s="33" t="s">
        <v>188</v>
      </c>
      <c r="C3030" s="92" t="s">
        <v>720</v>
      </c>
      <c r="D3030" s="33" t="s">
        <v>411</v>
      </c>
      <c r="E3030" s="34">
        <v>45716</v>
      </c>
      <c r="F3030" s="34">
        <v>45719</v>
      </c>
      <c r="G3030" s="34">
        <v>45722</v>
      </c>
      <c r="H3030" s="35">
        <v>0.05</v>
      </c>
      <c r="I3030" s="67">
        <v>0.24979999999999999</v>
      </c>
      <c r="J3030" s="67">
        <v>0</v>
      </c>
      <c r="K3030" s="67">
        <v>0.24979999999999999</v>
      </c>
      <c r="L3030" s="36">
        <f>+K3030-((K3030*0.037*0.125)+(K3030*(1-0.037)*0.26))</f>
        <v>0.18609975099999998</v>
      </c>
      <c r="M3030" s="64">
        <f t="shared" si="89"/>
        <v>0.18609975099999998</v>
      </c>
      <c r="N3030" s="33" t="s">
        <v>718</v>
      </c>
    </row>
    <row r="3031" spans="1:14" ht="15">
      <c r="A3031" s="12"/>
      <c r="B3031" s="33" t="s">
        <v>196</v>
      </c>
      <c r="C3031" s="92" t="s">
        <v>721</v>
      </c>
      <c r="D3031" s="33" t="s">
        <v>411</v>
      </c>
      <c r="E3031" s="34">
        <v>45716</v>
      </c>
      <c r="F3031" s="34">
        <v>45719</v>
      </c>
      <c r="G3031" s="34">
        <v>45722</v>
      </c>
      <c r="H3031" s="35">
        <v>0.05</v>
      </c>
      <c r="I3031" s="67">
        <v>0.26519999999999999</v>
      </c>
      <c r="J3031" s="67">
        <v>0</v>
      </c>
      <c r="K3031" s="67">
        <v>0.26519999999999999</v>
      </c>
      <c r="L3031" s="36">
        <f>+K3031-((K3031*0.037*0.125)+(K3031*(1-0.037)*0.26))</f>
        <v>0.197572674</v>
      </c>
      <c r="M3031" s="64">
        <f t="shared" si="89"/>
        <v>0.197572674</v>
      </c>
      <c r="N3031" s="33" t="s">
        <v>718</v>
      </c>
    </row>
    <row r="3032" spans="1:14" ht="15">
      <c r="A3032" s="12"/>
      <c r="B3032" s="33" t="s">
        <v>191</v>
      </c>
      <c r="C3032" s="92" t="s">
        <v>722</v>
      </c>
      <c r="D3032" s="33" t="s">
        <v>411</v>
      </c>
      <c r="E3032" s="34">
        <v>45716</v>
      </c>
      <c r="F3032" s="34">
        <v>45719</v>
      </c>
      <c r="G3032" s="34">
        <v>45722</v>
      </c>
      <c r="H3032" s="35">
        <v>0.05</v>
      </c>
      <c r="I3032" s="67">
        <v>1.37E-2</v>
      </c>
      <c r="J3032" s="67">
        <v>0</v>
      </c>
      <c r="K3032" s="67">
        <v>1.37E-2</v>
      </c>
      <c r="L3032" s="36">
        <f>+K3032-((K3032*0.8462*0.125)+(K3032*(1-0.8462)*0.26))</f>
        <v>1.17030469E-2</v>
      </c>
      <c r="M3032" s="64">
        <f t="shared" si="89"/>
        <v>1.17030469E-2</v>
      </c>
      <c r="N3032" s="33" t="s">
        <v>718</v>
      </c>
    </row>
    <row r="3033" spans="1:14" ht="15">
      <c r="A3033" s="12"/>
      <c r="B3033" s="33" t="s">
        <v>199</v>
      </c>
      <c r="C3033" s="92" t="s">
        <v>723</v>
      </c>
      <c r="D3033" s="33" t="s">
        <v>411</v>
      </c>
      <c r="E3033" s="34">
        <v>45716</v>
      </c>
      <c r="F3033" s="34">
        <v>45719</v>
      </c>
      <c r="G3033" s="34">
        <v>45722</v>
      </c>
      <c r="H3033" s="35">
        <v>0.05</v>
      </c>
      <c r="I3033" s="67">
        <v>1.38E-2</v>
      </c>
      <c r="J3033" s="67">
        <v>0</v>
      </c>
      <c r="K3033" s="67">
        <v>1.38E-2</v>
      </c>
      <c r="L3033" s="36">
        <f>+K3033-((K3033*0.8462*0.125)+(K3033*(1-0.8462)*0.26))</f>
        <v>1.17884706E-2</v>
      </c>
      <c r="M3033" s="64">
        <f t="shared" si="89"/>
        <v>1.17884706E-2</v>
      </c>
      <c r="N3033" s="33" t="s">
        <v>718</v>
      </c>
    </row>
    <row r="3034" spans="1:14" ht="15">
      <c r="A3034" s="12"/>
      <c r="B3034" s="33" t="s">
        <v>306</v>
      </c>
      <c r="C3034" s="92" t="s">
        <v>724</v>
      </c>
      <c r="D3034" s="33" t="s">
        <v>411</v>
      </c>
      <c r="E3034" s="34">
        <v>45716</v>
      </c>
      <c r="F3034" s="34">
        <v>45719</v>
      </c>
      <c r="G3034" s="34">
        <v>45722</v>
      </c>
      <c r="H3034" s="35">
        <v>0.04</v>
      </c>
      <c r="I3034" s="67">
        <v>1.4200000000000001E-2</v>
      </c>
      <c r="J3034" s="67">
        <v>0</v>
      </c>
      <c r="K3034" s="67">
        <v>1.4200000000000001E-2</v>
      </c>
      <c r="L3034" s="36">
        <f>+K3034-((K3034*0.0008*0.125)+(K3034*(1-0.0008)*0.26))</f>
        <v>1.0509533600000001E-2</v>
      </c>
      <c r="M3034" s="64">
        <f t="shared" si="89"/>
        <v>1.0509533600000001E-2</v>
      </c>
      <c r="N3034" s="33" t="s">
        <v>718</v>
      </c>
    </row>
    <row r="3035" spans="1:14" ht="15">
      <c r="A3035" s="12"/>
      <c r="B3035" s="33" t="s">
        <v>184</v>
      </c>
      <c r="C3035" s="92" t="s">
        <v>725</v>
      </c>
      <c r="D3035" s="33" t="s">
        <v>411</v>
      </c>
      <c r="E3035" s="34">
        <v>45716</v>
      </c>
      <c r="F3035" s="34">
        <v>45719</v>
      </c>
      <c r="G3035" s="34">
        <v>45722</v>
      </c>
      <c r="H3035" s="35">
        <v>0.04</v>
      </c>
      <c r="I3035" s="67">
        <v>0.28399999999999997</v>
      </c>
      <c r="J3035" s="67">
        <v>0</v>
      </c>
      <c r="K3035" s="67">
        <v>0.28399999999999997</v>
      </c>
      <c r="L3035" s="36">
        <f>+K3035-((K3035*0.0008*0.125)+(K3035*(1-0.0008)*0.26))</f>
        <v>0.21019067199999997</v>
      </c>
      <c r="M3035" s="64">
        <f t="shared" si="89"/>
        <v>0.21019067199999997</v>
      </c>
      <c r="N3035" s="33" t="s">
        <v>718</v>
      </c>
    </row>
    <row r="3036" spans="1:14" ht="15">
      <c r="A3036" s="12"/>
      <c r="B3036" s="33" t="s">
        <v>192</v>
      </c>
      <c r="C3036" s="92" t="s">
        <v>726</v>
      </c>
      <c r="D3036" s="33" t="s">
        <v>411</v>
      </c>
      <c r="E3036" s="34">
        <v>45716</v>
      </c>
      <c r="F3036" s="34">
        <v>45719</v>
      </c>
      <c r="G3036" s="34">
        <v>45722</v>
      </c>
      <c r="H3036" s="35">
        <v>0.04</v>
      </c>
      <c r="I3036" s="67">
        <v>0.2923</v>
      </c>
      <c r="J3036" s="67">
        <v>0</v>
      </c>
      <c r="K3036" s="67">
        <v>0.2923</v>
      </c>
      <c r="L3036" s="36">
        <f>+K3036-((K3036*0.0008*0.125)+(K3036*(1-0.0008)*0.26))</f>
        <v>0.21633356840000001</v>
      </c>
      <c r="M3036" s="64">
        <f t="shared" si="89"/>
        <v>0.21633356840000001</v>
      </c>
      <c r="N3036" s="33" t="s">
        <v>718</v>
      </c>
    </row>
    <row r="3037" spans="1:14" ht="15">
      <c r="A3037" s="12"/>
      <c r="B3037" s="33" t="s">
        <v>311</v>
      </c>
      <c r="C3037" s="92" t="s">
        <v>727</v>
      </c>
      <c r="D3037" s="33" t="s">
        <v>411</v>
      </c>
      <c r="E3037" s="34">
        <v>45716</v>
      </c>
      <c r="F3037" s="34">
        <v>45719</v>
      </c>
      <c r="G3037" s="34">
        <v>45722</v>
      </c>
      <c r="H3037" s="35">
        <v>0.04</v>
      </c>
      <c r="I3037" s="67">
        <v>1.5299999999999999E-2</v>
      </c>
      <c r="J3037" s="67">
        <v>0</v>
      </c>
      <c r="K3037" s="67">
        <v>1.5299999999999999E-2</v>
      </c>
      <c r="L3037" s="36">
        <f>+K3037-((K3037*0.0106*0.125)+(K3037*(1-0.0106)*0.26))</f>
        <v>1.1343894300000001E-2</v>
      </c>
      <c r="M3037" s="64">
        <f t="shared" si="89"/>
        <v>1.1343894300000001E-2</v>
      </c>
      <c r="N3037" s="33" t="s">
        <v>718</v>
      </c>
    </row>
    <row r="3038" spans="1:14" ht="15">
      <c r="A3038" s="12"/>
      <c r="B3038" s="33" t="s">
        <v>189</v>
      </c>
      <c r="C3038" s="92" t="s">
        <v>728</v>
      </c>
      <c r="D3038" s="33" t="s">
        <v>411</v>
      </c>
      <c r="E3038" s="34">
        <v>45716</v>
      </c>
      <c r="F3038" s="34">
        <v>45719</v>
      </c>
      <c r="G3038" s="34">
        <v>45722</v>
      </c>
      <c r="H3038" s="35">
        <v>0.04</v>
      </c>
      <c r="I3038" s="67">
        <v>0.27929999999999999</v>
      </c>
      <c r="J3038" s="67">
        <v>0</v>
      </c>
      <c r="K3038" s="67">
        <v>0.27929999999999999</v>
      </c>
      <c r="L3038" s="36">
        <f>+K3038-((K3038*0.0106*0.125)+(K3038*(1-0.0106)*0.26))</f>
        <v>0.20708167829999999</v>
      </c>
      <c r="M3038" s="64">
        <f t="shared" si="89"/>
        <v>0.20708167829999999</v>
      </c>
      <c r="N3038" s="33" t="s">
        <v>718</v>
      </c>
    </row>
    <row r="3039" spans="1:14" ht="15">
      <c r="A3039" s="12"/>
      <c r="B3039" s="33" t="s">
        <v>197</v>
      </c>
      <c r="C3039" s="92" t="s">
        <v>729</v>
      </c>
      <c r="D3039" s="33" t="s">
        <v>411</v>
      </c>
      <c r="E3039" s="34">
        <v>45716</v>
      </c>
      <c r="F3039" s="34">
        <v>45719</v>
      </c>
      <c r="G3039" s="34">
        <v>45722</v>
      </c>
      <c r="H3039" s="35">
        <v>0.04</v>
      </c>
      <c r="I3039" s="67">
        <v>0.28970000000000001</v>
      </c>
      <c r="J3039" s="67">
        <v>0</v>
      </c>
      <c r="K3039" s="67">
        <v>0.28970000000000001</v>
      </c>
      <c r="L3039" s="36">
        <f>+K3039-((K3039*0.0106*0.125)+(K3039*(1-0.0106)*0.26))</f>
        <v>0.21479256070000002</v>
      </c>
      <c r="M3039" s="64">
        <f t="shared" si="89"/>
        <v>0.21479256070000002</v>
      </c>
      <c r="N3039" s="33" t="s">
        <v>718</v>
      </c>
    </row>
    <row r="3040" spans="1:14" ht="15">
      <c r="A3040" s="12"/>
      <c r="B3040" s="33" t="s">
        <v>308</v>
      </c>
      <c r="C3040" s="92" t="s">
        <v>730</v>
      </c>
      <c r="D3040" s="33" t="s">
        <v>411</v>
      </c>
      <c r="E3040" s="34">
        <v>45716</v>
      </c>
      <c r="F3040" s="34">
        <v>45719</v>
      </c>
      <c r="G3040" s="34">
        <v>45722</v>
      </c>
      <c r="H3040" s="35">
        <v>0.05</v>
      </c>
      <c r="I3040" s="67">
        <v>1.66E-2</v>
      </c>
      <c r="J3040" s="67">
        <v>0</v>
      </c>
      <c r="K3040" s="67">
        <v>1.66E-2</v>
      </c>
      <c r="L3040" s="36">
        <f>+K3040-((K3040*0.5205*0.125)+(K3040*(1-0.5205)*0.26))</f>
        <v>1.3450440500000001E-2</v>
      </c>
      <c r="M3040" s="64">
        <f t="shared" si="89"/>
        <v>1.3450440500000001E-2</v>
      </c>
      <c r="N3040" s="33" t="s">
        <v>718</v>
      </c>
    </row>
    <row r="3041" spans="1:14" ht="15">
      <c r="A3041" s="12"/>
      <c r="B3041" s="33" t="s">
        <v>186</v>
      </c>
      <c r="C3041" s="92" t="s">
        <v>731</v>
      </c>
      <c r="D3041" s="33" t="s">
        <v>411</v>
      </c>
      <c r="E3041" s="34">
        <v>45716</v>
      </c>
      <c r="F3041" s="34">
        <v>45719</v>
      </c>
      <c r="G3041" s="34">
        <v>45722</v>
      </c>
      <c r="H3041" s="35">
        <v>0.05</v>
      </c>
      <c r="I3041" s="67">
        <v>0.3024</v>
      </c>
      <c r="J3041" s="67">
        <v>0</v>
      </c>
      <c r="K3041" s="67">
        <v>0.3024</v>
      </c>
      <c r="L3041" s="36">
        <f>+K3041-((K3041*0.5205*0.125)+(K3041*(1-0.5205)*0.26))</f>
        <v>0.24502489199999999</v>
      </c>
      <c r="M3041" s="64">
        <f t="shared" si="89"/>
        <v>0.24502489199999999</v>
      </c>
      <c r="N3041" s="33" t="s">
        <v>718</v>
      </c>
    </row>
    <row r="3042" spans="1:14" ht="15">
      <c r="A3042" s="12"/>
      <c r="B3042" s="33" t="s">
        <v>194</v>
      </c>
      <c r="C3042" s="92" t="s">
        <v>732</v>
      </c>
      <c r="D3042" s="33" t="s">
        <v>411</v>
      </c>
      <c r="E3042" s="34">
        <v>45716</v>
      </c>
      <c r="F3042" s="34">
        <v>45719</v>
      </c>
      <c r="G3042" s="34">
        <v>45722</v>
      </c>
      <c r="H3042" s="35">
        <v>0.05</v>
      </c>
      <c r="I3042" s="67">
        <v>0.31569999999999998</v>
      </c>
      <c r="J3042" s="67">
        <v>0</v>
      </c>
      <c r="K3042" s="67">
        <v>0.31569999999999998</v>
      </c>
      <c r="L3042" s="36">
        <f>+K3042-((K3042*0.5205*0.125)+(K3042*(1-0.5205)*0.26))</f>
        <v>0.25580144974999997</v>
      </c>
      <c r="M3042" s="64">
        <f t="shared" si="89"/>
        <v>0.25580144974999997</v>
      </c>
      <c r="N3042" s="33" t="s">
        <v>718</v>
      </c>
    </row>
    <row r="3043" spans="1:14" ht="15">
      <c r="A3043" s="12"/>
      <c r="B3043" s="33" t="s">
        <v>307</v>
      </c>
      <c r="C3043" s="92" t="s">
        <v>733</v>
      </c>
      <c r="D3043" s="33" t="s">
        <v>411</v>
      </c>
      <c r="E3043" s="34">
        <v>45716</v>
      </c>
      <c r="F3043" s="34">
        <v>45719</v>
      </c>
      <c r="G3043" s="34">
        <v>45722</v>
      </c>
      <c r="H3043" s="35">
        <v>0.04</v>
      </c>
      <c r="I3043" s="67">
        <v>1.09E-2</v>
      </c>
      <c r="J3043" s="67">
        <v>0</v>
      </c>
      <c r="K3043" s="67">
        <v>1.09E-2</v>
      </c>
      <c r="L3043" s="36">
        <f>+K3043-((K3043*0.6549*0.125)+(K3043*(1-0.6549)*0.26))</f>
        <v>9.0296853500000003E-3</v>
      </c>
      <c r="M3043" s="64">
        <f t="shared" si="89"/>
        <v>9.0296853500000003E-3</v>
      </c>
      <c r="N3043" s="33" t="s">
        <v>718</v>
      </c>
    </row>
    <row r="3044" spans="1:14" ht="15">
      <c r="A3044" s="12"/>
      <c r="B3044" s="33" t="s">
        <v>185</v>
      </c>
      <c r="C3044" s="92" t="s">
        <v>734</v>
      </c>
      <c r="D3044" s="33" t="s">
        <v>411</v>
      </c>
      <c r="E3044" s="34">
        <v>45716</v>
      </c>
      <c r="F3044" s="34">
        <v>45719</v>
      </c>
      <c r="G3044" s="34">
        <v>45722</v>
      </c>
      <c r="H3044" s="35">
        <v>0.04</v>
      </c>
      <c r="I3044" s="67">
        <v>0.17910000000000001</v>
      </c>
      <c r="J3044" s="67">
        <v>0</v>
      </c>
      <c r="K3044" s="67">
        <v>0.17910000000000001</v>
      </c>
      <c r="L3044" s="36">
        <f>+K3044-((K3044*0.6549*0.125)+(K3044*(1-0.6549)*0.26))</f>
        <v>0.14836849965000001</v>
      </c>
      <c r="M3044" s="64">
        <f t="shared" si="89"/>
        <v>0.14836849965000001</v>
      </c>
      <c r="N3044" s="33" t="s">
        <v>718</v>
      </c>
    </row>
    <row r="3045" spans="1:14" ht="15">
      <c r="A3045" s="12"/>
      <c r="B3045" s="33" t="s">
        <v>193</v>
      </c>
      <c r="C3045" s="92" t="s">
        <v>735</v>
      </c>
      <c r="D3045" s="33" t="s">
        <v>411</v>
      </c>
      <c r="E3045" s="34">
        <v>45716</v>
      </c>
      <c r="F3045" s="34">
        <v>45719</v>
      </c>
      <c r="G3045" s="34">
        <v>45722</v>
      </c>
      <c r="H3045" s="35">
        <v>0.04</v>
      </c>
      <c r="I3045" s="67">
        <v>0.1789</v>
      </c>
      <c r="J3045" s="67">
        <v>0</v>
      </c>
      <c r="K3045" s="67">
        <v>0.1789</v>
      </c>
      <c r="L3045" s="36">
        <f>+K3045-((K3045*0.6549*0.125)+(K3045*(1-0.6549)*0.26))</f>
        <v>0.14820281735000002</v>
      </c>
      <c r="M3045" s="64">
        <f t="shared" si="89"/>
        <v>0.14820281735000002</v>
      </c>
      <c r="N3045" s="33" t="s">
        <v>718</v>
      </c>
    </row>
    <row r="3046" spans="1:14" ht="15">
      <c r="A3046" s="12"/>
      <c r="B3046" s="33" t="s">
        <v>309</v>
      </c>
      <c r="C3046" s="92" t="s">
        <v>736</v>
      </c>
      <c r="D3046" s="33" t="s">
        <v>411</v>
      </c>
      <c r="E3046" s="34">
        <v>45716</v>
      </c>
      <c r="F3046" s="34">
        <v>45719</v>
      </c>
      <c r="G3046" s="34">
        <v>45722</v>
      </c>
      <c r="H3046" s="35">
        <v>0.05</v>
      </c>
      <c r="I3046" s="67">
        <v>1.61E-2</v>
      </c>
      <c r="J3046" s="67">
        <v>0</v>
      </c>
      <c r="K3046" s="67">
        <v>1.61E-2</v>
      </c>
      <c r="L3046" s="36">
        <f>+K3046-((K3046*0.0436*0.125)+(K3046*(1-0.0436)*0.26))</f>
        <v>1.2008764599999999E-2</v>
      </c>
      <c r="M3046" s="64">
        <f t="shared" si="89"/>
        <v>1.2008764599999999E-2</v>
      </c>
      <c r="N3046" s="33" t="s">
        <v>718</v>
      </c>
    </row>
    <row r="3047" spans="1:14" ht="15">
      <c r="A3047" s="12"/>
      <c r="B3047" s="33" t="s">
        <v>187</v>
      </c>
      <c r="C3047" s="92" t="s">
        <v>737</v>
      </c>
      <c r="D3047" s="33" t="s">
        <v>411</v>
      </c>
      <c r="E3047" s="34">
        <v>45716</v>
      </c>
      <c r="F3047" s="34">
        <v>45719</v>
      </c>
      <c r="G3047" s="34">
        <v>45722</v>
      </c>
      <c r="H3047" s="35">
        <v>0.05</v>
      </c>
      <c r="I3047" s="67">
        <v>0.28210000000000002</v>
      </c>
      <c r="J3047" s="67">
        <v>0</v>
      </c>
      <c r="K3047" s="67">
        <v>0.28210000000000002</v>
      </c>
      <c r="L3047" s="36">
        <f>+K3047-((K3047*0.0436*0.125)+(K3047*(1-0.0436)*0.26))</f>
        <v>0.2104144406</v>
      </c>
      <c r="M3047" s="64">
        <f t="shared" si="89"/>
        <v>0.2104144406</v>
      </c>
      <c r="N3047" s="33" t="s">
        <v>718</v>
      </c>
    </row>
    <row r="3048" spans="1:14" ht="15">
      <c r="A3048" s="12"/>
      <c r="B3048" s="33" t="s">
        <v>195</v>
      </c>
      <c r="C3048" s="92" t="s">
        <v>738</v>
      </c>
      <c r="D3048" s="33" t="s">
        <v>411</v>
      </c>
      <c r="E3048" s="34">
        <v>45716</v>
      </c>
      <c r="F3048" s="34">
        <v>45719</v>
      </c>
      <c r="G3048" s="34">
        <v>45722</v>
      </c>
      <c r="H3048" s="35">
        <v>0.05</v>
      </c>
      <c r="I3048" s="67">
        <v>0.29730000000000001</v>
      </c>
      <c r="J3048" s="67">
        <v>0</v>
      </c>
      <c r="K3048" s="67">
        <v>0.29730000000000001</v>
      </c>
      <c r="L3048" s="36">
        <f>+K3048-((K3048*0.0436*0.125)+(K3048*(1-0.0436)*0.26))</f>
        <v>0.22175190780000001</v>
      </c>
      <c r="M3048" s="64">
        <f t="shared" si="89"/>
        <v>0.22175190780000001</v>
      </c>
      <c r="N3048" s="33" t="s">
        <v>718</v>
      </c>
    </row>
    <row r="3049" spans="1:14" ht="15">
      <c r="A3049" s="12"/>
      <c r="B3049" s="33" t="s">
        <v>312</v>
      </c>
      <c r="C3049" s="92" t="s">
        <v>739</v>
      </c>
      <c r="D3049" s="33" t="s">
        <v>411</v>
      </c>
      <c r="E3049" s="34">
        <v>45716</v>
      </c>
      <c r="F3049" s="34">
        <v>45719</v>
      </c>
      <c r="G3049" s="34">
        <v>45722</v>
      </c>
      <c r="H3049" s="35">
        <v>5.2499999999999998E-2</v>
      </c>
      <c r="I3049" s="67">
        <v>1.6299999999999999E-2</v>
      </c>
      <c r="J3049" s="67">
        <v>0</v>
      </c>
      <c r="K3049" s="67">
        <v>1.6299999999999999E-2</v>
      </c>
      <c r="L3049" s="36">
        <f>+K3049-((K3049*0.000000001*0.125)+(K3049*(1-0.000000001)*0.26))</f>
        <v>1.2062000002200498E-2</v>
      </c>
      <c r="M3049" s="64">
        <f t="shared" si="89"/>
        <v>1.2062000002200498E-2</v>
      </c>
      <c r="N3049" s="33" t="s">
        <v>718</v>
      </c>
    </row>
    <row r="3050" spans="1:14" ht="15">
      <c r="A3050" s="12"/>
      <c r="B3050" s="33" t="s">
        <v>190</v>
      </c>
      <c r="C3050" s="92" t="s">
        <v>740</v>
      </c>
      <c r="D3050" s="33" t="s">
        <v>411</v>
      </c>
      <c r="E3050" s="34">
        <v>45716</v>
      </c>
      <c r="F3050" s="34">
        <v>45719</v>
      </c>
      <c r="G3050" s="34">
        <v>45722</v>
      </c>
      <c r="H3050" s="35">
        <v>5.2499999999999998E-2</v>
      </c>
      <c r="I3050" s="67">
        <v>0.30649999999999999</v>
      </c>
      <c r="J3050" s="67">
        <v>0</v>
      </c>
      <c r="K3050" s="67">
        <v>0.30649999999999999</v>
      </c>
      <c r="L3050" s="36">
        <f>+K3050-((K3050*0.000000001*0.125)+(K3050*(1-0.000000001)*0.26))</f>
        <v>0.22681000004137747</v>
      </c>
      <c r="M3050" s="64">
        <f t="shared" si="89"/>
        <v>0.22681000004137747</v>
      </c>
      <c r="N3050" s="33" t="s">
        <v>718</v>
      </c>
    </row>
    <row r="3051" spans="1:14" ht="15">
      <c r="A3051" s="12"/>
      <c r="B3051" s="33" t="s">
        <v>198</v>
      </c>
      <c r="C3051" s="92" t="s">
        <v>741</v>
      </c>
      <c r="D3051" s="33" t="s">
        <v>411</v>
      </c>
      <c r="E3051" s="34">
        <v>45716</v>
      </c>
      <c r="F3051" s="34">
        <v>45719</v>
      </c>
      <c r="G3051" s="34">
        <v>45722</v>
      </c>
      <c r="H3051" s="35">
        <v>5.2499999999999998E-2</v>
      </c>
      <c r="I3051" s="67">
        <v>0.31280000000000002</v>
      </c>
      <c r="J3051" s="67">
        <v>0</v>
      </c>
      <c r="K3051" s="67">
        <v>0.31280000000000002</v>
      </c>
      <c r="L3051" s="36">
        <f>+K3051-((K3051*0.000000001*0.125)+(K3051*(1-0.000000001)*0.26))</f>
        <v>0.23147200004222801</v>
      </c>
      <c r="M3051" s="64">
        <f t="shared" si="89"/>
        <v>0.23147200004222801</v>
      </c>
      <c r="N3051" s="33" t="s">
        <v>718</v>
      </c>
    </row>
    <row r="3052" spans="1:14" ht="15">
      <c r="A3052" s="12"/>
      <c r="B3052" s="33" t="s">
        <v>313</v>
      </c>
      <c r="C3052" s="92" t="s">
        <v>884</v>
      </c>
      <c r="D3052" s="33" t="s">
        <v>411</v>
      </c>
      <c r="E3052" s="34">
        <v>45716</v>
      </c>
      <c r="F3052" s="34">
        <v>45719</v>
      </c>
      <c r="G3052" s="34">
        <v>45722</v>
      </c>
      <c r="H3052" s="35">
        <v>4.1250000000000002E-2</v>
      </c>
      <c r="I3052" s="67">
        <v>1.3299999999999999E-2</v>
      </c>
      <c r="J3052" s="67">
        <v>0</v>
      </c>
      <c r="K3052" s="67">
        <v>1.3299999999999999E-2</v>
      </c>
      <c r="L3052" s="36">
        <f>+K3052-((K3052*0.3093*0.125)+(K3052*(1-0.3093)*0.26))</f>
        <v>1.0397348149999999E-2</v>
      </c>
      <c r="M3052" s="64">
        <f t="shared" si="89"/>
        <v>1.0397348149999999E-2</v>
      </c>
      <c r="N3052" s="33" t="s">
        <v>718</v>
      </c>
    </row>
    <row r="3053" spans="1:14" ht="15">
      <c r="A3053" s="12"/>
      <c r="B3053" s="33" t="s">
        <v>174</v>
      </c>
      <c r="C3053" s="92" t="s">
        <v>382</v>
      </c>
      <c r="D3053" s="33" t="s">
        <v>410</v>
      </c>
      <c r="E3053" s="34">
        <v>45744</v>
      </c>
      <c r="F3053" s="34">
        <v>45747</v>
      </c>
      <c r="G3053" s="34">
        <v>45750</v>
      </c>
      <c r="H3053" s="35"/>
      <c r="I3053" s="67">
        <v>4.1138000000000001E-2</v>
      </c>
      <c r="J3053" s="67">
        <f>VLOOKUP($B3053,[6]Feuil2!$A$2:$G$40,5,FALSE)</f>
        <v>0</v>
      </c>
      <c r="K3053" s="67">
        <v>4.1137939999999998E-2</v>
      </c>
      <c r="L3053" s="36">
        <f>+K3053-((K3053*0.0346*0.125)+(K3053*(1-0.0346)*0.26))</f>
        <v>3.0634230917739997E-2</v>
      </c>
      <c r="M3053" s="64">
        <f t="shared" si="89"/>
        <v>3.0634230917739997E-2</v>
      </c>
      <c r="N3053" s="33" t="s">
        <v>247</v>
      </c>
    </row>
    <row r="3054" spans="1:14" ht="15">
      <c r="A3054" s="12"/>
      <c r="B3054" s="33" t="s">
        <v>176</v>
      </c>
      <c r="C3054" s="92" t="s">
        <v>877</v>
      </c>
      <c r="D3054" s="33" t="s">
        <v>410</v>
      </c>
      <c r="E3054" s="34">
        <v>45744</v>
      </c>
      <c r="F3054" s="34">
        <v>45747</v>
      </c>
      <c r="G3054" s="34">
        <v>45750</v>
      </c>
      <c r="H3054" s="35"/>
      <c r="I3054" s="67">
        <v>4.1111000000000002E-2</v>
      </c>
      <c r="J3054" s="67">
        <f>VLOOKUP(B3054,[6]Feuil2!$A$2:$G$40,5,FALSE)</f>
        <v>0</v>
      </c>
      <c r="K3054" s="67">
        <v>4.1111210000000002E-2</v>
      </c>
      <c r="L3054" s="36">
        <f>+K3054-((K3054*0.2266*0.125)+(K3054*(1-0.2266)*0.26))</f>
        <v>3.1679928425109999E-2</v>
      </c>
      <c r="M3054" s="64">
        <f t="shared" si="89"/>
        <v>3.1679928425109999E-2</v>
      </c>
      <c r="N3054" s="33" t="s">
        <v>247</v>
      </c>
    </row>
    <row r="3055" spans="1:14" ht="15">
      <c r="A3055" s="12"/>
      <c r="B3055" s="33" t="s">
        <v>175</v>
      </c>
      <c r="C3055" s="92" t="s">
        <v>465</v>
      </c>
      <c r="D3055" s="33" t="s">
        <v>410</v>
      </c>
      <c r="E3055" s="34">
        <v>45744</v>
      </c>
      <c r="F3055" s="34">
        <v>45747</v>
      </c>
      <c r="G3055" s="34">
        <v>45750</v>
      </c>
      <c r="H3055" s="35"/>
      <c r="I3055" s="67">
        <v>5.5864999999999998E-2</v>
      </c>
      <c r="J3055" s="67">
        <f>VLOOKUP(B3055,[6]Feuil2!$A$2:$G$40,5,FALSE)</f>
        <v>0</v>
      </c>
      <c r="K3055" s="67">
        <v>5.58653E-2</v>
      </c>
      <c r="L3055" s="36">
        <f>+K3055-((K3055*0.0728*0.125)+(K3055*(1-0.0728)*0.26))</f>
        <v>4.18893661684E-2</v>
      </c>
      <c r="M3055" s="64">
        <f t="shared" si="89"/>
        <v>4.18893661684E-2</v>
      </c>
      <c r="N3055" s="33" t="s">
        <v>247</v>
      </c>
    </row>
    <row r="3056" spans="1:14" ht="15">
      <c r="A3056" s="12"/>
      <c r="B3056" s="33" t="s">
        <v>310</v>
      </c>
      <c r="C3056" s="92" t="s">
        <v>719</v>
      </c>
      <c r="D3056" s="33" t="s">
        <v>411</v>
      </c>
      <c r="E3056" s="34">
        <v>45747</v>
      </c>
      <c r="F3056" s="34">
        <v>45748</v>
      </c>
      <c r="G3056" s="34">
        <v>45751</v>
      </c>
      <c r="H3056" s="35">
        <v>0.05</v>
      </c>
      <c r="I3056" s="67">
        <v>1.44E-2</v>
      </c>
      <c r="J3056" s="67">
        <v>0</v>
      </c>
      <c r="K3056" s="67">
        <v>1.44E-2</v>
      </c>
      <c r="L3056" s="36">
        <f>+K3056-((K3056*0.037*0.125)+(K3056*(1-0.037)*0.26))</f>
        <v>1.0727927999999999E-2</v>
      </c>
      <c r="M3056" s="64">
        <f t="shared" si="89"/>
        <v>1.0727927999999999E-2</v>
      </c>
      <c r="N3056" s="33" t="s">
        <v>718</v>
      </c>
    </row>
    <row r="3057" spans="1:14" ht="15">
      <c r="A3057" s="12"/>
      <c r="B3057" s="33" t="s">
        <v>188</v>
      </c>
      <c r="C3057" s="92" t="s">
        <v>720</v>
      </c>
      <c r="D3057" s="33" t="s">
        <v>411</v>
      </c>
      <c r="E3057" s="34">
        <v>45747</v>
      </c>
      <c r="F3057" s="34">
        <v>45748</v>
      </c>
      <c r="G3057" s="34">
        <v>45751</v>
      </c>
      <c r="H3057" s="35">
        <v>0.05</v>
      </c>
      <c r="I3057" s="67">
        <v>0.24979999999999999</v>
      </c>
      <c r="J3057" s="67">
        <v>0</v>
      </c>
      <c r="K3057" s="67">
        <v>0.24979999999999999</v>
      </c>
      <c r="L3057" s="36">
        <f>+K3057-((K3057*0.037*0.125)+(K3057*(1-0.037)*0.26))</f>
        <v>0.18609975099999998</v>
      </c>
      <c r="M3057" s="64">
        <f t="shared" si="89"/>
        <v>0.18609975099999998</v>
      </c>
      <c r="N3057" s="33" t="s">
        <v>718</v>
      </c>
    </row>
    <row r="3058" spans="1:14" ht="15">
      <c r="A3058" s="12"/>
      <c r="B3058" s="33" t="s">
        <v>196</v>
      </c>
      <c r="C3058" s="92" t="s">
        <v>721</v>
      </c>
      <c r="D3058" s="33" t="s">
        <v>411</v>
      </c>
      <c r="E3058" s="34">
        <v>45747</v>
      </c>
      <c r="F3058" s="34">
        <v>45748</v>
      </c>
      <c r="G3058" s="34">
        <v>45751</v>
      </c>
      <c r="H3058" s="35">
        <v>0.05</v>
      </c>
      <c r="I3058" s="67">
        <v>0.26519999999999999</v>
      </c>
      <c r="J3058" s="67">
        <v>0</v>
      </c>
      <c r="K3058" s="67">
        <v>0.26519999999999999</v>
      </c>
      <c r="L3058" s="36">
        <f>+K3058-((K3058*0.037*0.125)+(K3058*(1-0.037)*0.26))</f>
        <v>0.197572674</v>
      </c>
      <c r="M3058" s="64">
        <f t="shared" si="89"/>
        <v>0.197572674</v>
      </c>
      <c r="N3058" s="33" t="s">
        <v>718</v>
      </c>
    </row>
    <row r="3059" spans="1:14" ht="15">
      <c r="A3059" s="12"/>
      <c r="B3059" s="33" t="s">
        <v>191</v>
      </c>
      <c r="C3059" s="92" t="s">
        <v>722</v>
      </c>
      <c r="D3059" s="33" t="s">
        <v>411</v>
      </c>
      <c r="E3059" s="34">
        <v>45747</v>
      </c>
      <c r="F3059" s="34">
        <v>45748</v>
      </c>
      <c r="G3059" s="34">
        <v>45751</v>
      </c>
      <c r="H3059" s="35">
        <v>0.05</v>
      </c>
      <c r="I3059" s="67">
        <v>1.37E-2</v>
      </c>
      <c r="J3059" s="67">
        <v>0</v>
      </c>
      <c r="K3059" s="67">
        <v>1.37E-2</v>
      </c>
      <c r="L3059" s="36">
        <f>+K3059-((K3059*0.8462*0.125)+(K3059*(1-0.8462)*0.26))</f>
        <v>1.17030469E-2</v>
      </c>
      <c r="M3059" s="64">
        <f t="shared" si="89"/>
        <v>1.17030469E-2</v>
      </c>
      <c r="N3059" s="33" t="s">
        <v>718</v>
      </c>
    </row>
    <row r="3060" spans="1:14" ht="15">
      <c r="A3060" s="12"/>
      <c r="B3060" s="33" t="s">
        <v>199</v>
      </c>
      <c r="C3060" s="92" t="s">
        <v>723</v>
      </c>
      <c r="D3060" s="33" t="s">
        <v>411</v>
      </c>
      <c r="E3060" s="34">
        <v>45747</v>
      </c>
      <c r="F3060" s="34">
        <v>45748</v>
      </c>
      <c r="G3060" s="34">
        <v>45751</v>
      </c>
      <c r="H3060" s="35">
        <v>0.05</v>
      </c>
      <c r="I3060" s="67">
        <v>1.38E-2</v>
      </c>
      <c r="J3060" s="67">
        <v>0</v>
      </c>
      <c r="K3060" s="67">
        <v>1.38E-2</v>
      </c>
      <c r="L3060" s="36">
        <f>+K3060-((K3060*0.8462*0.125)+(K3060*(1-0.8462)*0.26))</f>
        <v>1.17884706E-2</v>
      </c>
      <c r="M3060" s="64">
        <f t="shared" si="89"/>
        <v>1.17884706E-2</v>
      </c>
      <c r="N3060" s="33" t="s">
        <v>718</v>
      </c>
    </row>
    <row r="3061" spans="1:14" ht="15">
      <c r="A3061" s="12"/>
      <c r="B3061" s="33" t="s">
        <v>306</v>
      </c>
      <c r="C3061" s="92" t="s">
        <v>724</v>
      </c>
      <c r="D3061" s="33" t="s">
        <v>411</v>
      </c>
      <c r="E3061" s="34">
        <v>45747</v>
      </c>
      <c r="F3061" s="34">
        <v>45748</v>
      </c>
      <c r="G3061" s="34">
        <v>45751</v>
      </c>
      <c r="H3061" s="35">
        <v>0.04</v>
      </c>
      <c r="I3061" s="67">
        <v>1.4200000000000001E-2</v>
      </c>
      <c r="J3061" s="67">
        <v>0</v>
      </c>
      <c r="K3061" s="67">
        <v>1.4200000000000001E-2</v>
      </c>
      <c r="L3061" s="36">
        <f>+K3061-((K3061*0.0008*0.125)+(K3061*(1-0.0008)*0.26))</f>
        <v>1.0509533600000001E-2</v>
      </c>
      <c r="M3061" s="64">
        <f t="shared" si="89"/>
        <v>1.0509533600000001E-2</v>
      </c>
      <c r="N3061" s="33" t="s">
        <v>718</v>
      </c>
    </row>
    <row r="3062" spans="1:14" ht="15">
      <c r="A3062" s="12"/>
      <c r="B3062" s="33" t="s">
        <v>184</v>
      </c>
      <c r="C3062" s="92" t="s">
        <v>725</v>
      </c>
      <c r="D3062" s="33" t="s">
        <v>411</v>
      </c>
      <c r="E3062" s="34">
        <v>45747</v>
      </c>
      <c r="F3062" s="34">
        <v>45748</v>
      </c>
      <c r="G3062" s="34">
        <v>45751</v>
      </c>
      <c r="H3062" s="35">
        <v>0.04</v>
      </c>
      <c r="I3062" s="67">
        <v>0.28399999999999997</v>
      </c>
      <c r="J3062" s="67">
        <v>0</v>
      </c>
      <c r="K3062" s="67">
        <v>0.28399999999999997</v>
      </c>
      <c r="L3062" s="36">
        <f>+K3062-((K3062*0.0008*0.125)+(K3062*(1-0.0008)*0.26))</f>
        <v>0.21019067199999997</v>
      </c>
      <c r="M3062" s="64">
        <f t="shared" si="89"/>
        <v>0.21019067199999997</v>
      </c>
      <c r="N3062" s="33" t="s">
        <v>718</v>
      </c>
    </row>
    <row r="3063" spans="1:14" ht="15">
      <c r="A3063" s="12"/>
      <c r="B3063" s="33" t="s">
        <v>192</v>
      </c>
      <c r="C3063" s="92" t="s">
        <v>726</v>
      </c>
      <c r="D3063" s="33" t="s">
        <v>411</v>
      </c>
      <c r="E3063" s="34">
        <v>45747</v>
      </c>
      <c r="F3063" s="34">
        <v>45748</v>
      </c>
      <c r="G3063" s="34">
        <v>45751</v>
      </c>
      <c r="H3063" s="35">
        <v>0.04</v>
      </c>
      <c r="I3063" s="67">
        <v>0.2923</v>
      </c>
      <c r="J3063" s="67">
        <v>0</v>
      </c>
      <c r="K3063" s="67">
        <v>0.2923</v>
      </c>
      <c r="L3063" s="36">
        <f>+K3063-((K3063*0.0008*0.125)+(K3063*(1-0.0008)*0.26))</f>
        <v>0.21633356840000001</v>
      </c>
      <c r="M3063" s="64">
        <f t="shared" si="89"/>
        <v>0.21633356840000001</v>
      </c>
      <c r="N3063" s="33" t="s">
        <v>718</v>
      </c>
    </row>
    <row r="3064" spans="1:14" ht="15">
      <c r="A3064" s="12"/>
      <c r="B3064" s="33" t="s">
        <v>311</v>
      </c>
      <c r="C3064" s="92" t="s">
        <v>727</v>
      </c>
      <c r="D3064" s="33" t="s">
        <v>411</v>
      </c>
      <c r="E3064" s="34">
        <v>45747</v>
      </c>
      <c r="F3064" s="34">
        <v>45748</v>
      </c>
      <c r="G3064" s="34">
        <v>45751</v>
      </c>
      <c r="H3064" s="35">
        <v>0.04</v>
      </c>
      <c r="I3064" s="67">
        <v>1.5299999999999999E-2</v>
      </c>
      <c r="J3064" s="67">
        <v>0</v>
      </c>
      <c r="K3064" s="67">
        <v>1.5299999999999999E-2</v>
      </c>
      <c r="L3064" s="36">
        <f>+K3064-((K3064*0.0106*0.125)+(K3064*(1-0.0106)*0.26))</f>
        <v>1.1343894300000001E-2</v>
      </c>
      <c r="M3064" s="64">
        <f t="shared" si="89"/>
        <v>1.1343894300000001E-2</v>
      </c>
      <c r="N3064" s="33" t="s">
        <v>718</v>
      </c>
    </row>
    <row r="3065" spans="1:14" ht="15">
      <c r="A3065" s="12"/>
      <c r="B3065" s="33" t="s">
        <v>189</v>
      </c>
      <c r="C3065" s="92" t="s">
        <v>728</v>
      </c>
      <c r="D3065" s="33" t="s">
        <v>411</v>
      </c>
      <c r="E3065" s="34">
        <v>45747</v>
      </c>
      <c r="F3065" s="34">
        <v>45748</v>
      </c>
      <c r="G3065" s="34">
        <v>45751</v>
      </c>
      <c r="H3065" s="35">
        <v>0.04</v>
      </c>
      <c r="I3065" s="67">
        <v>0.27929999999999999</v>
      </c>
      <c r="J3065" s="67">
        <v>0</v>
      </c>
      <c r="K3065" s="67">
        <v>0.27929999999999999</v>
      </c>
      <c r="L3065" s="36">
        <f>+K3065-((K3065*0.0106*0.125)+(K3065*(1-0.0106)*0.26))</f>
        <v>0.20708167829999999</v>
      </c>
      <c r="M3065" s="64">
        <f t="shared" ref="M3065:M3128" si="90">J3065+L3065</f>
        <v>0.20708167829999999</v>
      </c>
      <c r="N3065" s="33" t="s">
        <v>718</v>
      </c>
    </row>
    <row r="3066" spans="1:14" ht="15">
      <c r="A3066" s="12"/>
      <c r="B3066" s="33" t="s">
        <v>197</v>
      </c>
      <c r="C3066" s="92" t="s">
        <v>729</v>
      </c>
      <c r="D3066" s="33" t="s">
        <v>411</v>
      </c>
      <c r="E3066" s="34">
        <v>45747</v>
      </c>
      <c r="F3066" s="34">
        <v>45748</v>
      </c>
      <c r="G3066" s="34">
        <v>45751</v>
      </c>
      <c r="H3066" s="35">
        <v>0.04</v>
      </c>
      <c r="I3066" s="67">
        <v>0.28970000000000001</v>
      </c>
      <c r="J3066" s="67">
        <v>0</v>
      </c>
      <c r="K3066" s="67">
        <v>0.28970000000000001</v>
      </c>
      <c r="L3066" s="36">
        <f>+K3066-((K3066*0.0106*0.125)+(K3066*(1-0.0106)*0.26))</f>
        <v>0.21479256070000002</v>
      </c>
      <c r="M3066" s="64">
        <f t="shared" si="90"/>
        <v>0.21479256070000002</v>
      </c>
      <c r="N3066" s="33" t="s">
        <v>718</v>
      </c>
    </row>
    <row r="3067" spans="1:14" ht="15">
      <c r="A3067" s="12"/>
      <c r="B3067" s="33" t="s">
        <v>308</v>
      </c>
      <c r="C3067" s="92" t="s">
        <v>730</v>
      </c>
      <c r="D3067" s="33" t="s">
        <v>411</v>
      </c>
      <c r="E3067" s="34">
        <v>45747</v>
      </c>
      <c r="F3067" s="34">
        <v>45748</v>
      </c>
      <c r="G3067" s="34">
        <v>45751</v>
      </c>
      <c r="H3067" s="35">
        <v>0.05</v>
      </c>
      <c r="I3067" s="67">
        <v>1.66E-2</v>
      </c>
      <c r="J3067" s="67">
        <v>0</v>
      </c>
      <c r="K3067" s="67">
        <v>1.66E-2</v>
      </c>
      <c r="L3067" s="36">
        <f>+K3067-((K3067*0.5205*0.125)+(K3067*(1-0.5205)*0.26))</f>
        <v>1.3450440500000001E-2</v>
      </c>
      <c r="M3067" s="64">
        <f t="shared" si="90"/>
        <v>1.3450440500000001E-2</v>
      </c>
      <c r="N3067" s="33" t="s">
        <v>718</v>
      </c>
    </row>
    <row r="3068" spans="1:14" ht="15">
      <c r="A3068" s="12"/>
      <c r="B3068" s="33" t="s">
        <v>186</v>
      </c>
      <c r="C3068" s="92" t="s">
        <v>731</v>
      </c>
      <c r="D3068" s="33" t="s">
        <v>411</v>
      </c>
      <c r="E3068" s="34">
        <v>45747</v>
      </c>
      <c r="F3068" s="34">
        <v>45748</v>
      </c>
      <c r="G3068" s="34">
        <v>45751</v>
      </c>
      <c r="H3068" s="35">
        <v>0.05</v>
      </c>
      <c r="I3068" s="67">
        <v>0.3024</v>
      </c>
      <c r="J3068" s="67">
        <v>0</v>
      </c>
      <c r="K3068" s="67">
        <v>0.3024</v>
      </c>
      <c r="L3068" s="36">
        <f>+K3068-((K3068*0.5205*0.125)+(K3068*(1-0.5205)*0.26))</f>
        <v>0.24502489199999999</v>
      </c>
      <c r="M3068" s="64">
        <f t="shared" si="90"/>
        <v>0.24502489199999999</v>
      </c>
      <c r="N3068" s="33" t="s">
        <v>718</v>
      </c>
    </row>
    <row r="3069" spans="1:14" ht="15">
      <c r="A3069" s="12"/>
      <c r="B3069" s="33" t="s">
        <v>194</v>
      </c>
      <c r="C3069" s="92" t="s">
        <v>732</v>
      </c>
      <c r="D3069" s="33" t="s">
        <v>411</v>
      </c>
      <c r="E3069" s="34">
        <v>45747</v>
      </c>
      <c r="F3069" s="34">
        <v>45748</v>
      </c>
      <c r="G3069" s="34">
        <v>45751</v>
      </c>
      <c r="H3069" s="35">
        <v>0.05</v>
      </c>
      <c r="I3069" s="67">
        <v>0.31569999999999998</v>
      </c>
      <c r="J3069" s="67">
        <v>0</v>
      </c>
      <c r="K3069" s="67">
        <v>0.31569999999999998</v>
      </c>
      <c r="L3069" s="36">
        <f>+K3069-((K3069*0.5205*0.125)+(K3069*(1-0.5205)*0.26))</f>
        <v>0.25580144974999997</v>
      </c>
      <c r="M3069" s="64">
        <f t="shared" si="90"/>
        <v>0.25580144974999997</v>
      </c>
      <c r="N3069" s="33" t="s">
        <v>718</v>
      </c>
    </row>
    <row r="3070" spans="1:14" ht="15">
      <c r="A3070" s="12"/>
      <c r="B3070" s="33" t="s">
        <v>307</v>
      </c>
      <c r="C3070" s="92" t="s">
        <v>733</v>
      </c>
      <c r="D3070" s="33" t="s">
        <v>411</v>
      </c>
      <c r="E3070" s="34">
        <v>45747</v>
      </c>
      <c r="F3070" s="34">
        <v>45748</v>
      </c>
      <c r="G3070" s="34">
        <v>45751</v>
      </c>
      <c r="H3070" s="35">
        <v>0.04</v>
      </c>
      <c r="I3070" s="67">
        <v>1.09E-2</v>
      </c>
      <c r="J3070" s="67">
        <v>0</v>
      </c>
      <c r="K3070" s="67">
        <v>1.09E-2</v>
      </c>
      <c r="L3070" s="36">
        <f>+K3070-((K3070*0.6549*0.125)+(K3070*(1-0.6549)*0.26))</f>
        <v>9.0296853500000003E-3</v>
      </c>
      <c r="M3070" s="64">
        <f t="shared" si="90"/>
        <v>9.0296853500000003E-3</v>
      </c>
      <c r="N3070" s="33" t="s">
        <v>718</v>
      </c>
    </row>
    <row r="3071" spans="1:14" ht="15">
      <c r="A3071" s="12"/>
      <c r="B3071" s="33" t="s">
        <v>185</v>
      </c>
      <c r="C3071" s="92" t="s">
        <v>734</v>
      </c>
      <c r="D3071" s="33" t="s">
        <v>411</v>
      </c>
      <c r="E3071" s="34">
        <v>45747</v>
      </c>
      <c r="F3071" s="34">
        <v>45748</v>
      </c>
      <c r="G3071" s="34">
        <v>45751</v>
      </c>
      <c r="H3071" s="35">
        <v>0.04</v>
      </c>
      <c r="I3071" s="67">
        <v>0.17910000000000001</v>
      </c>
      <c r="J3071" s="67">
        <v>0</v>
      </c>
      <c r="K3071" s="67">
        <v>0.17910000000000001</v>
      </c>
      <c r="L3071" s="36">
        <f>+K3071-((K3071*0.6549*0.125)+(K3071*(1-0.6549)*0.26))</f>
        <v>0.14836849965000001</v>
      </c>
      <c r="M3071" s="64">
        <f t="shared" si="90"/>
        <v>0.14836849965000001</v>
      </c>
      <c r="N3071" s="33" t="s">
        <v>718</v>
      </c>
    </row>
    <row r="3072" spans="1:14" ht="15">
      <c r="A3072" s="12"/>
      <c r="B3072" s="33" t="s">
        <v>193</v>
      </c>
      <c r="C3072" s="92" t="s">
        <v>735</v>
      </c>
      <c r="D3072" s="33" t="s">
        <v>411</v>
      </c>
      <c r="E3072" s="34">
        <v>45747</v>
      </c>
      <c r="F3072" s="34">
        <v>45748</v>
      </c>
      <c r="G3072" s="34">
        <v>45751</v>
      </c>
      <c r="H3072" s="35">
        <v>0.04</v>
      </c>
      <c r="I3072" s="67">
        <v>0.1789</v>
      </c>
      <c r="J3072" s="67">
        <v>0</v>
      </c>
      <c r="K3072" s="67">
        <v>0.1789</v>
      </c>
      <c r="L3072" s="36">
        <f>+K3072-((K3072*0.6549*0.125)+(K3072*(1-0.6549)*0.26))</f>
        <v>0.14820281735000002</v>
      </c>
      <c r="M3072" s="64">
        <f t="shared" si="90"/>
        <v>0.14820281735000002</v>
      </c>
      <c r="N3072" s="33" t="s">
        <v>718</v>
      </c>
    </row>
    <row r="3073" spans="1:14" ht="15">
      <c r="A3073" s="12"/>
      <c r="B3073" s="33" t="s">
        <v>309</v>
      </c>
      <c r="C3073" s="92" t="s">
        <v>736</v>
      </c>
      <c r="D3073" s="33" t="s">
        <v>411</v>
      </c>
      <c r="E3073" s="34">
        <v>45747</v>
      </c>
      <c r="F3073" s="34">
        <v>45748</v>
      </c>
      <c r="G3073" s="34">
        <v>45751</v>
      </c>
      <c r="H3073" s="35">
        <v>0.05</v>
      </c>
      <c r="I3073" s="67">
        <v>1.61E-2</v>
      </c>
      <c r="J3073" s="67">
        <v>0</v>
      </c>
      <c r="K3073" s="67">
        <v>1.61E-2</v>
      </c>
      <c r="L3073" s="36">
        <f>+K3073-((K3073*0.0436*0.125)+(K3073*(1-0.0436)*0.26))</f>
        <v>1.2008764599999999E-2</v>
      </c>
      <c r="M3073" s="64">
        <f t="shared" si="90"/>
        <v>1.2008764599999999E-2</v>
      </c>
      <c r="N3073" s="33" t="s">
        <v>718</v>
      </c>
    </row>
    <row r="3074" spans="1:14" ht="15">
      <c r="A3074" s="12"/>
      <c r="B3074" s="33" t="s">
        <v>187</v>
      </c>
      <c r="C3074" s="92" t="s">
        <v>737</v>
      </c>
      <c r="D3074" s="33" t="s">
        <v>411</v>
      </c>
      <c r="E3074" s="34">
        <v>45747</v>
      </c>
      <c r="F3074" s="34">
        <v>45748</v>
      </c>
      <c r="G3074" s="34">
        <v>45751</v>
      </c>
      <c r="H3074" s="35">
        <v>0.05</v>
      </c>
      <c r="I3074" s="67">
        <v>0.28210000000000002</v>
      </c>
      <c r="J3074" s="67">
        <v>0</v>
      </c>
      <c r="K3074" s="67">
        <v>0.28210000000000002</v>
      </c>
      <c r="L3074" s="36">
        <f>+K3074-((K3074*0.0436*0.125)+(K3074*(1-0.0436)*0.26))</f>
        <v>0.2104144406</v>
      </c>
      <c r="M3074" s="64">
        <f t="shared" si="90"/>
        <v>0.2104144406</v>
      </c>
      <c r="N3074" s="33" t="s">
        <v>718</v>
      </c>
    </row>
    <row r="3075" spans="1:14" ht="15">
      <c r="A3075" s="12"/>
      <c r="B3075" s="33" t="s">
        <v>195</v>
      </c>
      <c r="C3075" s="92" t="s">
        <v>738</v>
      </c>
      <c r="D3075" s="33" t="s">
        <v>411</v>
      </c>
      <c r="E3075" s="34">
        <v>45747</v>
      </c>
      <c r="F3075" s="34">
        <v>45748</v>
      </c>
      <c r="G3075" s="34">
        <v>45751</v>
      </c>
      <c r="H3075" s="35">
        <v>0.05</v>
      </c>
      <c r="I3075" s="67">
        <v>0.29730000000000001</v>
      </c>
      <c r="J3075" s="67">
        <v>0</v>
      </c>
      <c r="K3075" s="67">
        <v>0.29730000000000001</v>
      </c>
      <c r="L3075" s="36">
        <f>+K3075-((K3075*0.0436*0.125)+(K3075*(1-0.0436)*0.26))</f>
        <v>0.22175190780000001</v>
      </c>
      <c r="M3075" s="64">
        <f t="shared" si="90"/>
        <v>0.22175190780000001</v>
      </c>
      <c r="N3075" s="33" t="s">
        <v>718</v>
      </c>
    </row>
    <row r="3076" spans="1:14" ht="15">
      <c r="A3076" s="12"/>
      <c r="B3076" s="33" t="s">
        <v>312</v>
      </c>
      <c r="C3076" s="92" t="s">
        <v>739</v>
      </c>
      <c r="D3076" s="33" t="s">
        <v>411</v>
      </c>
      <c r="E3076" s="34">
        <v>45747</v>
      </c>
      <c r="F3076" s="34">
        <v>45748</v>
      </c>
      <c r="G3076" s="34">
        <v>45751</v>
      </c>
      <c r="H3076" s="35">
        <v>5.2499999999999998E-2</v>
      </c>
      <c r="I3076" s="67">
        <v>1.6299999999999999E-2</v>
      </c>
      <c r="J3076" s="67">
        <v>0</v>
      </c>
      <c r="K3076" s="67">
        <v>1.6299999999999999E-2</v>
      </c>
      <c r="L3076" s="36">
        <f>+K3076-((K3076*0.000000001*0.125)+(K3076*(1-0.000000001)*0.26))</f>
        <v>1.2062000002200498E-2</v>
      </c>
      <c r="M3076" s="64">
        <f t="shared" si="90"/>
        <v>1.2062000002200498E-2</v>
      </c>
      <c r="N3076" s="33" t="s">
        <v>718</v>
      </c>
    </row>
    <row r="3077" spans="1:14" ht="15">
      <c r="A3077" s="12"/>
      <c r="B3077" s="33" t="s">
        <v>190</v>
      </c>
      <c r="C3077" s="92" t="s">
        <v>740</v>
      </c>
      <c r="D3077" s="33" t="s">
        <v>411</v>
      </c>
      <c r="E3077" s="34">
        <v>45747</v>
      </c>
      <c r="F3077" s="34">
        <v>45748</v>
      </c>
      <c r="G3077" s="34">
        <v>45751</v>
      </c>
      <c r="H3077" s="35">
        <v>5.2499999999999998E-2</v>
      </c>
      <c r="I3077" s="67">
        <v>0.30649999999999999</v>
      </c>
      <c r="J3077" s="67">
        <v>0</v>
      </c>
      <c r="K3077" s="67">
        <v>0.30649999999999999</v>
      </c>
      <c r="L3077" s="36">
        <f>+K3077-((K3077*0.000000001*0.125)+(K3077*(1-0.000000001)*0.26))</f>
        <v>0.22681000004137747</v>
      </c>
      <c r="M3077" s="64">
        <f t="shared" si="90"/>
        <v>0.22681000004137747</v>
      </c>
      <c r="N3077" s="33" t="s">
        <v>718</v>
      </c>
    </row>
    <row r="3078" spans="1:14" ht="15">
      <c r="A3078" s="12"/>
      <c r="B3078" s="33" t="s">
        <v>198</v>
      </c>
      <c r="C3078" s="92" t="s">
        <v>741</v>
      </c>
      <c r="D3078" s="33" t="s">
        <v>411</v>
      </c>
      <c r="E3078" s="34">
        <v>45747</v>
      </c>
      <c r="F3078" s="34">
        <v>45748</v>
      </c>
      <c r="G3078" s="34">
        <v>45751</v>
      </c>
      <c r="H3078" s="35">
        <v>5.2499999999999998E-2</v>
      </c>
      <c r="I3078" s="67">
        <v>0.31280000000000002</v>
      </c>
      <c r="J3078" s="67">
        <v>0</v>
      </c>
      <c r="K3078" s="67">
        <v>0.31280000000000002</v>
      </c>
      <c r="L3078" s="36">
        <f>+K3078-((K3078*0.000000001*0.125)+(K3078*(1-0.000000001)*0.26))</f>
        <v>0.23147200004222801</v>
      </c>
      <c r="M3078" s="64">
        <f t="shared" si="90"/>
        <v>0.23147200004222801</v>
      </c>
      <c r="N3078" s="33" t="s">
        <v>718</v>
      </c>
    </row>
    <row r="3079" spans="1:14" ht="15">
      <c r="A3079" s="12"/>
      <c r="B3079" s="33" t="s">
        <v>313</v>
      </c>
      <c r="C3079" s="92" t="s">
        <v>884</v>
      </c>
      <c r="D3079" s="33" t="s">
        <v>411</v>
      </c>
      <c r="E3079" s="34">
        <v>45747</v>
      </c>
      <c r="F3079" s="34">
        <v>45748</v>
      </c>
      <c r="G3079" s="34">
        <v>45751</v>
      </c>
      <c r="H3079" s="35">
        <v>4.1250000000000002E-2</v>
      </c>
      <c r="I3079" s="67">
        <v>1.3299999999999999E-2</v>
      </c>
      <c r="J3079" s="67">
        <v>0</v>
      </c>
      <c r="K3079" s="67">
        <v>1.3299999999999999E-2</v>
      </c>
      <c r="L3079" s="36">
        <f>+K3079-((K3079*0.3093*0.125)+(K3079*(1-0.3093)*0.26))</f>
        <v>1.0397348149999999E-2</v>
      </c>
      <c r="M3079" s="64">
        <f t="shared" si="90"/>
        <v>1.0397348149999999E-2</v>
      </c>
      <c r="N3079" s="33" t="s">
        <v>718</v>
      </c>
    </row>
    <row r="3080" spans="1:14" ht="15">
      <c r="A3080" s="12"/>
      <c r="B3080" s="33" t="s">
        <v>298</v>
      </c>
      <c r="C3080" s="92" t="s">
        <v>403</v>
      </c>
      <c r="D3080" s="33" t="s">
        <v>410</v>
      </c>
      <c r="E3080" s="34">
        <v>45747</v>
      </c>
      <c r="F3080" s="34">
        <v>45748</v>
      </c>
      <c r="G3080" s="34">
        <v>45751</v>
      </c>
      <c r="H3080" s="35">
        <v>0.05</v>
      </c>
      <c r="I3080" s="67">
        <v>4.7800000000000002E-2</v>
      </c>
      <c r="J3080" s="67">
        <v>0</v>
      </c>
      <c r="K3080" s="67">
        <v>4.7800000000000002E-2</v>
      </c>
      <c r="L3080" s="36">
        <f>+K3080-((K3080*0.4642*0.125)+(K3080*(1-0.4642)*0.26))</f>
        <v>3.8367482600000002E-2</v>
      </c>
      <c r="M3080" s="64">
        <f t="shared" si="90"/>
        <v>3.8367482600000002E-2</v>
      </c>
      <c r="N3080" s="33" t="s">
        <v>248</v>
      </c>
    </row>
    <row r="3081" spans="1:14" ht="15">
      <c r="A3081" s="12"/>
      <c r="B3081" s="33" t="s">
        <v>181</v>
      </c>
      <c r="C3081" s="92" t="s">
        <v>335</v>
      </c>
      <c r="D3081" s="33" t="s">
        <v>410</v>
      </c>
      <c r="E3081" s="34">
        <v>45747</v>
      </c>
      <c r="F3081" s="34">
        <v>45748</v>
      </c>
      <c r="G3081" s="34">
        <v>45751</v>
      </c>
      <c r="H3081" s="35">
        <v>0.05</v>
      </c>
      <c r="I3081" s="67">
        <v>0.85060000000000002</v>
      </c>
      <c r="J3081" s="67">
        <v>0</v>
      </c>
      <c r="K3081" s="67">
        <v>0.85060000000000002</v>
      </c>
      <c r="L3081" s="36">
        <f>+K3081-((K3081*0.4642*0.125)+(K3081*(1-0.4642)*0.26))</f>
        <v>0.68274855020000003</v>
      </c>
      <c r="M3081" s="64">
        <f t="shared" si="90"/>
        <v>0.68274855020000003</v>
      </c>
      <c r="N3081" s="33" t="s">
        <v>248</v>
      </c>
    </row>
    <row r="3082" spans="1:14" ht="15">
      <c r="A3082" s="12"/>
      <c r="B3082" s="33" t="s">
        <v>201</v>
      </c>
      <c r="C3082" s="92" t="s">
        <v>336</v>
      </c>
      <c r="D3082" s="33" t="s">
        <v>410</v>
      </c>
      <c r="E3082" s="34">
        <v>45747</v>
      </c>
      <c r="F3082" s="34">
        <v>45748</v>
      </c>
      <c r="G3082" s="34">
        <v>45751</v>
      </c>
      <c r="H3082" s="35">
        <v>0.05</v>
      </c>
      <c r="I3082" s="67">
        <v>0.87580000000000002</v>
      </c>
      <c r="J3082" s="67">
        <v>0</v>
      </c>
      <c r="K3082" s="67">
        <v>0.87580000000000002</v>
      </c>
      <c r="L3082" s="36">
        <f>+K3082-((K3082*0.4642*0.125)+(K3082*(1-0.4642)*0.26))</f>
        <v>0.70297575860000006</v>
      </c>
      <c r="M3082" s="64">
        <f t="shared" si="90"/>
        <v>0.70297575860000006</v>
      </c>
      <c r="N3082" s="33" t="s">
        <v>248</v>
      </c>
    </row>
    <row r="3083" spans="1:14" ht="15">
      <c r="A3083" s="12"/>
      <c r="B3083" s="33" t="s">
        <v>138</v>
      </c>
      <c r="C3083" s="92" t="s">
        <v>337</v>
      </c>
      <c r="D3083" s="33" t="s">
        <v>410</v>
      </c>
      <c r="E3083" s="34">
        <v>45747</v>
      </c>
      <c r="F3083" s="34">
        <v>45748</v>
      </c>
      <c r="G3083" s="34">
        <v>45751</v>
      </c>
      <c r="H3083" s="35">
        <v>0.05</v>
      </c>
      <c r="I3083" s="67">
        <v>6.83E-2</v>
      </c>
      <c r="J3083" s="67">
        <v>0</v>
      </c>
      <c r="K3083" s="67">
        <v>6.83E-2</v>
      </c>
      <c r="L3083" s="36">
        <f>+K3083-((K3083*0.3322*0.125)+(K3083*(1-0.3322)*0.26))</f>
        <v>5.3605050099999996E-2</v>
      </c>
      <c r="M3083" s="64">
        <f t="shared" si="90"/>
        <v>5.3605050099999996E-2</v>
      </c>
      <c r="N3083" s="33" t="s">
        <v>248</v>
      </c>
    </row>
    <row r="3084" spans="1:14" ht="15">
      <c r="A3084" s="12"/>
      <c r="B3084" s="33" t="s">
        <v>160</v>
      </c>
      <c r="C3084" s="92" t="s">
        <v>338</v>
      </c>
      <c r="D3084" s="33" t="s">
        <v>410</v>
      </c>
      <c r="E3084" s="34">
        <v>45747</v>
      </c>
      <c r="F3084" s="34">
        <v>45748</v>
      </c>
      <c r="G3084" s="34">
        <v>45751</v>
      </c>
      <c r="H3084" s="35">
        <v>0.05</v>
      </c>
      <c r="I3084" s="67">
        <v>6.59E-2</v>
      </c>
      <c r="J3084" s="67">
        <v>0</v>
      </c>
      <c r="K3084" s="67">
        <v>6.59E-2</v>
      </c>
      <c r="L3084" s="36">
        <f>+K3084-((K3084*0.3322*0.125)+(K3084*(1-0.3322)*0.26))</f>
        <v>5.1721417300000003E-2</v>
      </c>
      <c r="M3084" s="64">
        <f t="shared" si="90"/>
        <v>5.1721417300000003E-2</v>
      </c>
      <c r="N3084" s="33" t="s">
        <v>248</v>
      </c>
    </row>
    <row r="3085" spans="1:14" ht="15">
      <c r="A3085" s="12"/>
      <c r="B3085" s="33" t="s">
        <v>300</v>
      </c>
      <c r="C3085" s="92" t="s">
        <v>404</v>
      </c>
      <c r="D3085" s="33" t="s">
        <v>410</v>
      </c>
      <c r="E3085" s="34">
        <v>45747</v>
      </c>
      <c r="F3085" s="34">
        <v>45748</v>
      </c>
      <c r="G3085" s="34">
        <v>45751</v>
      </c>
      <c r="H3085" s="35">
        <v>0.05</v>
      </c>
      <c r="I3085" s="67">
        <v>5.1999999999999998E-2</v>
      </c>
      <c r="J3085" s="67">
        <v>0</v>
      </c>
      <c r="K3085" s="67">
        <v>5.1999999999999998E-2</v>
      </c>
      <c r="L3085" s="36">
        <f>+K3085-((K3085*0.3322*0.125)+(K3085*(1-0.3322)*0.26))</f>
        <v>4.0812043999999999E-2</v>
      </c>
      <c r="M3085" s="64">
        <f t="shared" si="90"/>
        <v>4.0812043999999999E-2</v>
      </c>
      <c r="N3085" s="33" t="s">
        <v>248</v>
      </c>
    </row>
    <row r="3086" spans="1:14" ht="15">
      <c r="A3086" s="12"/>
      <c r="B3086" s="33" t="s">
        <v>142</v>
      </c>
      <c r="C3086" s="92" t="s">
        <v>341</v>
      </c>
      <c r="D3086" s="33" t="s">
        <v>410</v>
      </c>
      <c r="E3086" s="34">
        <v>45747</v>
      </c>
      <c r="F3086" s="34">
        <v>45748</v>
      </c>
      <c r="G3086" s="34">
        <v>45751</v>
      </c>
      <c r="H3086" s="35">
        <v>5.7500000000000002E-2</v>
      </c>
      <c r="I3086" s="67">
        <v>8.5199999999999998E-2</v>
      </c>
      <c r="J3086" s="67">
        <v>0</v>
      </c>
      <c r="K3086" s="67">
        <v>8.5199999999999998E-2</v>
      </c>
      <c r="L3086" s="36">
        <f>+K3086-((K3086*0.0187*0.125)+(K3086*(1-0.0187)*0.26))</f>
        <v>6.3263087400000001E-2</v>
      </c>
      <c r="M3086" s="64">
        <f t="shared" si="90"/>
        <v>6.3263087400000001E-2</v>
      </c>
      <c r="N3086" s="33" t="s">
        <v>248</v>
      </c>
    </row>
    <row r="3087" spans="1:14" ht="15">
      <c r="A3087" s="12"/>
      <c r="B3087" s="33" t="s">
        <v>159</v>
      </c>
      <c r="C3087" s="92" t="s">
        <v>342</v>
      </c>
      <c r="D3087" s="33" t="s">
        <v>410</v>
      </c>
      <c r="E3087" s="34">
        <v>45747</v>
      </c>
      <c r="F3087" s="34">
        <v>45748</v>
      </c>
      <c r="G3087" s="34">
        <v>45751</v>
      </c>
      <c r="H3087" s="35">
        <v>5.7500000000000002E-2</v>
      </c>
      <c r="I3087" s="67">
        <v>8.2900000000000001E-2</v>
      </c>
      <c r="J3087" s="67">
        <v>0</v>
      </c>
      <c r="K3087" s="67">
        <v>8.2900000000000001E-2</v>
      </c>
      <c r="L3087" s="36">
        <f>+K3087-((K3087*0.0187*0.125)+(K3087*(1-0.0187)*0.26))</f>
        <v>6.1555281049999994E-2</v>
      </c>
      <c r="M3087" s="64">
        <f t="shared" si="90"/>
        <v>6.1555281049999994E-2</v>
      </c>
      <c r="N3087" s="33" t="s">
        <v>248</v>
      </c>
    </row>
    <row r="3088" spans="1:14" ht="15">
      <c r="A3088" s="12"/>
      <c r="B3088" s="33" t="s">
        <v>507</v>
      </c>
      <c r="C3088" s="92" t="s">
        <v>508</v>
      </c>
      <c r="D3088" s="33" t="s">
        <v>410</v>
      </c>
      <c r="E3088" s="34">
        <v>45747</v>
      </c>
      <c r="F3088" s="34">
        <v>45748</v>
      </c>
      <c r="G3088" s="34">
        <v>45751</v>
      </c>
      <c r="H3088" s="35">
        <v>5.7500000000000002E-2</v>
      </c>
      <c r="I3088" s="67">
        <v>6.6900000000000001E-2</v>
      </c>
      <c r="J3088" s="67">
        <v>0</v>
      </c>
      <c r="K3088" s="67">
        <v>6.6900000000000001E-2</v>
      </c>
      <c r="L3088" s="36">
        <f>+K3088-((K3088*0.0187*0.125)+(K3088*(1-0.0187)*0.26))</f>
        <v>4.9674889049999997E-2</v>
      </c>
      <c r="M3088" s="64">
        <f t="shared" si="90"/>
        <v>4.9674889049999997E-2</v>
      </c>
      <c r="N3088" s="33" t="s">
        <v>248</v>
      </c>
    </row>
    <row r="3089" spans="1:14" ht="15">
      <c r="A3089" s="12"/>
      <c r="B3089" s="33" t="s">
        <v>139</v>
      </c>
      <c r="C3089" s="92" t="s">
        <v>344</v>
      </c>
      <c r="D3089" s="33" t="s">
        <v>410</v>
      </c>
      <c r="E3089" s="34">
        <v>45747</v>
      </c>
      <c r="F3089" s="34">
        <v>45748</v>
      </c>
      <c r="G3089" s="34">
        <v>45751</v>
      </c>
      <c r="H3089" s="35">
        <v>0.05</v>
      </c>
      <c r="I3089" s="67">
        <v>4.8599999999999997E-2</v>
      </c>
      <c r="J3089" s="67">
        <v>0</v>
      </c>
      <c r="K3089" s="67">
        <v>4.8599999999999997E-2</v>
      </c>
      <c r="L3089" s="36">
        <f>+K3089-((K3089*0.8462*0.125)+(K3089*(1-0.8462)*0.26))</f>
        <v>4.1515918200000002E-2</v>
      </c>
      <c r="M3089" s="64">
        <f t="shared" si="90"/>
        <v>4.1515918200000002E-2</v>
      </c>
      <c r="N3089" s="33" t="s">
        <v>248</v>
      </c>
    </row>
    <row r="3090" spans="1:14" ht="15">
      <c r="A3090" s="12"/>
      <c r="B3090" s="33" t="s">
        <v>161</v>
      </c>
      <c r="C3090" s="92" t="s">
        <v>345</v>
      </c>
      <c r="D3090" s="33" t="s">
        <v>410</v>
      </c>
      <c r="E3090" s="34">
        <v>45747</v>
      </c>
      <c r="F3090" s="34">
        <v>45748</v>
      </c>
      <c r="G3090" s="34">
        <v>45751</v>
      </c>
      <c r="H3090" s="35">
        <v>0.05</v>
      </c>
      <c r="I3090" s="67">
        <v>4.7300000000000002E-2</v>
      </c>
      <c r="J3090" s="67">
        <v>0</v>
      </c>
      <c r="K3090" s="67">
        <v>4.7300000000000002E-2</v>
      </c>
      <c r="L3090" s="36">
        <f>+K3090-((K3090*0.8462*0.125)+(K3090*(1-0.8462)*0.26))</f>
        <v>4.0405410099999997E-2</v>
      </c>
      <c r="M3090" s="64">
        <f t="shared" si="90"/>
        <v>4.0405410099999997E-2</v>
      </c>
      <c r="N3090" s="33" t="s">
        <v>248</v>
      </c>
    </row>
    <row r="3091" spans="1:14" ht="15">
      <c r="A3091" s="12"/>
      <c r="B3091" s="33" t="s">
        <v>141</v>
      </c>
      <c r="C3091" s="92" t="s">
        <v>348</v>
      </c>
      <c r="D3091" s="33" t="s">
        <v>410</v>
      </c>
      <c r="E3091" s="34">
        <v>45747</v>
      </c>
      <c r="F3091" s="34">
        <v>45748</v>
      </c>
      <c r="G3091" s="34">
        <v>45751</v>
      </c>
      <c r="H3091" s="35">
        <v>0.05</v>
      </c>
      <c r="I3091" s="67">
        <v>4.9599999999999998E-2</v>
      </c>
      <c r="J3091" s="67">
        <v>0</v>
      </c>
      <c r="K3091" s="67">
        <v>4.9599999999999998E-2</v>
      </c>
      <c r="L3091" s="36">
        <f>+K3091-((K3091*0.051*0.125)+(K3091*(1-0.051)*0.26))</f>
        <v>3.7045495999999997E-2</v>
      </c>
      <c r="M3091" s="64">
        <f t="shared" si="90"/>
        <v>3.7045495999999997E-2</v>
      </c>
      <c r="N3091" s="33" t="s">
        <v>248</v>
      </c>
    </row>
    <row r="3092" spans="1:14" ht="15">
      <c r="A3092" s="12"/>
      <c r="B3092" s="33" t="s">
        <v>140</v>
      </c>
      <c r="C3092" s="92" t="s">
        <v>349</v>
      </c>
      <c r="D3092" s="33" t="s">
        <v>410</v>
      </c>
      <c r="E3092" s="34">
        <v>45747</v>
      </c>
      <c r="F3092" s="34">
        <v>45748</v>
      </c>
      <c r="G3092" s="34">
        <v>45751</v>
      </c>
      <c r="H3092" s="35">
        <v>0.05</v>
      </c>
      <c r="I3092" s="67">
        <v>6.4699999999999994E-2</v>
      </c>
      <c r="J3092" s="67">
        <v>0</v>
      </c>
      <c r="K3092" s="67">
        <v>6.4699999999999994E-2</v>
      </c>
      <c r="L3092" s="36">
        <f>+K3092-((K3092*0.051*0.125)+(K3092*(1-0.051)*0.26))</f>
        <v>4.8323459499999999E-2</v>
      </c>
      <c r="M3092" s="64">
        <f t="shared" si="90"/>
        <v>4.8323459499999999E-2</v>
      </c>
      <c r="N3092" s="33" t="s">
        <v>248</v>
      </c>
    </row>
    <row r="3093" spans="1:14" ht="15">
      <c r="A3093" s="12"/>
      <c r="B3093" s="33" t="s">
        <v>162</v>
      </c>
      <c r="C3093" s="92" t="s">
        <v>350</v>
      </c>
      <c r="D3093" s="33" t="s">
        <v>410</v>
      </c>
      <c r="E3093" s="34">
        <v>45747</v>
      </c>
      <c r="F3093" s="34">
        <v>45748</v>
      </c>
      <c r="G3093" s="34">
        <v>45751</v>
      </c>
      <c r="H3093" s="35">
        <v>0.05</v>
      </c>
      <c r="I3093" s="67">
        <v>6.25E-2</v>
      </c>
      <c r="J3093" s="67">
        <v>0</v>
      </c>
      <c r="K3093" s="67">
        <v>6.25E-2</v>
      </c>
      <c r="L3093" s="36">
        <f>+K3093-((K3093*0.051*0.125)+(K3093*(1-0.051)*0.26))</f>
        <v>4.6680312500000001E-2</v>
      </c>
      <c r="M3093" s="64">
        <f t="shared" si="90"/>
        <v>4.6680312500000001E-2</v>
      </c>
      <c r="N3093" s="33" t="s">
        <v>248</v>
      </c>
    </row>
    <row r="3094" spans="1:14" ht="15">
      <c r="A3094" s="12"/>
      <c r="B3094" s="33" t="s">
        <v>302</v>
      </c>
      <c r="C3094" s="92" t="s">
        <v>405</v>
      </c>
      <c r="D3094" s="33" t="s">
        <v>410</v>
      </c>
      <c r="E3094" s="34">
        <v>45747</v>
      </c>
      <c r="F3094" s="34">
        <v>45748</v>
      </c>
      <c r="G3094" s="34">
        <v>45751</v>
      </c>
      <c r="H3094" s="35">
        <v>0.05</v>
      </c>
      <c r="I3094" s="67">
        <v>5.1200000000000002E-2</v>
      </c>
      <c r="J3094" s="67">
        <v>0</v>
      </c>
      <c r="K3094" s="67">
        <v>5.1200000000000002E-2</v>
      </c>
      <c r="L3094" s="36">
        <f>+K3094-((K3094*0.051*0.125)+(K3094*(1-0.051)*0.26))</f>
        <v>3.8240512000000004E-2</v>
      </c>
      <c r="M3094" s="64">
        <f t="shared" si="90"/>
        <v>3.8240512000000004E-2</v>
      </c>
      <c r="N3094" s="33" t="s">
        <v>248</v>
      </c>
    </row>
    <row r="3095" spans="1:14" ht="15">
      <c r="A3095" s="12"/>
      <c r="B3095" s="33" t="s">
        <v>303</v>
      </c>
      <c r="C3095" s="92" t="s">
        <v>406</v>
      </c>
      <c r="D3095" s="33" t="s">
        <v>410</v>
      </c>
      <c r="E3095" s="34">
        <v>45747</v>
      </c>
      <c r="F3095" s="34">
        <v>45748</v>
      </c>
      <c r="G3095" s="34">
        <v>45751</v>
      </c>
      <c r="H3095" s="35">
        <v>0.05</v>
      </c>
      <c r="I3095" s="67">
        <v>6.0100000000000001E-2</v>
      </c>
      <c r="J3095" s="67">
        <v>0</v>
      </c>
      <c r="K3095" s="67">
        <v>6.0100000000000001E-2</v>
      </c>
      <c r="L3095" s="36">
        <f>+K3095-((K3095*0.051*0.125)+(K3095*(1-0.051)*0.26))</f>
        <v>4.4887788499999998E-2</v>
      </c>
      <c r="M3095" s="64">
        <f t="shared" si="90"/>
        <v>4.4887788499999998E-2</v>
      </c>
      <c r="N3095" s="33" t="s">
        <v>248</v>
      </c>
    </row>
    <row r="3096" spans="1:14" ht="15">
      <c r="A3096" s="12"/>
      <c r="B3096" s="33" t="s">
        <v>143</v>
      </c>
      <c r="C3096" s="92" t="s">
        <v>351</v>
      </c>
      <c r="D3096" s="33" t="s">
        <v>410</v>
      </c>
      <c r="E3096" s="34">
        <v>45747</v>
      </c>
      <c r="F3096" s="34">
        <v>45748</v>
      </c>
      <c r="G3096" s="34">
        <v>45751</v>
      </c>
      <c r="H3096" s="35">
        <v>2.5000000000000001E-2</v>
      </c>
      <c r="I3096" s="67">
        <v>2.75E-2</v>
      </c>
      <c r="J3096" s="67">
        <v>0</v>
      </c>
      <c r="K3096" s="67">
        <v>2.75E-2</v>
      </c>
      <c r="L3096" s="36">
        <f>+K3096-((K3096*0.4252*0.125)+(K3096*(1-0.4252)*0.26))</f>
        <v>2.1928555000000002E-2</v>
      </c>
      <c r="M3096" s="64">
        <f t="shared" si="90"/>
        <v>2.1928555000000002E-2</v>
      </c>
      <c r="N3096" s="33" t="s">
        <v>248</v>
      </c>
    </row>
    <row r="3097" spans="1:14" ht="15">
      <c r="A3097" s="12"/>
      <c r="B3097" s="33" t="s">
        <v>145</v>
      </c>
      <c r="C3097" s="92" t="s">
        <v>889</v>
      </c>
      <c r="D3097" s="33" t="s">
        <v>410</v>
      </c>
      <c r="E3097" s="34">
        <v>45747</v>
      </c>
      <c r="F3097" s="34">
        <v>45748</v>
      </c>
      <c r="G3097" s="34">
        <v>45751</v>
      </c>
      <c r="H3097" s="35">
        <v>0.03</v>
      </c>
      <c r="I3097" s="67">
        <v>3.4599999999999999E-2</v>
      </c>
      <c r="J3097" s="67">
        <v>0</v>
      </c>
      <c r="K3097" s="67">
        <v>3.4599999999999999E-2</v>
      </c>
      <c r="L3097" s="36">
        <f>+K3097-((K3097*0.0501*0.125)+(K3097*(1-0.0501)*0.26))</f>
        <v>2.5838017099999999E-2</v>
      </c>
      <c r="M3097" s="64">
        <f t="shared" si="90"/>
        <v>2.5838017099999999E-2</v>
      </c>
      <c r="N3097" s="33" t="s">
        <v>248</v>
      </c>
    </row>
    <row r="3098" spans="1:14" ht="15">
      <c r="A3098" s="12"/>
      <c r="B3098" s="33" t="s">
        <v>144</v>
      </c>
      <c r="C3098" s="92" t="s">
        <v>986</v>
      </c>
      <c r="D3098" s="33" t="s">
        <v>410</v>
      </c>
      <c r="E3098" s="34">
        <v>45747</v>
      </c>
      <c r="F3098" s="34">
        <v>45748</v>
      </c>
      <c r="G3098" s="34">
        <v>45751</v>
      </c>
      <c r="H3098" s="35">
        <v>0.02</v>
      </c>
      <c r="I3098" s="67">
        <v>2.1600000000000001E-2</v>
      </c>
      <c r="J3098" s="67">
        <v>0</v>
      </c>
      <c r="K3098" s="67">
        <v>2.1600000000000001E-2</v>
      </c>
      <c r="L3098" s="36">
        <f>+K3098-((K3098*0.7372*0.125)+(K3098*(1-0.7372)*0.26))</f>
        <v>1.8133675200000001E-2</v>
      </c>
      <c r="M3098" s="64">
        <f t="shared" si="90"/>
        <v>1.8133675200000001E-2</v>
      </c>
      <c r="N3098" s="33" t="s">
        <v>248</v>
      </c>
    </row>
    <row r="3099" spans="1:14" ht="15">
      <c r="A3099" s="12"/>
      <c r="B3099" s="33" t="s">
        <v>148</v>
      </c>
      <c r="C3099" s="92" t="s">
        <v>362</v>
      </c>
      <c r="D3099" s="33" t="s">
        <v>410</v>
      </c>
      <c r="E3099" s="34">
        <v>45747</v>
      </c>
      <c r="F3099" s="34">
        <v>45748</v>
      </c>
      <c r="G3099" s="34">
        <v>45751</v>
      </c>
      <c r="H3099" s="35">
        <v>0.05</v>
      </c>
      <c r="I3099" s="67">
        <v>6.5100000000000005E-2</v>
      </c>
      <c r="J3099" s="67">
        <v>0</v>
      </c>
      <c r="K3099" s="67">
        <v>6.5100000000000005E-2</v>
      </c>
      <c r="L3099" s="36">
        <f>+K3099-((K3099*0.5205*0.125)+(K3099*(1-0.5205)*0.26))</f>
        <v>5.274841425E-2</v>
      </c>
      <c r="M3099" s="64">
        <f t="shared" si="90"/>
        <v>5.274841425E-2</v>
      </c>
      <c r="N3099" s="33" t="s">
        <v>248</v>
      </c>
    </row>
    <row r="3100" spans="1:14" ht="15">
      <c r="A3100" s="12"/>
      <c r="B3100" s="33" t="s">
        <v>200</v>
      </c>
      <c r="C3100" s="92" t="s">
        <v>365</v>
      </c>
      <c r="D3100" s="33" t="s">
        <v>410</v>
      </c>
      <c r="E3100" s="34">
        <v>45747</v>
      </c>
      <c r="F3100" s="34">
        <v>45748</v>
      </c>
      <c r="G3100" s="34">
        <v>45751</v>
      </c>
      <c r="H3100" s="35">
        <v>0.05</v>
      </c>
      <c r="I3100" s="67">
        <v>1.0024</v>
      </c>
      <c r="J3100" s="67">
        <v>0</v>
      </c>
      <c r="K3100" s="67">
        <v>1.0024</v>
      </c>
      <c r="L3100" s="36">
        <f>+K3100-((K3100*0.5205*0.125)+(K3100*(1-0.5205)*0.26))</f>
        <v>0.81221214199999991</v>
      </c>
      <c r="M3100" s="64">
        <f t="shared" si="90"/>
        <v>0.81221214199999991</v>
      </c>
      <c r="N3100" s="33" t="s">
        <v>248</v>
      </c>
    </row>
    <row r="3101" spans="1:14" ht="15">
      <c r="A3101" s="12"/>
      <c r="B3101" s="33" t="s">
        <v>173</v>
      </c>
      <c r="C3101" s="92" t="s">
        <v>372</v>
      </c>
      <c r="D3101" s="33" t="s">
        <v>410</v>
      </c>
      <c r="E3101" s="34">
        <v>45747</v>
      </c>
      <c r="F3101" s="34">
        <v>45748</v>
      </c>
      <c r="G3101" s="34">
        <v>45751</v>
      </c>
      <c r="H3101" s="35">
        <v>0.03</v>
      </c>
      <c r="I3101" s="67">
        <v>3.8199999999999998E-2</v>
      </c>
      <c r="J3101" s="67">
        <v>0</v>
      </c>
      <c r="K3101" s="67">
        <v>3.8199999999999998E-2</v>
      </c>
      <c r="L3101" s="36">
        <f>+K3101-((K3101*0.4507*0.125)+(K3101*(1-0.4507)*0.26))</f>
        <v>3.0592259899999998E-2</v>
      </c>
      <c r="M3101" s="64">
        <f t="shared" si="90"/>
        <v>3.0592259899999998E-2</v>
      </c>
      <c r="N3101" s="33" t="s">
        <v>248</v>
      </c>
    </row>
    <row r="3102" spans="1:14" ht="15">
      <c r="A3102" s="12"/>
      <c r="B3102" s="33" t="s">
        <v>150</v>
      </c>
      <c r="C3102" s="92" t="s">
        <v>377</v>
      </c>
      <c r="D3102" s="33" t="s">
        <v>410</v>
      </c>
      <c r="E3102" s="34">
        <v>45747</v>
      </c>
      <c r="F3102" s="34">
        <v>45748</v>
      </c>
      <c r="G3102" s="34">
        <v>45751</v>
      </c>
      <c r="H3102" s="35">
        <v>0.05</v>
      </c>
      <c r="I3102" s="67">
        <v>6.54E-2</v>
      </c>
      <c r="J3102" s="67">
        <v>0</v>
      </c>
      <c r="K3102" s="67">
        <v>6.54E-2</v>
      </c>
      <c r="L3102" s="36">
        <f>+K3102-((K3102*0.000000001*0.125)+(K3102*(1-0.000000001)*0.26))</f>
        <v>4.8396000008829002E-2</v>
      </c>
      <c r="M3102" s="64">
        <f t="shared" si="90"/>
        <v>4.8396000008829002E-2</v>
      </c>
      <c r="N3102" s="33" t="s">
        <v>248</v>
      </c>
    </row>
    <row r="3103" spans="1:14" ht="15">
      <c r="A3103" s="12"/>
      <c r="B3103" s="33" t="s">
        <v>510</v>
      </c>
      <c r="C3103" s="92" t="s">
        <v>509</v>
      </c>
      <c r="D3103" s="33" t="s">
        <v>410</v>
      </c>
      <c r="E3103" s="34">
        <v>45747</v>
      </c>
      <c r="F3103" s="34">
        <v>45748</v>
      </c>
      <c r="G3103" s="34">
        <v>45751</v>
      </c>
      <c r="H3103" s="35">
        <v>0.05</v>
      </c>
      <c r="I3103" s="67">
        <v>5.6899999999999999E-2</v>
      </c>
      <c r="J3103" s="67">
        <v>0</v>
      </c>
      <c r="K3103" s="67">
        <v>5.6899999999999999E-2</v>
      </c>
      <c r="L3103" s="36">
        <f>+K3103-((K3103*0.000000001*0.125)+(K3103*(1-0.000000001)*0.26))</f>
        <v>4.2106000007681499E-2</v>
      </c>
      <c r="M3103" s="64">
        <f t="shared" si="90"/>
        <v>4.2106000007681499E-2</v>
      </c>
      <c r="N3103" s="33" t="s">
        <v>248</v>
      </c>
    </row>
    <row r="3104" spans="1:14" ht="15">
      <c r="A3104" s="12"/>
      <c r="B3104" s="33" t="s">
        <v>441</v>
      </c>
      <c r="C3104" s="92" t="s">
        <v>444</v>
      </c>
      <c r="D3104" s="33" t="s">
        <v>410</v>
      </c>
      <c r="E3104" s="34">
        <v>45747</v>
      </c>
      <c r="F3104" s="34">
        <v>45748</v>
      </c>
      <c r="G3104" s="34">
        <v>45751</v>
      </c>
      <c r="H3104" s="35">
        <v>0.04</v>
      </c>
      <c r="I3104" s="67">
        <v>0.05</v>
      </c>
      <c r="J3104" s="67">
        <v>0</v>
      </c>
      <c r="K3104" s="67">
        <v>0.05</v>
      </c>
      <c r="L3104" s="36">
        <f>+K3104-((K3104*0.2054*0.125)+(K3104*(1-0.2054)*0.26))</f>
        <v>3.8386450000000003E-2</v>
      </c>
      <c r="M3104" s="64">
        <f t="shared" si="90"/>
        <v>3.8386450000000003E-2</v>
      </c>
      <c r="N3104" s="33" t="s">
        <v>248</v>
      </c>
    </row>
    <row r="3105" spans="1:14" ht="15">
      <c r="A3105" s="12"/>
      <c r="B3105" s="33" t="s">
        <v>440</v>
      </c>
      <c r="C3105" s="92" t="s">
        <v>443</v>
      </c>
      <c r="D3105" s="33" t="s">
        <v>410</v>
      </c>
      <c r="E3105" s="34">
        <v>45747</v>
      </c>
      <c r="F3105" s="34">
        <v>45748</v>
      </c>
      <c r="G3105" s="34">
        <v>45751</v>
      </c>
      <c r="H3105" s="35">
        <v>0.04</v>
      </c>
      <c r="I3105" s="67">
        <v>1</v>
      </c>
      <c r="J3105" s="67">
        <v>0</v>
      </c>
      <c r="K3105" s="67">
        <v>1</v>
      </c>
      <c r="L3105" s="36">
        <f>+K3105-((K3105*0.2054*0.125)+(K3105*(1-0.2054)*0.26))</f>
        <v>0.76772899999999999</v>
      </c>
      <c r="M3105" s="64">
        <f t="shared" si="90"/>
        <v>0.76772899999999999</v>
      </c>
      <c r="N3105" s="33" t="s">
        <v>248</v>
      </c>
    </row>
    <row r="3106" spans="1:14" ht="15">
      <c r="A3106" s="12"/>
      <c r="B3106" s="33" t="s">
        <v>299</v>
      </c>
      <c r="C3106" s="92" t="s">
        <v>517</v>
      </c>
      <c r="D3106" s="33" t="s">
        <v>410</v>
      </c>
      <c r="E3106" s="34">
        <v>45747</v>
      </c>
      <c r="F3106" s="34">
        <v>45748</v>
      </c>
      <c r="G3106" s="34">
        <v>45751</v>
      </c>
      <c r="H3106" s="35">
        <v>0.03</v>
      </c>
      <c r="I3106" s="67">
        <v>3.39E-2</v>
      </c>
      <c r="J3106" s="67">
        <v>0</v>
      </c>
      <c r="K3106" s="67">
        <v>3.39E-2</v>
      </c>
      <c r="L3106" s="36">
        <f>+K3106-((K3106*0.344*0.125)+(K3106*(1-0.344)*0.26))</f>
        <v>2.6660316E-2</v>
      </c>
      <c r="M3106" s="64">
        <f t="shared" si="90"/>
        <v>2.6660316E-2</v>
      </c>
      <c r="N3106" s="33" t="s">
        <v>248</v>
      </c>
    </row>
    <row r="3107" spans="1:14" ht="15">
      <c r="A3107" s="12"/>
      <c r="B3107" s="33" t="s">
        <v>182</v>
      </c>
      <c r="C3107" s="92" t="s">
        <v>477</v>
      </c>
      <c r="D3107" s="33" t="s">
        <v>410</v>
      </c>
      <c r="E3107" s="34">
        <v>45747</v>
      </c>
      <c r="F3107" s="34">
        <v>45748</v>
      </c>
      <c r="G3107" s="34">
        <v>45751</v>
      </c>
      <c r="H3107" s="35">
        <v>0.03</v>
      </c>
      <c r="I3107" s="67">
        <v>0.65629999999999999</v>
      </c>
      <c r="J3107" s="67">
        <v>0</v>
      </c>
      <c r="K3107" s="67">
        <v>0.65629999999999999</v>
      </c>
      <c r="L3107" s="36">
        <f>+K3107-((K3107*0.344*0.125)+(K3107*(1-0.344)*0.26))</f>
        <v>0.51614057199999996</v>
      </c>
      <c r="M3107" s="64">
        <f t="shared" si="90"/>
        <v>0.51614057199999996</v>
      </c>
      <c r="N3107" s="33" t="s">
        <v>248</v>
      </c>
    </row>
    <row r="3108" spans="1:14" ht="15">
      <c r="A3108" s="12"/>
      <c r="B3108" s="33" t="s">
        <v>202</v>
      </c>
      <c r="C3108" s="92" t="s">
        <v>478</v>
      </c>
      <c r="D3108" s="33" t="s">
        <v>410</v>
      </c>
      <c r="E3108" s="34">
        <v>45747</v>
      </c>
      <c r="F3108" s="34">
        <v>45748</v>
      </c>
      <c r="G3108" s="34">
        <v>45751</v>
      </c>
      <c r="H3108" s="35">
        <v>0.03</v>
      </c>
      <c r="I3108" s="67">
        <v>0.67789999999999995</v>
      </c>
      <c r="J3108" s="67">
        <v>0</v>
      </c>
      <c r="K3108" s="67">
        <v>0.67789999999999995</v>
      </c>
      <c r="L3108" s="36">
        <f>+K3108-((K3108*0.344*0.125)+(K3108*(1-0.344)*0.26))</f>
        <v>0.53312767599999988</v>
      </c>
      <c r="M3108" s="64">
        <f t="shared" si="90"/>
        <v>0.53312767599999988</v>
      </c>
      <c r="N3108" s="33" t="s">
        <v>248</v>
      </c>
    </row>
    <row r="3109" spans="1:14" ht="15">
      <c r="A3109" s="12"/>
      <c r="B3109" s="33" t="s">
        <v>146</v>
      </c>
      <c r="C3109" s="92" t="s">
        <v>380</v>
      </c>
      <c r="D3109" s="33" t="s">
        <v>410</v>
      </c>
      <c r="E3109" s="34">
        <v>45747</v>
      </c>
      <c r="F3109" s="34">
        <v>45748</v>
      </c>
      <c r="G3109" s="34">
        <v>45751</v>
      </c>
      <c r="H3109" s="35">
        <v>4.4999999999999998E-2</v>
      </c>
      <c r="I3109" s="67">
        <v>6.3500000000000001E-2</v>
      </c>
      <c r="J3109" s="67">
        <v>0</v>
      </c>
      <c r="K3109" s="67">
        <v>6.3500000000000001E-2</v>
      </c>
      <c r="L3109" s="36">
        <f>+K3109-((K3109*0.0346*0.125)+(K3109*(1-0.0346)*0.26))</f>
        <v>4.7286608500000001E-2</v>
      </c>
      <c r="M3109" s="64">
        <f t="shared" si="90"/>
        <v>4.7286608500000001E-2</v>
      </c>
      <c r="N3109" s="33" t="s">
        <v>248</v>
      </c>
    </row>
    <row r="3110" spans="1:14" ht="15">
      <c r="A3110" s="12"/>
      <c r="B3110" s="33" t="s">
        <v>163</v>
      </c>
      <c r="C3110" s="92" t="s">
        <v>381</v>
      </c>
      <c r="D3110" s="33" t="s">
        <v>410</v>
      </c>
      <c r="E3110" s="34">
        <v>45747</v>
      </c>
      <c r="F3110" s="34">
        <v>45748</v>
      </c>
      <c r="G3110" s="34">
        <v>45751</v>
      </c>
      <c r="H3110" s="35">
        <v>4.4999999999999998E-2</v>
      </c>
      <c r="I3110" s="67">
        <v>5.5899999999999998E-2</v>
      </c>
      <c r="J3110" s="67">
        <v>0</v>
      </c>
      <c r="K3110" s="67">
        <v>5.5899999999999998E-2</v>
      </c>
      <c r="L3110" s="36">
        <f>+K3110-((K3110*0.0346*0.125)+(K3110*(1-0.0346)*0.26))</f>
        <v>4.1627108900000001E-2</v>
      </c>
      <c r="M3110" s="64">
        <f t="shared" si="90"/>
        <v>4.1627108900000001E-2</v>
      </c>
      <c r="N3110" s="33" t="s">
        <v>248</v>
      </c>
    </row>
    <row r="3111" spans="1:14" ht="15">
      <c r="A3111" s="12"/>
      <c r="B3111" s="33" t="s">
        <v>151</v>
      </c>
      <c r="C3111" s="92" t="s">
        <v>383</v>
      </c>
      <c r="D3111" s="33" t="s">
        <v>410</v>
      </c>
      <c r="E3111" s="34">
        <v>45747</v>
      </c>
      <c r="F3111" s="34">
        <v>45748</v>
      </c>
      <c r="G3111" s="34">
        <v>45751</v>
      </c>
      <c r="H3111" s="35">
        <v>4.4999999999999998E-2</v>
      </c>
      <c r="I3111" s="67">
        <v>5.1700000000000003E-2</v>
      </c>
      <c r="J3111" s="67">
        <v>0</v>
      </c>
      <c r="K3111" s="67">
        <v>5.1700000000000003E-2</v>
      </c>
      <c r="L3111" s="36">
        <f>+K3111-((K3111*0.0274*0.125)+(K3111*(1-0.0274)*0.26))</f>
        <v>3.8449238300000001E-2</v>
      </c>
      <c r="M3111" s="64">
        <f t="shared" si="90"/>
        <v>3.8449238300000001E-2</v>
      </c>
      <c r="N3111" s="33" t="s">
        <v>248</v>
      </c>
    </row>
    <row r="3112" spans="1:14" ht="15">
      <c r="A3112" s="12"/>
      <c r="B3112" s="33" t="s">
        <v>166</v>
      </c>
      <c r="C3112" s="92" t="s">
        <v>384</v>
      </c>
      <c r="D3112" s="33" t="s">
        <v>410</v>
      </c>
      <c r="E3112" s="34">
        <v>45747</v>
      </c>
      <c r="F3112" s="34">
        <v>45748</v>
      </c>
      <c r="G3112" s="34">
        <v>45751</v>
      </c>
      <c r="H3112" s="35">
        <v>4.4999999999999998E-2</v>
      </c>
      <c r="I3112" s="67">
        <v>5.04E-2</v>
      </c>
      <c r="J3112" s="67">
        <v>0</v>
      </c>
      <c r="K3112" s="67">
        <v>5.04E-2</v>
      </c>
      <c r="L3112" s="36">
        <f>+K3112-((K3112*0.0274*0.125)+(K3112*(1-0.0274)*0.26))</f>
        <v>3.7482429599999999E-2</v>
      </c>
      <c r="M3112" s="64">
        <f t="shared" si="90"/>
        <v>3.7482429599999999E-2</v>
      </c>
      <c r="N3112" s="33" t="s">
        <v>248</v>
      </c>
    </row>
    <row r="3113" spans="1:14" ht="15">
      <c r="A3113" s="12"/>
      <c r="B3113" s="33" t="s">
        <v>149</v>
      </c>
      <c r="C3113" s="92" t="s">
        <v>386</v>
      </c>
      <c r="D3113" s="33" t="s">
        <v>410</v>
      </c>
      <c r="E3113" s="34">
        <v>45747</v>
      </c>
      <c r="F3113" s="34">
        <v>45748</v>
      </c>
      <c r="G3113" s="34">
        <v>45751</v>
      </c>
      <c r="H3113" s="35">
        <v>5.2499999999999998E-2</v>
      </c>
      <c r="I3113" s="67">
        <v>7.2300000000000003E-2</v>
      </c>
      <c r="J3113" s="67">
        <v>0</v>
      </c>
      <c r="K3113" s="67">
        <v>7.2300000000000003E-2</v>
      </c>
      <c r="L3113" s="36">
        <f>+K3113-((K3113*0.0283*0.125)+(K3113*(1-0.0283)*0.26))</f>
        <v>5.3778222149999999E-2</v>
      </c>
      <c r="M3113" s="64">
        <f t="shared" si="90"/>
        <v>5.3778222149999999E-2</v>
      </c>
      <c r="N3113" s="33" t="s">
        <v>248</v>
      </c>
    </row>
    <row r="3114" spans="1:14" ht="15">
      <c r="A3114" s="12"/>
      <c r="B3114" s="33" t="s">
        <v>165</v>
      </c>
      <c r="C3114" s="92" t="s">
        <v>387</v>
      </c>
      <c r="D3114" s="33" t="s">
        <v>410</v>
      </c>
      <c r="E3114" s="34">
        <v>45747</v>
      </c>
      <c r="F3114" s="34">
        <v>45748</v>
      </c>
      <c r="G3114" s="34">
        <v>45751</v>
      </c>
      <c r="H3114" s="35">
        <v>5.2499999999999998E-2</v>
      </c>
      <c r="I3114" s="67">
        <v>6.6299999999999998E-2</v>
      </c>
      <c r="J3114" s="67">
        <v>0</v>
      </c>
      <c r="K3114" s="67">
        <v>6.6299999999999998E-2</v>
      </c>
      <c r="L3114" s="36">
        <f>+K3114-((K3114*0.0283*0.125)+(K3114*(1-0.0283)*0.26))</f>
        <v>4.9315299149999998E-2</v>
      </c>
      <c r="M3114" s="64">
        <f t="shared" si="90"/>
        <v>4.9315299149999998E-2</v>
      </c>
      <c r="N3114" s="33" t="s">
        <v>248</v>
      </c>
    </row>
    <row r="3115" spans="1:14" ht="15">
      <c r="A3115" s="12"/>
      <c r="B3115" s="33" t="s">
        <v>153</v>
      </c>
      <c r="C3115" s="92" t="s">
        <v>873</v>
      </c>
      <c r="D3115" s="33" t="s">
        <v>410</v>
      </c>
      <c r="E3115" s="34">
        <v>45747</v>
      </c>
      <c r="F3115" s="34">
        <v>45748</v>
      </c>
      <c r="G3115" s="34">
        <v>45751</v>
      </c>
      <c r="H3115" s="35">
        <v>4.8750000000000002E-2</v>
      </c>
      <c r="I3115" s="67">
        <v>4.7800000000000002E-2</v>
      </c>
      <c r="J3115" s="67">
        <v>0</v>
      </c>
      <c r="K3115" s="67">
        <v>4.7800000000000002E-2</v>
      </c>
      <c r="L3115" s="36">
        <f>+K3115-((K3115*0.2266*0.125)+(K3115*(1-0.2266)*0.26))</f>
        <v>3.6834249800000003E-2</v>
      </c>
      <c r="M3115" s="64">
        <f t="shared" si="90"/>
        <v>3.6834249800000003E-2</v>
      </c>
      <c r="N3115" s="33" t="s">
        <v>248</v>
      </c>
    </row>
    <row r="3116" spans="1:14" ht="15">
      <c r="A3116" s="12"/>
      <c r="B3116" s="33" t="s">
        <v>152</v>
      </c>
      <c r="C3116" s="92" t="s">
        <v>874</v>
      </c>
      <c r="D3116" s="33" t="s">
        <v>410</v>
      </c>
      <c r="E3116" s="34">
        <v>45747</v>
      </c>
      <c r="F3116" s="34">
        <v>45748</v>
      </c>
      <c r="G3116" s="34">
        <v>45751</v>
      </c>
      <c r="H3116" s="35">
        <v>4.8750000000000002E-2</v>
      </c>
      <c r="I3116" s="67">
        <v>7.6499999999999999E-2</v>
      </c>
      <c r="J3116" s="67">
        <v>0</v>
      </c>
      <c r="K3116" s="67">
        <v>7.6499999999999999E-2</v>
      </c>
      <c r="L3116" s="36">
        <f>+K3116-((K3116*0.2266*0.125)+(K3116*(1-0.2266)*0.26))</f>
        <v>5.8950211500000002E-2</v>
      </c>
      <c r="M3116" s="64">
        <f t="shared" si="90"/>
        <v>5.8950211500000002E-2</v>
      </c>
      <c r="N3116" s="33" t="s">
        <v>248</v>
      </c>
    </row>
    <row r="3117" spans="1:14" ht="15">
      <c r="A3117" s="12"/>
      <c r="B3117" s="33" t="s">
        <v>167</v>
      </c>
      <c r="C3117" s="92" t="s">
        <v>875</v>
      </c>
      <c r="D3117" s="33" t="s">
        <v>410</v>
      </c>
      <c r="E3117" s="34">
        <v>45747</v>
      </c>
      <c r="F3117" s="34">
        <v>45748</v>
      </c>
      <c r="G3117" s="34">
        <v>45751</v>
      </c>
      <c r="H3117" s="35">
        <v>4.8750000000000002E-2</v>
      </c>
      <c r="I3117" s="67">
        <v>7.17E-2</v>
      </c>
      <c r="J3117" s="67">
        <v>0</v>
      </c>
      <c r="K3117" s="67">
        <v>7.17E-2</v>
      </c>
      <c r="L3117" s="36">
        <f>+K3117-((K3117*0.2266*0.125)+(K3117*(1-0.2266)*0.26))</f>
        <v>5.5251374699999994E-2</v>
      </c>
      <c r="M3117" s="64">
        <f t="shared" si="90"/>
        <v>5.5251374699999994E-2</v>
      </c>
      <c r="N3117" s="33" t="s">
        <v>248</v>
      </c>
    </row>
    <row r="3118" spans="1:14" ht="15">
      <c r="A3118" s="12"/>
      <c r="B3118" s="33" t="s">
        <v>301</v>
      </c>
      <c r="C3118" s="92" t="s">
        <v>876</v>
      </c>
      <c r="D3118" s="33" t="s">
        <v>410</v>
      </c>
      <c r="E3118" s="34">
        <v>45747</v>
      </c>
      <c r="F3118" s="34">
        <v>45748</v>
      </c>
      <c r="G3118" s="34">
        <v>45751</v>
      </c>
      <c r="H3118" s="35">
        <v>4.8750000000000002E-2</v>
      </c>
      <c r="I3118" s="67">
        <v>5.6899999999999999E-2</v>
      </c>
      <c r="J3118" s="67">
        <v>0</v>
      </c>
      <c r="K3118" s="67">
        <v>5.6899999999999999E-2</v>
      </c>
      <c r="L3118" s="36">
        <f>+K3118-((K3118*0.2266*0.125)+(K3118*(1-0.2266)*0.26))</f>
        <v>4.3846627900000004E-2</v>
      </c>
      <c r="M3118" s="64">
        <f t="shared" si="90"/>
        <v>4.3846627900000004E-2</v>
      </c>
      <c r="N3118" s="33" t="s">
        <v>248</v>
      </c>
    </row>
    <row r="3119" spans="1:14" ht="15">
      <c r="A3119" s="12"/>
      <c r="B3119" s="33" t="s">
        <v>304</v>
      </c>
      <c r="C3119" s="92" t="s">
        <v>885</v>
      </c>
      <c r="D3119" s="33" t="s">
        <v>410</v>
      </c>
      <c r="E3119" s="34">
        <v>45747</v>
      </c>
      <c r="F3119" s="34">
        <v>45748</v>
      </c>
      <c r="G3119" s="34">
        <v>45751</v>
      </c>
      <c r="H3119" s="35">
        <v>4.1250000000000002E-2</v>
      </c>
      <c r="I3119" s="67">
        <v>3.9100000000000003E-2</v>
      </c>
      <c r="J3119" s="67">
        <v>0</v>
      </c>
      <c r="K3119" s="67">
        <v>3.9100000000000003E-2</v>
      </c>
      <c r="L3119" s="36">
        <f>+K3119-((K3119*0.3093*0.125)+(K3119*(1-0.3093)*0.26))</f>
        <v>3.0566640050000003E-2</v>
      </c>
      <c r="M3119" s="64">
        <f t="shared" si="90"/>
        <v>3.0566640050000003E-2</v>
      </c>
      <c r="N3119" s="33" t="s">
        <v>248</v>
      </c>
    </row>
    <row r="3120" spans="1:14" ht="15">
      <c r="A3120" s="12"/>
      <c r="B3120" s="33" t="s">
        <v>183</v>
      </c>
      <c r="C3120" s="92" t="s">
        <v>886</v>
      </c>
      <c r="D3120" s="33" t="s">
        <v>410</v>
      </c>
      <c r="E3120" s="34">
        <v>45747</v>
      </c>
      <c r="F3120" s="34">
        <v>45748</v>
      </c>
      <c r="G3120" s="34">
        <v>45751</v>
      </c>
      <c r="H3120" s="35">
        <v>4.1250000000000002E-2</v>
      </c>
      <c r="I3120" s="67">
        <v>3.9E-2</v>
      </c>
      <c r="J3120" s="67">
        <v>0</v>
      </c>
      <c r="K3120" s="67">
        <v>3.9E-2</v>
      </c>
      <c r="L3120" s="36">
        <f>+K3120-((K3120*0.3093*0.125)+(K3120*(1-0.3093)*0.26))</f>
        <v>3.04884645E-2</v>
      </c>
      <c r="M3120" s="64">
        <f t="shared" si="90"/>
        <v>3.04884645E-2</v>
      </c>
      <c r="N3120" s="33" t="s">
        <v>248</v>
      </c>
    </row>
    <row r="3121" spans="1:14" ht="15">
      <c r="A3121" s="12"/>
      <c r="B3121" s="33" t="s">
        <v>305</v>
      </c>
      <c r="C3121" s="92" t="s">
        <v>887</v>
      </c>
      <c r="D3121" s="33" t="s">
        <v>410</v>
      </c>
      <c r="E3121" s="34">
        <v>45747</v>
      </c>
      <c r="F3121" s="34">
        <v>45748</v>
      </c>
      <c r="G3121" s="34">
        <v>45751</v>
      </c>
      <c r="H3121" s="35">
        <v>4.1250000000000002E-2</v>
      </c>
      <c r="I3121" s="67">
        <v>3.9899999999999998E-2</v>
      </c>
      <c r="J3121" s="67">
        <v>0</v>
      </c>
      <c r="K3121" s="67">
        <v>3.9899999999999998E-2</v>
      </c>
      <c r="L3121" s="36">
        <f>+K3121-((K3121*0.3093*0.125)+(K3121*(1-0.3093)*0.26))</f>
        <v>3.1192044449999998E-2</v>
      </c>
      <c r="M3121" s="64">
        <f t="shared" si="90"/>
        <v>3.1192044449999998E-2</v>
      </c>
      <c r="N3121" s="33" t="s">
        <v>248</v>
      </c>
    </row>
    <row r="3122" spans="1:14" ht="15">
      <c r="A3122" s="12"/>
      <c r="B3122" s="33" t="s">
        <v>147</v>
      </c>
      <c r="C3122" s="92" t="s">
        <v>466</v>
      </c>
      <c r="D3122" s="33" t="s">
        <v>410</v>
      </c>
      <c r="E3122" s="34">
        <v>45747</v>
      </c>
      <c r="F3122" s="34">
        <v>45748</v>
      </c>
      <c r="G3122" s="34">
        <v>45751</v>
      </c>
      <c r="H3122" s="35">
        <v>0.05</v>
      </c>
      <c r="I3122" s="67">
        <v>6.1400000000000003E-2</v>
      </c>
      <c r="J3122" s="67">
        <v>0</v>
      </c>
      <c r="K3122" s="67">
        <v>6.1400000000000003E-2</v>
      </c>
      <c r="L3122" s="36">
        <f>+K3122-((K3122*0.0728*0.125)+(K3122*(1-0.0728)*0.26))</f>
        <v>4.6039439200000004E-2</v>
      </c>
      <c r="M3122" s="64">
        <f t="shared" si="90"/>
        <v>4.6039439200000004E-2</v>
      </c>
      <c r="N3122" s="33" t="s">
        <v>248</v>
      </c>
    </row>
    <row r="3123" spans="1:14" ht="15">
      <c r="A3123" s="12"/>
      <c r="B3123" s="33" t="s">
        <v>164</v>
      </c>
      <c r="C3123" s="92" t="s">
        <v>467</v>
      </c>
      <c r="D3123" s="33" t="s">
        <v>410</v>
      </c>
      <c r="E3123" s="34">
        <v>45747</v>
      </c>
      <c r="F3123" s="34">
        <v>45748</v>
      </c>
      <c r="G3123" s="34">
        <v>45751</v>
      </c>
      <c r="H3123" s="35">
        <v>0.05</v>
      </c>
      <c r="I3123" s="67">
        <v>5.6599999999999998E-2</v>
      </c>
      <c r="J3123" s="67">
        <v>0</v>
      </c>
      <c r="K3123" s="67">
        <v>5.6599999999999998E-2</v>
      </c>
      <c r="L3123" s="36">
        <f>+K3123-((K3123*0.0728*0.125)+(K3123*(1-0.0728)*0.26))</f>
        <v>4.2440264799999995E-2</v>
      </c>
      <c r="M3123" s="64">
        <f t="shared" si="90"/>
        <v>4.2440264799999995E-2</v>
      </c>
      <c r="N3123" s="33" t="s">
        <v>248</v>
      </c>
    </row>
    <row r="3124" spans="1:14" ht="15">
      <c r="A3124" s="12"/>
      <c r="B3124" s="33" t="s">
        <v>132</v>
      </c>
      <c r="C3124" s="92" t="s">
        <v>358</v>
      </c>
      <c r="D3124" s="33" t="s">
        <v>410</v>
      </c>
      <c r="E3124" s="34">
        <v>45771</v>
      </c>
      <c r="F3124" s="34">
        <v>45772</v>
      </c>
      <c r="G3124" s="34">
        <v>45777</v>
      </c>
      <c r="H3124" s="35">
        <v>0.04</v>
      </c>
      <c r="I3124" s="67">
        <v>4.4299999999999999E-2</v>
      </c>
      <c r="J3124" s="67">
        <v>0</v>
      </c>
      <c r="K3124" s="67">
        <v>4.4299999999999999E-2</v>
      </c>
      <c r="L3124" s="36">
        <f>+K3124-((K3124*0.2675*0.125)+(K3124*(1-0.2675)*0.26))</f>
        <v>3.4381783749999999E-2</v>
      </c>
      <c r="M3124" s="64">
        <f t="shared" si="90"/>
        <v>3.4381783749999999E-2</v>
      </c>
      <c r="N3124" s="33" t="s">
        <v>249</v>
      </c>
    </row>
    <row r="3125" spans="1:14" ht="15">
      <c r="A3125" s="12"/>
      <c r="B3125" s="33" t="s">
        <v>227</v>
      </c>
      <c r="C3125" s="92" t="s">
        <v>359</v>
      </c>
      <c r="D3125" s="33" t="s">
        <v>410</v>
      </c>
      <c r="E3125" s="34">
        <v>45771</v>
      </c>
      <c r="F3125" s="34">
        <v>45772</v>
      </c>
      <c r="G3125" s="34">
        <v>45777</v>
      </c>
      <c r="H3125" s="35">
        <v>0.04</v>
      </c>
      <c r="I3125" s="67">
        <v>4.36E-2</v>
      </c>
      <c r="J3125" s="67">
        <v>0</v>
      </c>
      <c r="K3125" s="67">
        <v>4.36E-2</v>
      </c>
      <c r="L3125" s="36">
        <f>+K3125-((K3125*0.2675*0.125)+(K3125*(1-0.2675)*0.26))</f>
        <v>3.3838504999999998E-2</v>
      </c>
      <c r="M3125" s="64">
        <f t="shared" si="90"/>
        <v>3.3838504999999998E-2</v>
      </c>
      <c r="N3125" s="33" t="s">
        <v>249</v>
      </c>
    </row>
    <row r="3126" spans="1:14" ht="15">
      <c r="A3126" s="12"/>
      <c r="B3126" s="33" t="s">
        <v>133</v>
      </c>
      <c r="C3126" s="92" t="s">
        <v>857</v>
      </c>
      <c r="D3126" s="33" t="s">
        <v>410</v>
      </c>
      <c r="E3126" s="34">
        <v>45771</v>
      </c>
      <c r="F3126" s="34">
        <v>45772</v>
      </c>
      <c r="G3126" s="34">
        <v>45777</v>
      </c>
      <c r="H3126" s="35">
        <v>3.2500000000000001E-2</v>
      </c>
      <c r="I3126" s="67">
        <v>4.87E-2</v>
      </c>
      <c r="J3126" s="67">
        <v>1.7749290000000001E-2</v>
      </c>
      <c r="K3126" s="67">
        <v>3.0950709999999999E-2</v>
      </c>
      <c r="L3126" s="36">
        <f>+K3126-((K3126*0.0017*0.125)+(K3126*(1-0.0017)*0.26))</f>
        <v>2.2910628587945001E-2</v>
      </c>
      <c r="M3126" s="64">
        <f t="shared" si="90"/>
        <v>4.0659918587945001E-2</v>
      </c>
      <c r="N3126" s="33" t="s">
        <v>249</v>
      </c>
    </row>
    <row r="3127" spans="1:14" ht="15">
      <c r="A3127" s="12"/>
      <c r="B3127" s="33" t="s">
        <v>134</v>
      </c>
      <c r="C3127" s="92" t="s">
        <v>374</v>
      </c>
      <c r="D3127" s="33" t="s">
        <v>410</v>
      </c>
      <c r="E3127" s="34">
        <v>45771</v>
      </c>
      <c r="F3127" s="34">
        <v>45772</v>
      </c>
      <c r="G3127" s="34">
        <v>45777</v>
      </c>
      <c r="H3127" s="35">
        <v>5.5E-2</v>
      </c>
      <c r="I3127" s="67">
        <v>7.1800000000000003E-2</v>
      </c>
      <c r="J3127" s="67">
        <v>0</v>
      </c>
      <c r="K3127" s="67">
        <v>7.1800000000000003E-2</v>
      </c>
      <c r="L3127" s="36">
        <f>+K3127-((K3127*0.2224*0.125)+(K3127*(1-0.2224)*0.26))</f>
        <v>5.52877232E-2</v>
      </c>
      <c r="M3127" s="64">
        <f t="shared" si="90"/>
        <v>5.52877232E-2</v>
      </c>
      <c r="N3127" s="33" t="s">
        <v>249</v>
      </c>
    </row>
    <row r="3128" spans="1:14" ht="15">
      <c r="A3128" s="12"/>
      <c r="B3128" s="33" t="s">
        <v>168</v>
      </c>
      <c r="C3128" s="92" t="s">
        <v>376</v>
      </c>
      <c r="D3128" s="33" t="s">
        <v>410</v>
      </c>
      <c r="E3128" s="34">
        <v>45771</v>
      </c>
      <c r="F3128" s="34">
        <v>45772</v>
      </c>
      <c r="G3128" s="34">
        <v>45777</v>
      </c>
      <c r="H3128" s="35">
        <v>5.5E-2</v>
      </c>
      <c r="I3128" s="67">
        <v>5.16E-2</v>
      </c>
      <c r="J3128" s="67">
        <v>0</v>
      </c>
      <c r="K3128" s="67">
        <v>5.16E-2</v>
      </c>
      <c r="L3128" s="36">
        <f>+K3128-((K3128*0.2224*0.125)+(K3128*(1-0.2224)*0.26))</f>
        <v>3.9733238399999996E-2</v>
      </c>
      <c r="M3128" s="64">
        <f t="shared" si="90"/>
        <v>3.9733238399999996E-2</v>
      </c>
      <c r="N3128" s="33" t="s">
        <v>249</v>
      </c>
    </row>
    <row r="3129" spans="1:14" ht="15">
      <c r="A3129" s="12"/>
      <c r="B3129" s="33" t="s">
        <v>136</v>
      </c>
      <c r="C3129" s="92" t="s">
        <v>867</v>
      </c>
      <c r="D3129" s="33" t="s">
        <v>410</v>
      </c>
      <c r="E3129" s="34">
        <v>45771</v>
      </c>
      <c r="F3129" s="34">
        <v>45772</v>
      </c>
      <c r="G3129" s="34">
        <v>45777</v>
      </c>
      <c r="H3129" s="35">
        <v>4.7500000000000001E-2</v>
      </c>
      <c r="I3129" s="67">
        <v>5.6899999999999999E-2</v>
      </c>
      <c r="J3129" s="67">
        <v>0</v>
      </c>
      <c r="K3129" s="67">
        <v>5.6899999999999999E-2</v>
      </c>
      <c r="L3129" s="36">
        <f t="shared" ref="L3129:L3134" si="91">+K3129-((K3129*0.0624*0.125)+(K3129*(1-0.0624)*0.26))</f>
        <v>4.2585325600000001E-2</v>
      </c>
      <c r="M3129" s="64">
        <f t="shared" ref="M3129:M3192" si="92">J3129+L3129</f>
        <v>4.2585325600000001E-2</v>
      </c>
      <c r="N3129" s="33" t="s">
        <v>249</v>
      </c>
    </row>
    <row r="3130" spans="1:14" ht="15">
      <c r="A3130" s="12"/>
      <c r="B3130" s="33" t="s">
        <v>137</v>
      </c>
      <c r="C3130" s="92" t="s">
        <v>868</v>
      </c>
      <c r="D3130" s="33" t="s">
        <v>410</v>
      </c>
      <c r="E3130" s="34">
        <v>45771</v>
      </c>
      <c r="F3130" s="34">
        <v>45772</v>
      </c>
      <c r="G3130" s="34">
        <v>45777</v>
      </c>
      <c r="H3130" s="35">
        <v>4.7500000000000001E-2</v>
      </c>
      <c r="I3130" s="67">
        <v>6.4100000000000004E-2</v>
      </c>
      <c r="J3130" s="67">
        <v>0</v>
      </c>
      <c r="K3130" s="67">
        <v>6.4100000000000004E-2</v>
      </c>
      <c r="L3130" s="36">
        <f t="shared" si="91"/>
        <v>4.7973978400000006E-2</v>
      </c>
      <c r="M3130" s="64">
        <f t="shared" si="92"/>
        <v>4.7973978400000006E-2</v>
      </c>
      <c r="N3130" s="33" t="s">
        <v>249</v>
      </c>
    </row>
    <row r="3131" spans="1:14" ht="15">
      <c r="A3131" s="12"/>
      <c r="B3131" s="33" t="s">
        <v>135</v>
      </c>
      <c r="C3131" s="92" t="s">
        <v>869</v>
      </c>
      <c r="D3131" s="33" t="s">
        <v>410</v>
      </c>
      <c r="E3131" s="34">
        <v>45771</v>
      </c>
      <c r="F3131" s="34">
        <v>45772</v>
      </c>
      <c r="G3131" s="34">
        <v>45777</v>
      </c>
      <c r="H3131" s="35">
        <v>4.7500000000000001E-2</v>
      </c>
      <c r="I3131" s="67">
        <v>6.5500000000000003E-2</v>
      </c>
      <c r="J3131" s="67">
        <v>0</v>
      </c>
      <c r="K3131" s="67">
        <v>6.5500000000000003E-2</v>
      </c>
      <c r="L3131" s="36">
        <f t="shared" si="91"/>
        <v>4.9021771999999998E-2</v>
      </c>
      <c r="M3131" s="64">
        <f t="shared" si="92"/>
        <v>4.9021771999999998E-2</v>
      </c>
      <c r="N3131" s="33" t="s">
        <v>249</v>
      </c>
    </row>
    <row r="3132" spans="1:14" ht="15">
      <c r="A3132" s="12"/>
      <c r="B3132" s="33" t="s">
        <v>170</v>
      </c>
      <c r="C3132" s="92" t="s">
        <v>870</v>
      </c>
      <c r="D3132" s="33" t="s">
        <v>410</v>
      </c>
      <c r="E3132" s="34">
        <v>45771</v>
      </c>
      <c r="F3132" s="34">
        <v>45772</v>
      </c>
      <c r="G3132" s="34">
        <v>45777</v>
      </c>
      <c r="H3132" s="35">
        <v>4.7500000000000001E-2</v>
      </c>
      <c r="I3132" s="67">
        <v>5.5100000000000003E-2</v>
      </c>
      <c r="J3132" s="67">
        <v>0</v>
      </c>
      <c r="K3132" s="67">
        <v>5.5100000000000003E-2</v>
      </c>
      <c r="L3132" s="36">
        <f t="shared" si="91"/>
        <v>4.12381624E-2</v>
      </c>
      <c r="M3132" s="64">
        <f t="shared" si="92"/>
        <v>4.12381624E-2</v>
      </c>
      <c r="N3132" s="33" t="s">
        <v>249</v>
      </c>
    </row>
    <row r="3133" spans="1:14" ht="15">
      <c r="A3133" s="12"/>
      <c r="B3133" s="33" t="s">
        <v>171</v>
      </c>
      <c r="C3133" s="92" t="s">
        <v>871</v>
      </c>
      <c r="D3133" s="33" t="s">
        <v>410</v>
      </c>
      <c r="E3133" s="34">
        <v>45771</v>
      </c>
      <c r="F3133" s="34">
        <v>45772</v>
      </c>
      <c r="G3133" s="34">
        <v>45777</v>
      </c>
      <c r="H3133" s="35">
        <v>4.7500000000000001E-2</v>
      </c>
      <c r="I3133" s="67">
        <v>6.1400000000000003E-2</v>
      </c>
      <c r="J3133" s="67">
        <v>0</v>
      </c>
      <c r="K3133" s="67">
        <v>6.1400000000000003E-2</v>
      </c>
      <c r="L3133" s="36">
        <f t="shared" si="91"/>
        <v>4.5953233600000004E-2</v>
      </c>
      <c r="M3133" s="64">
        <f t="shared" si="92"/>
        <v>4.5953233600000004E-2</v>
      </c>
      <c r="N3133" s="33" t="s">
        <v>249</v>
      </c>
    </row>
    <row r="3134" spans="1:14" ht="15">
      <c r="A3134" s="12"/>
      <c r="B3134" s="33" t="s">
        <v>172</v>
      </c>
      <c r="C3134" s="92" t="s">
        <v>872</v>
      </c>
      <c r="D3134" s="33" t="s">
        <v>410</v>
      </c>
      <c r="E3134" s="34">
        <v>45771</v>
      </c>
      <c r="F3134" s="34">
        <v>45772</v>
      </c>
      <c r="G3134" s="34">
        <v>45777</v>
      </c>
      <c r="H3134" s="35">
        <v>4.7500000000000001E-2</v>
      </c>
      <c r="I3134" s="67">
        <v>6.3200000000000006E-2</v>
      </c>
      <c r="J3134" s="67">
        <v>0</v>
      </c>
      <c r="K3134" s="67">
        <v>6.3200000000000006E-2</v>
      </c>
      <c r="L3134" s="36">
        <f t="shared" si="91"/>
        <v>4.7300396800000005E-2</v>
      </c>
      <c r="M3134" s="64">
        <f t="shared" si="92"/>
        <v>4.7300396800000005E-2</v>
      </c>
      <c r="N3134" s="33" t="s">
        <v>249</v>
      </c>
    </row>
    <row r="3135" spans="1:14" ht="15">
      <c r="A3135" s="12"/>
      <c r="B3135" s="33" t="s">
        <v>169</v>
      </c>
      <c r="C3135" s="92" t="s">
        <v>400</v>
      </c>
      <c r="D3135" s="33" t="s">
        <v>410</v>
      </c>
      <c r="E3135" s="34">
        <v>45771</v>
      </c>
      <c r="F3135" s="34">
        <v>45772</v>
      </c>
      <c r="G3135" s="34">
        <v>45777</v>
      </c>
      <c r="H3135" s="35">
        <v>6.5000000000000002E-2</v>
      </c>
      <c r="I3135" s="67">
        <v>5.4300000000000001E-2</v>
      </c>
      <c r="J3135" s="67">
        <v>0</v>
      </c>
      <c r="K3135" s="67">
        <v>5.4300000000000001E-2</v>
      </c>
      <c r="L3135" s="36">
        <f>+K3135-((K3135*0.1102*0.125)+(K3135*(1-0.1102)*0.26))</f>
        <v>4.0989821100000004E-2</v>
      </c>
      <c r="M3135" s="64">
        <f t="shared" si="92"/>
        <v>4.0989821100000004E-2</v>
      </c>
      <c r="N3135" s="33" t="s">
        <v>249</v>
      </c>
    </row>
    <row r="3136" spans="1:14" ht="15">
      <c r="A3136" s="12"/>
      <c r="B3136" s="33" t="s">
        <v>310</v>
      </c>
      <c r="C3136" s="92" t="s">
        <v>719</v>
      </c>
      <c r="D3136" s="33" t="s">
        <v>411</v>
      </c>
      <c r="E3136" s="34">
        <v>45777</v>
      </c>
      <c r="F3136" s="34">
        <v>45779</v>
      </c>
      <c r="G3136" s="34">
        <v>45784</v>
      </c>
      <c r="H3136" s="35">
        <v>0.05</v>
      </c>
      <c r="I3136" s="67">
        <v>1.44E-2</v>
      </c>
      <c r="J3136" s="67">
        <v>0</v>
      </c>
      <c r="K3136" s="67">
        <v>1.44E-2</v>
      </c>
      <c r="L3136" s="36">
        <f>+K3136-((K3136*0.037*0.125)+(K3136*(1-0.037)*0.26))</f>
        <v>1.0727927999999999E-2</v>
      </c>
      <c r="M3136" s="64">
        <f t="shared" si="92"/>
        <v>1.0727927999999999E-2</v>
      </c>
      <c r="N3136" s="33" t="s">
        <v>718</v>
      </c>
    </row>
    <row r="3137" spans="1:14" ht="15">
      <c r="A3137" s="12"/>
      <c r="B3137" s="33" t="s">
        <v>188</v>
      </c>
      <c r="C3137" s="92" t="s">
        <v>720</v>
      </c>
      <c r="D3137" s="33" t="s">
        <v>411</v>
      </c>
      <c r="E3137" s="34">
        <v>45777</v>
      </c>
      <c r="F3137" s="34">
        <v>45779</v>
      </c>
      <c r="G3137" s="34">
        <v>45784</v>
      </c>
      <c r="H3137" s="35">
        <v>0.05</v>
      </c>
      <c r="I3137" s="67">
        <v>0.24979999999999999</v>
      </c>
      <c r="J3137" s="67">
        <v>0</v>
      </c>
      <c r="K3137" s="67">
        <v>0.24979999999999999</v>
      </c>
      <c r="L3137" s="36">
        <f>+K3137-((K3137*0.037*0.125)+(K3137*(1-0.037)*0.26))</f>
        <v>0.18609975099999998</v>
      </c>
      <c r="M3137" s="64">
        <f t="shared" si="92"/>
        <v>0.18609975099999998</v>
      </c>
      <c r="N3137" s="33" t="s">
        <v>718</v>
      </c>
    </row>
    <row r="3138" spans="1:14" ht="15">
      <c r="A3138" s="12"/>
      <c r="B3138" s="33" t="s">
        <v>196</v>
      </c>
      <c r="C3138" s="92" t="s">
        <v>721</v>
      </c>
      <c r="D3138" s="33" t="s">
        <v>411</v>
      </c>
      <c r="E3138" s="34">
        <v>45777</v>
      </c>
      <c r="F3138" s="34">
        <v>45779</v>
      </c>
      <c r="G3138" s="34">
        <v>45784</v>
      </c>
      <c r="H3138" s="35">
        <v>0.05</v>
      </c>
      <c r="I3138" s="67">
        <v>0.26519999999999999</v>
      </c>
      <c r="J3138" s="67">
        <v>0</v>
      </c>
      <c r="K3138" s="67">
        <v>0.26519999999999999</v>
      </c>
      <c r="L3138" s="36">
        <f>+K3138-((K3138*0.037*0.125)+(K3138*(1-0.037)*0.26))</f>
        <v>0.197572674</v>
      </c>
      <c r="M3138" s="64">
        <f t="shared" si="92"/>
        <v>0.197572674</v>
      </c>
      <c r="N3138" s="33" t="s">
        <v>718</v>
      </c>
    </row>
    <row r="3139" spans="1:14" ht="15">
      <c r="A3139" s="12"/>
      <c r="B3139" s="33" t="s">
        <v>191</v>
      </c>
      <c r="C3139" s="92" t="s">
        <v>722</v>
      </c>
      <c r="D3139" s="33" t="s">
        <v>411</v>
      </c>
      <c r="E3139" s="34">
        <v>45777</v>
      </c>
      <c r="F3139" s="34">
        <v>45779</v>
      </c>
      <c r="G3139" s="34">
        <v>45784</v>
      </c>
      <c r="H3139" s="35">
        <v>0.05</v>
      </c>
      <c r="I3139" s="67">
        <v>1.37E-2</v>
      </c>
      <c r="J3139" s="67">
        <v>0</v>
      </c>
      <c r="K3139" s="67">
        <v>1.37E-2</v>
      </c>
      <c r="L3139" s="36">
        <f>+K3139-((K3139*0.8462*0.125)+(K3139*(1-0.8462)*0.26))</f>
        <v>1.17030469E-2</v>
      </c>
      <c r="M3139" s="64">
        <f t="shared" si="92"/>
        <v>1.17030469E-2</v>
      </c>
      <c r="N3139" s="33" t="s">
        <v>718</v>
      </c>
    </row>
    <row r="3140" spans="1:14" ht="15">
      <c r="A3140" s="12"/>
      <c r="B3140" s="33" t="s">
        <v>199</v>
      </c>
      <c r="C3140" s="92" t="s">
        <v>723</v>
      </c>
      <c r="D3140" s="33" t="s">
        <v>411</v>
      </c>
      <c r="E3140" s="34">
        <v>45777</v>
      </c>
      <c r="F3140" s="34">
        <v>45779</v>
      </c>
      <c r="G3140" s="34">
        <v>45784</v>
      </c>
      <c r="H3140" s="35">
        <v>0.05</v>
      </c>
      <c r="I3140" s="67">
        <v>1.38E-2</v>
      </c>
      <c r="J3140" s="67">
        <v>0</v>
      </c>
      <c r="K3140" s="67">
        <v>1.38E-2</v>
      </c>
      <c r="L3140" s="36">
        <f>+K3140-((K3140*0.8462*0.125)+(K3140*(1-0.8462)*0.26))</f>
        <v>1.17884706E-2</v>
      </c>
      <c r="M3140" s="64">
        <f t="shared" si="92"/>
        <v>1.17884706E-2</v>
      </c>
      <c r="N3140" s="33" t="s">
        <v>718</v>
      </c>
    </row>
    <row r="3141" spans="1:14" ht="15">
      <c r="A3141" s="12"/>
      <c r="B3141" s="33" t="s">
        <v>306</v>
      </c>
      <c r="C3141" s="92" t="s">
        <v>724</v>
      </c>
      <c r="D3141" s="33" t="s">
        <v>411</v>
      </c>
      <c r="E3141" s="34">
        <v>45777</v>
      </c>
      <c r="F3141" s="34">
        <v>45779</v>
      </c>
      <c r="G3141" s="34">
        <v>45784</v>
      </c>
      <c r="H3141" s="35">
        <v>0.04</v>
      </c>
      <c r="I3141" s="67">
        <v>1.4200000000000001E-2</v>
      </c>
      <c r="J3141" s="67">
        <v>0</v>
      </c>
      <c r="K3141" s="67">
        <v>1.4200000000000001E-2</v>
      </c>
      <c r="L3141" s="36">
        <f>+K3141-((K3141*0.0008*0.125)+(K3141*(1-0.0008)*0.26))</f>
        <v>1.0509533600000001E-2</v>
      </c>
      <c r="M3141" s="64">
        <f t="shared" si="92"/>
        <v>1.0509533600000001E-2</v>
      </c>
      <c r="N3141" s="33" t="s">
        <v>718</v>
      </c>
    </row>
    <row r="3142" spans="1:14" ht="15">
      <c r="A3142" s="12"/>
      <c r="B3142" s="33" t="s">
        <v>184</v>
      </c>
      <c r="C3142" s="92" t="s">
        <v>725</v>
      </c>
      <c r="D3142" s="33" t="s">
        <v>411</v>
      </c>
      <c r="E3142" s="34">
        <v>45777</v>
      </c>
      <c r="F3142" s="34">
        <v>45779</v>
      </c>
      <c r="G3142" s="34">
        <v>45784</v>
      </c>
      <c r="H3142" s="35">
        <v>0.04</v>
      </c>
      <c r="I3142" s="67">
        <v>0.28399999999999997</v>
      </c>
      <c r="J3142" s="67">
        <v>0</v>
      </c>
      <c r="K3142" s="67">
        <v>0.28399999999999997</v>
      </c>
      <c r="L3142" s="36">
        <f>+K3142-((K3142*0.0008*0.125)+(K3142*(1-0.0008)*0.26))</f>
        <v>0.21019067199999997</v>
      </c>
      <c r="M3142" s="64">
        <f t="shared" si="92"/>
        <v>0.21019067199999997</v>
      </c>
      <c r="N3142" s="33" t="s">
        <v>718</v>
      </c>
    </row>
    <row r="3143" spans="1:14" ht="15">
      <c r="A3143" s="12"/>
      <c r="B3143" s="33" t="s">
        <v>192</v>
      </c>
      <c r="C3143" s="92" t="s">
        <v>726</v>
      </c>
      <c r="D3143" s="33" t="s">
        <v>411</v>
      </c>
      <c r="E3143" s="34">
        <v>45777</v>
      </c>
      <c r="F3143" s="34">
        <v>45779</v>
      </c>
      <c r="G3143" s="34">
        <v>45784</v>
      </c>
      <c r="H3143" s="35">
        <v>0.04</v>
      </c>
      <c r="I3143" s="67">
        <v>0.2923</v>
      </c>
      <c r="J3143" s="67">
        <v>0</v>
      </c>
      <c r="K3143" s="67">
        <v>0.2923</v>
      </c>
      <c r="L3143" s="36">
        <f>+K3143-((K3143*0.0008*0.125)+(K3143*(1-0.0008)*0.26))</f>
        <v>0.21633356840000001</v>
      </c>
      <c r="M3143" s="64">
        <f t="shared" si="92"/>
        <v>0.21633356840000001</v>
      </c>
      <c r="N3143" s="33" t="s">
        <v>718</v>
      </c>
    </row>
    <row r="3144" spans="1:14" ht="15">
      <c r="A3144" s="12"/>
      <c r="B3144" s="33" t="s">
        <v>311</v>
      </c>
      <c r="C3144" s="92" t="s">
        <v>727</v>
      </c>
      <c r="D3144" s="33" t="s">
        <v>411</v>
      </c>
      <c r="E3144" s="34">
        <v>45777</v>
      </c>
      <c r="F3144" s="34">
        <v>45779</v>
      </c>
      <c r="G3144" s="34">
        <v>45784</v>
      </c>
      <c r="H3144" s="35">
        <v>0.04</v>
      </c>
      <c r="I3144" s="67">
        <v>1.5299999999999999E-2</v>
      </c>
      <c r="J3144" s="67">
        <v>0</v>
      </c>
      <c r="K3144" s="67">
        <v>1.5299999999999999E-2</v>
      </c>
      <c r="L3144" s="36">
        <f>+K3144-((K3144*0.0106*0.125)+(K3144*(1-0.0106)*0.26))</f>
        <v>1.1343894300000001E-2</v>
      </c>
      <c r="M3144" s="64">
        <f t="shared" si="92"/>
        <v>1.1343894300000001E-2</v>
      </c>
      <c r="N3144" s="33" t="s">
        <v>718</v>
      </c>
    </row>
    <row r="3145" spans="1:14" ht="15">
      <c r="A3145" s="12"/>
      <c r="B3145" s="33" t="s">
        <v>189</v>
      </c>
      <c r="C3145" s="92" t="s">
        <v>728</v>
      </c>
      <c r="D3145" s="33" t="s">
        <v>411</v>
      </c>
      <c r="E3145" s="34">
        <v>45777</v>
      </c>
      <c r="F3145" s="34">
        <v>45779</v>
      </c>
      <c r="G3145" s="34">
        <v>45784</v>
      </c>
      <c r="H3145" s="35">
        <v>0.04</v>
      </c>
      <c r="I3145" s="67">
        <v>0.27929999999999999</v>
      </c>
      <c r="J3145" s="67">
        <v>0</v>
      </c>
      <c r="K3145" s="67">
        <v>0.27929999999999999</v>
      </c>
      <c r="L3145" s="36">
        <f>+K3145-((K3145*0.0106*0.125)+(K3145*(1-0.0106)*0.26))</f>
        <v>0.20708167829999999</v>
      </c>
      <c r="M3145" s="64">
        <f t="shared" si="92"/>
        <v>0.20708167829999999</v>
      </c>
      <c r="N3145" s="33" t="s">
        <v>718</v>
      </c>
    </row>
    <row r="3146" spans="1:14" ht="15">
      <c r="A3146" s="12"/>
      <c r="B3146" s="33" t="s">
        <v>197</v>
      </c>
      <c r="C3146" s="92" t="s">
        <v>729</v>
      </c>
      <c r="D3146" s="33" t="s">
        <v>411</v>
      </c>
      <c r="E3146" s="34">
        <v>45777</v>
      </c>
      <c r="F3146" s="34">
        <v>45779</v>
      </c>
      <c r="G3146" s="34">
        <v>45784</v>
      </c>
      <c r="H3146" s="35">
        <v>0.04</v>
      </c>
      <c r="I3146" s="67">
        <v>0.28970000000000001</v>
      </c>
      <c r="J3146" s="67">
        <v>0</v>
      </c>
      <c r="K3146" s="67">
        <v>0.28970000000000001</v>
      </c>
      <c r="L3146" s="36">
        <f>+K3146-((K3146*0.0106*0.125)+(K3146*(1-0.0106)*0.26))</f>
        <v>0.21479256070000002</v>
      </c>
      <c r="M3146" s="64">
        <f t="shared" si="92"/>
        <v>0.21479256070000002</v>
      </c>
      <c r="N3146" s="33" t="s">
        <v>718</v>
      </c>
    </row>
    <row r="3147" spans="1:14" ht="15">
      <c r="A3147" s="12"/>
      <c r="B3147" s="33" t="s">
        <v>308</v>
      </c>
      <c r="C3147" s="92" t="s">
        <v>730</v>
      </c>
      <c r="D3147" s="33" t="s">
        <v>411</v>
      </c>
      <c r="E3147" s="34">
        <v>45777</v>
      </c>
      <c r="F3147" s="34">
        <v>45779</v>
      </c>
      <c r="G3147" s="34">
        <v>45784</v>
      </c>
      <c r="H3147" s="35">
        <v>0.05</v>
      </c>
      <c r="I3147" s="67">
        <v>1.66E-2</v>
      </c>
      <c r="J3147" s="67">
        <v>0</v>
      </c>
      <c r="K3147" s="67">
        <v>1.66E-2</v>
      </c>
      <c r="L3147" s="36">
        <f>+K3147-((K3147*0.5205*0.125)+(K3147*(1-0.5205)*0.26))</f>
        <v>1.3450440500000001E-2</v>
      </c>
      <c r="M3147" s="64">
        <f t="shared" si="92"/>
        <v>1.3450440500000001E-2</v>
      </c>
      <c r="N3147" s="33" t="s">
        <v>718</v>
      </c>
    </row>
    <row r="3148" spans="1:14" ht="15">
      <c r="A3148" s="12"/>
      <c r="B3148" s="33" t="s">
        <v>186</v>
      </c>
      <c r="C3148" s="92" t="s">
        <v>731</v>
      </c>
      <c r="D3148" s="33" t="s">
        <v>411</v>
      </c>
      <c r="E3148" s="34">
        <v>45777</v>
      </c>
      <c r="F3148" s="34">
        <v>45779</v>
      </c>
      <c r="G3148" s="34">
        <v>45784</v>
      </c>
      <c r="H3148" s="35">
        <v>0.05</v>
      </c>
      <c r="I3148" s="67">
        <v>0.3024</v>
      </c>
      <c r="J3148" s="67">
        <v>0</v>
      </c>
      <c r="K3148" s="67">
        <v>0.3024</v>
      </c>
      <c r="L3148" s="36">
        <f>+K3148-((K3148*0.5205*0.125)+(K3148*(1-0.5205)*0.26))</f>
        <v>0.24502489199999999</v>
      </c>
      <c r="M3148" s="64">
        <f t="shared" si="92"/>
        <v>0.24502489199999999</v>
      </c>
      <c r="N3148" s="33" t="s">
        <v>718</v>
      </c>
    </row>
    <row r="3149" spans="1:14" ht="15">
      <c r="A3149" s="12"/>
      <c r="B3149" s="33" t="s">
        <v>194</v>
      </c>
      <c r="C3149" s="92" t="s">
        <v>732</v>
      </c>
      <c r="D3149" s="33" t="s">
        <v>411</v>
      </c>
      <c r="E3149" s="34">
        <v>45777</v>
      </c>
      <c r="F3149" s="34">
        <v>45779</v>
      </c>
      <c r="G3149" s="34">
        <v>45784</v>
      </c>
      <c r="H3149" s="35">
        <v>0.05</v>
      </c>
      <c r="I3149" s="67">
        <v>0.31569999999999998</v>
      </c>
      <c r="J3149" s="67">
        <v>0</v>
      </c>
      <c r="K3149" s="67">
        <v>0.31569999999999998</v>
      </c>
      <c r="L3149" s="36">
        <f>+K3149-((K3149*0.5205*0.125)+(K3149*(1-0.5205)*0.26))</f>
        <v>0.25580144974999997</v>
      </c>
      <c r="M3149" s="64">
        <f t="shared" si="92"/>
        <v>0.25580144974999997</v>
      </c>
      <c r="N3149" s="33" t="s">
        <v>718</v>
      </c>
    </row>
    <row r="3150" spans="1:14" ht="15">
      <c r="A3150" s="12"/>
      <c r="B3150" s="33" t="s">
        <v>307</v>
      </c>
      <c r="C3150" s="92" t="s">
        <v>983</v>
      </c>
      <c r="D3150" s="33" t="s">
        <v>411</v>
      </c>
      <c r="E3150" s="34">
        <v>45777</v>
      </c>
      <c r="F3150" s="34">
        <v>45779</v>
      </c>
      <c r="G3150" s="34">
        <v>45784</v>
      </c>
      <c r="H3150" s="35">
        <v>0.04</v>
      </c>
      <c r="I3150" s="67">
        <v>1.09E-2</v>
      </c>
      <c r="J3150" s="67">
        <v>0</v>
      </c>
      <c r="K3150" s="67">
        <v>1.09E-2</v>
      </c>
      <c r="L3150" s="36">
        <f>+K3150-((K3150*0.6549*0.125)+(K3150*(1-0.6549)*0.26))</f>
        <v>9.0296853500000003E-3</v>
      </c>
      <c r="M3150" s="64">
        <f t="shared" si="92"/>
        <v>9.0296853500000003E-3</v>
      </c>
      <c r="N3150" s="33" t="s">
        <v>718</v>
      </c>
    </row>
    <row r="3151" spans="1:14" ht="15">
      <c r="A3151" s="12"/>
      <c r="B3151" s="33" t="s">
        <v>185</v>
      </c>
      <c r="C3151" s="92" t="s">
        <v>985</v>
      </c>
      <c r="D3151" s="33" t="s">
        <v>411</v>
      </c>
      <c r="E3151" s="34">
        <v>45777</v>
      </c>
      <c r="F3151" s="34">
        <v>45779</v>
      </c>
      <c r="G3151" s="34">
        <v>45784</v>
      </c>
      <c r="H3151" s="35">
        <v>0.04</v>
      </c>
      <c r="I3151" s="67">
        <v>0.17910000000000001</v>
      </c>
      <c r="J3151" s="67">
        <v>0</v>
      </c>
      <c r="K3151" s="67">
        <v>0.17910000000000001</v>
      </c>
      <c r="L3151" s="36">
        <f>+K3151-((K3151*0.6549*0.125)+(K3151*(1-0.6549)*0.26))</f>
        <v>0.14836849965000001</v>
      </c>
      <c r="M3151" s="64">
        <f t="shared" si="92"/>
        <v>0.14836849965000001</v>
      </c>
      <c r="N3151" s="33" t="s">
        <v>718</v>
      </c>
    </row>
    <row r="3152" spans="1:14" ht="15">
      <c r="A3152" s="12"/>
      <c r="B3152" s="33" t="s">
        <v>193</v>
      </c>
      <c r="C3152" s="92" t="s">
        <v>984</v>
      </c>
      <c r="D3152" s="33" t="s">
        <v>411</v>
      </c>
      <c r="E3152" s="34">
        <v>45777</v>
      </c>
      <c r="F3152" s="34">
        <v>45779</v>
      </c>
      <c r="G3152" s="34">
        <v>45784</v>
      </c>
      <c r="H3152" s="35">
        <v>0.04</v>
      </c>
      <c r="I3152" s="67">
        <v>0.1789</v>
      </c>
      <c r="J3152" s="67">
        <v>0</v>
      </c>
      <c r="K3152" s="67">
        <v>0.1789</v>
      </c>
      <c r="L3152" s="36">
        <f>+K3152-((K3152*0.6549*0.125)+(K3152*(1-0.6549)*0.26))</f>
        <v>0.14820281735000002</v>
      </c>
      <c r="M3152" s="64">
        <f t="shared" si="92"/>
        <v>0.14820281735000002</v>
      </c>
      <c r="N3152" s="33" t="s">
        <v>718</v>
      </c>
    </row>
    <row r="3153" spans="1:14" ht="15">
      <c r="A3153" s="12"/>
      <c r="B3153" s="33" t="s">
        <v>309</v>
      </c>
      <c r="C3153" s="92" t="s">
        <v>736</v>
      </c>
      <c r="D3153" s="33" t="s">
        <v>411</v>
      </c>
      <c r="E3153" s="34">
        <v>45777</v>
      </c>
      <c r="F3153" s="34">
        <v>45779</v>
      </c>
      <c r="G3153" s="34">
        <v>45784</v>
      </c>
      <c r="H3153" s="35">
        <v>0.05</v>
      </c>
      <c r="I3153" s="67">
        <v>1.61E-2</v>
      </c>
      <c r="J3153" s="67">
        <v>0</v>
      </c>
      <c r="K3153" s="67">
        <v>1.61E-2</v>
      </c>
      <c r="L3153" s="36">
        <f>+K3153-((K3153*0.0436*0.125)+(K3153*(1-0.0436)*0.26))</f>
        <v>1.2008764599999999E-2</v>
      </c>
      <c r="M3153" s="64">
        <f t="shared" si="92"/>
        <v>1.2008764599999999E-2</v>
      </c>
      <c r="N3153" s="33" t="s">
        <v>718</v>
      </c>
    </row>
    <row r="3154" spans="1:14" ht="15">
      <c r="A3154" s="12"/>
      <c r="B3154" s="33" t="s">
        <v>187</v>
      </c>
      <c r="C3154" s="92" t="s">
        <v>737</v>
      </c>
      <c r="D3154" s="33" t="s">
        <v>411</v>
      </c>
      <c r="E3154" s="34">
        <v>45777</v>
      </c>
      <c r="F3154" s="34">
        <v>45779</v>
      </c>
      <c r="G3154" s="34">
        <v>45784</v>
      </c>
      <c r="H3154" s="35">
        <v>0.05</v>
      </c>
      <c r="I3154" s="67">
        <v>0.28210000000000002</v>
      </c>
      <c r="J3154" s="67">
        <v>0</v>
      </c>
      <c r="K3154" s="67">
        <v>0.28210000000000002</v>
      </c>
      <c r="L3154" s="36">
        <f>+K3154-((K3154*0.0436*0.125)+(K3154*(1-0.0436)*0.26))</f>
        <v>0.2104144406</v>
      </c>
      <c r="M3154" s="64">
        <f t="shared" si="92"/>
        <v>0.2104144406</v>
      </c>
      <c r="N3154" s="33" t="s">
        <v>718</v>
      </c>
    </row>
    <row r="3155" spans="1:14" ht="15">
      <c r="A3155" s="12"/>
      <c r="B3155" s="33" t="s">
        <v>195</v>
      </c>
      <c r="C3155" s="92" t="s">
        <v>738</v>
      </c>
      <c r="D3155" s="33" t="s">
        <v>411</v>
      </c>
      <c r="E3155" s="34">
        <v>45777</v>
      </c>
      <c r="F3155" s="34">
        <v>45779</v>
      </c>
      <c r="G3155" s="34">
        <v>45784</v>
      </c>
      <c r="H3155" s="35">
        <v>0.05</v>
      </c>
      <c r="I3155" s="67">
        <v>0.29730000000000001</v>
      </c>
      <c r="J3155" s="67">
        <v>0</v>
      </c>
      <c r="K3155" s="67">
        <v>0.29730000000000001</v>
      </c>
      <c r="L3155" s="36">
        <f>+K3155-((K3155*0.0436*0.125)+(K3155*(1-0.0436)*0.26))</f>
        <v>0.22175190780000001</v>
      </c>
      <c r="M3155" s="64">
        <f t="shared" si="92"/>
        <v>0.22175190780000001</v>
      </c>
      <c r="N3155" s="33" t="s">
        <v>718</v>
      </c>
    </row>
    <row r="3156" spans="1:14" ht="15">
      <c r="A3156" s="12"/>
      <c r="B3156" s="33" t="s">
        <v>312</v>
      </c>
      <c r="C3156" s="92" t="s">
        <v>739</v>
      </c>
      <c r="D3156" s="33" t="s">
        <v>411</v>
      </c>
      <c r="E3156" s="34">
        <v>45777</v>
      </c>
      <c r="F3156" s="34">
        <v>45779</v>
      </c>
      <c r="G3156" s="34">
        <v>45784</v>
      </c>
      <c r="H3156" s="35">
        <v>5.2499999999999998E-2</v>
      </c>
      <c r="I3156" s="67">
        <v>1.6299999999999999E-2</v>
      </c>
      <c r="J3156" s="67">
        <v>0</v>
      </c>
      <c r="K3156" s="67">
        <v>1.6299999999999999E-2</v>
      </c>
      <c r="L3156" s="36">
        <f>+K3156-((K3156*0.000000001*0.125)+(K3156*(1-0.000000001)*0.26))</f>
        <v>1.2062000002200498E-2</v>
      </c>
      <c r="M3156" s="64">
        <f t="shared" si="92"/>
        <v>1.2062000002200498E-2</v>
      </c>
      <c r="N3156" s="33" t="s">
        <v>718</v>
      </c>
    </row>
    <row r="3157" spans="1:14" ht="15">
      <c r="A3157" s="12"/>
      <c r="B3157" s="33" t="s">
        <v>190</v>
      </c>
      <c r="C3157" s="92" t="s">
        <v>740</v>
      </c>
      <c r="D3157" s="33" t="s">
        <v>411</v>
      </c>
      <c r="E3157" s="34">
        <v>45777</v>
      </c>
      <c r="F3157" s="34">
        <v>45779</v>
      </c>
      <c r="G3157" s="34">
        <v>45784</v>
      </c>
      <c r="H3157" s="35">
        <v>5.2499999999999998E-2</v>
      </c>
      <c r="I3157" s="67">
        <v>0.30649999999999999</v>
      </c>
      <c r="J3157" s="67">
        <v>0</v>
      </c>
      <c r="K3157" s="67">
        <v>0.30649999999999999</v>
      </c>
      <c r="L3157" s="36">
        <f>+K3157-((K3157*0.000000001*0.125)+(K3157*(1-0.000000001)*0.26))</f>
        <v>0.22681000004137747</v>
      </c>
      <c r="M3157" s="64">
        <f t="shared" si="92"/>
        <v>0.22681000004137747</v>
      </c>
      <c r="N3157" s="33" t="s">
        <v>718</v>
      </c>
    </row>
    <row r="3158" spans="1:14" ht="15">
      <c r="A3158" s="12"/>
      <c r="B3158" s="33" t="s">
        <v>198</v>
      </c>
      <c r="C3158" s="92" t="s">
        <v>741</v>
      </c>
      <c r="D3158" s="33" t="s">
        <v>411</v>
      </c>
      <c r="E3158" s="34">
        <v>45777</v>
      </c>
      <c r="F3158" s="34">
        <v>45779</v>
      </c>
      <c r="G3158" s="34">
        <v>45784</v>
      </c>
      <c r="H3158" s="35">
        <v>5.2499999999999998E-2</v>
      </c>
      <c r="I3158" s="67">
        <v>0.31280000000000002</v>
      </c>
      <c r="J3158" s="67">
        <v>0</v>
      </c>
      <c r="K3158" s="67">
        <v>0.31280000000000002</v>
      </c>
      <c r="L3158" s="36">
        <f>+K3158-((K3158*0.000000001*0.125)+(K3158*(1-0.000000001)*0.26))</f>
        <v>0.23147200004222801</v>
      </c>
      <c r="M3158" s="64">
        <f t="shared" si="92"/>
        <v>0.23147200004222801</v>
      </c>
      <c r="N3158" s="33" t="s">
        <v>718</v>
      </c>
    </row>
    <row r="3159" spans="1:14" ht="15">
      <c r="A3159" s="12"/>
      <c r="B3159" s="33" t="s">
        <v>313</v>
      </c>
      <c r="C3159" s="92" t="s">
        <v>884</v>
      </c>
      <c r="D3159" s="33" t="s">
        <v>411</v>
      </c>
      <c r="E3159" s="34">
        <v>45777</v>
      </c>
      <c r="F3159" s="34">
        <v>45779</v>
      </c>
      <c r="G3159" s="34">
        <v>45784</v>
      </c>
      <c r="H3159" s="35">
        <v>4.1250000000000002E-2</v>
      </c>
      <c r="I3159" s="67">
        <v>1.3299999999999999E-2</v>
      </c>
      <c r="J3159" s="67">
        <v>0</v>
      </c>
      <c r="K3159" s="67">
        <v>1.3299999999999999E-2</v>
      </c>
      <c r="L3159" s="36">
        <f>+K3159-((K3159*0.3093*0.125)+(K3159*(1-0.3093)*0.26))</f>
        <v>1.0397348149999999E-2</v>
      </c>
      <c r="M3159" s="64">
        <f t="shared" si="92"/>
        <v>1.0397348149999999E-2</v>
      </c>
      <c r="N3159" s="33" t="s">
        <v>718</v>
      </c>
    </row>
    <row r="3160" spans="1:14" ht="15">
      <c r="A3160" s="12"/>
      <c r="B3160" s="33" t="s">
        <v>310</v>
      </c>
      <c r="C3160" s="92" t="s">
        <v>719</v>
      </c>
      <c r="D3160" s="33" t="s">
        <v>411</v>
      </c>
      <c r="E3160" s="34">
        <v>45807</v>
      </c>
      <c r="F3160" s="34">
        <v>45810</v>
      </c>
      <c r="G3160" s="34">
        <v>45813</v>
      </c>
      <c r="H3160" s="35">
        <v>0.05</v>
      </c>
      <c r="I3160" s="67">
        <v>1.44E-2</v>
      </c>
      <c r="J3160" s="67">
        <v>0</v>
      </c>
      <c r="K3160" s="67">
        <v>1.44E-2</v>
      </c>
      <c r="L3160" s="36">
        <f>+K3160-((K3160*0.037*0.125)+(K3160*(1-0.037)*0.26))</f>
        <v>1.0727927999999999E-2</v>
      </c>
      <c r="M3160" s="64">
        <f t="shared" si="92"/>
        <v>1.0727927999999999E-2</v>
      </c>
      <c r="N3160" s="33" t="s">
        <v>718</v>
      </c>
    </row>
    <row r="3161" spans="1:14" ht="15">
      <c r="A3161" s="12"/>
      <c r="B3161" s="33" t="s">
        <v>188</v>
      </c>
      <c r="C3161" s="92" t="s">
        <v>720</v>
      </c>
      <c r="D3161" s="33" t="s">
        <v>411</v>
      </c>
      <c r="E3161" s="34">
        <v>45807</v>
      </c>
      <c r="F3161" s="34">
        <v>45810</v>
      </c>
      <c r="G3161" s="34">
        <v>45813</v>
      </c>
      <c r="H3161" s="35">
        <v>0.05</v>
      </c>
      <c r="I3161" s="67">
        <v>0.24979999999999999</v>
      </c>
      <c r="J3161" s="67">
        <v>0</v>
      </c>
      <c r="K3161" s="67">
        <v>0.24979999999999999</v>
      </c>
      <c r="L3161" s="36">
        <f>+K3161-((K3161*0.037*0.125)+(K3161*(1-0.037)*0.26))</f>
        <v>0.18609975099999998</v>
      </c>
      <c r="M3161" s="64">
        <f t="shared" si="92"/>
        <v>0.18609975099999998</v>
      </c>
      <c r="N3161" s="33" t="s">
        <v>718</v>
      </c>
    </row>
    <row r="3162" spans="1:14" ht="15">
      <c r="A3162" s="12"/>
      <c r="B3162" s="33" t="s">
        <v>196</v>
      </c>
      <c r="C3162" s="92" t="s">
        <v>721</v>
      </c>
      <c r="D3162" s="33" t="s">
        <v>411</v>
      </c>
      <c r="E3162" s="34">
        <v>45807</v>
      </c>
      <c r="F3162" s="34">
        <v>45810</v>
      </c>
      <c r="G3162" s="34">
        <v>45813</v>
      </c>
      <c r="H3162" s="35">
        <v>0.05</v>
      </c>
      <c r="I3162" s="67">
        <v>0.26519999999999999</v>
      </c>
      <c r="J3162" s="67">
        <v>0</v>
      </c>
      <c r="K3162" s="67">
        <v>0.26519999999999999</v>
      </c>
      <c r="L3162" s="36">
        <f>+K3162-((K3162*0.037*0.125)+(K3162*(1-0.037)*0.26))</f>
        <v>0.197572674</v>
      </c>
      <c r="M3162" s="64">
        <f t="shared" si="92"/>
        <v>0.197572674</v>
      </c>
      <c r="N3162" s="33" t="s">
        <v>718</v>
      </c>
    </row>
    <row r="3163" spans="1:14" ht="15">
      <c r="A3163" s="12"/>
      <c r="B3163" s="33" t="s">
        <v>191</v>
      </c>
      <c r="C3163" s="92" t="s">
        <v>722</v>
      </c>
      <c r="D3163" s="33" t="s">
        <v>411</v>
      </c>
      <c r="E3163" s="34">
        <v>45807</v>
      </c>
      <c r="F3163" s="34">
        <v>45810</v>
      </c>
      <c r="G3163" s="34">
        <v>45813</v>
      </c>
      <c r="H3163" s="35">
        <v>0.05</v>
      </c>
      <c r="I3163" s="67">
        <v>1.37E-2</v>
      </c>
      <c r="J3163" s="67">
        <v>0</v>
      </c>
      <c r="K3163" s="67">
        <v>1.37E-2</v>
      </c>
      <c r="L3163" s="36">
        <f>+K3163-((K3163*0.8462*0.125)+(K3163*(1-0.8462)*0.26))</f>
        <v>1.17030469E-2</v>
      </c>
      <c r="M3163" s="64">
        <f t="shared" si="92"/>
        <v>1.17030469E-2</v>
      </c>
      <c r="N3163" s="33" t="s">
        <v>718</v>
      </c>
    </row>
    <row r="3164" spans="1:14" ht="15">
      <c r="A3164" s="12"/>
      <c r="B3164" s="33" t="s">
        <v>199</v>
      </c>
      <c r="C3164" s="92" t="s">
        <v>723</v>
      </c>
      <c r="D3164" s="33" t="s">
        <v>411</v>
      </c>
      <c r="E3164" s="34">
        <v>45807</v>
      </c>
      <c r="F3164" s="34">
        <v>45810</v>
      </c>
      <c r="G3164" s="34">
        <v>45813</v>
      </c>
      <c r="H3164" s="35">
        <v>0.05</v>
      </c>
      <c r="I3164" s="67">
        <v>1.38E-2</v>
      </c>
      <c r="J3164" s="67">
        <v>0</v>
      </c>
      <c r="K3164" s="67">
        <v>1.38E-2</v>
      </c>
      <c r="L3164" s="36">
        <f>+K3164-((K3164*0.8462*0.125)+(K3164*(1-0.8462)*0.26))</f>
        <v>1.17884706E-2</v>
      </c>
      <c r="M3164" s="64">
        <f t="shared" si="92"/>
        <v>1.17884706E-2</v>
      </c>
      <c r="N3164" s="33" t="s">
        <v>718</v>
      </c>
    </row>
    <row r="3165" spans="1:14" ht="15">
      <c r="A3165" s="12"/>
      <c r="B3165" s="33" t="s">
        <v>306</v>
      </c>
      <c r="C3165" s="92" t="s">
        <v>724</v>
      </c>
      <c r="D3165" s="33" t="s">
        <v>411</v>
      </c>
      <c r="E3165" s="34">
        <v>45807</v>
      </c>
      <c r="F3165" s="34">
        <v>45810</v>
      </c>
      <c r="G3165" s="34">
        <v>45813</v>
      </c>
      <c r="H3165" s="35">
        <v>0.04</v>
      </c>
      <c r="I3165" s="67">
        <v>1.4200000000000001E-2</v>
      </c>
      <c r="J3165" s="67">
        <v>3.3418500000000004E-3</v>
      </c>
      <c r="K3165" s="67">
        <v>1.085815E-2</v>
      </c>
      <c r="L3165" s="36">
        <f>+K3165-((K3165*0.0008*0.125)+(K3165*(1-0.0008)*0.26))</f>
        <v>8.0362036802000009E-3</v>
      </c>
      <c r="M3165" s="64">
        <f t="shared" si="92"/>
        <v>1.1378053680200001E-2</v>
      </c>
      <c r="N3165" s="33" t="s">
        <v>718</v>
      </c>
    </row>
    <row r="3166" spans="1:14" ht="15">
      <c r="A3166" s="12"/>
      <c r="B3166" s="33" t="s">
        <v>184</v>
      </c>
      <c r="C3166" s="92" t="s">
        <v>725</v>
      </c>
      <c r="D3166" s="33" t="s">
        <v>411</v>
      </c>
      <c r="E3166" s="34">
        <v>45807</v>
      </c>
      <c r="F3166" s="34">
        <v>45810</v>
      </c>
      <c r="G3166" s="34">
        <v>45813</v>
      </c>
      <c r="H3166" s="35">
        <v>0.04</v>
      </c>
      <c r="I3166" s="67">
        <v>0.28399999999999997</v>
      </c>
      <c r="J3166" s="67">
        <v>7.6832629999999957E-2</v>
      </c>
      <c r="K3166" s="67">
        <v>0.20716737000000002</v>
      </c>
      <c r="L3166" s="36">
        <f>+K3166-((K3166*0.0008*0.125)+(K3166*(1-0.0008)*0.26))</f>
        <v>0.15332622787596001</v>
      </c>
      <c r="M3166" s="64">
        <f t="shared" si="92"/>
        <v>0.23015885787595997</v>
      </c>
      <c r="N3166" s="33" t="s">
        <v>718</v>
      </c>
    </row>
    <row r="3167" spans="1:14" ht="15">
      <c r="A3167" s="12"/>
      <c r="B3167" s="33" t="s">
        <v>192</v>
      </c>
      <c r="C3167" s="92" t="s">
        <v>726</v>
      </c>
      <c r="D3167" s="33" t="s">
        <v>411</v>
      </c>
      <c r="E3167" s="34">
        <v>45807</v>
      </c>
      <c r="F3167" s="34">
        <v>45810</v>
      </c>
      <c r="G3167" s="34">
        <v>45813</v>
      </c>
      <c r="H3167" s="35">
        <v>0.04</v>
      </c>
      <c r="I3167" s="67">
        <v>0.2923</v>
      </c>
      <c r="J3167" s="67">
        <v>4.8855730000000014E-2</v>
      </c>
      <c r="K3167" s="67">
        <v>0.24344426999999999</v>
      </c>
      <c r="L3167" s="36">
        <f>+K3167-((K3167*0.0008*0.125)+(K3167*(1-0.0008)*0.26))</f>
        <v>0.18017505178116</v>
      </c>
      <c r="M3167" s="64">
        <f t="shared" si="92"/>
        <v>0.22903078178116001</v>
      </c>
      <c r="N3167" s="33" t="s">
        <v>718</v>
      </c>
    </row>
    <row r="3168" spans="1:14" ht="15">
      <c r="A3168" s="12"/>
      <c r="B3168" s="33" t="s">
        <v>311</v>
      </c>
      <c r="C3168" s="92" t="s">
        <v>727</v>
      </c>
      <c r="D3168" s="33" t="s">
        <v>411</v>
      </c>
      <c r="E3168" s="34">
        <v>45807</v>
      </c>
      <c r="F3168" s="34">
        <v>45810</v>
      </c>
      <c r="G3168" s="34">
        <v>45813</v>
      </c>
      <c r="H3168" s="35">
        <v>0.04</v>
      </c>
      <c r="I3168" s="67">
        <v>1.5299999999999999E-2</v>
      </c>
      <c r="J3168" s="67">
        <v>5.3652600000000002E-3</v>
      </c>
      <c r="K3168" s="67">
        <v>9.9347399999999992E-3</v>
      </c>
      <c r="L3168" s="36">
        <f>+K3168-((K3168*0.0106*0.125)+(K3168*(1-0.0106)*0.26))</f>
        <v>7.3659242129400001E-3</v>
      </c>
      <c r="M3168" s="64">
        <f t="shared" si="92"/>
        <v>1.273118421294E-2</v>
      </c>
      <c r="N3168" s="33" t="s">
        <v>718</v>
      </c>
    </row>
    <row r="3169" spans="1:14" ht="15">
      <c r="A3169" s="12"/>
      <c r="B3169" s="33" t="s">
        <v>189</v>
      </c>
      <c r="C3169" s="92" t="s">
        <v>728</v>
      </c>
      <c r="D3169" s="33" t="s">
        <v>411</v>
      </c>
      <c r="E3169" s="34">
        <v>45807</v>
      </c>
      <c r="F3169" s="34">
        <v>45810</v>
      </c>
      <c r="G3169" s="34">
        <v>45813</v>
      </c>
      <c r="H3169" s="35">
        <v>0.04</v>
      </c>
      <c r="I3169" s="67">
        <v>0.27929999999999999</v>
      </c>
      <c r="J3169" s="67">
        <v>0.1078171</v>
      </c>
      <c r="K3169" s="67">
        <v>0.17148289999999999</v>
      </c>
      <c r="L3169" s="36">
        <f>+K3169-((K3169*0.0106*0.125)+(K3169*(1-0.0106)*0.26))</f>
        <v>0.1271427380299</v>
      </c>
      <c r="M3169" s="64">
        <f t="shared" si="92"/>
        <v>0.2349598380299</v>
      </c>
      <c r="N3169" s="33" t="s">
        <v>718</v>
      </c>
    </row>
    <row r="3170" spans="1:14" ht="15">
      <c r="A3170" s="12"/>
      <c r="B3170" s="33" t="s">
        <v>197</v>
      </c>
      <c r="C3170" s="92" t="s">
        <v>729</v>
      </c>
      <c r="D3170" s="33" t="s">
        <v>411</v>
      </c>
      <c r="E3170" s="34">
        <v>45807</v>
      </c>
      <c r="F3170" s="34">
        <v>45810</v>
      </c>
      <c r="G3170" s="34">
        <v>45813</v>
      </c>
      <c r="H3170" s="35">
        <v>0.04</v>
      </c>
      <c r="I3170" s="67">
        <v>0.28970000000000001</v>
      </c>
      <c r="J3170" s="67">
        <v>8.1729270000000048E-2</v>
      </c>
      <c r="K3170" s="67">
        <v>0.20797072999999996</v>
      </c>
      <c r="L3170" s="36">
        <f>+K3170-((K3170*0.0106*0.125)+(K3170*(1-0.0106)*0.26))</f>
        <v>0.15419594631462996</v>
      </c>
      <c r="M3170" s="64">
        <f t="shared" si="92"/>
        <v>0.23592521631463001</v>
      </c>
      <c r="N3170" s="33" t="s">
        <v>718</v>
      </c>
    </row>
    <row r="3171" spans="1:14" ht="15">
      <c r="A3171" s="12"/>
      <c r="B3171" s="33" t="s">
        <v>308</v>
      </c>
      <c r="C3171" s="92" t="s">
        <v>730</v>
      </c>
      <c r="D3171" s="33" t="s">
        <v>411</v>
      </c>
      <c r="E3171" s="34">
        <v>45807</v>
      </c>
      <c r="F3171" s="34">
        <v>45810</v>
      </c>
      <c r="G3171" s="34">
        <v>45813</v>
      </c>
      <c r="H3171" s="35">
        <v>0.05</v>
      </c>
      <c r="I3171" s="67">
        <v>1.66E-2</v>
      </c>
      <c r="J3171" s="67">
        <v>9.9494031743255652E-3</v>
      </c>
      <c r="K3171" s="67">
        <v>6.650596825674435E-3</v>
      </c>
      <c r="L3171" s="36">
        <f>+K3171-((K3171*0.5205*0.125)+(K3171*(1-0.5205)*0.26))</f>
        <v>5.3887624634471601E-3</v>
      </c>
      <c r="M3171" s="64">
        <f t="shared" si="92"/>
        <v>1.5338165637772724E-2</v>
      </c>
      <c r="N3171" s="33" t="s">
        <v>718</v>
      </c>
    </row>
    <row r="3172" spans="1:14" ht="15">
      <c r="A3172" s="12"/>
      <c r="B3172" s="33" t="s">
        <v>186</v>
      </c>
      <c r="C3172" s="92" t="s">
        <v>731</v>
      </c>
      <c r="D3172" s="33" t="s">
        <v>411</v>
      </c>
      <c r="E3172" s="34">
        <v>45807</v>
      </c>
      <c r="F3172" s="34">
        <v>45810</v>
      </c>
      <c r="G3172" s="34">
        <v>45813</v>
      </c>
      <c r="H3172" s="35">
        <v>0.05</v>
      </c>
      <c r="I3172" s="67">
        <v>0.3024</v>
      </c>
      <c r="J3172" s="67">
        <v>0.18910554851121503</v>
      </c>
      <c r="K3172" s="67">
        <v>0.11329445148878496</v>
      </c>
      <c r="L3172" s="36">
        <f>+K3172-((K3172*0.5205*0.125)+(K3172*(1-0.5205)*0.26))</f>
        <v>9.179881197168907E-2</v>
      </c>
      <c r="M3172" s="64">
        <f t="shared" si="92"/>
        <v>0.28090436048290413</v>
      </c>
      <c r="N3172" s="33" t="s">
        <v>718</v>
      </c>
    </row>
    <row r="3173" spans="1:14" ht="15">
      <c r="A3173" s="12"/>
      <c r="B3173" s="33" t="s">
        <v>194</v>
      </c>
      <c r="C3173" s="92" t="s">
        <v>732</v>
      </c>
      <c r="D3173" s="33" t="s">
        <v>411</v>
      </c>
      <c r="E3173" s="34">
        <v>45807</v>
      </c>
      <c r="F3173" s="34">
        <v>45810</v>
      </c>
      <c r="G3173" s="34">
        <v>45813</v>
      </c>
      <c r="H3173" s="35">
        <v>0.05</v>
      </c>
      <c r="I3173" s="67">
        <v>0.31569999999999998</v>
      </c>
      <c r="J3173" s="67">
        <v>0.17188582683547116</v>
      </c>
      <c r="K3173" s="67">
        <v>0.14381417316452882</v>
      </c>
      <c r="L3173" s="36">
        <f>+K3173-((K3173*0.5205*0.125)+(K3173*(1-0.5205)*0.26))</f>
        <v>0.11652795055458987</v>
      </c>
      <c r="M3173" s="64">
        <f t="shared" si="92"/>
        <v>0.28841377739006102</v>
      </c>
      <c r="N3173" s="33" t="s">
        <v>718</v>
      </c>
    </row>
    <row r="3174" spans="1:14" ht="15">
      <c r="A3174" s="12"/>
      <c r="B3174" s="33" t="s">
        <v>307</v>
      </c>
      <c r="C3174" s="92" t="s">
        <v>983</v>
      </c>
      <c r="D3174" s="33" t="s">
        <v>411</v>
      </c>
      <c r="E3174" s="34">
        <v>45807</v>
      </c>
      <c r="F3174" s="34">
        <v>45810</v>
      </c>
      <c r="G3174" s="34">
        <v>45813</v>
      </c>
      <c r="H3174" s="35">
        <v>0.04</v>
      </c>
      <c r="I3174" s="67">
        <v>1.09E-2</v>
      </c>
      <c r="J3174" s="67">
        <v>4.9942917152372007E-3</v>
      </c>
      <c r="K3174" s="67">
        <v>5.9057082847627992E-3</v>
      </c>
      <c r="L3174" s="36">
        <f>+K3174-((K3174*0.6549*0.125)+(K3174*(1-0.6549)*0.26))</f>
        <v>4.8923566587427778E-3</v>
      </c>
      <c r="M3174" s="64">
        <f t="shared" si="92"/>
        <v>9.8866483739799785E-3</v>
      </c>
      <c r="N3174" s="33" t="s">
        <v>718</v>
      </c>
    </row>
    <row r="3175" spans="1:14" ht="15">
      <c r="A3175" s="12"/>
      <c r="B3175" s="33" t="s">
        <v>185</v>
      </c>
      <c r="C3175" s="92" t="s">
        <v>985</v>
      </c>
      <c r="D3175" s="33" t="s">
        <v>411</v>
      </c>
      <c r="E3175" s="34">
        <v>45807</v>
      </c>
      <c r="F3175" s="34">
        <v>45810</v>
      </c>
      <c r="G3175" s="34">
        <v>45813</v>
      </c>
      <c r="H3175" s="35">
        <v>0.04</v>
      </c>
      <c r="I3175" s="67">
        <v>0.17910000000000001</v>
      </c>
      <c r="J3175" s="67">
        <v>8.8123140693309565E-2</v>
      </c>
      <c r="K3175" s="67">
        <v>9.0976859306690444E-2</v>
      </c>
      <c r="L3175" s="36">
        <f>+K3175-((K3175*0.6549*0.125)+(K3175*(1-0.6549)*0.26))</f>
        <v>7.5366276483544395E-2</v>
      </c>
      <c r="M3175" s="64">
        <f t="shared" si="92"/>
        <v>0.16348941717685395</v>
      </c>
      <c r="N3175" s="33" t="s">
        <v>718</v>
      </c>
    </row>
    <row r="3176" spans="1:14" ht="15">
      <c r="A3176" s="12"/>
      <c r="B3176" s="33" t="s">
        <v>193</v>
      </c>
      <c r="C3176" s="92" t="s">
        <v>984</v>
      </c>
      <c r="D3176" s="33" t="s">
        <v>411</v>
      </c>
      <c r="E3176" s="34">
        <v>45807</v>
      </c>
      <c r="F3176" s="34">
        <v>45810</v>
      </c>
      <c r="G3176" s="34">
        <v>45813</v>
      </c>
      <c r="H3176" s="35">
        <v>0.04</v>
      </c>
      <c r="I3176" s="67">
        <v>0.1789</v>
      </c>
      <c r="J3176" s="67">
        <v>6.928515418090915E-2</v>
      </c>
      <c r="K3176" s="67">
        <v>0.10961484581909085</v>
      </c>
      <c r="L3176" s="36">
        <f>+K3176-((K3176*0.6549*0.125)+(K3176*(1-0.6549)*0.26))</f>
        <v>9.0806198847261779E-2</v>
      </c>
      <c r="M3176" s="64">
        <f t="shared" si="92"/>
        <v>0.16009135302817093</v>
      </c>
      <c r="N3176" s="33" t="s">
        <v>718</v>
      </c>
    </row>
    <row r="3177" spans="1:14" ht="15">
      <c r="A3177" s="12"/>
      <c r="B3177" s="33" t="s">
        <v>309</v>
      </c>
      <c r="C3177" s="92" t="s">
        <v>736</v>
      </c>
      <c r="D3177" s="33" t="s">
        <v>411</v>
      </c>
      <c r="E3177" s="34">
        <v>45807</v>
      </c>
      <c r="F3177" s="34">
        <v>45810</v>
      </c>
      <c r="G3177" s="34">
        <v>45813</v>
      </c>
      <c r="H3177" s="35">
        <v>0.05</v>
      </c>
      <c r="I3177" s="67">
        <v>1.61E-2</v>
      </c>
      <c r="J3177" s="67">
        <v>7.3784510590315829E-3</v>
      </c>
      <c r="K3177" s="67">
        <v>8.7215489409684169E-3</v>
      </c>
      <c r="L3177" s="36">
        <f>+K3177-((K3177*0.0436*0.125)+(K3177*(1-0.0436)*0.26))</f>
        <v>6.5052812533831685E-3</v>
      </c>
      <c r="M3177" s="64">
        <f t="shared" si="92"/>
        <v>1.3883732312414751E-2</v>
      </c>
      <c r="N3177" s="33" t="s">
        <v>718</v>
      </c>
    </row>
    <row r="3178" spans="1:14" ht="15">
      <c r="A3178" s="12"/>
      <c r="B3178" s="33" t="s">
        <v>187</v>
      </c>
      <c r="C3178" s="92" t="s">
        <v>737</v>
      </c>
      <c r="D3178" s="33" t="s">
        <v>411</v>
      </c>
      <c r="E3178" s="34">
        <v>45807</v>
      </c>
      <c r="F3178" s="34">
        <v>45810</v>
      </c>
      <c r="G3178" s="34">
        <v>45813</v>
      </c>
      <c r="H3178" s="35">
        <v>0.05</v>
      </c>
      <c r="I3178" s="67">
        <v>0.28210000000000002</v>
      </c>
      <c r="J3178" s="67">
        <v>0.13652782337444624</v>
      </c>
      <c r="K3178" s="67">
        <v>0.14557217662555377</v>
      </c>
      <c r="L3178" s="36">
        <f>+K3178-((K3178*0.0436*0.125)+(K3178*(1-0.0436)*0.26))</f>
        <v>0.1085802485345278</v>
      </c>
      <c r="M3178" s="64">
        <f t="shared" si="92"/>
        <v>0.24510807190897405</v>
      </c>
      <c r="N3178" s="33" t="s">
        <v>718</v>
      </c>
    </row>
    <row r="3179" spans="1:14" ht="15">
      <c r="A3179" s="12"/>
      <c r="B3179" s="33" t="s">
        <v>195</v>
      </c>
      <c r="C3179" s="92" t="s">
        <v>738</v>
      </c>
      <c r="D3179" s="33" t="s">
        <v>411</v>
      </c>
      <c r="E3179" s="34">
        <v>45807</v>
      </c>
      <c r="F3179" s="34">
        <v>45810</v>
      </c>
      <c r="G3179" s="34">
        <v>45813</v>
      </c>
      <c r="H3179" s="35">
        <v>0.05</v>
      </c>
      <c r="I3179" s="67">
        <v>0.29730000000000001</v>
      </c>
      <c r="J3179" s="67">
        <v>0.11993460538055731</v>
      </c>
      <c r="K3179" s="67">
        <v>0.1773653946194427</v>
      </c>
      <c r="L3179" s="36">
        <f>+K3179-((K3179*0.0436*0.125)+(K3179*(1-0.0436)*0.26))</f>
        <v>0.13229436473111764</v>
      </c>
      <c r="M3179" s="64">
        <f t="shared" si="92"/>
        <v>0.25222897011167494</v>
      </c>
      <c r="N3179" s="33" t="s">
        <v>718</v>
      </c>
    </row>
    <row r="3180" spans="1:14" ht="15">
      <c r="A3180" s="12"/>
      <c r="B3180" s="33" t="s">
        <v>312</v>
      </c>
      <c r="C3180" s="92" t="s">
        <v>739</v>
      </c>
      <c r="D3180" s="33" t="s">
        <v>411</v>
      </c>
      <c r="E3180" s="34">
        <v>45807</v>
      </c>
      <c r="F3180" s="34">
        <v>45810</v>
      </c>
      <c r="G3180" s="34">
        <v>45813</v>
      </c>
      <c r="H3180" s="35">
        <v>5.2499999999999998E-2</v>
      </c>
      <c r="I3180" s="67">
        <v>1.6299999999999999E-2</v>
      </c>
      <c r="J3180" s="67">
        <v>3.1269826060925359E-3</v>
      </c>
      <c r="K3180" s="67">
        <v>1.3173017393907463E-2</v>
      </c>
      <c r="L3180" s="36">
        <f>+K3180-((K3180*0.000000001*0.125)+(K3180*(1-0.000000001)*0.26))</f>
        <v>9.7480328732698802E-3</v>
      </c>
      <c r="M3180" s="64">
        <f t="shared" si="92"/>
        <v>1.2875015479362416E-2</v>
      </c>
      <c r="N3180" s="33" t="s">
        <v>718</v>
      </c>
    </row>
    <row r="3181" spans="1:14" ht="15">
      <c r="A3181" s="12"/>
      <c r="B3181" s="33" t="s">
        <v>190</v>
      </c>
      <c r="C3181" s="92" t="s">
        <v>740</v>
      </c>
      <c r="D3181" s="33" t="s">
        <v>411</v>
      </c>
      <c r="E3181" s="34">
        <v>45807</v>
      </c>
      <c r="F3181" s="34">
        <v>45810</v>
      </c>
      <c r="G3181" s="34">
        <v>45813</v>
      </c>
      <c r="H3181" s="35">
        <v>5.2499999999999998E-2</v>
      </c>
      <c r="I3181" s="67">
        <v>0.30649999999999999</v>
      </c>
      <c r="J3181" s="67">
        <v>6.6083600260623432E-2</v>
      </c>
      <c r="K3181" s="67">
        <v>0.24041639973937656</v>
      </c>
      <c r="L3181" s="36">
        <f>+K3181-((K3181*0.000000001*0.125)+(K3181*(1-0.000000001)*0.26))</f>
        <v>0.17790813583959486</v>
      </c>
      <c r="M3181" s="64">
        <f t="shared" si="92"/>
        <v>0.24399173610021829</v>
      </c>
      <c r="N3181" s="33" t="s">
        <v>718</v>
      </c>
    </row>
    <row r="3182" spans="1:14" ht="15">
      <c r="A3182" s="12"/>
      <c r="B3182" s="33" t="s">
        <v>198</v>
      </c>
      <c r="C3182" s="92" t="s">
        <v>741</v>
      </c>
      <c r="D3182" s="33" t="s">
        <v>411</v>
      </c>
      <c r="E3182" s="34">
        <v>45807</v>
      </c>
      <c r="F3182" s="34">
        <v>45810</v>
      </c>
      <c r="G3182" s="34">
        <v>45813</v>
      </c>
      <c r="H3182" s="35">
        <v>5.2499999999999998E-2</v>
      </c>
      <c r="I3182" s="67">
        <v>0.31280000000000002</v>
      </c>
      <c r="J3182" s="67">
        <v>4.2832329150452542E-2</v>
      </c>
      <c r="K3182" s="67">
        <v>0.26996767084954748</v>
      </c>
      <c r="L3182" s="36">
        <f>+K3182-((K3182*0.000000001*0.125)+(K3182*(1-0.000000001)*0.26))</f>
        <v>0.19977607646511075</v>
      </c>
      <c r="M3182" s="64">
        <f t="shared" si="92"/>
        <v>0.24260840561556329</v>
      </c>
      <c r="N3182" s="33" t="s">
        <v>718</v>
      </c>
    </row>
    <row r="3183" spans="1:14" ht="15">
      <c r="A3183" s="12"/>
      <c r="B3183" s="33" t="s">
        <v>313</v>
      </c>
      <c r="C3183" s="92" t="s">
        <v>884</v>
      </c>
      <c r="D3183" s="33" t="s">
        <v>411</v>
      </c>
      <c r="E3183" s="34">
        <v>45807</v>
      </c>
      <c r="F3183" s="34">
        <v>45810</v>
      </c>
      <c r="G3183" s="34">
        <v>45813</v>
      </c>
      <c r="H3183" s="35">
        <v>4.1250000000000002E-2</v>
      </c>
      <c r="I3183" s="67">
        <v>1.3299999999999999E-2</v>
      </c>
      <c r="J3183" s="67">
        <v>1.6746700000000014E-3</v>
      </c>
      <c r="K3183" s="67">
        <v>1.1625329999999998E-2</v>
      </c>
      <c r="L3183" s="36">
        <f>+K3183-((K3183*0.3093*0.125)+(K3183*(1-0.3093)*0.26))</f>
        <v>9.0881656668149978E-3</v>
      </c>
      <c r="M3183" s="64">
        <f t="shared" si="92"/>
        <v>1.0762835666814999E-2</v>
      </c>
      <c r="N3183" s="33" t="s">
        <v>718</v>
      </c>
    </row>
    <row r="3184" spans="1:14" ht="15">
      <c r="A3184" s="12"/>
      <c r="B3184" s="33" t="s">
        <v>174</v>
      </c>
      <c r="C3184" s="92" t="s">
        <v>382</v>
      </c>
      <c r="D3184" s="33" t="s">
        <v>410</v>
      </c>
      <c r="E3184" s="34">
        <v>45835</v>
      </c>
      <c r="F3184" s="34">
        <v>45838</v>
      </c>
      <c r="G3184" s="34">
        <v>45841</v>
      </c>
      <c r="H3184" s="35"/>
      <c r="I3184" s="67">
        <v>3.9226999999999998E-2</v>
      </c>
      <c r="J3184" s="67">
        <v>0</v>
      </c>
      <c r="K3184" s="67">
        <v>3.9226999999999998E-2</v>
      </c>
      <c r="L3184" s="36">
        <f>+K3184-((K3184*0.0346*0.125)+(K3184*(1-0.0346)*0.26))</f>
        <v>2.9211209316999998E-2</v>
      </c>
      <c r="M3184" s="64">
        <f t="shared" si="92"/>
        <v>2.9211209316999998E-2</v>
      </c>
      <c r="N3184" s="33" t="s">
        <v>247</v>
      </c>
    </row>
    <row r="3185" spans="1:14" ht="15">
      <c r="A3185" s="12"/>
      <c r="B3185" s="33" t="s">
        <v>176</v>
      </c>
      <c r="C3185" s="92" t="s">
        <v>877</v>
      </c>
      <c r="D3185" s="33" t="s">
        <v>410</v>
      </c>
      <c r="E3185" s="34">
        <v>45835</v>
      </c>
      <c r="F3185" s="34">
        <v>45838</v>
      </c>
      <c r="G3185" s="34">
        <v>45841</v>
      </c>
      <c r="H3185" s="35"/>
      <c r="I3185" s="67">
        <v>4.1667999999999997E-2</v>
      </c>
      <c r="J3185" s="67">
        <v>0</v>
      </c>
      <c r="K3185" s="67">
        <v>4.1667999999999997E-2</v>
      </c>
      <c r="L3185" s="36">
        <f>+K3185-((K3185*0.2266*0.125)+(K3185*(1-0.2266)*0.26))</f>
        <v>3.2108985787999998E-2</v>
      </c>
      <c r="M3185" s="64">
        <f t="shared" si="92"/>
        <v>3.2108985787999998E-2</v>
      </c>
      <c r="N3185" s="33" t="s">
        <v>247</v>
      </c>
    </row>
    <row r="3186" spans="1:14" ht="15">
      <c r="A3186" s="12"/>
      <c r="B3186" s="33" t="s">
        <v>175</v>
      </c>
      <c r="C3186" s="92" t="s">
        <v>465</v>
      </c>
      <c r="D3186" s="33" t="s">
        <v>410</v>
      </c>
      <c r="E3186" s="34">
        <v>45835</v>
      </c>
      <c r="F3186" s="34">
        <v>45838</v>
      </c>
      <c r="G3186" s="34">
        <v>45841</v>
      </c>
      <c r="H3186" s="35"/>
      <c r="I3186" s="67">
        <v>4.8905999999999998E-2</v>
      </c>
      <c r="J3186" s="67">
        <v>0</v>
      </c>
      <c r="K3186" s="67">
        <v>4.8905999999999998E-2</v>
      </c>
      <c r="L3186" s="36">
        <f>+K3186-((K3186*0.0728*0.125)+(K3186*(1-0.0728)*0.26))</f>
        <v>3.6671088168E-2</v>
      </c>
      <c r="M3186" s="64">
        <f t="shared" si="92"/>
        <v>3.6671088168E-2</v>
      </c>
      <c r="N3186" s="33" t="s">
        <v>247</v>
      </c>
    </row>
    <row r="3187" spans="1:14" ht="15">
      <c r="A3187" s="12"/>
      <c r="B3187" s="33" t="s">
        <v>310</v>
      </c>
      <c r="C3187" s="92" t="s">
        <v>719</v>
      </c>
      <c r="D3187" s="33" t="s">
        <v>411</v>
      </c>
      <c r="E3187" s="34">
        <v>45838</v>
      </c>
      <c r="F3187" s="34">
        <v>45839</v>
      </c>
      <c r="G3187" s="34">
        <v>45842</v>
      </c>
      <c r="H3187" s="35">
        <v>0.05</v>
      </c>
      <c r="I3187" s="67">
        <v>1.44E-2</v>
      </c>
      <c r="J3187" s="67">
        <v>0</v>
      </c>
      <c r="K3187" s="67">
        <v>1.44E-2</v>
      </c>
      <c r="L3187" s="36">
        <f>+K3187-((K3187*0.037*0.125)+(K3187*(1-0.037)*0.26))</f>
        <v>1.0727927999999999E-2</v>
      </c>
      <c r="M3187" s="64">
        <f t="shared" si="92"/>
        <v>1.0727927999999999E-2</v>
      </c>
      <c r="N3187" s="33" t="s">
        <v>718</v>
      </c>
    </row>
    <row r="3188" spans="1:14" ht="15">
      <c r="A3188" s="12"/>
      <c r="B3188" s="33" t="s">
        <v>188</v>
      </c>
      <c r="C3188" s="92" t="s">
        <v>720</v>
      </c>
      <c r="D3188" s="33" t="s">
        <v>411</v>
      </c>
      <c r="E3188" s="34">
        <v>45838</v>
      </c>
      <c r="F3188" s="34">
        <v>45839</v>
      </c>
      <c r="G3188" s="34">
        <v>45842</v>
      </c>
      <c r="H3188" s="35">
        <v>0.05</v>
      </c>
      <c r="I3188" s="67">
        <v>0.24979999999999999</v>
      </c>
      <c r="J3188" s="67">
        <v>0</v>
      </c>
      <c r="K3188" s="67">
        <v>0.24979999999999999</v>
      </c>
      <c r="L3188" s="36">
        <f>+K3188-((K3188*0.037*0.125)+(K3188*(1-0.037)*0.26))</f>
        <v>0.18609975099999998</v>
      </c>
      <c r="M3188" s="64">
        <f t="shared" si="92"/>
        <v>0.18609975099999998</v>
      </c>
      <c r="N3188" s="33" t="s">
        <v>718</v>
      </c>
    </row>
    <row r="3189" spans="1:14" ht="15">
      <c r="A3189" s="12"/>
      <c r="B3189" s="33" t="s">
        <v>196</v>
      </c>
      <c r="C3189" s="92" t="s">
        <v>721</v>
      </c>
      <c r="D3189" s="33" t="s">
        <v>411</v>
      </c>
      <c r="E3189" s="34">
        <v>45838</v>
      </c>
      <c r="F3189" s="34">
        <v>45839</v>
      </c>
      <c r="G3189" s="34">
        <v>45842</v>
      </c>
      <c r="H3189" s="35">
        <v>0.05</v>
      </c>
      <c r="I3189" s="67">
        <v>0.26519999999999999</v>
      </c>
      <c r="J3189" s="67">
        <v>0</v>
      </c>
      <c r="K3189" s="67">
        <v>0.26519999999999999</v>
      </c>
      <c r="L3189" s="36">
        <f>+K3189-((K3189*0.037*0.125)+(K3189*(1-0.037)*0.26))</f>
        <v>0.197572674</v>
      </c>
      <c r="M3189" s="64">
        <f t="shared" si="92"/>
        <v>0.197572674</v>
      </c>
      <c r="N3189" s="33" t="s">
        <v>718</v>
      </c>
    </row>
    <row r="3190" spans="1:14" ht="15">
      <c r="A3190" s="12"/>
      <c r="B3190" s="33" t="s">
        <v>191</v>
      </c>
      <c r="C3190" s="92" t="s">
        <v>722</v>
      </c>
      <c r="D3190" s="33" t="s">
        <v>411</v>
      </c>
      <c r="E3190" s="34">
        <v>45838</v>
      </c>
      <c r="F3190" s="34">
        <v>45839</v>
      </c>
      <c r="G3190" s="34">
        <v>45842</v>
      </c>
      <c r="H3190" s="35">
        <v>0.05</v>
      </c>
      <c r="I3190" s="67">
        <v>1.37E-2</v>
      </c>
      <c r="J3190" s="67">
        <v>0</v>
      </c>
      <c r="K3190" s="67">
        <v>1.37E-2</v>
      </c>
      <c r="L3190" s="36">
        <f>+K3190-((K3190*0.8462*0.125)+(K3190*(1-0.8462)*0.26))</f>
        <v>1.17030469E-2</v>
      </c>
      <c r="M3190" s="64">
        <f t="shared" si="92"/>
        <v>1.17030469E-2</v>
      </c>
      <c r="N3190" s="33" t="s">
        <v>718</v>
      </c>
    </row>
    <row r="3191" spans="1:14" ht="15">
      <c r="A3191" s="12"/>
      <c r="B3191" s="33" t="s">
        <v>199</v>
      </c>
      <c r="C3191" s="92" t="s">
        <v>723</v>
      </c>
      <c r="D3191" s="33" t="s">
        <v>411</v>
      </c>
      <c r="E3191" s="34">
        <v>45838</v>
      </c>
      <c r="F3191" s="34">
        <v>45839</v>
      </c>
      <c r="G3191" s="34">
        <v>45842</v>
      </c>
      <c r="H3191" s="35">
        <v>0.05</v>
      </c>
      <c r="I3191" s="67">
        <v>1.38E-2</v>
      </c>
      <c r="J3191" s="67">
        <v>0</v>
      </c>
      <c r="K3191" s="67">
        <v>1.38E-2</v>
      </c>
      <c r="L3191" s="36">
        <f>+K3191-((K3191*0.8462*0.125)+(K3191*(1-0.8462)*0.26))</f>
        <v>1.17884706E-2</v>
      </c>
      <c r="M3191" s="64">
        <f t="shared" si="92"/>
        <v>1.17884706E-2</v>
      </c>
      <c r="N3191" s="33" t="s">
        <v>718</v>
      </c>
    </row>
    <row r="3192" spans="1:14" ht="15">
      <c r="A3192" s="12"/>
      <c r="B3192" s="33" t="s">
        <v>306</v>
      </c>
      <c r="C3192" s="92" t="s">
        <v>724</v>
      </c>
      <c r="D3192" s="33" t="s">
        <v>411</v>
      </c>
      <c r="E3192" s="34">
        <v>45838</v>
      </c>
      <c r="F3192" s="34">
        <v>45839</v>
      </c>
      <c r="G3192" s="34">
        <v>45842</v>
      </c>
      <c r="H3192" s="35">
        <v>0.04</v>
      </c>
      <c r="I3192" s="67">
        <v>1.4200000000000001E-2</v>
      </c>
      <c r="J3192" s="67">
        <v>4.504010000000001E-3</v>
      </c>
      <c r="K3192" s="67">
        <v>9.6959899999999998E-3</v>
      </c>
      <c r="L3192" s="36">
        <f>+K3192-((K3192*0.0008*0.125)+(K3192*(1-0.0008)*0.26))</f>
        <v>7.1760797669199999E-3</v>
      </c>
      <c r="M3192" s="64">
        <f t="shared" si="92"/>
        <v>1.1680089766920001E-2</v>
      </c>
      <c r="N3192" s="33" t="s">
        <v>718</v>
      </c>
    </row>
    <row r="3193" spans="1:14" ht="15">
      <c r="A3193" s="12"/>
      <c r="B3193" s="33" t="s">
        <v>184</v>
      </c>
      <c r="C3193" s="92" t="s">
        <v>725</v>
      </c>
      <c r="D3193" s="33" t="s">
        <v>411</v>
      </c>
      <c r="E3193" s="34">
        <v>45838</v>
      </c>
      <c r="F3193" s="34">
        <v>45839</v>
      </c>
      <c r="G3193" s="34">
        <v>45842</v>
      </c>
      <c r="H3193" s="35">
        <v>0.04</v>
      </c>
      <c r="I3193" s="67">
        <v>0.28399999999999997</v>
      </c>
      <c r="J3193" s="67">
        <v>9.9617400000000023E-2</v>
      </c>
      <c r="K3193" s="67">
        <v>0.18438259999999995</v>
      </c>
      <c r="L3193" s="36">
        <f>+K3193-((K3193*0.0008*0.125)+(K3193*(1-0.0008)*0.26))</f>
        <v>0.13646303732079995</v>
      </c>
      <c r="M3193" s="64">
        <f t="shared" ref="M3193:M3256" si="93">J3193+L3193</f>
        <v>0.23608043732079997</v>
      </c>
      <c r="N3193" s="33" t="s">
        <v>718</v>
      </c>
    </row>
    <row r="3194" spans="1:14" ht="15">
      <c r="A3194" s="12"/>
      <c r="B3194" s="33" t="s">
        <v>192</v>
      </c>
      <c r="C3194" s="92" t="s">
        <v>726</v>
      </c>
      <c r="D3194" s="33" t="s">
        <v>411</v>
      </c>
      <c r="E3194" s="34">
        <v>45838</v>
      </c>
      <c r="F3194" s="34">
        <v>45839</v>
      </c>
      <c r="G3194" s="34">
        <v>45842</v>
      </c>
      <c r="H3194" s="35">
        <v>0.04</v>
      </c>
      <c r="I3194" s="67">
        <v>0.2923</v>
      </c>
      <c r="J3194" s="67">
        <v>7.2194319999999979E-2</v>
      </c>
      <c r="K3194" s="67">
        <v>0.22010568000000003</v>
      </c>
      <c r="L3194" s="36">
        <f>+K3194-((K3194*0.0008*0.125)+(K3194*(1-0.0008)*0.26))</f>
        <v>0.16290197461344003</v>
      </c>
      <c r="M3194" s="64">
        <f t="shared" si="93"/>
        <v>0.23509629461344</v>
      </c>
      <c r="N3194" s="33" t="s">
        <v>718</v>
      </c>
    </row>
    <row r="3195" spans="1:14" ht="15">
      <c r="A3195" s="12"/>
      <c r="B3195" s="33" t="s">
        <v>311</v>
      </c>
      <c r="C3195" s="92" t="s">
        <v>727</v>
      </c>
      <c r="D3195" s="33" t="s">
        <v>411</v>
      </c>
      <c r="E3195" s="34">
        <v>45838</v>
      </c>
      <c r="F3195" s="34">
        <v>45839</v>
      </c>
      <c r="G3195" s="34">
        <v>45842</v>
      </c>
      <c r="H3195" s="35">
        <v>0.04</v>
      </c>
      <c r="I3195" s="67">
        <v>1.5299999999999999E-2</v>
      </c>
      <c r="J3195" s="67">
        <v>5.3951299999999997E-3</v>
      </c>
      <c r="K3195" s="67">
        <v>9.9048699999999996E-3</v>
      </c>
      <c r="L3195" s="36">
        <f>+K3195-((K3195*0.0106*0.125)+(K3195*(1-0.0106)*0.26))</f>
        <v>7.3437776689700002E-3</v>
      </c>
      <c r="M3195" s="64">
        <f t="shared" si="93"/>
        <v>1.273890766897E-2</v>
      </c>
      <c r="N3195" s="33" t="s">
        <v>718</v>
      </c>
    </row>
    <row r="3196" spans="1:14" ht="15">
      <c r="A3196" s="12"/>
      <c r="B3196" s="33" t="s">
        <v>189</v>
      </c>
      <c r="C3196" s="92" t="s">
        <v>728</v>
      </c>
      <c r="D3196" s="33" t="s">
        <v>411</v>
      </c>
      <c r="E3196" s="34">
        <v>45838</v>
      </c>
      <c r="F3196" s="34">
        <v>45839</v>
      </c>
      <c r="G3196" s="34">
        <v>45842</v>
      </c>
      <c r="H3196" s="35">
        <v>0.04</v>
      </c>
      <c r="I3196" s="67">
        <v>0.27929999999999999</v>
      </c>
      <c r="J3196" s="67">
        <v>0.10733125999999998</v>
      </c>
      <c r="K3196" s="67">
        <v>0.17196874000000001</v>
      </c>
      <c r="L3196" s="36">
        <f>+K3196-((K3196*0.0106*0.125)+(K3196*(1-0.0106)*0.26))</f>
        <v>0.12750295486694002</v>
      </c>
      <c r="M3196" s="64">
        <f t="shared" si="93"/>
        <v>0.23483421486694001</v>
      </c>
      <c r="N3196" s="33" t="s">
        <v>718</v>
      </c>
    </row>
    <row r="3197" spans="1:14" ht="15">
      <c r="A3197" s="12"/>
      <c r="B3197" s="33" t="s">
        <v>197</v>
      </c>
      <c r="C3197" s="92" t="s">
        <v>729</v>
      </c>
      <c r="D3197" s="33" t="s">
        <v>411</v>
      </c>
      <c r="E3197" s="34">
        <v>45838</v>
      </c>
      <c r="F3197" s="34">
        <v>45839</v>
      </c>
      <c r="G3197" s="34">
        <v>45842</v>
      </c>
      <c r="H3197" s="35">
        <v>0.04</v>
      </c>
      <c r="I3197" s="67">
        <v>0.28970000000000001</v>
      </c>
      <c r="J3197" s="67">
        <v>8.1965340000000053E-2</v>
      </c>
      <c r="K3197" s="67">
        <v>0.20773465999999996</v>
      </c>
      <c r="L3197" s="36">
        <f>+K3197-((K3197*0.0106*0.125)+(K3197*(1-0.0106)*0.26))</f>
        <v>0.15402091669845996</v>
      </c>
      <c r="M3197" s="64">
        <f t="shared" si="93"/>
        <v>0.23598625669846002</v>
      </c>
      <c r="N3197" s="33" t="s">
        <v>718</v>
      </c>
    </row>
    <row r="3198" spans="1:14" ht="15">
      <c r="A3198" s="12"/>
      <c r="B3198" s="33" t="s">
        <v>308</v>
      </c>
      <c r="C3198" s="92" t="s">
        <v>730</v>
      </c>
      <c r="D3198" s="33" t="s">
        <v>411</v>
      </c>
      <c r="E3198" s="34">
        <v>45838</v>
      </c>
      <c r="F3198" s="34">
        <v>45839</v>
      </c>
      <c r="G3198" s="34">
        <v>45842</v>
      </c>
      <c r="H3198" s="35">
        <v>0.05</v>
      </c>
      <c r="I3198" s="67">
        <v>1.66E-2</v>
      </c>
      <c r="J3198" s="67">
        <v>7.70461433968672E-3</v>
      </c>
      <c r="K3198" s="67">
        <v>8.8953856603132802E-3</v>
      </c>
      <c r="L3198" s="36">
        <f>+K3198-((K3198*0.5205*0.125)+(K3198*(1-0.5205)*0.26))</f>
        <v>7.2076419005178902E-3</v>
      </c>
      <c r="M3198" s="64">
        <f t="shared" si="93"/>
        <v>1.491225624020461E-2</v>
      </c>
      <c r="N3198" s="33" t="s">
        <v>718</v>
      </c>
    </row>
    <row r="3199" spans="1:14" ht="15">
      <c r="A3199" s="12"/>
      <c r="B3199" s="33" t="s">
        <v>186</v>
      </c>
      <c r="C3199" s="92" t="s">
        <v>731</v>
      </c>
      <c r="D3199" s="33" t="s">
        <v>411</v>
      </c>
      <c r="E3199" s="34">
        <v>45838</v>
      </c>
      <c r="F3199" s="34">
        <v>45839</v>
      </c>
      <c r="G3199" s="34">
        <v>45842</v>
      </c>
      <c r="H3199" s="35">
        <v>0.05</v>
      </c>
      <c r="I3199" s="67">
        <v>0.3024</v>
      </c>
      <c r="J3199" s="67">
        <v>0.14759270705098276</v>
      </c>
      <c r="K3199" s="67">
        <v>0.15480729294901724</v>
      </c>
      <c r="L3199" s="36">
        <f>+K3199-((K3199*0.5205*0.125)+(K3199*(1-0.5205)*0.26))</f>
        <v>0.12543531823956783</v>
      </c>
      <c r="M3199" s="64">
        <f t="shared" si="93"/>
        <v>0.27302802529055059</v>
      </c>
      <c r="N3199" s="33" t="s">
        <v>718</v>
      </c>
    </row>
    <row r="3200" spans="1:14" ht="15">
      <c r="A3200" s="12"/>
      <c r="B3200" s="33" t="s">
        <v>194</v>
      </c>
      <c r="C3200" s="92" t="s">
        <v>732</v>
      </c>
      <c r="D3200" s="33" t="s">
        <v>411</v>
      </c>
      <c r="E3200" s="34">
        <v>45838</v>
      </c>
      <c r="F3200" s="34">
        <v>45839</v>
      </c>
      <c r="G3200" s="34">
        <v>45842</v>
      </c>
      <c r="H3200" s="35">
        <v>0.05</v>
      </c>
      <c r="I3200" s="67">
        <v>0.31569999999999998</v>
      </c>
      <c r="J3200" s="67">
        <v>0.12861285219939103</v>
      </c>
      <c r="K3200" s="67">
        <v>0.18708714780060895</v>
      </c>
      <c r="L3200" s="36">
        <f>+K3200-((K3200*0.5205*0.125)+(K3200*(1-0.5205)*0.26))</f>
        <v>0.15159063553052993</v>
      </c>
      <c r="M3200" s="64">
        <f t="shared" si="93"/>
        <v>0.28020348772992099</v>
      </c>
      <c r="N3200" s="33" t="s">
        <v>718</v>
      </c>
    </row>
    <row r="3201" spans="1:14" ht="15">
      <c r="A3201" s="12"/>
      <c r="B3201" s="33" t="s">
        <v>307</v>
      </c>
      <c r="C3201" s="92" t="s">
        <v>983</v>
      </c>
      <c r="D3201" s="33" t="s">
        <v>411</v>
      </c>
      <c r="E3201" s="34">
        <v>45838</v>
      </c>
      <c r="F3201" s="34">
        <v>45839</v>
      </c>
      <c r="G3201" s="34">
        <v>45842</v>
      </c>
      <c r="H3201" s="35">
        <v>0.04</v>
      </c>
      <c r="I3201" s="67">
        <v>1.09E-2</v>
      </c>
      <c r="J3201" s="67">
        <v>4.5132384681471549E-3</v>
      </c>
      <c r="K3201" s="67">
        <v>6.3867615318528451E-3</v>
      </c>
      <c r="L3201" s="36">
        <f>+K3201-((K3201*0.6549*0.125)+(K3201*(1-0.6549)*0.26))</f>
        <v>5.2908667007445127E-3</v>
      </c>
      <c r="M3201" s="64">
        <f t="shared" si="93"/>
        <v>9.8041051688916685E-3</v>
      </c>
      <c r="N3201" s="33" t="s">
        <v>718</v>
      </c>
    </row>
    <row r="3202" spans="1:14" ht="15">
      <c r="A3202" s="12"/>
      <c r="B3202" s="33" t="s">
        <v>185</v>
      </c>
      <c r="C3202" s="92" t="s">
        <v>985</v>
      </c>
      <c r="D3202" s="33" t="s">
        <v>411</v>
      </c>
      <c r="E3202" s="34">
        <v>45838</v>
      </c>
      <c r="F3202" s="34">
        <v>45839</v>
      </c>
      <c r="G3202" s="34">
        <v>45842</v>
      </c>
      <c r="H3202" s="35">
        <v>0.04</v>
      </c>
      <c r="I3202" s="67">
        <v>0.17910000000000001</v>
      </c>
      <c r="J3202" s="67">
        <v>7.9386397065620409E-2</v>
      </c>
      <c r="K3202" s="67">
        <v>9.97136029343796E-2</v>
      </c>
      <c r="L3202" s="36">
        <f>+K3202-((K3202*0.6549*0.125)+(K3202*(1-0.6549)*0.26))</f>
        <v>8.2603895377273806E-2</v>
      </c>
      <c r="M3202" s="64">
        <f t="shared" si="93"/>
        <v>0.1619902924428942</v>
      </c>
      <c r="N3202" s="33" t="s">
        <v>718</v>
      </c>
    </row>
    <row r="3203" spans="1:14" ht="15">
      <c r="A3203" s="12"/>
      <c r="B3203" s="33" t="s">
        <v>193</v>
      </c>
      <c r="C3203" s="92" t="s">
        <v>984</v>
      </c>
      <c r="D3203" s="33" t="s">
        <v>411</v>
      </c>
      <c r="E3203" s="34">
        <v>45838</v>
      </c>
      <c r="F3203" s="34">
        <v>45839</v>
      </c>
      <c r="G3203" s="34">
        <v>45842</v>
      </c>
      <c r="H3203" s="35">
        <v>0.04</v>
      </c>
      <c r="I3203" s="67">
        <v>0.1789</v>
      </c>
      <c r="J3203" s="67">
        <v>6.0246059925959577E-2</v>
      </c>
      <c r="K3203" s="67">
        <v>0.11865394007404043</v>
      </c>
      <c r="L3203" s="36">
        <f>+K3203-((K3203*0.6549*0.125)+(K3203*(1-0.6549)*0.26))</f>
        <v>9.8294288477645944E-2</v>
      </c>
      <c r="M3203" s="64">
        <f t="shared" si="93"/>
        <v>0.15854034840360554</v>
      </c>
      <c r="N3203" s="33" t="s">
        <v>718</v>
      </c>
    </row>
    <row r="3204" spans="1:14" ht="15">
      <c r="A3204" s="12"/>
      <c r="B3204" s="33" t="s">
        <v>309</v>
      </c>
      <c r="C3204" s="92" t="s">
        <v>736</v>
      </c>
      <c r="D3204" s="33" t="s">
        <v>411</v>
      </c>
      <c r="E3204" s="34">
        <v>45838</v>
      </c>
      <c r="F3204" s="34">
        <v>45839</v>
      </c>
      <c r="G3204" s="34">
        <v>45842</v>
      </c>
      <c r="H3204" s="35">
        <v>0.05</v>
      </c>
      <c r="I3204" s="67">
        <v>1.61E-2</v>
      </c>
      <c r="J3204" s="67">
        <v>7.0604727319324243E-3</v>
      </c>
      <c r="K3204" s="67">
        <v>9.0395272680675754E-3</v>
      </c>
      <c r="L3204" s="36">
        <f>+K3204-((K3204*0.0436*0.125)+(K3204*(1-0.0436)*0.26))</f>
        <v>6.7424568358698516E-3</v>
      </c>
      <c r="M3204" s="64">
        <f t="shared" si="93"/>
        <v>1.3802929567802276E-2</v>
      </c>
      <c r="N3204" s="33" t="s">
        <v>718</v>
      </c>
    </row>
    <row r="3205" spans="1:14" ht="15">
      <c r="A3205" s="12"/>
      <c r="B3205" s="33" t="s">
        <v>187</v>
      </c>
      <c r="C3205" s="92" t="s">
        <v>737</v>
      </c>
      <c r="D3205" s="33" t="s">
        <v>411</v>
      </c>
      <c r="E3205" s="34">
        <v>45838</v>
      </c>
      <c r="F3205" s="34">
        <v>45839</v>
      </c>
      <c r="G3205" s="34">
        <v>45842</v>
      </c>
      <c r="H3205" s="35">
        <v>0.05</v>
      </c>
      <c r="I3205" s="67">
        <v>0.28210000000000002</v>
      </c>
      <c r="J3205" s="67">
        <v>0.13104234637464687</v>
      </c>
      <c r="K3205" s="67">
        <v>0.15105765362535314</v>
      </c>
      <c r="L3205" s="36">
        <f>+K3205-((K3205*0.0436*0.125)+(K3205*(1-0.0436)*0.26))</f>
        <v>0.11267178903200015</v>
      </c>
      <c r="M3205" s="64">
        <f t="shared" si="93"/>
        <v>0.24371413540664702</v>
      </c>
      <c r="N3205" s="33" t="s">
        <v>718</v>
      </c>
    </row>
    <row r="3206" spans="1:14" ht="15">
      <c r="A3206" s="12"/>
      <c r="B3206" s="33" t="s">
        <v>195</v>
      </c>
      <c r="C3206" s="92" t="s">
        <v>738</v>
      </c>
      <c r="D3206" s="33" t="s">
        <v>411</v>
      </c>
      <c r="E3206" s="34">
        <v>45838</v>
      </c>
      <c r="F3206" s="34">
        <v>45839</v>
      </c>
      <c r="G3206" s="34">
        <v>45842</v>
      </c>
      <c r="H3206" s="35">
        <v>0.05</v>
      </c>
      <c r="I3206" s="67">
        <v>0.29730000000000001</v>
      </c>
      <c r="J3206" s="67">
        <v>0.11398436819884333</v>
      </c>
      <c r="K3206" s="67">
        <v>0.18331563180115668</v>
      </c>
      <c r="L3206" s="36">
        <f>+K3206-((K3206*0.0436*0.125)+(K3206*(1-0.0436)*0.26))</f>
        <v>0.13673256334163753</v>
      </c>
      <c r="M3206" s="64">
        <f t="shared" si="93"/>
        <v>0.25071693154048086</v>
      </c>
      <c r="N3206" s="33" t="s">
        <v>718</v>
      </c>
    </row>
    <row r="3207" spans="1:14" ht="15">
      <c r="A3207" s="12"/>
      <c r="B3207" s="33" t="s">
        <v>312</v>
      </c>
      <c r="C3207" s="92" t="s">
        <v>739</v>
      </c>
      <c r="D3207" s="33" t="s">
        <v>411</v>
      </c>
      <c r="E3207" s="34">
        <v>45838</v>
      </c>
      <c r="F3207" s="34">
        <v>45839</v>
      </c>
      <c r="G3207" s="34">
        <v>45842</v>
      </c>
      <c r="H3207" s="35">
        <v>5.2499999999999998E-2</v>
      </c>
      <c r="I3207" s="67">
        <v>1.6299999999999999E-2</v>
      </c>
      <c r="J3207" s="67">
        <v>2.9005823235124829E-3</v>
      </c>
      <c r="K3207" s="67">
        <v>1.3399417676487516E-2</v>
      </c>
      <c r="L3207" s="36">
        <f>+K3207-((K3207*0.000000001*0.125)+(K3207*(1-0.000000001)*0.26))</f>
        <v>9.9155690824096823E-3</v>
      </c>
      <c r="M3207" s="64">
        <f t="shared" si="93"/>
        <v>1.2816151405922165E-2</v>
      </c>
      <c r="N3207" s="33" t="s">
        <v>718</v>
      </c>
    </row>
    <row r="3208" spans="1:14" ht="15">
      <c r="A3208" s="12"/>
      <c r="B3208" s="33" t="s">
        <v>190</v>
      </c>
      <c r="C3208" s="92" t="s">
        <v>740</v>
      </c>
      <c r="D3208" s="33" t="s">
        <v>411</v>
      </c>
      <c r="E3208" s="34">
        <v>45838</v>
      </c>
      <c r="F3208" s="34">
        <v>45839</v>
      </c>
      <c r="G3208" s="34">
        <v>45842</v>
      </c>
      <c r="H3208" s="35">
        <v>5.2499999999999998E-2</v>
      </c>
      <c r="I3208" s="67">
        <v>0.30649999999999999</v>
      </c>
      <c r="J3208" s="67">
        <v>6.1844886013593503E-2</v>
      </c>
      <c r="K3208" s="67">
        <v>0.24465511398640649</v>
      </c>
      <c r="L3208" s="36">
        <f>+K3208-((K3208*0.000000001*0.125)+(K3208*(1-0.000000001)*0.26))</f>
        <v>0.18104478438296923</v>
      </c>
      <c r="M3208" s="64">
        <f t="shared" si="93"/>
        <v>0.24288967039656273</v>
      </c>
      <c r="N3208" s="33" t="s">
        <v>718</v>
      </c>
    </row>
    <row r="3209" spans="1:14" ht="15">
      <c r="A3209" s="12"/>
      <c r="B3209" s="33" t="s">
        <v>198</v>
      </c>
      <c r="C3209" s="92" t="s">
        <v>741</v>
      </c>
      <c r="D3209" s="33" t="s">
        <v>411</v>
      </c>
      <c r="E3209" s="34">
        <v>45838</v>
      </c>
      <c r="F3209" s="34">
        <v>45839</v>
      </c>
      <c r="G3209" s="34">
        <v>45842</v>
      </c>
      <c r="H3209" s="35">
        <v>5.2499999999999998E-2</v>
      </c>
      <c r="I3209" s="67">
        <v>0.31280000000000002</v>
      </c>
      <c r="J3209" s="67">
        <v>3.8519972831854654E-2</v>
      </c>
      <c r="K3209" s="67">
        <v>0.27428002716814537</v>
      </c>
      <c r="L3209" s="36">
        <f>+K3209-((K3209*0.000000001*0.125)+(K3209*(1-0.000000001)*0.26))</f>
        <v>0.20296722014145538</v>
      </c>
      <c r="M3209" s="64">
        <f t="shared" si="93"/>
        <v>0.24148719297331003</v>
      </c>
      <c r="N3209" s="33" t="s">
        <v>718</v>
      </c>
    </row>
    <row r="3210" spans="1:14" ht="15">
      <c r="A3210" s="12"/>
      <c r="B3210" s="33" t="s">
        <v>313</v>
      </c>
      <c r="C3210" s="92" t="s">
        <v>884</v>
      </c>
      <c r="D3210" s="33" t="s">
        <v>411</v>
      </c>
      <c r="E3210" s="34">
        <v>45838</v>
      </c>
      <c r="F3210" s="34">
        <v>45839</v>
      </c>
      <c r="G3210" s="34">
        <v>45842</v>
      </c>
      <c r="H3210" s="35">
        <v>4.1250000000000002E-2</v>
      </c>
      <c r="I3210" s="67">
        <v>1.3299999999999999E-2</v>
      </c>
      <c r="J3210" s="67">
        <v>3.0988299999999986E-3</v>
      </c>
      <c r="K3210" s="67">
        <v>1.0201170000000001E-2</v>
      </c>
      <c r="L3210" s="36">
        <f>+K3210-((K3210*0.3093*0.125)+(K3210*(1-0.3093)*0.26))</f>
        <v>7.974820753935E-3</v>
      </c>
      <c r="M3210" s="64">
        <f t="shared" si="93"/>
        <v>1.1073650753934999E-2</v>
      </c>
      <c r="N3210" s="33" t="s">
        <v>718</v>
      </c>
    </row>
    <row r="3211" spans="1:14" ht="15">
      <c r="A3211" s="12"/>
      <c r="B3211" s="33" t="s">
        <v>298</v>
      </c>
      <c r="C3211" s="92" t="s">
        <v>403</v>
      </c>
      <c r="D3211" s="33" t="s">
        <v>410</v>
      </c>
      <c r="E3211" s="34">
        <v>45838</v>
      </c>
      <c r="F3211" s="34">
        <v>45839</v>
      </c>
      <c r="G3211" s="34">
        <v>45842</v>
      </c>
      <c r="H3211" s="35">
        <v>0.05</v>
      </c>
      <c r="I3211" s="67">
        <v>4.7800000000000002E-2</v>
      </c>
      <c r="J3211" s="67">
        <v>9.6503400000000003E-3</v>
      </c>
      <c r="K3211" s="67">
        <v>3.8149660000000002E-2</v>
      </c>
      <c r="L3211" s="36">
        <f>+K3211-((K3211*0.4642*0.125)+(K3211*(1-0.4642)*0.26))</f>
        <v>3.0621473143220002E-2</v>
      </c>
      <c r="M3211" s="64">
        <f t="shared" si="93"/>
        <v>4.0271813143220002E-2</v>
      </c>
      <c r="N3211" s="33" t="s">
        <v>248</v>
      </c>
    </row>
    <row r="3212" spans="1:14" ht="15">
      <c r="A3212" s="12"/>
      <c r="B3212" s="33" t="s">
        <v>181</v>
      </c>
      <c r="C3212" s="92" t="s">
        <v>335</v>
      </c>
      <c r="D3212" s="33" t="s">
        <v>410</v>
      </c>
      <c r="E3212" s="34">
        <v>45838</v>
      </c>
      <c r="F3212" s="34">
        <v>45839</v>
      </c>
      <c r="G3212" s="34">
        <v>45842</v>
      </c>
      <c r="H3212" s="35">
        <v>0.05</v>
      </c>
      <c r="I3212" s="67">
        <v>0.85060000000000002</v>
      </c>
      <c r="J3212" s="67">
        <v>0.19422507000000033</v>
      </c>
      <c r="K3212" s="67">
        <v>0.65637492999999969</v>
      </c>
      <c r="L3212" s="36">
        <f>+K3212-((K3212*0.4642*0.125)+(K3212*(1-0.4642)*0.26))</f>
        <v>0.52685049593830979</v>
      </c>
      <c r="M3212" s="64">
        <f t="shared" si="93"/>
        <v>0.72107556593831013</v>
      </c>
      <c r="N3212" s="33" t="s">
        <v>248</v>
      </c>
    </row>
    <row r="3213" spans="1:14" ht="15">
      <c r="A3213" s="12"/>
      <c r="B3213" s="33" t="s">
        <v>201</v>
      </c>
      <c r="C3213" s="92" t="s">
        <v>336</v>
      </c>
      <c r="D3213" s="33" t="s">
        <v>410</v>
      </c>
      <c r="E3213" s="34">
        <v>45838</v>
      </c>
      <c r="F3213" s="34">
        <v>45839</v>
      </c>
      <c r="G3213" s="34">
        <v>45842</v>
      </c>
      <c r="H3213" s="35">
        <v>0.05</v>
      </c>
      <c r="I3213" s="67">
        <v>0.87580000000000002</v>
      </c>
      <c r="J3213" s="67">
        <v>9.0767750000000258E-2</v>
      </c>
      <c r="K3213" s="67">
        <v>0.78503224999999976</v>
      </c>
      <c r="L3213" s="36">
        <f>+K3213-((K3213*0.4642*0.125)+(K3213*(1-0.4642)*0.26))</f>
        <v>0.63011948101074977</v>
      </c>
      <c r="M3213" s="64">
        <f t="shared" si="93"/>
        <v>0.72088723101075003</v>
      </c>
      <c r="N3213" s="33" t="s">
        <v>248</v>
      </c>
    </row>
    <row r="3214" spans="1:14" ht="15">
      <c r="A3214" s="12"/>
      <c r="B3214" s="33" t="s">
        <v>138</v>
      </c>
      <c r="C3214" s="92" t="s">
        <v>337</v>
      </c>
      <c r="D3214" s="33" t="s">
        <v>410</v>
      </c>
      <c r="E3214" s="34">
        <v>45838</v>
      </c>
      <c r="F3214" s="34">
        <v>45839</v>
      </c>
      <c r="G3214" s="34">
        <v>45842</v>
      </c>
      <c r="H3214" s="35">
        <v>0.05</v>
      </c>
      <c r="I3214" s="67">
        <v>6.83E-2</v>
      </c>
      <c r="J3214" s="67">
        <v>0</v>
      </c>
      <c r="K3214" s="67">
        <v>6.83E-2</v>
      </c>
      <c r="L3214" s="36">
        <f>+K3214-((K3214*0.3322*0.125)+(K3214*(1-0.3322)*0.26))</f>
        <v>5.3605050099999996E-2</v>
      </c>
      <c r="M3214" s="64">
        <f t="shared" si="93"/>
        <v>5.3605050099999996E-2</v>
      </c>
      <c r="N3214" s="33" t="s">
        <v>248</v>
      </c>
    </row>
    <row r="3215" spans="1:14" ht="15">
      <c r="A3215" s="12"/>
      <c r="B3215" s="33" t="s">
        <v>160</v>
      </c>
      <c r="C3215" s="92" t="s">
        <v>338</v>
      </c>
      <c r="D3215" s="33" t="s">
        <v>410</v>
      </c>
      <c r="E3215" s="34">
        <v>45838</v>
      </c>
      <c r="F3215" s="34">
        <v>45839</v>
      </c>
      <c r="G3215" s="34">
        <v>45842</v>
      </c>
      <c r="H3215" s="35">
        <v>0.05</v>
      </c>
      <c r="I3215" s="67">
        <v>6.59E-2</v>
      </c>
      <c r="J3215" s="67">
        <v>0</v>
      </c>
      <c r="K3215" s="67">
        <v>6.59E-2</v>
      </c>
      <c r="L3215" s="36">
        <f>+K3215-((K3215*0.3322*0.125)+(K3215*(1-0.3322)*0.26))</f>
        <v>5.1721417300000003E-2</v>
      </c>
      <c r="M3215" s="64">
        <f t="shared" si="93"/>
        <v>5.1721417300000003E-2</v>
      </c>
      <c r="N3215" s="33" t="s">
        <v>248</v>
      </c>
    </row>
    <row r="3216" spans="1:14" ht="15">
      <c r="A3216" s="12"/>
      <c r="B3216" s="33" t="s">
        <v>300</v>
      </c>
      <c r="C3216" s="92" t="s">
        <v>404</v>
      </c>
      <c r="D3216" s="33" t="s">
        <v>410</v>
      </c>
      <c r="E3216" s="34">
        <v>45838</v>
      </c>
      <c r="F3216" s="34">
        <v>45839</v>
      </c>
      <c r="G3216" s="34">
        <v>45842</v>
      </c>
      <c r="H3216" s="35">
        <v>0.05</v>
      </c>
      <c r="I3216" s="67">
        <v>5.1999999999999998E-2</v>
      </c>
      <c r="J3216" s="67">
        <v>0</v>
      </c>
      <c r="K3216" s="67">
        <v>5.1999999999999998E-2</v>
      </c>
      <c r="L3216" s="36">
        <f>+K3216-((K3216*0.3322*0.125)+(K3216*(1-0.3322)*0.26))</f>
        <v>4.0812043999999999E-2</v>
      </c>
      <c r="M3216" s="64">
        <f t="shared" si="93"/>
        <v>4.0812043999999999E-2</v>
      </c>
      <c r="N3216" s="33" t="s">
        <v>248</v>
      </c>
    </row>
    <row r="3217" spans="1:14" ht="15">
      <c r="A3217" s="12"/>
      <c r="B3217" s="33" t="s">
        <v>142</v>
      </c>
      <c r="C3217" s="92" t="s">
        <v>341</v>
      </c>
      <c r="D3217" s="33" t="s">
        <v>410</v>
      </c>
      <c r="E3217" s="34">
        <v>45838</v>
      </c>
      <c r="F3217" s="34">
        <v>45839</v>
      </c>
      <c r="G3217" s="34">
        <v>45842</v>
      </c>
      <c r="H3217" s="35">
        <v>5.7500000000000002E-2</v>
      </c>
      <c r="I3217" s="67">
        <v>8.5199999999999998E-2</v>
      </c>
      <c r="J3217" s="67">
        <v>0</v>
      </c>
      <c r="K3217" s="67">
        <v>8.5199999999999998E-2</v>
      </c>
      <c r="L3217" s="36">
        <f>+K3217-((K3217*0.0187*0.125)+(K3217*(1-0.0187)*0.26))</f>
        <v>6.3263087400000001E-2</v>
      </c>
      <c r="M3217" s="64">
        <f t="shared" si="93"/>
        <v>6.3263087400000001E-2</v>
      </c>
      <c r="N3217" s="33" t="s">
        <v>248</v>
      </c>
    </row>
    <row r="3218" spans="1:14" ht="15">
      <c r="A3218" s="12"/>
      <c r="B3218" s="33" t="s">
        <v>159</v>
      </c>
      <c r="C3218" s="92" t="s">
        <v>342</v>
      </c>
      <c r="D3218" s="33" t="s">
        <v>410</v>
      </c>
      <c r="E3218" s="34">
        <v>45838</v>
      </c>
      <c r="F3218" s="34">
        <v>45839</v>
      </c>
      <c r="G3218" s="34">
        <v>45842</v>
      </c>
      <c r="H3218" s="35">
        <v>5.7500000000000002E-2</v>
      </c>
      <c r="I3218" s="67">
        <v>8.2900000000000001E-2</v>
      </c>
      <c r="J3218" s="67">
        <v>0</v>
      </c>
      <c r="K3218" s="67">
        <v>8.2900000000000001E-2</v>
      </c>
      <c r="L3218" s="36">
        <f>+K3218-((K3218*0.0187*0.125)+(K3218*(1-0.0187)*0.26))</f>
        <v>6.1555281049999994E-2</v>
      </c>
      <c r="M3218" s="64">
        <f t="shared" si="93"/>
        <v>6.1555281049999994E-2</v>
      </c>
      <c r="N3218" s="33" t="s">
        <v>248</v>
      </c>
    </row>
    <row r="3219" spans="1:14" ht="15">
      <c r="A3219" s="12"/>
      <c r="B3219" s="33" t="s">
        <v>507</v>
      </c>
      <c r="C3219" s="92" t="s">
        <v>508</v>
      </c>
      <c r="D3219" s="33" t="s">
        <v>410</v>
      </c>
      <c r="E3219" s="34">
        <v>45838</v>
      </c>
      <c r="F3219" s="34">
        <v>45839</v>
      </c>
      <c r="G3219" s="34">
        <v>45842</v>
      </c>
      <c r="H3219" s="35">
        <v>5.7500000000000002E-2</v>
      </c>
      <c r="I3219" s="67">
        <v>6.6900000000000001E-2</v>
      </c>
      <c r="J3219" s="67">
        <v>0</v>
      </c>
      <c r="K3219" s="67">
        <v>6.6900000000000001E-2</v>
      </c>
      <c r="L3219" s="36">
        <f>+K3219-((K3219*0.0187*0.125)+(K3219*(1-0.0187)*0.26))</f>
        <v>4.9674889049999997E-2</v>
      </c>
      <c r="M3219" s="64">
        <f t="shared" si="93"/>
        <v>4.9674889049999997E-2</v>
      </c>
      <c r="N3219" s="33" t="s">
        <v>248</v>
      </c>
    </row>
    <row r="3220" spans="1:14" ht="15">
      <c r="A3220" s="12"/>
      <c r="B3220" s="33" t="s">
        <v>139</v>
      </c>
      <c r="C3220" s="92" t="s">
        <v>344</v>
      </c>
      <c r="D3220" s="33" t="s">
        <v>410</v>
      </c>
      <c r="E3220" s="34">
        <v>45838</v>
      </c>
      <c r="F3220" s="34">
        <v>45839</v>
      </c>
      <c r="G3220" s="34">
        <v>45842</v>
      </c>
      <c r="H3220" s="35">
        <v>0.05</v>
      </c>
      <c r="I3220" s="67">
        <v>4.8599999999999997E-2</v>
      </c>
      <c r="J3220" s="67">
        <v>0</v>
      </c>
      <c r="K3220" s="67">
        <v>4.8599999999999997E-2</v>
      </c>
      <c r="L3220" s="36">
        <f>+K3220-((K3220*0.8462*0.125)+(K3220*(1-0.8462)*0.26))</f>
        <v>4.1515918200000002E-2</v>
      </c>
      <c r="M3220" s="64">
        <f t="shared" si="93"/>
        <v>4.1515918200000002E-2</v>
      </c>
      <c r="N3220" s="33" t="s">
        <v>248</v>
      </c>
    </row>
    <row r="3221" spans="1:14" ht="15">
      <c r="A3221" s="12"/>
      <c r="B3221" s="33" t="s">
        <v>161</v>
      </c>
      <c r="C3221" s="92" t="s">
        <v>345</v>
      </c>
      <c r="D3221" s="33" t="s">
        <v>410</v>
      </c>
      <c r="E3221" s="34">
        <v>45838</v>
      </c>
      <c r="F3221" s="34">
        <v>45839</v>
      </c>
      <c r="G3221" s="34">
        <v>45842</v>
      </c>
      <c r="H3221" s="35">
        <v>0.05</v>
      </c>
      <c r="I3221" s="67">
        <v>4.7300000000000002E-2</v>
      </c>
      <c r="J3221" s="67">
        <v>0</v>
      </c>
      <c r="K3221" s="67">
        <v>4.7300000000000002E-2</v>
      </c>
      <c r="L3221" s="36">
        <f>+K3221-((K3221*0.8462*0.125)+(K3221*(1-0.8462)*0.26))</f>
        <v>4.0405410099999997E-2</v>
      </c>
      <c r="M3221" s="64">
        <f t="shared" si="93"/>
        <v>4.0405410099999997E-2</v>
      </c>
      <c r="N3221" s="33" t="s">
        <v>248</v>
      </c>
    </row>
    <row r="3222" spans="1:14" ht="15">
      <c r="A3222" s="12"/>
      <c r="B3222" s="33" t="s">
        <v>141</v>
      </c>
      <c r="C3222" s="92" t="s">
        <v>348</v>
      </c>
      <c r="D3222" s="33" t="s">
        <v>410</v>
      </c>
      <c r="E3222" s="34">
        <v>45838</v>
      </c>
      <c r="F3222" s="34">
        <v>45839</v>
      </c>
      <c r="G3222" s="34">
        <v>45842</v>
      </c>
      <c r="H3222" s="35">
        <v>0.05</v>
      </c>
      <c r="I3222" s="67">
        <v>4.9599999999999998E-2</v>
      </c>
      <c r="J3222" s="67">
        <v>0</v>
      </c>
      <c r="K3222" s="67">
        <v>4.9599999999999998E-2</v>
      </c>
      <c r="L3222" s="36">
        <f>+K3222-((K3222*0.051*0.125)+(K3222*(1-0.051)*0.26))</f>
        <v>3.7045495999999997E-2</v>
      </c>
      <c r="M3222" s="64">
        <f t="shared" si="93"/>
        <v>3.7045495999999997E-2</v>
      </c>
      <c r="N3222" s="33" t="s">
        <v>248</v>
      </c>
    </row>
    <row r="3223" spans="1:14" ht="15">
      <c r="A3223" s="12"/>
      <c r="B3223" s="33" t="s">
        <v>140</v>
      </c>
      <c r="C3223" s="92" t="s">
        <v>349</v>
      </c>
      <c r="D3223" s="33" t="s">
        <v>410</v>
      </c>
      <c r="E3223" s="34">
        <v>45838</v>
      </c>
      <c r="F3223" s="34">
        <v>45839</v>
      </c>
      <c r="G3223" s="34">
        <v>45842</v>
      </c>
      <c r="H3223" s="35">
        <v>0.05</v>
      </c>
      <c r="I3223" s="67">
        <v>6.4699999999999994E-2</v>
      </c>
      <c r="J3223" s="67">
        <v>0</v>
      </c>
      <c r="K3223" s="67">
        <v>6.4699999999999994E-2</v>
      </c>
      <c r="L3223" s="36">
        <f>+K3223-((K3223*0.051*0.125)+(K3223*(1-0.051)*0.26))</f>
        <v>4.8323459499999999E-2</v>
      </c>
      <c r="M3223" s="64">
        <f t="shared" si="93"/>
        <v>4.8323459499999999E-2</v>
      </c>
      <c r="N3223" s="33" t="s">
        <v>248</v>
      </c>
    </row>
    <row r="3224" spans="1:14" ht="15">
      <c r="A3224" s="12"/>
      <c r="B3224" s="33" t="s">
        <v>162</v>
      </c>
      <c r="C3224" s="92" t="s">
        <v>350</v>
      </c>
      <c r="D3224" s="33" t="s">
        <v>410</v>
      </c>
      <c r="E3224" s="34">
        <v>45838</v>
      </c>
      <c r="F3224" s="34">
        <v>45839</v>
      </c>
      <c r="G3224" s="34">
        <v>45842</v>
      </c>
      <c r="H3224" s="35">
        <v>0.05</v>
      </c>
      <c r="I3224" s="67">
        <v>6.25E-2</v>
      </c>
      <c r="J3224" s="67">
        <v>0</v>
      </c>
      <c r="K3224" s="67">
        <v>6.25E-2</v>
      </c>
      <c r="L3224" s="36">
        <f>+K3224-((K3224*0.051*0.125)+(K3224*(1-0.051)*0.26))</f>
        <v>4.6680312500000001E-2</v>
      </c>
      <c r="M3224" s="64">
        <f t="shared" si="93"/>
        <v>4.6680312500000001E-2</v>
      </c>
      <c r="N3224" s="33" t="s">
        <v>248</v>
      </c>
    </row>
    <row r="3225" spans="1:14" ht="15">
      <c r="A3225" s="12"/>
      <c r="B3225" s="33" t="s">
        <v>302</v>
      </c>
      <c r="C3225" s="92" t="s">
        <v>405</v>
      </c>
      <c r="D3225" s="33" t="s">
        <v>410</v>
      </c>
      <c r="E3225" s="34">
        <v>45838</v>
      </c>
      <c r="F3225" s="34">
        <v>45839</v>
      </c>
      <c r="G3225" s="34">
        <v>45842</v>
      </c>
      <c r="H3225" s="35">
        <v>0.05</v>
      </c>
      <c r="I3225" s="67">
        <v>5.1200000000000002E-2</v>
      </c>
      <c r="J3225" s="67">
        <v>0</v>
      </c>
      <c r="K3225" s="67">
        <v>5.1200000000000009E-2</v>
      </c>
      <c r="L3225" s="36">
        <f>+K3225-((K3225*0.051*0.125)+(K3225*(1-0.051)*0.26))</f>
        <v>3.8240512000000004E-2</v>
      </c>
      <c r="M3225" s="64">
        <f t="shared" si="93"/>
        <v>3.8240512000000004E-2</v>
      </c>
      <c r="N3225" s="33" t="s">
        <v>248</v>
      </c>
    </row>
    <row r="3226" spans="1:14" ht="15">
      <c r="A3226" s="12"/>
      <c r="B3226" s="33" t="s">
        <v>303</v>
      </c>
      <c r="C3226" s="92" t="s">
        <v>406</v>
      </c>
      <c r="D3226" s="33" t="s">
        <v>410</v>
      </c>
      <c r="E3226" s="34">
        <v>45838</v>
      </c>
      <c r="F3226" s="34">
        <v>45839</v>
      </c>
      <c r="G3226" s="34">
        <v>45842</v>
      </c>
      <c r="H3226" s="35">
        <v>0.05</v>
      </c>
      <c r="I3226" s="67">
        <v>6.0100000000000001E-2</v>
      </c>
      <c r="J3226" s="67">
        <v>0</v>
      </c>
      <c r="K3226" s="67">
        <v>6.0099999999999994E-2</v>
      </c>
      <c r="L3226" s="36">
        <f>+K3226-((K3226*0.051*0.125)+(K3226*(1-0.051)*0.26))</f>
        <v>4.4887788499999998E-2</v>
      </c>
      <c r="M3226" s="64">
        <f t="shared" si="93"/>
        <v>4.4887788499999998E-2</v>
      </c>
      <c r="N3226" s="33" t="s">
        <v>248</v>
      </c>
    </row>
    <row r="3227" spans="1:14" ht="15">
      <c r="A3227" s="12"/>
      <c r="B3227" s="33" t="s">
        <v>143</v>
      </c>
      <c r="C3227" s="92" t="s">
        <v>351</v>
      </c>
      <c r="D3227" s="33" t="s">
        <v>410</v>
      </c>
      <c r="E3227" s="34">
        <v>45838</v>
      </c>
      <c r="F3227" s="34">
        <v>45839</v>
      </c>
      <c r="G3227" s="34">
        <v>45842</v>
      </c>
      <c r="H3227" s="35">
        <v>2.5000000000000001E-2</v>
      </c>
      <c r="I3227" s="67">
        <v>2.75E-2</v>
      </c>
      <c r="J3227" s="67">
        <v>5.2332199999999968E-3</v>
      </c>
      <c r="K3227" s="67">
        <v>2.2266780000000003E-2</v>
      </c>
      <c r="L3227" s="36">
        <f>+K3227-((K3227*0.4252*0.125)+(K3227*(1-0.4252)*0.26))</f>
        <v>1.7755574905560002E-2</v>
      </c>
      <c r="M3227" s="64">
        <f t="shared" si="93"/>
        <v>2.2988794905559998E-2</v>
      </c>
      <c r="N3227" s="33" t="s">
        <v>248</v>
      </c>
    </row>
    <row r="3228" spans="1:14" ht="15">
      <c r="A3228" s="12"/>
      <c r="B3228" s="33" t="s">
        <v>145</v>
      </c>
      <c r="C3228" s="92" t="s">
        <v>974</v>
      </c>
      <c r="D3228" s="33" t="s">
        <v>410</v>
      </c>
      <c r="E3228" s="34">
        <v>45838</v>
      </c>
      <c r="F3228" s="34">
        <v>45839</v>
      </c>
      <c r="G3228" s="34">
        <v>45842</v>
      </c>
      <c r="H3228" s="35">
        <v>0.03</v>
      </c>
      <c r="I3228" s="67">
        <v>3.4599999999999999E-2</v>
      </c>
      <c r="J3228" s="67">
        <v>1.0410300000000053E-3</v>
      </c>
      <c r="K3228" s="67">
        <v>3.3558969999999994E-2</v>
      </c>
      <c r="L3228" s="36">
        <f>+K3228-((K3228*0.0501*0.125)+(K3228*(1-0.0501)*0.26))</f>
        <v>2.5060613893594996E-2</v>
      </c>
      <c r="M3228" s="64">
        <f t="shared" si="93"/>
        <v>2.6101643893595001E-2</v>
      </c>
      <c r="N3228" s="33" t="s">
        <v>248</v>
      </c>
    </row>
    <row r="3229" spans="1:14" ht="15">
      <c r="A3229" s="12"/>
      <c r="B3229" s="33" t="s">
        <v>144</v>
      </c>
      <c r="C3229" s="92" t="s">
        <v>973</v>
      </c>
      <c r="D3229" s="33" t="s">
        <v>410</v>
      </c>
      <c r="E3229" s="34">
        <v>45838</v>
      </c>
      <c r="F3229" s="34">
        <v>45839</v>
      </c>
      <c r="G3229" s="34">
        <v>45842</v>
      </c>
      <c r="H3229" s="35">
        <v>0.02</v>
      </c>
      <c r="I3229" s="67">
        <v>2.1600000000000001E-2</v>
      </c>
      <c r="J3229" s="67">
        <v>6.4165500000000035E-3</v>
      </c>
      <c r="K3229" s="67">
        <v>1.5183449999999998E-2</v>
      </c>
      <c r="L3229" s="36">
        <f>+K3229-((K3229*0.7372*0.125)+(K3229*(1-0.7372)*0.26))</f>
        <v>1.2746840310899999E-2</v>
      </c>
      <c r="M3229" s="64">
        <f t="shared" si="93"/>
        <v>1.9163390310900003E-2</v>
      </c>
      <c r="N3229" s="33" t="s">
        <v>248</v>
      </c>
    </row>
    <row r="3230" spans="1:14" ht="15">
      <c r="A3230" s="12"/>
      <c r="B3230" s="33" t="s">
        <v>148</v>
      </c>
      <c r="C3230" s="92" t="s">
        <v>362</v>
      </c>
      <c r="D3230" s="33" t="s">
        <v>410</v>
      </c>
      <c r="E3230" s="34">
        <v>45838</v>
      </c>
      <c r="F3230" s="34">
        <v>45839</v>
      </c>
      <c r="G3230" s="34">
        <v>45842</v>
      </c>
      <c r="H3230" s="35">
        <v>0.05</v>
      </c>
      <c r="I3230" s="67">
        <v>6.5100000000000005E-2</v>
      </c>
      <c r="J3230" s="67">
        <v>2.8487805907376609E-2</v>
      </c>
      <c r="K3230" s="67">
        <v>3.6612194092623396E-2</v>
      </c>
      <c r="L3230" s="36">
        <f>+K3230-((K3230*0.5205*0.125)+(K3230*(1-0.5205)*0.26))</f>
        <v>2.9665670976944728E-2</v>
      </c>
      <c r="M3230" s="64">
        <f t="shared" si="93"/>
        <v>5.8153476884321334E-2</v>
      </c>
      <c r="N3230" s="33" t="s">
        <v>248</v>
      </c>
    </row>
    <row r="3231" spans="1:14" ht="15">
      <c r="A3231" s="12"/>
      <c r="B3231" s="33" t="s">
        <v>200</v>
      </c>
      <c r="C3231" s="92" t="s">
        <v>365</v>
      </c>
      <c r="D3231" s="33" t="s">
        <v>410</v>
      </c>
      <c r="E3231" s="34">
        <v>45838</v>
      </c>
      <c r="F3231" s="34">
        <v>45839</v>
      </c>
      <c r="G3231" s="34">
        <v>45842</v>
      </c>
      <c r="H3231" s="35">
        <v>0.05</v>
      </c>
      <c r="I3231" s="67">
        <v>1.0024</v>
      </c>
      <c r="J3231" s="67">
        <v>0.43280030564163519</v>
      </c>
      <c r="K3231" s="67">
        <v>0.56959969435836477</v>
      </c>
      <c r="L3231" s="36">
        <f>+K3231-((K3231*0.5205*0.125)+(K3231*(1-0.5205)*0.26))</f>
        <v>0.46152812034851631</v>
      </c>
      <c r="M3231" s="64">
        <f t="shared" si="93"/>
        <v>0.8943284259901515</v>
      </c>
      <c r="N3231" s="33" t="s">
        <v>248</v>
      </c>
    </row>
    <row r="3232" spans="1:14" ht="15">
      <c r="A3232" s="12"/>
      <c r="B3232" s="33" t="s">
        <v>173</v>
      </c>
      <c r="C3232" s="92" t="s">
        <v>372</v>
      </c>
      <c r="D3232" s="33" t="s">
        <v>410</v>
      </c>
      <c r="E3232" s="34">
        <v>45838</v>
      </c>
      <c r="F3232" s="34">
        <v>45839</v>
      </c>
      <c r="G3232" s="34">
        <v>45842</v>
      </c>
      <c r="H3232" s="35">
        <v>0.03</v>
      </c>
      <c r="I3232" s="67">
        <v>3.8199999999999998E-2</v>
      </c>
      <c r="J3232" s="67">
        <v>9.8336899999999991E-3</v>
      </c>
      <c r="K3232" s="67">
        <v>2.8366309999999999E-2</v>
      </c>
      <c r="L3232" s="36">
        <f>+K3232-((K3232*0.4507*0.125)+(K3232*(1-0.4507)*0.26))</f>
        <v>2.2717003348794999E-2</v>
      </c>
      <c r="M3232" s="64">
        <f t="shared" si="93"/>
        <v>3.2550693348794998E-2</v>
      </c>
      <c r="N3232" s="33" t="s">
        <v>248</v>
      </c>
    </row>
    <row r="3233" spans="1:14" ht="15">
      <c r="A3233" s="12"/>
      <c r="B3233" s="33" t="s">
        <v>150</v>
      </c>
      <c r="C3233" s="92" t="s">
        <v>377</v>
      </c>
      <c r="D3233" s="33" t="s">
        <v>410</v>
      </c>
      <c r="E3233" s="34">
        <v>45838</v>
      </c>
      <c r="F3233" s="34">
        <v>45839</v>
      </c>
      <c r="G3233" s="34">
        <v>45842</v>
      </c>
      <c r="H3233" s="35">
        <v>0.05</v>
      </c>
      <c r="I3233" s="67">
        <v>6.54E-2</v>
      </c>
      <c r="J3233" s="67">
        <v>1.3525860000000008E-2</v>
      </c>
      <c r="K3233" s="67">
        <v>5.1874139999999992E-2</v>
      </c>
      <c r="L3233" s="36">
        <f>+K3233-((K3233*0.000000001*0.125)+(K3233*(1-0.000000001)*0.26))</f>
        <v>3.8386863607003004E-2</v>
      </c>
      <c r="M3233" s="64">
        <f t="shared" si="93"/>
        <v>5.1912723607003011E-2</v>
      </c>
      <c r="N3233" s="33" t="s">
        <v>248</v>
      </c>
    </row>
    <row r="3234" spans="1:14" ht="15">
      <c r="A3234" s="12"/>
      <c r="B3234" s="33" t="s">
        <v>510</v>
      </c>
      <c r="C3234" s="92" t="s">
        <v>509</v>
      </c>
      <c r="D3234" s="33" t="s">
        <v>410</v>
      </c>
      <c r="E3234" s="34">
        <v>45838</v>
      </c>
      <c r="F3234" s="34">
        <v>45839</v>
      </c>
      <c r="G3234" s="34">
        <v>45842</v>
      </c>
      <c r="H3234" s="35">
        <v>0.05</v>
      </c>
      <c r="I3234" s="67">
        <v>5.6899999999999999E-2</v>
      </c>
      <c r="J3234" s="67">
        <v>1.4029899999999984E-2</v>
      </c>
      <c r="K3234" s="67">
        <v>4.2870100000000015E-2</v>
      </c>
      <c r="L3234" s="36">
        <f>+K3234-((K3234*0.000000001*0.125)+(K3234*(1-0.000000001)*0.26))</f>
        <v>3.1723874005787474E-2</v>
      </c>
      <c r="M3234" s="64">
        <f t="shared" si="93"/>
        <v>4.5753774005787458E-2</v>
      </c>
      <c r="N3234" s="33" t="s">
        <v>248</v>
      </c>
    </row>
    <row r="3235" spans="1:14" ht="15">
      <c r="A3235" s="12"/>
      <c r="B3235" s="33" t="s">
        <v>441</v>
      </c>
      <c r="C3235" s="92" t="s">
        <v>978</v>
      </c>
      <c r="D3235" s="33" t="s">
        <v>410</v>
      </c>
      <c r="E3235" s="34">
        <v>45838</v>
      </c>
      <c r="F3235" s="34">
        <v>45839</v>
      </c>
      <c r="G3235" s="34">
        <v>45842</v>
      </c>
      <c r="H3235" s="35">
        <v>0.04</v>
      </c>
      <c r="I3235" s="67">
        <v>0.05</v>
      </c>
      <c r="J3235" s="67">
        <v>2.5167860000000004E-2</v>
      </c>
      <c r="K3235" s="67">
        <v>2.4799999999999999E-2</v>
      </c>
      <c r="L3235" s="36">
        <f>+K3235-((K3235*0.2054*0.125)+(K3235*(1-0.2054)*0.26))</f>
        <v>1.90396792E-2</v>
      </c>
      <c r="M3235" s="64">
        <f t="shared" si="93"/>
        <v>4.4207539200000007E-2</v>
      </c>
      <c r="N3235" s="33" t="s">
        <v>248</v>
      </c>
    </row>
    <row r="3236" spans="1:14" ht="15">
      <c r="A3236" s="12"/>
      <c r="B3236" s="33" t="s">
        <v>440</v>
      </c>
      <c r="C3236" s="92" t="s">
        <v>977</v>
      </c>
      <c r="D3236" s="33" t="s">
        <v>410</v>
      </c>
      <c r="E3236" s="34">
        <v>45838</v>
      </c>
      <c r="F3236" s="34">
        <v>45839</v>
      </c>
      <c r="G3236" s="34">
        <v>45842</v>
      </c>
      <c r="H3236" s="35">
        <v>0.04</v>
      </c>
      <c r="I3236" s="67">
        <v>1</v>
      </c>
      <c r="J3236" s="67">
        <v>3.3099999999999997E-2</v>
      </c>
      <c r="K3236" s="67">
        <v>0.96689999999999998</v>
      </c>
      <c r="L3236" s="36">
        <f>+K3236-((K3236*0.2054*0.125)+(K3236*(1-0.2054)*0.26))</f>
        <v>0.74231717009999998</v>
      </c>
      <c r="M3236" s="64">
        <f t="shared" si="93"/>
        <v>0.7754171701</v>
      </c>
      <c r="N3236" s="33" t="s">
        <v>248</v>
      </c>
    </row>
    <row r="3237" spans="1:14" ht="15">
      <c r="A3237" s="12"/>
      <c r="B3237" s="33" t="s">
        <v>299</v>
      </c>
      <c r="C3237" s="92" t="s">
        <v>517</v>
      </c>
      <c r="D3237" s="33" t="s">
        <v>410</v>
      </c>
      <c r="E3237" s="34">
        <v>45838</v>
      </c>
      <c r="F3237" s="34">
        <v>45839</v>
      </c>
      <c r="G3237" s="34">
        <v>45842</v>
      </c>
      <c r="H3237" s="35">
        <v>0.03</v>
      </c>
      <c r="I3237" s="67">
        <v>3.39E-2</v>
      </c>
      <c r="J3237" s="67">
        <v>2.819909E-2</v>
      </c>
      <c r="K3237" s="67">
        <v>5.70091E-3</v>
      </c>
      <c r="L3237" s="36">
        <f>+K3237-((K3237*0.344*0.125)+(K3237*(1-0.344)*0.26))</f>
        <v>4.4834236603999997E-3</v>
      </c>
      <c r="M3237" s="64">
        <f t="shared" si="93"/>
        <v>3.2682513660400002E-2</v>
      </c>
      <c r="N3237" s="33" t="s">
        <v>248</v>
      </c>
    </row>
    <row r="3238" spans="1:14" ht="15">
      <c r="A3238" s="12"/>
      <c r="B3238" s="33" t="s">
        <v>182</v>
      </c>
      <c r="C3238" s="92" t="s">
        <v>477</v>
      </c>
      <c r="D3238" s="33" t="s">
        <v>410</v>
      </c>
      <c r="E3238" s="34">
        <v>45838</v>
      </c>
      <c r="F3238" s="34">
        <v>45839</v>
      </c>
      <c r="G3238" s="34">
        <v>45842</v>
      </c>
      <c r="H3238" s="35">
        <v>0.03</v>
      </c>
      <c r="I3238" s="67">
        <v>0.65629999999999999</v>
      </c>
      <c r="J3238" s="67">
        <v>0.58848856999999999</v>
      </c>
      <c r="K3238" s="67">
        <v>6.7811429999999992E-2</v>
      </c>
      <c r="L3238" s="36">
        <f>+K3238-((K3238*0.344*0.125)+(K3238*(1-0.344)*0.26))</f>
        <v>5.3329621009199996E-2</v>
      </c>
      <c r="M3238" s="64">
        <f t="shared" si="93"/>
        <v>0.64181819100920001</v>
      </c>
      <c r="N3238" s="33" t="s">
        <v>248</v>
      </c>
    </row>
    <row r="3239" spans="1:14" ht="15">
      <c r="A3239" s="12"/>
      <c r="B3239" s="33" t="s">
        <v>202</v>
      </c>
      <c r="C3239" s="92" t="s">
        <v>478</v>
      </c>
      <c r="D3239" s="33" t="s">
        <v>410</v>
      </c>
      <c r="E3239" s="34">
        <v>45838</v>
      </c>
      <c r="F3239" s="34">
        <v>45839</v>
      </c>
      <c r="G3239" s="34">
        <v>45842</v>
      </c>
      <c r="H3239" s="35">
        <v>0.03</v>
      </c>
      <c r="I3239" s="67">
        <v>0.67789999999999995</v>
      </c>
      <c r="J3239" s="67">
        <v>0.48644467999999996</v>
      </c>
      <c r="K3239" s="67">
        <v>0.19145532000000001</v>
      </c>
      <c r="L3239" s="36">
        <f>+K3239-((K3239*0.344*0.125)+(K3239*(1-0.344)*0.26))</f>
        <v>0.15056812186080001</v>
      </c>
      <c r="M3239" s="64">
        <f t="shared" si="93"/>
        <v>0.6370128018608</v>
      </c>
      <c r="N3239" s="33" t="s">
        <v>248</v>
      </c>
    </row>
    <row r="3240" spans="1:14" ht="15">
      <c r="A3240" s="12"/>
      <c r="B3240" s="33" t="s">
        <v>146</v>
      </c>
      <c r="C3240" s="92" t="s">
        <v>380</v>
      </c>
      <c r="D3240" s="33" t="s">
        <v>410</v>
      </c>
      <c r="E3240" s="34">
        <v>45838</v>
      </c>
      <c r="F3240" s="34">
        <v>45839</v>
      </c>
      <c r="G3240" s="34">
        <v>45842</v>
      </c>
      <c r="H3240" s="35">
        <v>4.4999999999999998E-2</v>
      </c>
      <c r="I3240" s="67">
        <v>6.3500000000000001E-2</v>
      </c>
      <c r="J3240" s="67">
        <v>1.370681E-2</v>
      </c>
      <c r="K3240" s="67">
        <v>4.9793190000000001E-2</v>
      </c>
      <c r="L3240" s="36">
        <f>+K3240-((K3240*0.0346*0.125)+(K3240*(1-0.0346)*0.26))</f>
        <v>3.7079544590489996E-2</v>
      </c>
      <c r="M3240" s="64">
        <f t="shared" si="93"/>
        <v>5.0786354590489996E-2</v>
      </c>
      <c r="N3240" s="33" t="s">
        <v>248</v>
      </c>
    </row>
    <row r="3241" spans="1:14" ht="15">
      <c r="A3241" s="12"/>
      <c r="B3241" s="33" t="s">
        <v>163</v>
      </c>
      <c r="C3241" s="92" t="s">
        <v>381</v>
      </c>
      <c r="D3241" s="33" t="s">
        <v>410</v>
      </c>
      <c r="E3241" s="34">
        <v>45838</v>
      </c>
      <c r="F3241" s="34">
        <v>45839</v>
      </c>
      <c r="G3241" s="34">
        <v>45842</v>
      </c>
      <c r="H3241" s="35">
        <v>4.4999999999999998E-2</v>
      </c>
      <c r="I3241" s="67">
        <v>5.5899999999999998E-2</v>
      </c>
      <c r="J3241" s="67">
        <v>1.805312999999998E-2</v>
      </c>
      <c r="K3241" s="67">
        <v>3.7846870000000019E-2</v>
      </c>
      <c r="L3241" s="36">
        <f>+K3241-((K3241*0.0346*0.125)+(K3241*(1-0.0346)*0.26))</f>
        <v>2.818346652977001E-2</v>
      </c>
      <c r="M3241" s="64">
        <f t="shared" si="93"/>
        <v>4.623659652976999E-2</v>
      </c>
      <c r="N3241" s="33" t="s">
        <v>248</v>
      </c>
    </row>
    <row r="3242" spans="1:14" ht="15">
      <c r="A3242" s="12"/>
      <c r="B3242" s="33" t="s">
        <v>151</v>
      </c>
      <c r="C3242" s="92" t="s">
        <v>383</v>
      </c>
      <c r="D3242" s="33" t="s">
        <v>410</v>
      </c>
      <c r="E3242" s="34">
        <v>45838</v>
      </c>
      <c r="F3242" s="34">
        <v>45839</v>
      </c>
      <c r="G3242" s="34">
        <v>45842</v>
      </c>
      <c r="H3242" s="35">
        <v>4.4999999999999998E-2</v>
      </c>
      <c r="I3242" s="67">
        <v>5.1700000000000003E-2</v>
      </c>
      <c r="J3242" s="67">
        <v>7.2049000000000141E-3</v>
      </c>
      <c r="K3242" s="67">
        <v>4.4495099999999989E-2</v>
      </c>
      <c r="L3242" s="36">
        <f>+K3242-((K3242*0.0274*0.125)+(K3242*(1-0.0274)*0.26))</f>
        <v>3.3090961374899988E-2</v>
      </c>
      <c r="M3242" s="64">
        <f t="shared" si="93"/>
        <v>4.0295861374900002E-2</v>
      </c>
      <c r="N3242" s="33" t="s">
        <v>248</v>
      </c>
    </row>
    <row r="3243" spans="1:14" ht="15">
      <c r="A3243" s="12"/>
      <c r="B3243" s="33" t="s">
        <v>166</v>
      </c>
      <c r="C3243" s="92" t="s">
        <v>384</v>
      </c>
      <c r="D3243" s="33" t="s">
        <v>410</v>
      </c>
      <c r="E3243" s="34">
        <v>45838</v>
      </c>
      <c r="F3243" s="34">
        <v>45839</v>
      </c>
      <c r="G3243" s="34">
        <v>45842</v>
      </c>
      <c r="H3243" s="35">
        <v>4.4999999999999998E-2</v>
      </c>
      <c r="I3243" s="67">
        <v>5.04E-2</v>
      </c>
      <c r="J3243" s="67">
        <v>1.250529999999999E-2</v>
      </c>
      <c r="K3243" s="67">
        <v>3.789470000000001E-2</v>
      </c>
      <c r="L3243" s="36">
        <f>+K3243-((K3243*0.0274*0.125)+(K3243*(1-0.0274)*0.26))</f>
        <v>2.8182250495300008E-2</v>
      </c>
      <c r="M3243" s="64">
        <f t="shared" si="93"/>
        <v>4.0687550495299998E-2</v>
      </c>
      <c r="N3243" s="33" t="s">
        <v>248</v>
      </c>
    </row>
    <row r="3244" spans="1:14" ht="15">
      <c r="A3244" s="12"/>
      <c r="B3244" s="33" t="s">
        <v>149</v>
      </c>
      <c r="C3244" s="92" t="s">
        <v>386</v>
      </c>
      <c r="D3244" s="33" t="s">
        <v>410</v>
      </c>
      <c r="E3244" s="34">
        <v>45838</v>
      </c>
      <c r="F3244" s="34">
        <v>45839</v>
      </c>
      <c r="G3244" s="34">
        <v>45842</v>
      </c>
      <c r="H3244" s="35">
        <v>5.2499999999999998E-2</v>
      </c>
      <c r="I3244" s="67">
        <v>7.2300000000000003E-2</v>
      </c>
      <c r="J3244" s="67">
        <v>0</v>
      </c>
      <c r="K3244" s="67">
        <v>7.2300000000000003E-2</v>
      </c>
      <c r="L3244" s="36">
        <f>+K3244-((K3244*0.0283*0.125)+(K3244*(1-0.0283)*0.26))</f>
        <v>5.3778222149999999E-2</v>
      </c>
      <c r="M3244" s="64">
        <f t="shared" si="93"/>
        <v>5.3778222149999999E-2</v>
      </c>
      <c r="N3244" s="33" t="s">
        <v>248</v>
      </c>
    </row>
    <row r="3245" spans="1:14" ht="15">
      <c r="A3245" s="12"/>
      <c r="B3245" s="33" t="s">
        <v>165</v>
      </c>
      <c r="C3245" s="92" t="s">
        <v>387</v>
      </c>
      <c r="D3245" s="33" t="s">
        <v>410</v>
      </c>
      <c r="E3245" s="34">
        <v>45838</v>
      </c>
      <c r="F3245" s="34">
        <v>45839</v>
      </c>
      <c r="G3245" s="34">
        <v>45842</v>
      </c>
      <c r="H3245" s="35">
        <v>5.2499999999999998E-2</v>
      </c>
      <c r="I3245" s="67">
        <v>6.6299999999999998E-2</v>
      </c>
      <c r="J3245" s="67">
        <v>0</v>
      </c>
      <c r="K3245" s="67">
        <v>6.6299999999999998E-2</v>
      </c>
      <c r="L3245" s="36">
        <f>+K3245-((K3245*0.0283*0.125)+(K3245*(1-0.0283)*0.26))</f>
        <v>4.9315299149999998E-2</v>
      </c>
      <c r="M3245" s="64">
        <f t="shared" si="93"/>
        <v>4.9315299149999998E-2</v>
      </c>
      <c r="N3245" s="33" t="s">
        <v>248</v>
      </c>
    </row>
    <row r="3246" spans="1:14" ht="15">
      <c r="A3246" s="12"/>
      <c r="B3246" s="33" t="s">
        <v>153</v>
      </c>
      <c r="C3246" s="92" t="s">
        <v>873</v>
      </c>
      <c r="D3246" s="33" t="s">
        <v>410</v>
      </c>
      <c r="E3246" s="34">
        <v>45838</v>
      </c>
      <c r="F3246" s="34">
        <v>45839</v>
      </c>
      <c r="G3246" s="34">
        <v>45842</v>
      </c>
      <c r="H3246" s="35">
        <v>4.8750000000000002E-2</v>
      </c>
      <c r="I3246" s="67">
        <v>4.7800000000000002E-2</v>
      </c>
      <c r="J3246" s="67">
        <v>5.7695600000000069E-3</v>
      </c>
      <c r="K3246" s="67">
        <v>4.2030439999999995E-2</v>
      </c>
      <c r="L3246" s="36">
        <f>+K3246-((K3246*0.2266*0.125)+(K3246*(1-0.2266)*0.26))</f>
        <v>3.2388278790039998E-2</v>
      </c>
      <c r="M3246" s="64">
        <f t="shared" si="93"/>
        <v>3.8157838790040005E-2</v>
      </c>
      <c r="N3246" s="33" t="s">
        <v>248</v>
      </c>
    </row>
    <row r="3247" spans="1:14" ht="15">
      <c r="A3247" s="12"/>
      <c r="B3247" s="33" t="s">
        <v>152</v>
      </c>
      <c r="C3247" s="92" t="s">
        <v>874</v>
      </c>
      <c r="D3247" s="33" t="s">
        <v>410</v>
      </c>
      <c r="E3247" s="34">
        <v>45838</v>
      </c>
      <c r="F3247" s="34">
        <v>45839</v>
      </c>
      <c r="G3247" s="34">
        <v>45842</v>
      </c>
      <c r="H3247" s="35">
        <v>4.8750000000000002E-2</v>
      </c>
      <c r="I3247" s="67">
        <v>7.6499999999999999E-2</v>
      </c>
      <c r="J3247" s="67">
        <v>1.4021449999999991E-2</v>
      </c>
      <c r="K3247" s="67">
        <v>6.2478550000000008E-2</v>
      </c>
      <c r="L3247" s="36">
        <f>+K3247-((K3247*0.2266*0.125)+(K3247*(1-0.2266)*0.26))</f>
        <v>4.8145408323050004E-2</v>
      </c>
      <c r="M3247" s="64">
        <f t="shared" si="93"/>
        <v>6.2166858323049995E-2</v>
      </c>
      <c r="N3247" s="33" t="s">
        <v>248</v>
      </c>
    </row>
    <row r="3248" spans="1:14" ht="15">
      <c r="A3248" s="12"/>
      <c r="B3248" s="33" t="s">
        <v>167</v>
      </c>
      <c r="C3248" s="92" t="s">
        <v>875</v>
      </c>
      <c r="D3248" s="33" t="s">
        <v>410</v>
      </c>
      <c r="E3248" s="34">
        <v>45838</v>
      </c>
      <c r="F3248" s="34">
        <v>45839</v>
      </c>
      <c r="G3248" s="34">
        <v>45842</v>
      </c>
      <c r="H3248" s="35">
        <v>4.8750000000000002E-2</v>
      </c>
      <c r="I3248" s="67">
        <v>7.17E-2</v>
      </c>
      <c r="J3248" s="67">
        <v>2.0505870000000002E-2</v>
      </c>
      <c r="K3248" s="67">
        <v>5.1194129999999997E-2</v>
      </c>
      <c r="L3248" s="36">
        <f>+K3248-((K3248*0.2266*0.125)+(K3248*(1-0.2266)*0.26))</f>
        <v>3.9449735830830002E-2</v>
      </c>
      <c r="M3248" s="64">
        <f t="shared" si="93"/>
        <v>5.9955605830830004E-2</v>
      </c>
      <c r="N3248" s="33" t="s">
        <v>248</v>
      </c>
    </row>
    <row r="3249" spans="1:14" ht="15">
      <c r="A3249" s="12"/>
      <c r="B3249" s="33" t="s">
        <v>301</v>
      </c>
      <c r="C3249" s="92" t="s">
        <v>876</v>
      </c>
      <c r="D3249" s="33" t="s">
        <v>410</v>
      </c>
      <c r="E3249" s="34">
        <v>45838</v>
      </c>
      <c r="F3249" s="34">
        <v>45839</v>
      </c>
      <c r="G3249" s="34">
        <v>45842</v>
      </c>
      <c r="H3249" s="35">
        <v>4.8750000000000002E-2</v>
      </c>
      <c r="I3249" s="67">
        <v>5.6899999999999999E-2</v>
      </c>
      <c r="J3249" s="67">
        <v>1.2952009999999993E-2</v>
      </c>
      <c r="K3249" s="67">
        <v>4.3947990000000006E-2</v>
      </c>
      <c r="L3249" s="36">
        <f>+K3249-((K3249*0.2266*0.125)+(K3249*(1-0.2266)*0.26))</f>
        <v>3.3865925562090005E-2</v>
      </c>
      <c r="M3249" s="64">
        <f t="shared" si="93"/>
        <v>4.6817935562089998E-2</v>
      </c>
      <c r="N3249" s="33" t="s">
        <v>248</v>
      </c>
    </row>
    <row r="3250" spans="1:14" ht="15">
      <c r="A3250" s="12"/>
      <c r="B3250" s="33" t="s">
        <v>304</v>
      </c>
      <c r="C3250" s="92" t="s">
        <v>885</v>
      </c>
      <c r="D3250" s="33" t="s">
        <v>410</v>
      </c>
      <c r="E3250" s="34">
        <v>45838</v>
      </c>
      <c r="F3250" s="34">
        <v>45839</v>
      </c>
      <c r="G3250" s="34">
        <v>45842</v>
      </c>
      <c r="H3250" s="35">
        <v>4.1250000000000002E-2</v>
      </c>
      <c r="I3250" s="67">
        <v>3.9100000000000003E-2</v>
      </c>
      <c r="J3250" s="67">
        <v>9.4019700000000025E-3</v>
      </c>
      <c r="K3250" s="67">
        <v>2.969803E-2</v>
      </c>
      <c r="L3250" s="36">
        <f>+K3250-((K3250*0.3093*0.125)+(K3250*(1-0.3093)*0.26))</f>
        <v>2.3216598291665003E-2</v>
      </c>
      <c r="M3250" s="64">
        <f t="shared" si="93"/>
        <v>3.2618568291665005E-2</v>
      </c>
      <c r="N3250" s="33" t="s">
        <v>248</v>
      </c>
    </row>
    <row r="3251" spans="1:14" ht="15">
      <c r="A3251" s="12"/>
      <c r="B3251" s="33" t="s">
        <v>183</v>
      </c>
      <c r="C3251" s="92" t="s">
        <v>886</v>
      </c>
      <c r="D3251" s="33" t="s">
        <v>410</v>
      </c>
      <c r="E3251" s="34">
        <v>45838</v>
      </c>
      <c r="F3251" s="34">
        <v>45839</v>
      </c>
      <c r="G3251" s="34">
        <v>45842</v>
      </c>
      <c r="H3251" s="35">
        <v>4.1250000000000002E-2</v>
      </c>
      <c r="I3251" s="67">
        <v>3.9E-2</v>
      </c>
      <c r="J3251" s="67">
        <v>1.0804000000000001E-2</v>
      </c>
      <c r="K3251" s="67">
        <v>2.8195999999999999E-2</v>
      </c>
      <c r="L3251" s="36">
        <f>+K3251-((K3251*0.3093*0.125)+(K3251*(1-0.3093)*0.26))</f>
        <v>2.2042378077999997E-2</v>
      </c>
      <c r="M3251" s="64">
        <f t="shared" si="93"/>
        <v>3.2846378077999998E-2</v>
      </c>
      <c r="N3251" s="33" t="s">
        <v>248</v>
      </c>
    </row>
    <row r="3252" spans="1:14" ht="15">
      <c r="A3252" s="12"/>
      <c r="B3252" s="33" t="s">
        <v>305</v>
      </c>
      <c r="C3252" s="92" t="s">
        <v>887</v>
      </c>
      <c r="D3252" s="33" t="s">
        <v>410</v>
      </c>
      <c r="E3252" s="34">
        <v>45838</v>
      </c>
      <c r="F3252" s="34">
        <v>45839</v>
      </c>
      <c r="G3252" s="34">
        <v>45842</v>
      </c>
      <c r="H3252" s="35">
        <v>4.1250000000000002E-2</v>
      </c>
      <c r="I3252" s="67">
        <v>3.9899999999999998E-2</v>
      </c>
      <c r="J3252" s="67">
        <v>6.7331799999999983E-3</v>
      </c>
      <c r="K3252" s="67">
        <v>3.316682E-2</v>
      </c>
      <c r="L3252" s="36">
        <f>+K3252-((K3252*0.3093*0.125)+(K3252*(1-0.3093)*0.26))</f>
        <v>2.5928343952510001E-2</v>
      </c>
      <c r="M3252" s="64">
        <f t="shared" si="93"/>
        <v>3.2661523952509999E-2</v>
      </c>
      <c r="N3252" s="33" t="s">
        <v>248</v>
      </c>
    </row>
    <row r="3253" spans="1:14" ht="15">
      <c r="A3253" s="12"/>
      <c r="B3253" s="33" t="s">
        <v>147</v>
      </c>
      <c r="C3253" s="92" t="s">
        <v>466</v>
      </c>
      <c r="D3253" s="33" t="s">
        <v>410</v>
      </c>
      <c r="E3253" s="34">
        <v>45838</v>
      </c>
      <c r="F3253" s="34">
        <v>45839</v>
      </c>
      <c r="G3253" s="34">
        <v>45842</v>
      </c>
      <c r="H3253" s="35">
        <v>0.05</v>
      </c>
      <c r="I3253" s="67">
        <v>6.1400000000000003E-2</v>
      </c>
      <c r="J3253" s="67">
        <v>0</v>
      </c>
      <c r="K3253" s="67">
        <v>6.1400000000000003E-2</v>
      </c>
      <c r="L3253" s="36">
        <f>+K3253-((K3253*0.0728*0.125)+(K3253*(1-0.0728)*0.26))</f>
        <v>4.6039439200000004E-2</v>
      </c>
      <c r="M3253" s="64">
        <f t="shared" si="93"/>
        <v>4.6039439200000004E-2</v>
      </c>
      <c r="N3253" s="33" t="s">
        <v>248</v>
      </c>
    </row>
    <row r="3254" spans="1:14" ht="15">
      <c r="A3254" s="12"/>
      <c r="B3254" s="33" t="s">
        <v>164</v>
      </c>
      <c r="C3254" s="92" t="s">
        <v>467</v>
      </c>
      <c r="D3254" s="33" t="s">
        <v>410</v>
      </c>
      <c r="E3254" s="34">
        <v>45838</v>
      </c>
      <c r="F3254" s="34">
        <v>45839</v>
      </c>
      <c r="G3254" s="34">
        <v>45842</v>
      </c>
      <c r="H3254" s="35">
        <v>0.05</v>
      </c>
      <c r="I3254" s="67">
        <v>5.6599999999999998E-2</v>
      </c>
      <c r="J3254" s="67">
        <v>0</v>
      </c>
      <c r="K3254" s="67">
        <v>5.6599999999999998E-2</v>
      </c>
      <c r="L3254" s="36">
        <f>+K3254-((K3254*0.0728*0.125)+(K3254*(1-0.0728)*0.26))</f>
        <v>4.2440264799999995E-2</v>
      </c>
      <c r="M3254" s="64">
        <f t="shared" si="93"/>
        <v>4.2440264799999995E-2</v>
      </c>
      <c r="N3254" s="33" t="s">
        <v>248</v>
      </c>
    </row>
    <row r="3255" spans="1:14" ht="15">
      <c r="A3255" s="12"/>
      <c r="B3255" s="33" t="s">
        <v>132</v>
      </c>
      <c r="C3255" s="92" t="s">
        <v>358</v>
      </c>
      <c r="D3255" s="33" t="s">
        <v>410</v>
      </c>
      <c r="E3255" s="34">
        <v>45863</v>
      </c>
      <c r="F3255" s="34">
        <v>45866</v>
      </c>
      <c r="G3255" s="34">
        <v>45869</v>
      </c>
      <c r="H3255" s="35">
        <v>0.04</v>
      </c>
      <c r="I3255" s="67">
        <v>4.4299999999999999E-2</v>
      </c>
      <c r="J3255" s="67">
        <v>0</v>
      </c>
      <c r="K3255" s="67">
        <v>4.4299999999999999E-2</v>
      </c>
      <c r="L3255" s="36">
        <f>+K3255-((K3255*0.274*0.125)+(K3255*(1-0.274)*0.26))</f>
        <v>3.4420657E-2</v>
      </c>
      <c r="M3255" s="64">
        <f t="shared" si="93"/>
        <v>3.4420657E-2</v>
      </c>
      <c r="N3255" s="33" t="s">
        <v>249</v>
      </c>
    </row>
    <row r="3256" spans="1:14" ht="15">
      <c r="A3256" s="12"/>
      <c r="B3256" s="33" t="s">
        <v>227</v>
      </c>
      <c r="C3256" s="92" t="s">
        <v>359</v>
      </c>
      <c r="D3256" s="33" t="s">
        <v>410</v>
      </c>
      <c r="E3256" s="34">
        <v>45863</v>
      </c>
      <c r="F3256" s="34">
        <v>45866</v>
      </c>
      <c r="G3256" s="34">
        <v>45869</v>
      </c>
      <c r="H3256" s="35">
        <v>0.04</v>
      </c>
      <c r="I3256" s="67">
        <v>4.36E-2</v>
      </c>
      <c r="J3256" s="67">
        <v>0</v>
      </c>
      <c r="K3256" s="67">
        <v>4.36E-2</v>
      </c>
      <c r="L3256" s="36">
        <f>+K3256-((K3256*0.274*0.125)+(K3256*(1-0.274)*0.26))</f>
        <v>3.3876764000000004E-2</v>
      </c>
      <c r="M3256" s="64">
        <f t="shared" si="93"/>
        <v>3.3876764000000004E-2</v>
      </c>
      <c r="N3256" s="33" t="s">
        <v>249</v>
      </c>
    </row>
    <row r="3257" spans="1:14" ht="15">
      <c r="A3257" s="12"/>
      <c r="B3257" s="33" t="s">
        <v>133</v>
      </c>
      <c r="C3257" s="92" t="s">
        <v>979</v>
      </c>
      <c r="D3257" s="33" t="s">
        <v>410</v>
      </c>
      <c r="E3257" s="34">
        <v>45863</v>
      </c>
      <c r="F3257" s="34">
        <v>45866</v>
      </c>
      <c r="G3257" s="34">
        <v>45869</v>
      </c>
      <c r="H3257" s="35">
        <v>3.2500000000000001E-2</v>
      </c>
      <c r="I3257" s="67">
        <v>4.87E-2</v>
      </c>
      <c r="J3257" s="67">
        <v>1.7395030000000006E-2</v>
      </c>
      <c r="K3257" s="67">
        <v>3.1304969999999994E-2</v>
      </c>
      <c r="L3257" s="36">
        <f>+K3257-((K3257*0.0011*0.125)+(K3257*(1-0.0011)*0.26))</f>
        <v>2.3170326588044996E-2</v>
      </c>
      <c r="M3257" s="64">
        <f t="shared" ref="M3257:M3320" si="94">J3257+L3257</f>
        <v>4.0565356588044998E-2</v>
      </c>
      <c r="N3257" s="33" t="s">
        <v>249</v>
      </c>
    </row>
    <row r="3258" spans="1:14" ht="15">
      <c r="A3258" s="12"/>
      <c r="B3258" s="33" t="s">
        <v>134</v>
      </c>
      <c r="C3258" s="92" t="s">
        <v>374</v>
      </c>
      <c r="D3258" s="33" t="s">
        <v>410</v>
      </c>
      <c r="E3258" s="34">
        <v>45863</v>
      </c>
      <c r="F3258" s="34">
        <v>45866</v>
      </c>
      <c r="G3258" s="34">
        <v>45869</v>
      </c>
      <c r="H3258" s="35">
        <v>5.5E-2</v>
      </c>
      <c r="I3258" s="67">
        <v>7.1800000000000003E-2</v>
      </c>
      <c r="J3258" s="67">
        <v>0</v>
      </c>
      <c r="K3258" s="67">
        <v>7.1800000000000003E-2</v>
      </c>
      <c r="L3258" s="36">
        <f>+K3258-((K3258*0.2888*0.125)+(K3258*(1-0.2888)*0.26))</f>
        <v>5.5931338400000002E-2</v>
      </c>
      <c r="M3258" s="64">
        <f t="shared" si="94"/>
        <v>5.5931338400000002E-2</v>
      </c>
      <c r="N3258" s="33" t="s">
        <v>249</v>
      </c>
    </row>
    <row r="3259" spans="1:14" ht="15">
      <c r="A3259" s="12"/>
      <c r="B3259" s="33" t="s">
        <v>168</v>
      </c>
      <c r="C3259" s="92" t="s">
        <v>376</v>
      </c>
      <c r="D3259" s="33" t="s">
        <v>410</v>
      </c>
      <c r="E3259" s="34">
        <v>45863</v>
      </c>
      <c r="F3259" s="34">
        <v>45866</v>
      </c>
      <c r="G3259" s="34">
        <v>45869</v>
      </c>
      <c r="H3259" s="35">
        <v>5.5E-2</v>
      </c>
      <c r="I3259" s="67">
        <v>5.16E-2</v>
      </c>
      <c r="J3259" s="67">
        <v>0</v>
      </c>
      <c r="K3259" s="67">
        <v>5.16E-2</v>
      </c>
      <c r="L3259" s="36">
        <f>+K3259-((K3259*0.2888*0.125)+(K3259*(1-0.2888)*0.26))</f>
        <v>4.0195780799999997E-2</v>
      </c>
      <c r="M3259" s="64">
        <f t="shared" si="94"/>
        <v>4.0195780799999997E-2</v>
      </c>
      <c r="N3259" s="33" t="s">
        <v>249</v>
      </c>
    </row>
    <row r="3260" spans="1:14" ht="15">
      <c r="A3260" s="12"/>
      <c r="B3260" s="33" t="s">
        <v>136</v>
      </c>
      <c r="C3260" s="92" t="s">
        <v>867</v>
      </c>
      <c r="D3260" s="33" t="s">
        <v>410</v>
      </c>
      <c r="E3260" s="34">
        <v>45863</v>
      </c>
      <c r="F3260" s="34">
        <v>45866</v>
      </c>
      <c r="G3260" s="34">
        <v>45869</v>
      </c>
      <c r="H3260" s="35">
        <v>4.7500000000000001E-2</v>
      </c>
      <c r="I3260" s="67">
        <v>5.6899999999999999E-2</v>
      </c>
      <c r="J3260" s="67">
        <v>0</v>
      </c>
      <c r="K3260" s="67">
        <v>5.6899999999999999E-2</v>
      </c>
      <c r="L3260" s="36">
        <f t="shared" ref="L3260:L3265" si="95">+K3260-((K3260*0.0168*0.125)+(K3260*(1-0.0168)*0.26))</f>
        <v>4.2235049199999999E-2</v>
      </c>
      <c r="M3260" s="64">
        <f t="shared" si="94"/>
        <v>4.2235049199999999E-2</v>
      </c>
      <c r="N3260" s="33" t="s">
        <v>249</v>
      </c>
    </row>
    <row r="3261" spans="1:14" ht="15">
      <c r="A3261" s="12"/>
      <c r="B3261" s="33" t="s">
        <v>137</v>
      </c>
      <c r="C3261" s="92" t="s">
        <v>868</v>
      </c>
      <c r="D3261" s="33" t="s">
        <v>410</v>
      </c>
      <c r="E3261" s="34">
        <v>45863</v>
      </c>
      <c r="F3261" s="34">
        <v>45866</v>
      </c>
      <c r="G3261" s="34">
        <v>45869</v>
      </c>
      <c r="H3261" s="35">
        <v>4.7500000000000001E-2</v>
      </c>
      <c r="I3261" s="67">
        <v>6.4100000000000004E-2</v>
      </c>
      <c r="J3261" s="67">
        <v>0</v>
      </c>
      <c r="K3261" s="67">
        <v>6.4100000000000004E-2</v>
      </c>
      <c r="L3261" s="36">
        <f t="shared" si="95"/>
        <v>4.7579378800000002E-2</v>
      </c>
      <c r="M3261" s="64">
        <f t="shared" si="94"/>
        <v>4.7579378800000002E-2</v>
      </c>
      <c r="N3261" s="33" t="s">
        <v>249</v>
      </c>
    </row>
    <row r="3262" spans="1:14" ht="15">
      <c r="A3262" s="12"/>
      <c r="B3262" s="33" t="s">
        <v>135</v>
      </c>
      <c r="C3262" s="92" t="s">
        <v>869</v>
      </c>
      <c r="D3262" s="33" t="s">
        <v>410</v>
      </c>
      <c r="E3262" s="34">
        <v>45863</v>
      </c>
      <c r="F3262" s="34">
        <v>45866</v>
      </c>
      <c r="G3262" s="34">
        <v>45869</v>
      </c>
      <c r="H3262" s="35">
        <v>4.7500000000000001E-2</v>
      </c>
      <c r="I3262" s="67">
        <v>6.5500000000000003E-2</v>
      </c>
      <c r="J3262" s="67">
        <v>0</v>
      </c>
      <c r="K3262" s="67">
        <v>6.5500000000000003E-2</v>
      </c>
      <c r="L3262" s="36">
        <f t="shared" si="95"/>
        <v>4.8618554000000001E-2</v>
      </c>
      <c r="M3262" s="64">
        <f t="shared" si="94"/>
        <v>4.8618554000000001E-2</v>
      </c>
      <c r="N3262" s="33" t="s">
        <v>249</v>
      </c>
    </row>
    <row r="3263" spans="1:14" ht="15">
      <c r="A3263" s="12"/>
      <c r="B3263" s="33" t="s">
        <v>170</v>
      </c>
      <c r="C3263" s="92" t="s">
        <v>870</v>
      </c>
      <c r="D3263" s="33" t="s">
        <v>410</v>
      </c>
      <c r="E3263" s="34">
        <v>45863</v>
      </c>
      <c r="F3263" s="34">
        <v>45866</v>
      </c>
      <c r="G3263" s="34">
        <v>45869</v>
      </c>
      <c r="H3263" s="35">
        <v>4.7500000000000001E-2</v>
      </c>
      <c r="I3263" s="67">
        <v>5.5100000000000003E-2</v>
      </c>
      <c r="J3263" s="67">
        <v>0</v>
      </c>
      <c r="K3263" s="67">
        <v>5.5100000000000003E-2</v>
      </c>
      <c r="L3263" s="36">
        <f t="shared" si="95"/>
        <v>4.0898966800000006E-2</v>
      </c>
      <c r="M3263" s="64">
        <f t="shared" si="94"/>
        <v>4.0898966800000006E-2</v>
      </c>
      <c r="N3263" s="33" t="s">
        <v>249</v>
      </c>
    </row>
    <row r="3264" spans="1:14" ht="15">
      <c r="A3264" s="12"/>
      <c r="B3264" s="33" t="s">
        <v>171</v>
      </c>
      <c r="C3264" s="92" t="s">
        <v>871</v>
      </c>
      <c r="D3264" s="33" t="s">
        <v>410</v>
      </c>
      <c r="E3264" s="34">
        <v>45863</v>
      </c>
      <c r="F3264" s="34">
        <v>45866</v>
      </c>
      <c r="G3264" s="34">
        <v>45869</v>
      </c>
      <c r="H3264" s="35">
        <v>4.7500000000000001E-2</v>
      </c>
      <c r="I3264" s="67">
        <v>6.1400000000000003E-2</v>
      </c>
      <c r="J3264" s="67">
        <v>0</v>
      </c>
      <c r="K3264" s="67">
        <v>6.1400000000000003E-2</v>
      </c>
      <c r="L3264" s="36">
        <f t="shared" si="95"/>
        <v>4.5575255199999998E-2</v>
      </c>
      <c r="M3264" s="64">
        <f t="shared" si="94"/>
        <v>4.5575255199999998E-2</v>
      </c>
      <c r="N3264" s="33" t="s">
        <v>249</v>
      </c>
    </row>
    <row r="3265" spans="1:14" ht="15">
      <c r="A3265" s="12"/>
      <c r="B3265" s="33" t="s">
        <v>172</v>
      </c>
      <c r="C3265" s="92" t="s">
        <v>872</v>
      </c>
      <c r="D3265" s="33" t="s">
        <v>410</v>
      </c>
      <c r="E3265" s="34">
        <v>45863</v>
      </c>
      <c r="F3265" s="34">
        <v>45866</v>
      </c>
      <c r="G3265" s="34">
        <v>45869</v>
      </c>
      <c r="H3265" s="35">
        <v>4.7500000000000001E-2</v>
      </c>
      <c r="I3265" s="67">
        <v>6.3200000000000006E-2</v>
      </c>
      <c r="J3265" s="67">
        <v>0</v>
      </c>
      <c r="K3265" s="67">
        <v>6.3200000000000006E-2</v>
      </c>
      <c r="L3265" s="36">
        <f t="shared" si="95"/>
        <v>4.6911337600000005E-2</v>
      </c>
      <c r="M3265" s="64">
        <f t="shared" si="94"/>
        <v>4.6911337600000005E-2</v>
      </c>
      <c r="N3265" s="33" t="s">
        <v>249</v>
      </c>
    </row>
    <row r="3266" spans="1:14" ht="15">
      <c r="A3266" s="12"/>
      <c r="B3266" s="33" t="s">
        <v>169</v>
      </c>
      <c r="C3266" s="92" t="s">
        <v>400</v>
      </c>
      <c r="D3266" s="33" t="s">
        <v>410</v>
      </c>
      <c r="E3266" s="34">
        <v>45863</v>
      </c>
      <c r="F3266" s="34">
        <v>45866</v>
      </c>
      <c r="G3266" s="34">
        <v>45869</v>
      </c>
      <c r="H3266" s="35">
        <v>6.5000000000000002E-2</v>
      </c>
      <c r="I3266" s="67">
        <v>5.4300000000000001E-2</v>
      </c>
      <c r="J3266" s="67">
        <v>0</v>
      </c>
      <c r="K3266" s="67">
        <v>5.4300000000000001E-2</v>
      </c>
      <c r="L3266" s="36">
        <f>+K3266-((K3266*0.0904*0.125)+(K3266*(1-0.0904)*0.26))</f>
        <v>4.0844677199999999E-2</v>
      </c>
      <c r="M3266" s="64">
        <f t="shared" si="94"/>
        <v>4.0844677199999999E-2</v>
      </c>
      <c r="N3266" s="33" t="s">
        <v>249</v>
      </c>
    </row>
    <row r="3267" spans="1:14" ht="15">
      <c r="A3267" s="12"/>
      <c r="B3267" s="33" t="s">
        <v>156</v>
      </c>
      <c r="C3267" s="92" t="s">
        <v>976</v>
      </c>
      <c r="D3267" s="33" t="s">
        <v>496</v>
      </c>
      <c r="E3267" s="34">
        <v>45863</v>
      </c>
      <c r="F3267" s="34">
        <v>45866</v>
      </c>
      <c r="G3267" s="34">
        <v>45869</v>
      </c>
      <c r="H3267" s="35">
        <v>3.7499999999999999E-2</v>
      </c>
      <c r="I3267" s="67">
        <v>0.10580000000000001</v>
      </c>
      <c r="J3267" s="67">
        <v>0</v>
      </c>
      <c r="K3267" s="67">
        <v>0.10580000000000001</v>
      </c>
      <c r="L3267" s="36">
        <f>+K3267-((K3267*0.00001*0.125)+(K3267*(1-0.00001)*0.26))</f>
        <v>7.8292142829999994E-2</v>
      </c>
      <c r="M3267" s="64">
        <f t="shared" si="94"/>
        <v>7.8292142829999994E-2</v>
      </c>
      <c r="N3267" s="33" t="s">
        <v>250</v>
      </c>
    </row>
    <row r="3268" spans="1:14" ht="15">
      <c r="A3268" s="12"/>
      <c r="B3268" s="33" t="s">
        <v>178</v>
      </c>
      <c r="C3268" s="92" t="s">
        <v>975</v>
      </c>
      <c r="D3268" s="33" t="s">
        <v>496</v>
      </c>
      <c r="E3268" s="34">
        <v>45863</v>
      </c>
      <c r="F3268" s="34">
        <v>45866</v>
      </c>
      <c r="G3268" s="34">
        <v>45869</v>
      </c>
      <c r="H3268" s="35">
        <v>3.7499999999999999E-2</v>
      </c>
      <c r="I3268" s="67">
        <v>9.0999999999999998E-2</v>
      </c>
      <c r="J3268" s="67">
        <v>0</v>
      </c>
      <c r="K3268" s="67">
        <v>9.0999999999999998E-2</v>
      </c>
      <c r="L3268" s="36">
        <f>+K3268-((K3268*0.00001*0.125)+(K3268*(1-0.00001)*0.26))</f>
        <v>6.7340122849999989E-2</v>
      </c>
      <c r="M3268" s="64">
        <f t="shared" si="94"/>
        <v>6.7340122849999989E-2</v>
      </c>
      <c r="N3268" s="33" t="s">
        <v>250</v>
      </c>
    </row>
    <row r="3269" spans="1:14" ht="15">
      <c r="A3269" s="12"/>
      <c r="B3269" s="33" t="s">
        <v>155</v>
      </c>
      <c r="C3269" s="92" t="s">
        <v>980</v>
      </c>
      <c r="D3269" s="33" t="s">
        <v>496</v>
      </c>
      <c r="E3269" s="34">
        <v>45863</v>
      </c>
      <c r="F3269" s="34">
        <v>45866</v>
      </c>
      <c r="G3269" s="34">
        <v>45869</v>
      </c>
      <c r="H3269" s="35">
        <v>3.2500000000000001E-2</v>
      </c>
      <c r="I3269" s="67">
        <v>0.1095</v>
      </c>
      <c r="J3269" s="67">
        <v>1.9679410000000001E-2</v>
      </c>
      <c r="K3269" s="67">
        <v>8.9820590000000006E-2</v>
      </c>
      <c r="L3269" s="36">
        <f>+K3269-((K3269*0.0011*0.125)+(K3269*(1-0.0011)*0.26))</f>
        <v>6.6480574957615002E-2</v>
      </c>
      <c r="M3269" s="64">
        <f t="shared" si="94"/>
        <v>8.615998495761501E-2</v>
      </c>
      <c r="N3269" s="33" t="s">
        <v>250</v>
      </c>
    </row>
    <row r="3270" spans="1:14" ht="15">
      <c r="A3270" s="12"/>
      <c r="B3270" s="33" t="s">
        <v>972</v>
      </c>
      <c r="C3270" s="92" t="s">
        <v>981</v>
      </c>
      <c r="D3270" s="33" t="s">
        <v>496</v>
      </c>
      <c r="E3270" s="34">
        <v>45863</v>
      </c>
      <c r="F3270" s="34">
        <v>45866</v>
      </c>
      <c r="G3270" s="34">
        <v>45869</v>
      </c>
      <c r="H3270" s="35">
        <v>3.2500000000000001E-2</v>
      </c>
      <c r="I3270" s="67">
        <v>8.1250000000000003E-2</v>
      </c>
      <c r="J3270" s="67">
        <v>2.9829460000000009E-2</v>
      </c>
      <c r="K3270" s="67">
        <v>5.1420539999999994E-2</v>
      </c>
      <c r="L3270" s="36">
        <f>+K3270-((K3270*0.0011*0.125)+(K3270*(1-0.0011)*0.26))</f>
        <v>3.8058835550189997E-2</v>
      </c>
      <c r="M3270" s="64">
        <f t="shared" si="94"/>
        <v>6.7888295550190006E-2</v>
      </c>
      <c r="N3270" s="33" t="s">
        <v>250</v>
      </c>
    </row>
    <row r="3271" spans="1:14" ht="15">
      <c r="A3271" s="12"/>
      <c r="B3271" s="33" t="s">
        <v>177</v>
      </c>
      <c r="C3271" s="92" t="s">
        <v>982</v>
      </c>
      <c r="D3271" s="33" t="s">
        <v>496</v>
      </c>
      <c r="E3271" s="34">
        <v>45863</v>
      </c>
      <c r="F3271" s="34">
        <v>45866</v>
      </c>
      <c r="G3271" s="34">
        <v>45869</v>
      </c>
      <c r="H3271" s="35">
        <v>3.2500000000000001E-2</v>
      </c>
      <c r="I3271" s="67">
        <v>0.111</v>
      </c>
      <c r="J3271" s="67">
        <v>1.9694900000000005E-2</v>
      </c>
      <c r="K3271" s="67">
        <v>9.13051E-2</v>
      </c>
      <c r="L3271" s="36">
        <f>+K3271-((K3271*0.0011*0.125)+(K3271*(1-0.0011)*0.26))</f>
        <v>6.7579332807349998E-2</v>
      </c>
      <c r="M3271" s="64">
        <f t="shared" si="94"/>
        <v>8.727423280735E-2</v>
      </c>
      <c r="N3271" s="33" t="s">
        <v>250</v>
      </c>
    </row>
    <row r="3272" spans="1:14" ht="15">
      <c r="A3272" s="12"/>
      <c r="B3272" s="33" t="s">
        <v>158</v>
      </c>
      <c r="C3272" s="92" t="s">
        <v>373</v>
      </c>
      <c r="D3272" s="33" t="s">
        <v>496</v>
      </c>
      <c r="E3272" s="34">
        <v>45863</v>
      </c>
      <c r="F3272" s="34">
        <v>45866</v>
      </c>
      <c r="G3272" s="34">
        <v>45869</v>
      </c>
      <c r="H3272" s="35">
        <v>5.5E-2</v>
      </c>
      <c r="I3272" s="67">
        <v>9.5200000000000007E-2</v>
      </c>
      <c r="J3272" s="67">
        <v>0</v>
      </c>
      <c r="K3272" s="67">
        <v>9.5200000000000007E-2</v>
      </c>
      <c r="L3272" s="36">
        <f>+K3272-((K3272*0.2888*0.125)+(K3272*(1-0.2888)*0.26))</f>
        <v>7.4159657599999998E-2</v>
      </c>
      <c r="M3272" s="64">
        <f t="shared" si="94"/>
        <v>7.4159657599999998E-2</v>
      </c>
      <c r="N3272" s="33" t="s">
        <v>250</v>
      </c>
    </row>
    <row r="3273" spans="1:14" ht="15">
      <c r="A3273" s="12"/>
      <c r="B3273" s="33" t="s">
        <v>157</v>
      </c>
      <c r="C3273" s="92" t="s">
        <v>375</v>
      </c>
      <c r="D3273" s="33" t="s">
        <v>496</v>
      </c>
      <c r="E3273" s="34">
        <v>45863</v>
      </c>
      <c r="F3273" s="34">
        <v>45866</v>
      </c>
      <c r="G3273" s="34">
        <v>45869</v>
      </c>
      <c r="H3273" s="35">
        <v>5.5E-2</v>
      </c>
      <c r="I3273" s="67">
        <v>0.1082</v>
      </c>
      <c r="J3273" s="67">
        <v>0</v>
      </c>
      <c r="K3273" s="67">
        <v>0.1082</v>
      </c>
      <c r="L3273" s="36">
        <f>+K3273-((K3273*0.2888*0.125)+(K3273*(1-0.2888)*0.26))</f>
        <v>8.4286501600000008E-2</v>
      </c>
      <c r="M3273" s="64">
        <f t="shared" si="94"/>
        <v>8.4286501600000008E-2</v>
      </c>
      <c r="N3273" s="33" t="s">
        <v>250</v>
      </c>
    </row>
    <row r="3274" spans="1:14" ht="15">
      <c r="A3274" s="12"/>
      <c r="B3274" s="33" t="s">
        <v>154</v>
      </c>
      <c r="C3274" s="92" t="s">
        <v>399</v>
      </c>
      <c r="D3274" s="33" t="s">
        <v>496</v>
      </c>
      <c r="E3274" s="34">
        <v>45863</v>
      </c>
      <c r="F3274" s="34">
        <v>45866</v>
      </c>
      <c r="G3274" s="34">
        <v>45869</v>
      </c>
      <c r="H3274" s="35">
        <v>6.5000000000000002E-2</v>
      </c>
      <c r="I3274" s="67">
        <v>9.7699999999999995E-2</v>
      </c>
      <c r="J3274" s="67">
        <v>0</v>
      </c>
      <c r="K3274" s="67">
        <v>9.7699999999999995E-2</v>
      </c>
      <c r="L3274" s="36">
        <f>+K3274-((K3274*0.0904*0.125)+(K3274*(1-0.0904)*0.26))</f>
        <v>7.3490330800000003E-2</v>
      </c>
      <c r="M3274" s="64">
        <f t="shared" si="94"/>
        <v>7.3490330800000003E-2</v>
      </c>
      <c r="N3274" s="33" t="s">
        <v>250</v>
      </c>
    </row>
    <row r="3275" spans="1:14" ht="15">
      <c r="A3275" s="12"/>
      <c r="B3275" s="33" t="s">
        <v>310</v>
      </c>
      <c r="C3275" s="92" t="s">
        <v>719</v>
      </c>
      <c r="D3275" s="33" t="s">
        <v>411</v>
      </c>
      <c r="E3275" s="34">
        <v>45869</v>
      </c>
      <c r="F3275" s="34">
        <v>45870</v>
      </c>
      <c r="G3275" s="34">
        <v>45875</v>
      </c>
      <c r="H3275" s="35">
        <v>0.05</v>
      </c>
      <c r="I3275" s="67">
        <v>1.44E-2</v>
      </c>
      <c r="J3275" s="67">
        <v>0</v>
      </c>
      <c r="K3275" s="67">
        <v>1.44E-2</v>
      </c>
      <c r="L3275" s="36">
        <f>+K3275-((K3275*0.0574*0.125)+(K3275*(1-0.0574)*0.26))</f>
        <v>1.0767585600000001E-2</v>
      </c>
      <c r="M3275" s="64">
        <f t="shared" si="94"/>
        <v>1.0767585600000001E-2</v>
      </c>
      <c r="N3275" s="33" t="s">
        <v>718</v>
      </c>
    </row>
    <row r="3276" spans="1:14" ht="15">
      <c r="A3276" s="12"/>
      <c r="B3276" s="33" t="s">
        <v>188</v>
      </c>
      <c r="C3276" s="92" t="s">
        <v>720</v>
      </c>
      <c r="D3276" s="33" t="s">
        <v>411</v>
      </c>
      <c r="E3276" s="34">
        <v>45869</v>
      </c>
      <c r="F3276" s="34">
        <v>45870</v>
      </c>
      <c r="G3276" s="34">
        <v>45875</v>
      </c>
      <c r="H3276" s="35">
        <v>0.05</v>
      </c>
      <c r="I3276" s="67">
        <v>0.24979999999999999</v>
      </c>
      <c r="J3276" s="67">
        <v>0</v>
      </c>
      <c r="K3276" s="67">
        <v>0.24980000000000002</v>
      </c>
      <c r="L3276" s="36">
        <f>+K3276-((K3276*0.0574*0.125)+(K3276*(1-0.0574)*0.26))</f>
        <v>0.18678770020000002</v>
      </c>
      <c r="M3276" s="64">
        <f t="shared" si="94"/>
        <v>0.18678770020000002</v>
      </c>
      <c r="N3276" s="33" t="s">
        <v>718</v>
      </c>
    </row>
    <row r="3277" spans="1:14" ht="15">
      <c r="A3277" s="12"/>
      <c r="B3277" s="33" t="s">
        <v>196</v>
      </c>
      <c r="C3277" s="92" t="s">
        <v>721</v>
      </c>
      <c r="D3277" s="33" t="s">
        <v>411</v>
      </c>
      <c r="E3277" s="34">
        <v>45869</v>
      </c>
      <c r="F3277" s="34">
        <v>45870</v>
      </c>
      <c r="G3277" s="34">
        <v>45875</v>
      </c>
      <c r="H3277" s="35">
        <v>0.05</v>
      </c>
      <c r="I3277" s="67">
        <v>0.26519999999999999</v>
      </c>
      <c r="J3277" s="67">
        <v>0</v>
      </c>
      <c r="K3277" s="67">
        <v>0.26519999999999999</v>
      </c>
      <c r="L3277" s="36">
        <f>+K3277-((K3277*0.0574*0.125)+(K3277*(1-0.0574)*0.26))</f>
        <v>0.1983030348</v>
      </c>
      <c r="M3277" s="64">
        <f t="shared" si="94"/>
        <v>0.1983030348</v>
      </c>
      <c r="N3277" s="33" t="s">
        <v>718</v>
      </c>
    </row>
    <row r="3278" spans="1:14" ht="15">
      <c r="A3278" s="12"/>
      <c r="B3278" s="33" t="s">
        <v>191</v>
      </c>
      <c r="C3278" s="92" t="s">
        <v>722</v>
      </c>
      <c r="D3278" s="33" t="s">
        <v>411</v>
      </c>
      <c r="E3278" s="34">
        <v>45869</v>
      </c>
      <c r="F3278" s="34">
        <v>45870</v>
      </c>
      <c r="G3278" s="34">
        <v>45875</v>
      </c>
      <c r="H3278" s="35">
        <v>0.05</v>
      </c>
      <c r="I3278" s="67">
        <v>1.37E-2</v>
      </c>
      <c r="J3278" s="67">
        <v>0</v>
      </c>
      <c r="K3278" s="67">
        <v>1.37E-2</v>
      </c>
      <c r="L3278" s="36">
        <f>+K3278-((K3278*0.8353*0.125)+(K3278*(1-0.8353)*0.26))</f>
        <v>1.1682887350000001E-2</v>
      </c>
      <c r="M3278" s="64">
        <f t="shared" si="94"/>
        <v>1.1682887350000001E-2</v>
      </c>
      <c r="N3278" s="33" t="s">
        <v>718</v>
      </c>
    </row>
    <row r="3279" spans="1:14" ht="15">
      <c r="A3279" s="12"/>
      <c r="B3279" s="33" t="s">
        <v>199</v>
      </c>
      <c r="C3279" s="92" t="s">
        <v>723</v>
      </c>
      <c r="D3279" s="33" t="s">
        <v>411</v>
      </c>
      <c r="E3279" s="34">
        <v>45869</v>
      </c>
      <c r="F3279" s="34">
        <v>45870</v>
      </c>
      <c r="G3279" s="34">
        <v>45875</v>
      </c>
      <c r="H3279" s="35">
        <v>0.05</v>
      </c>
      <c r="I3279" s="67">
        <v>1.38E-2</v>
      </c>
      <c r="J3279" s="67">
        <v>0</v>
      </c>
      <c r="K3279" s="67">
        <v>1.38E-2</v>
      </c>
      <c r="L3279" s="36">
        <f>+K3279-((K3279*0.8353*0.125)+(K3279*(1-0.8353)*0.26))</f>
        <v>1.17681639E-2</v>
      </c>
      <c r="M3279" s="64">
        <f t="shared" si="94"/>
        <v>1.17681639E-2</v>
      </c>
      <c r="N3279" s="33" t="s">
        <v>718</v>
      </c>
    </row>
    <row r="3280" spans="1:14" ht="15">
      <c r="A3280" s="12"/>
      <c r="B3280" s="33" t="s">
        <v>306</v>
      </c>
      <c r="C3280" s="92" t="s">
        <v>724</v>
      </c>
      <c r="D3280" s="33" t="s">
        <v>411</v>
      </c>
      <c r="E3280" s="34">
        <v>45869</v>
      </c>
      <c r="F3280" s="34">
        <v>45870</v>
      </c>
      <c r="G3280" s="34">
        <v>45875</v>
      </c>
      <c r="H3280" s="35">
        <v>0.04</v>
      </c>
      <c r="I3280" s="67">
        <v>1.4200000000000001E-2</v>
      </c>
      <c r="J3280" s="67">
        <v>3.1711700000000009E-3</v>
      </c>
      <c r="K3280" s="67">
        <v>1.102883E-2</v>
      </c>
      <c r="L3280" s="36">
        <f>+K3280-((K3280*0.0004*0.125)+(K3280*(1-0.0004)*0.26))</f>
        <v>8.1619297568199991E-3</v>
      </c>
      <c r="M3280" s="64">
        <f t="shared" si="94"/>
        <v>1.133309975682E-2</v>
      </c>
      <c r="N3280" s="33" t="s">
        <v>718</v>
      </c>
    </row>
    <row r="3281" spans="1:14" ht="15">
      <c r="A3281" s="12"/>
      <c r="B3281" s="33" t="s">
        <v>184</v>
      </c>
      <c r="C3281" s="92" t="s">
        <v>725</v>
      </c>
      <c r="D3281" s="33" t="s">
        <v>411</v>
      </c>
      <c r="E3281" s="34">
        <v>45869</v>
      </c>
      <c r="F3281" s="34">
        <v>45870</v>
      </c>
      <c r="G3281" s="34">
        <v>45875</v>
      </c>
      <c r="H3281" s="35">
        <v>0.04</v>
      </c>
      <c r="I3281" s="67">
        <v>0.28399999999999997</v>
      </c>
      <c r="J3281" s="67">
        <v>7.3990519999999976E-2</v>
      </c>
      <c r="K3281" s="67">
        <v>0.21000948</v>
      </c>
      <c r="L3281" s="36">
        <f>+K3281-((K3281*0.0004*0.125)+(K3281*(1-0.0004)*0.26))</f>
        <v>0.15541835571191998</v>
      </c>
      <c r="M3281" s="64">
        <f t="shared" si="94"/>
        <v>0.22940887571191995</v>
      </c>
      <c r="N3281" s="33" t="s">
        <v>718</v>
      </c>
    </row>
    <row r="3282" spans="1:14" ht="15">
      <c r="A3282" s="12"/>
      <c r="B3282" s="33" t="s">
        <v>192</v>
      </c>
      <c r="C3282" s="92" t="s">
        <v>726</v>
      </c>
      <c r="D3282" s="33" t="s">
        <v>411</v>
      </c>
      <c r="E3282" s="34">
        <v>45869</v>
      </c>
      <c r="F3282" s="34">
        <v>45870</v>
      </c>
      <c r="G3282" s="34">
        <v>45875</v>
      </c>
      <c r="H3282" s="35">
        <v>0.04</v>
      </c>
      <c r="I3282" s="67">
        <v>0.2923</v>
      </c>
      <c r="J3282" s="67">
        <v>4.2201339999999976E-2</v>
      </c>
      <c r="K3282" s="67">
        <v>0.25009866000000003</v>
      </c>
      <c r="L3282" s="36">
        <f>+K3282-((K3282*0.0004*0.125)+(K3282*(1-0.0004)*0.26))</f>
        <v>0.18508651372764001</v>
      </c>
      <c r="M3282" s="64">
        <f t="shared" si="94"/>
        <v>0.22728785372763999</v>
      </c>
      <c r="N3282" s="33" t="s">
        <v>718</v>
      </c>
    </row>
    <row r="3283" spans="1:14" ht="15">
      <c r="A3283" s="12"/>
      <c r="B3283" s="33" t="s">
        <v>311</v>
      </c>
      <c r="C3283" s="92" t="s">
        <v>727</v>
      </c>
      <c r="D3283" s="33" t="s">
        <v>411</v>
      </c>
      <c r="E3283" s="34">
        <v>45869</v>
      </c>
      <c r="F3283" s="34">
        <v>45870</v>
      </c>
      <c r="G3283" s="34">
        <v>45875</v>
      </c>
      <c r="H3283" s="35">
        <v>0.04</v>
      </c>
      <c r="I3283" s="67">
        <v>1.5299999999999999E-2</v>
      </c>
      <c r="J3283" s="67">
        <v>4.4648100000000013E-3</v>
      </c>
      <c r="K3283" s="67">
        <v>1.0835189999999998E-2</v>
      </c>
      <c r="L3283" s="36">
        <f>+K3283-((K3283*0.0102*0.125)+(K3283*(1-0.0102)*0.26))</f>
        <v>8.0329606566299991E-3</v>
      </c>
      <c r="M3283" s="64">
        <f t="shared" si="94"/>
        <v>1.249777065663E-2</v>
      </c>
      <c r="N3283" s="33" t="s">
        <v>718</v>
      </c>
    </row>
    <row r="3284" spans="1:14" ht="15">
      <c r="A3284" s="12"/>
      <c r="B3284" s="33" t="s">
        <v>189</v>
      </c>
      <c r="C3284" s="92" t="s">
        <v>728</v>
      </c>
      <c r="D3284" s="33" t="s">
        <v>411</v>
      </c>
      <c r="E3284" s="34">
        <v>45869</v>
      </c>
      <c r="F3284" s="34">
        <v>45870</v>
      </c>
      <c r="G3284" s="34">
        <v>45875</v>
      </c>
      <c r="H3284" s="35">
        <v>0.04</v>
      </c>
      <c r="I3284" s="67">
        <v>0.27929999999999999</v>
      </c>
      <c r="J3284" s="67">
        <v>9.3024770000000007E-2</v>
      </c>
      <c r="K3284" s="67">
        <v>0.18627522999999999</v>
      </c>
      <c r="L3284" s="36">
        <f>+K3284-((K3284*0.0102*0.125)+(K3284*(1-0.0102)*0.26))</f>
        <v>0.13810017119170998</v>
      </c>
      <c r="M3284" s="64">
        <f t="shared" si="94"/>
        <v>0.23112494119170998</v>
      </c>
      <c r="N3284" s="33" t="s">
        <v>718</v>
      </c>
    </row>
    <row r="3285" spans="1:14" ht="15">
      <c r="A3285" s="12"/>
      <c r="B3285" s="33" t="s">
        <v>197</v>
      </c>
      <c r="C3285" s="92" t="s">
        <v>729</v>
      </c>
      <c r="D3285" s="33" t="s">
        <v>411</v>
      </c>
      <c r="E3285" s="34">
        <v>45869</v>
      </c>
      <c r="F3285" s="34">
        <v>45870</v>
      </c>
      <c r="G3285" s="34">
        <v>45875</v>
      </c>
      <c r="H3285" s="35">
        <v>0.04</v>
      </c>
      <c r="I3285" s="67">
        <v>0.28970000000000001</v>
      </c>
      <c r="J3285" s="67">
        <v>6.2843039999999989E-2</v>
      </c>
      <c r="K3285" s="67">
        <v>0.22685696000000002</v>
      </c>
      <c r="L3285" s="36">
        <f>+K3285-((K3285*0.0102*0.125)+(K3285*(1-0.0102)*0.26))</f>
        <v>0.16818653243392001</v>
      </c>
      <c r="M3285" s="64">
        <f t="shared" si="94"/>
        <v>0.23102957243392</v>
      </c>
      <c r="N3285" s="33" t="s">
        <v>718</v>
      </c>
    </row>
    <row r="3286" spans="1:14" ht="15">
      <c r="A3286" s="12"/>
      <c r="B3286" s="33" t="s">
        <v>308</v>
      </c>
      <c r="C3286" s="92" t="s">
        <v>730</v>
      </c>
      <c r="D3286" s="33" t="s">
        <v>411</v>
      </c>
      <c r="E3286" s="34">
        <v>45869</v>
      </c>
      <c r="F3286" s="34">
        <v>45870</v>
      </c>
      <c r="G3286" s="34">
        <v>45875</v>
      </c>
      <c r="H3286" s="35">
        <v>0.05</v>
      </c>
      <c r="I3286" s="67">
        <v>1.66E-2</v>
      </c>
      <c r="J3286" s="67">
        <v>9.3347094205720703E-3</v>
      </c>
      <c r="K3286" s="67">
        <v>7.265290579427929E-3</v>
      </c>
      <c r="L3286" s="36">
        <f>+K3286-((K3286*0.4847*0.125)+(K3286*(1-0.4847)*0.26))</f>
        <v>5.8517156851962439E-3</v>
      </c>
      <c r="M3286" s="64">
        <f t="shared" si="94"/>
        <v>1.5186425105768314E-2</v>
      </c>
      <c r="N3286" s="33" t="s">
        <v>718</v>
      </c>
    </row>
    <row r="3287" spans="1:14" ht="15">
      <c r="A3287" s="12"/>
      <c r="B3287" s="33" t="s">
        <v>186</v>
      </c>
      <c r="C3287" s="92" t="s">
        <v>731</v>
      </c>
      <c r="D3287" s="33" t="s">
        <v>411</v>
      </c>
      <c r="E3287" s="34">
        <v>45869</v>
      </c>
      <c r="F3287" s="34">
        <v>45870</v>
      </c>
      <c r="G3287" s="34">
        <v>45875</v>
      </c>
      <c r="H3287" s="35">
        <v>0.05</v>
      </c>
      <c r="I3287" s="67">
        <v>0.3024</v>
      </c>
      <c r="J3287" s="67">
        <v>0.1788328443463586</v>
      </c>
      <c r="K3287" s="67">
        <v>0.12356715565364142</v>
      </c>
      <c r="L3287" s="36">
        <f>+K3287-((K3287*0.4847*0.125)+(K3287*(1-0.4847)*0.26))</f>
        <v>9.9525250230312848E-2</v>
      </c>
      <c r="M3287" s="64">
        <f t="shared" si="94"/>
        <v>0.27835809457667143</v>
      </c>
      <c r="N3287" s="33" t="s">
        <v>718</v>
      </c>
    </row>
    <row r="3288" spans="1:14" ht="15">
      <c r="A3288" s="12"/>
      <c r="B3288" s="33" t="s">
        <v>194</v>
      </c>
      <c r="C3288" s="92" t="s">
        <v>732</v>
      </c>
      <c r="D3288" s="33" t="s">
        <v>411</v>
      </c>
      <c r="E3288" s="34">
        <v>45869</v>
      </c>
      <c r="F3288" s="34">
        <v>45870</v>
      </c>
      <c r="G3288" s="34">
        <v>45875</v>
      </c>
      <c r="H3288" s="35">
        <v>0.05</v>
      </c>
      <c r="I3288" s="67">
        <v>0.31569999999999998</v>
      </c>
      <c r="J3288" s="67">
        <v>0.15764867151602283</v>
      </c>
      <c r="K3288" s="67">
        <v>0.15805132848397715</v>
      </c>
      <c r="L3288" s="36">
        <f>+K3288-((K3288*0.4847*0.125)+(K3288*(1-0.4847)*0.26))</f>
        <v>0.1272999927318279</v>
      </c>
      <c r="M3288" s="64">
        <f t="shared" si="94"/>
        <v>0.2849486642478507</v>
      </c>
      <c r="N3288" s="33" t="s">
        <v>718</v>
      </c>
    </row>
    <row r="3289" spans="1:14" ht="15">
      <c r="A3289" s="12"/>
      <c r="B3289" s="33" t="s">
        <v>307</v>
      </c>
      <c r="C3289" s="92" t="s">
        <v>983</v>
      </c>
      <c r="D3289" s="33" t="s">
        <v>411</v>
      </c>
      <c r="E3289" s="34">
        <v>45869</v>
      </c>
      <c r="F3289" s="34">
        <v>45870</v>
      </c>
      <c r="G3289" s="34">
        <v>45875</v>
      </c>
      <c r="H3289" s="35">
        <v>0.04</v>
      </c>
      <c r="I3289" s="67">
        <v>1.09E-2</v>
      </c>
      <c r="J3289" s="67">
        <v>6.7000935336339962E-3</v>
      </c>
      <c r="K3289" s="67">
        <v>4.1999064663660038E-3</v>
      </c>
      <c r="L3289" s="36">
        <f>+K3289-((K3289*0.671*0.125)+(K3289*(1-0.671)*0.26))</f>
        <v>3.4883793123666072E-3</v>
      </c>
      <c r="M3289" s="64">
        <f t="shared" si="94"/>
        <v>1.0188472846000603E-2</v>
      </c>
      <c r="N3289" s="33" t="s">
        <v>718</v>
      </c>
    </row>
    <row r="3290" spans="1:14" ht="15">
      <c r="A3290" s="12"/>
      <c r="B3290" s="33" t="s">
        <v>185</v>
      </c>
      <c r="C3290" s="92" t="s">
        <v>985</v>
      </c>
      <c r="D3290" s="33" t="s">
        <v>411</v>
      </c>
      <c r="E3290" s="34">
        <v>45869</v>
      </c>
      <c r="F3290" s="34">
        <v>45870</v>
      </c>
      <c r="G3290" s="34">
        <v>45875</v>
      </c>
      <c r="H3290" s="35">
        <v>0.04</v>
      </c>
      <c r="I3290" s="67">
        <v>0.17910000000000001</v>
      </c>
      <c r="J3290" s="67">
        <v>0.11701075188595944</v>
      </c>
      <c r="K3290" s="67">
        <v>6.2089248114040568E-2</v>
      </c>
      <c r="L3290" s="36">
        <f>+K3290-((K3290*0.671*0.125)+(K3290*(1-0.671)*0.26))</f>
        <v>5.1570398144800383E-2</v>
      </c>
      <c r="M3290" s="64">
        <f t="shared" si="94"/>
        <v>0.16858115003075982</v>
      </c>
      <c r="N3290" s="33" t="s">
        <v>718</v>
      </c>
    </row>
    <row r="3291" spans="1:14" ht="15">
      <c r="A3291" s="12"/>
      <c r="B3291" s="33" t="s">
        <v>193</v>
      </c>
      <c r="C3291" s="92" t="s">
        <v>984</v>
      </c>
      <c r="D3291" s="33" t="s">
        <v>411</v>
      </c>
      <c r="E3291" s="34">
        <v>45869</v>
      </c>
      <c r="F3291" s="34">
        <v>45870</v>
      </c>
      <c r="G3291" s="34">
        <v>45875</v>
      </c>
      <c r="H3291" s="35">
        <v>0.04</v>
      </c>
      <c r="I3291" s="67">
        <v>0.1789</v>
      </c>
      <c r="J3291" s="67">
        <v>9.5383575806685703E-2</v>
      </c>
      <c r="K3291" s="67">
        <v>8.3516424193314301E-2</v>
      </c>
      <c r="L3291" s="36">
        <f>+K3291-((K3291*0.671*0.125)+(K3291*(1-0.671)*0.26))</f>
        <v>6.9367489188603956E-2</v>
      </c>
      <c r="M3291" s="64">
        <f t="shared" si="94"/>
        <v>0.16475106499528966</v>
      </c>
      <c r="N3291" s="33" t="s">
        <v>718</v>
      </c>
    </row>
    <row r="3292" spans="1:14" ht="15">
      <c r="A3292" s="12"/>
      <c r="B3292" s="33" t="s">
        <v>309</v>
      </c>
      <c r="C3292" s="92" t="s">
        <v>736</v>
      </c>
      <c r="D3292" s="33" t="s">
        <v>411</v>
      </c>
      <c r="E3292" s="34">
        <v>45869</v>
      </c>
      <c r="F3292" s="34">
        <v>45870</v>
      </c>
      <c r="G3292" s="34">
        <v>45875</v>
      </c>
      <c r="H3292" s="35">
        <v>0.05</v>
      </c>
      <c r="I3292" s="67">
        <v>1.61E-2</v>
      </c>
      <c r="J3292" s="67">
        <v>7.4817669968149855E-3</v>
      </c>
      <c r="K3292" s="67">
        <v>8.6182330031850142E-3</v>
      </c>
      <c r="L3292" s="36">
        <f>+K3292-((K3292*0.0283*0.125)+(K3292*(1-0.0283)*0.26))</f>
        <v>6.4104183815455792E-3</v>
      </c>
      <c r="M3292" s="64">
        <f t="shared" si="94"/>
        <v>1.3892185378360565E-2</v>
      </c>
      <c r="N3292" s="33" t="s">
        <v>718</v>
      </c>
    </row>
    <row r="3293" spans="1:14" ht="15">
      <c r="A3293" s="12"/>
      <c r="B3293" s="33" t="s">
        <v>187</v>
      </c>
      <c r="C3293" s="92" t="s">
        <v>737</v>
      </c>
      <c r="D3293" s="33" t="s">
        <v>411</v>
      </c>
      <c r="E3293" s="34">
        <v>45869</v>
      </c>
      <c r="F3293" s="34">
        <v>45870</v>
      </c>
      <c r="G3293" s="34">
        <v>45875</v>
      </c>
      <c r="H3293" s="35">
        <v>0.05</v>
      </c>
      <c r="I3293" s="67">
        <v>0.28210000000000002</v>
      </c>
      <c r="J3293" s="67">
        <v>0.13945922153982887</v>
      </c>
      <c r="K3293" s="67">
        <v>0.14264077846017115</v>
      </c>
      <c r="L3293" s="36">
        <f>+K3293-((K3293*0.0283*0.125)+(K3293*(1-0.0283)*0.26))</f>
        <v>0.10609913515463373</v>
      </c>
      <c r="M3293" s="64">
        <f t="shared" si="94"/>
        <v>0.2455583566944626</v>
      </c>
      <c r="N3293" s="33" t="s">
        <v>718</v>
      </c>
    </row>
    <row r="3294" spans="1:14" ht="15">
      <c r="A3294" s="12"/>
      <c r="B3294" s="33" t="s">
        <v>195</v>
      </c>
      <c r="C3294" s="92" t="s">
        <v>738</v>
      </c>
      <c r="D3294" s="33" t="s">
        <v>411</v>
      </c>
      <c r="E3294" s="34">
        <v>45869</v>
      </c>
      <c r="F3294" s="34">
        <v>45870</v>
      </c>
      <c r="G3294" s="34">
        <v>45875</v>
      </c>
      <c r="H3294" s="35">
        <v>0.05</v>
      </c>
      <c r="I3294" s="67">
        <v>0.29730000000000001</v>
      </c>
      <c r="J3294" s="67">
        <v>0.11941986412947916</v>
      </c>
      <c r="K3294" s="67">
        <v>0.17788013587052084</v>
      </c>
      <c r="L3294" s="36">
        <f>+K3294-((K3294*0.0283*0.125)+(K3294*(1-0.0283)*0.26))</f>
        <v>0.13231089160327875</v>
      </c>
      <c r="M3294" s="64">
        <f t="shared" si="94"/>
        <v>0.25173075573275794</v>
      </c>
      <c r="N3294" s="33" t="s">
        <v>718</v>
      </c>
    </row>
    <row r="3295" spans="1:14" ht="15">
      <c r="A3295" s="12"/>
      <c r="B3295" s="33" t="s">
        <v>312</v>
      </c>
      <c r="C3295" s="92" t="s">
        <v>739</v>
      </c>
      <c r="D3295" s="33" t="s">
        <v>411</v>
      </c>
      <c r="E3295" s="34">
        <v>45869</v>
      </c>
      <c r="F3295" s="34">
        <v>45870</v>
      </c>
      <c r="G3295" s="34">
        <v>45875</v>
      </c>
      <c r="H3295" s="35">
        <v>5.2499999999999998E-2</v>
      </c>
      <c r="I3295" s="67">
        <v>1.6299999999999999E-2</v>
      </c>
      <c r="J3295" s="67">
        <v>7.21217033391508E-4</v>
      </c>
      <c r="K3295" s="67">
        <v>1.5578782966608491E-2</v>
      </c>
      <c r="L3295" s="36">
        <f>+K3295-((K3295*0.0006*0.125)+(K3295*(1-0.0006)*0.26))</f>
        <v>1.1529561276710579E-2</v>
      </c>
      <c r="M3295" s="64">
        <f t="shared" si="94"/>
        <v>1.2250778310102087E-2</v>
      </c>
      <c r="N3295" s="33" t="s">
        <v>718</v>
      </c>
    </row>
    <row r="3296" spans="1:14" ht="15">
      <c r="A3296" s="12"/>
      <c r="B3296" s="33" t="s">
        <v>190</v>
      </c>
      <c r="C3296" s="92" t="s">
        <v>740</v>
      </c>
      <c r="D3296" s="33" t="s">
        <v>411</v>
      </c>
      <c r="E3296" s="34">
        <v>45869</v>
      </c>
      <c r="F3296" s="34">
        <v>45870</v>
      </c>
      <c r="G3296" s="34">
        <v>45875</v>
      </c>
      <c r="H3296" s="35">
        <v>5.2499999999999998E-2</v>
      </c>
      <c r="I3296" s="67">
        <v>0.30649999999999999</v>
      </c>
      <c r="J3296" s="67">
        <v>2.1917477729417545E-2</v>
      </c>
      <c r="K3296" s="67">
        <v>0.28458252227058245</v>
      </c>
      <c r="L3296" s="36">
        <f>+K3296-((K3296*0.0006*0.125)+(K3296*(1-0.0006)*0.26))</f>
        <v>0.21061411766453492</v>
      </c>
      <c r="M3296" s="64">
        <f t="shared" si="94"/>
        <v>0.23253159539395246</v>
      </c>
      <c r="N3296" s="33" t="s">
        <v>718</v>
      </c>
    </row>
    <row r="3297" spans="1:14" ht="15">
      <c r="A3297" s="12"/>
      <c r="B3297" s="33" t="s">
        <v>198</v>
      </c>
      <c r="C3297" s="92" t="s">
        <v>741</v>
      </c>
      <c r="D3297" s="33" t="s">
        <v>411</v>
      </c>
      <c r="E3297" s="34">
        <v>45869</v>
      </c>
      <c r="F3297" s="34">
        <v>45870</v>
      </c>
      <c r="G3297" s="34">
        <v>45875</v>
      </c>
      <c r="H3297" s="35">
        <v>5.2499999999999998E-2</v>
      </c>
      <c r="I3297" s="67">
        <v>0.31280000000000002</v>
      </c>
      <c r="J3297" s="67">
        <v>0</v>
      </c>
      <c r="K3297" s="67">
        <v>0.31280000000000002</v>
      </c>
      <c r="L3297" s="36">
        <f>+K3297-((K3297*0.0006*0.125)+(K3297*(1-0.0006)*0.26))</f>
        <v>0.23149733680000001</v>
      </c>
      <c r="M3297" s="64">
        <f t="shared" si="94"/>
        <v>0.23149733680000001</v>
      </c>
      <c r="N3297" s="33" t="s">
        <v>718</v>
      </c>
    </row>
    <row r="3298" spans="1:14" ht="15">
      <c r="A3298" s="12"/>
      <c r="B3298" s="33" t="s">
        <v>313</v>
      </c>
      <c r="C3298" s="92" t="s">
        <v>884</v>
      </c>
      <c r="D3298" s="33" t="s">
        <v>411</v>
      </c>
      <c r="E3298" s="34">
        <v>45869</v>
      </c>
      <c r="F3298" s="34">
        <v>45870</v>
      </c>
      <c r="G3298" s="34">
        <v>45875</v>
      </c>
      <c r="H3298" s="35">
        <v>4.1250000000000002E-2</v>
      </c>
      <c r="I3298" s="67">
        <v>1.3299999999999999E-2</v>
      </c>
      <c r="J3298" s="67">
        <v>5.9921999999999927E-4</v>
      </c>
      <c r="K3298" s="67">
        <v>1.270078E-2</v>
      </c>
      <c r="L3298" s="36">
        <f>+K3298-((K3298*0.2971*0.125)+(K3298*(1-0.2971)*0.26))</f>
        <v>9.9079864346299992E-3</v>
      </c>
      <c r="M3298" s="64">
        <f t="shared" si="94"/>
        <v>1.0507206434629998E-2</v>
      </c>
      <c r="N3298" s="33" t="s">
        <v>718</v>
      </c>
    </row>
    <row r="3299" spans="1:14" ht="15">
      <c r="A3299" s="12"/>
      <c r="B3299" s="33" t="s">
        <v>310</v>
      </c>
      <c r="C3299" s="92" t="s">
        <v>719</v>
      </c>
      <c r="D3299" s="33" t="s">
        <v>411</v>
      </c>
      <c r="E3299" s="34">
        <v>45898</v>
      </c>
      <c r="F3299" s="34">
        <v>45901</v>
      </c>
      <c r="G3299" s="34">
        <v>45904</v>
      </c>
      <c r="H3299" s="35">
        <v>0.05</v>
      </c>
      <c r="I3299" s="67">
        <v>1.44E-2</v>
      </c>
      <c r="J3299" s="67">
        <v>0</v>
      </c>
      <c r="K3299" s="67">
        <v>1.44E-2</v>
      </c>
      <c r="L3299" s="36">
        <f>+K3299-((K3299*0.0574*0.125)+(K3299*(1-0.0574)*0.26))</f>
        <v>1.0767585600000001E-2</v>
      </c>
      <c r="M3299" s="64">
        <f t="shared" si="94"/>
        <v>1.0767585600000001E-2</v>
      </c>
      <c r="N3299" s="33" t="s">
        <v>718</v>
      </c>
    </row>
    <row r="3300" spans="1:14" ht="15">
      <c r="A3300" s="12"/>
      <c r="B3300" s="33" t="s">
        <v>188</v>
      </c>
      <c r="C3300" s="92" t="s">
        <v>720</v>
      </c>
      <c r="D3300" s="33" t="s">
        <v>411</v>
      </c>
      <c r="E3300" s="34">
        <v>45898</v>
      </c>
      <c r="F3300" s="34">
        <v>45901</v>
      </c>
      <c r="G3300" s="34">
        <v>45904</v>
      </c>
      <c r="H3300" s="35">
        <v>0.05</v>
      </c>
      <c r="I3300" s="67">
        <v>0.24979999999999999</v>
      </c>
      <c r="J3300" s="67">
        <v>1.4345301626606244E-3</v>
      </c>
      <c r="K3300" s="67">
        <v>0.24836546983733937</v>
      </c>
      <c r="L3300" s="36">
        <f>+K3300-((K3300*0.0574*0.125)+(K3300*(1-0.0574)*0.26))</f>
        <v>0.18571503170540066</v>
      </c>
      <c r="M3300" s="64">
        <f t="shared" si="94"/>
        <v>0.18714956186806128</v>
      </c>
      <c r="N3300" s="33" t="s">
        <v>718</v>
      </c>
    </row>
    <row r="3301" spans="1:14" ht="15">
      <c r="A3301" s="12"/>
      <c r="B3301" s="33" t="s">
        <v>196</v>
      </c>
      <c r="C3301" s="92" t="s">
        <v>721</v>
      </c>
      <c r="D3301" s="33" t="s">
        <v>411</v>
      </c>
      <c r="E3301" s="34">
        <v>45898</v>
      </c>
      <c r="F3301" s="34">
        <v>45901</v>
      </c>
      <c r="G3301" s="34">
        <v>45904</v>
      </c>
      <c r="H3301" s="35">
        <v>0.05</v>
      </c>
      <c r="I3301" s="67">
        <v>0.26519999999999999</v>
      </c>
      <c r="J3301" s="67">
        <v>0</v>
      </c>
      <c r="K3301" s="67">
        <v>0.26519999999999999</v>
      </c>
      <c r="L3301" s="36">
        <f>+K3301-((K3301*0.0574*0.125)+(K3301*(1-0.0574)*0.26))</f>
        <v>0.1983030348</v>
      </c>
      <c r="M3301" s="64">
        <f t="shared" si="94"/>
        <v>0.1983030348</v>
      </c>
      <c r="N3301" s="33" t="s">
        <v>718</v>
      </c>
    </row>
    <row r="3302" spans="1:14" ht="15">
      <c r="A3302" s="12"/>
      <c r="B3302" s="33" t="s">
        <v>191</v>
      </c>
      <c r="C3302" s="92" t="s">
        <v>722</v>
      </c>
      <c r="D3302" s="33" t="s">
        <v>411</v>
      </c>
      <c r="E3302" s="34">
        <v>45898</v>
      </c>
      <c r="F3302" s="34">
        <v>45901</v>
      </c>
      <c r="G3302" s="34">
        <v>45904</v>
      </c>
      <c r="H3302" s="35">
        <v>0.05</v>
      </c>
      <c r="I3302" s="67">
        <v>1.37E-2</v>
      </c>
      <c r="J3302" s="67">
        <v>0</v>
      </c>
      <c r="K3302" s="67">
        <v>1.37E-2</v>
      </c>
      <c r="L3302" s="36">
        <f>+K3302-((K3302*0.8353*0.125)+(K3302*(1-0.8353)*0.26))</f>
        <v>1.1682887350000001E-2</v>
      </c>
      <c r="M3302" s="64">
        <f t="shared" si="94"/>
        <v>1.1682887350000001E-2</v>
      </c>
      <c r="N3302" s="33" t="s">
        <v>718</v>
      </c>
    </row>
    <row r="3303" spans="1:14" ht="15">
      <c r="A3303" s="12"/>
      <c r="B3303" s="33" t="s">
        <v>199</v>
      </c>
      <c r="C3303" s="92" t="s">
        <v>723</v>
      </c>
      <c r="D3303" s="33" t="s">
        <v>411</v>
      </c>
      <c r="E3303" s="34">
        <v>45898</v>
      </c>
      <c r="F3303" s="34">
        <v>45901</v>
      </c>
      <c r="G3303" s="34">
        <v>45904</v>
      </c>
      <c r="H3303" s="35">
        <v>0.05</v>
      </c>
      <c r="I3303" s="67">
        <v>1.38E-2</v>
      </c>
      <c r="J3303" s="67">
        <v>0</v>
      </c>
      <c r="K3303" s="67">
        <v>1.38E-2</v>
      </c>
      <c r="L3303" s="36">
        <f>+K3303-((K3303*0.8353*0.125)+(K3303*(1-0.8353)*0.26))</f>
        <v>1.17681639E-2</v>
      </c>
      <c r="M3303" s="64">
        <f t="shared" si="94"/>
        <v>1.17681639E-2</v>
      </c>
      <c r="N3303" s="33" t="s">
        <v>718</v>
      </c>
    </row>
    <row r="3304" spans="1:14" ht="15">
      <c r="A3304" s="12"/>
      <c r="B3304" s="33" t="s">
        <v>306</v>
      </c>
      <c r="C3304" s="92" t="s">
        <v>724</v>
      </c>
      <c r="D3304" s="33" t="s">
        <v>411</v>
      </c>
      <c r="E3304" s="34">
        <v>45898</v>
      </c>
      <c r="F3304" s="34">
        <v>45901</v>
      </c>
      <c r="G3304" s="34">
        <v>45904</v>
      </c>
      <c r="H3304" s="35">
        <v>0.04</v>
      </c>
      <c r="I3304" s="67">
        <v>1.4200000000000001E-2</v>
      </c>
      <c r="J3304" s="67">
        <v>3.0114300000000024E-3</v>
      </c>
      <c r="K3304" s="67">
        <v>1.1188569999999998E-2</v>
      </c>
      <c r="L3304" s="36">
        <f>+K3304-((K3304*0.0004*0.125)+(K3304*(1-0.0004)*0.26))</f>
        <v>8.2801459827799989E-3</v>
      </c>
      <c r="M3304" s="64">
        <f t="shared" si="94"/>
        <v>1.1291575982780001E-2</v>
      </c>
      <c r="N3304" s="33" t="s">
        <v>718</v>
      </c>
    </row>
    <row r="3305" spans="1:14" ht="15">
      <c r="A3305" s="12"/>
      <c r="B3305" s="33" t="s">
        <v>184</v>
      </c>
      <c r="C3305" s="92" t="s">
        <v>725</v>
      </c>
      <c r="D3305" s="33" t="s">
        <v>411</v>
      </c>
      <c r="E3305" s="34">
        <v>45898</v>
      </c>
      <c r="F3305" s="34">
        <v>45901</v>
      </c>
      <c r="G3305" s="34">
        <v>45904</v>
      </c>
      <c r="H3305" s="35">
        <v>0.04</v>
      </c>
      <c r="I3305" s="67">
        <v>0.28399999999999997</v>
      </c>
      <c r="J3305" s="67">
        <v>6.9907089999999922E-2</v>
      </c>
      <c r="K3305" s="67">
        <v>0.21409291000000005</v>
      </c>
      <c r="L3305" s="36">
        <f>+K3305-((K3305*0.0004*0.125)+(K3305*(1-0.0004)*0.26))</f>
        <v>0.15844031441714002</v>
      </c>
      <c r="M3305" s="64">
        <f t="shared" si="94"/>
        <v>0.22834740441713994</v>
      </c>
      <c r="N3305" s="33" t="s">
        <v>718</v>
      </c>
    </row>
    <row r="3306" spans="1:14" ht="15">
      <c r="A3306" s="12"/>
      <c r="B3306" s="33" t="s">
        <v>192</v>
      </c>
      <c r="C3306" s="92" t="s">
        <v>726</v>
      </c>
      <c r="D3306" s="33" t="s">
        <v>411</v>
      </c>
      <c r="E3306" s="34">
        <v>45898</v>
      </c>
      <c r="F3306" s="34">
        <v>45901</v>
      </c>
      <c r="G3306" s="34">
        <v>45904</v>
      </c>
      <c r="H3306" s="35">
        <v>0.04</v>
      </c>
      <c r="I3306" s="67">
        <v>0.2923</v>
      </c>
      <c r="J3306" s="67">
        <v>4.1067299999999918E-2</v>
      </c>
      <c r="K3306" s="67">
        <v>0.25123270000000009</v>
      </c>
      <c r="L3306" s="36">
        <f>+K3306-((K3306*0.0004*0.125)+(K3306*(1-0.0004)*0.26))</f>
        <v>0.18592576456580007</v>
      </c>
      <c r="M3306" s="64">
        <f t="shared" si="94"/>
        <v>0.22699306456579998</v>
      </c>
      <c r="N3306" s="33" t="s">
        <v>718</v>
      </c>
    </row>
    <row r="3307" spans="1:14" ht="15">
      <c r="A3307" s="12"/>
      <c r="B3307" s="33" t="s">
        <v>311</v>
      </c>
      <c r="C3307" s="92" t="s">
        <v>727</v>
      </c>
      <c r="D3307" s="33" t="s">
        <v>411</v>
      </c>
      <c r="E3307" s="34">
        <v>45898</v>
      </c>
      <c r="F3307" s="34">
        <v>45901</v>
      </c>
      <c r="G3307" s="34">
        <v>45904</v>
      </c>
      <c r="H3307" s="35">
        <v>0.04</v>
      </c>
      <c r="I3307" s="67">
        <v>1.5299999999999999E-2</v>
      </c>
      <c r="J3307" s="67">
        <v>4.8275399999999982E-3</v>
      </c>
      <c r="K3307" s="67">
        <v>1.0472460000000001E-2</v>
      </c>
      <c r="L3307" s="36">
        <f>+K3307-((K3307*0.0102*0.125)+(K3307*(1-0.0102)*0.26))</f>
        <v>7.7640409774200007E-3</v>
      </c>
      <c r="M3307" s="64">
        <f t="shared" si="94"/>
        <v>1.2591580977419999E-2</v>
      </c>
      <c r="N3307" s="33" t="s">
        <v>718</v>
      </c>
    </row>
    <row r="3308" spans="1:14" ht="15">
      <c r="A3308" s="12"/>
      <c r="B3308" s="33" t="s">
        <v>189</v>
      </c>
      <c r="C3308" s="92" t="s">
        <v>728</v>
      </c>
      <c r="D3308" s="33" t="s">
        <v>411</v>
      </c>
      <c r="E3308" s="34">
        <v>45898</v>
      </c>
      <c r="F3308" s="34">
        <v>45901</v>
      </c>
      <c r="G3308" s="34">
        <v>45904</v>
      </c>
      <c r="H3308" s="35">
        <v>0.04</v>
      </c>
      <c r="I3308" s="67">
        <v>0.27929999999999999</v>
      </c>
      <c r="J3308" s="67">
        <v>9.7776039999999981E-2</v>
      </c>
      <c r="K3308" s="67">
        <v>0.18152396000000001</v>
      </c>
      <c r="L3308" s="36">
        <f>+K3308-((K3308*0.0102*0.125)+(K3308*(1-0.0102)*0.26))</f>
        <v>0.13457768889291999</v>
      </c>
      <c r="M3308" s="64">
        <f t="shared" si="94"/>
        <v>0.23235372889291997</v>
      </c>
      <c r="N3308" s="33" t="s">
        <v>718</v>
      </c>
    </row>
    <row r="3309" spans="1:14" ht="15">
      <c r="A3309" s="12"/>
      <c r="B3309" s="33" t="s">
        <v>197</v>
      </c>
      <c r="C3309" s="92" t="s">
        <v>729</v>
      </c>
      <c r="D3309" s="33" t="s">
        <v>411</v>
      </c>
      <c r="E3309" s="34">
        <v>45898</v>
      </c>
      <c r="F3309" s="34">
        <v>45901</v>
      </c>
      <c r="G3309" s="34">
        <v>45904</v>
      </c>
      <c r="H3309" s="35">
        <v>0.04</v>
      </c>
      <c r="I3309" s="67">
        <v>0.28970000000000001</v>
      </c>
      <c r="J3309" s="67">
        <v>7.1068820000000005E-2</v>
      </c>
      <c r="K3309" s="67">
        <v>0.21863118000000001</v>
      </c>
      <c r="L3309" s="36">
        <f>+K3309-((K3309*0.0102*0.125)+(K3309*(1-0.0102)*0.26))</f>
        <v>0.16208812833486</v>
      </c>
      <c r="M3309" s="64">
        <f t="shared" si="94"/>
        <v>0.23315694833486</v>
      </c>
      <c r="N3309" s="33" t="s">
        <v>718</v>
      </c>
    </row>
    <row r="3310" spans="1:14" ht="15">
      <c r="A3310" s="12"/>
      <c r="B3310" s="33" t="s">
        <v>308</v>
      </c>
      <c r="C3310" s="92" t="s">
        <v>730</v>
      </c>
      <c r="D3310" s="33" t="s">
        <v>411</v>
      </c>
      <c r="E3310" s="34">
        <v>45898</v>
      </c>
      <c r="F3310" s="34">
        <v>45901</v>
      </c>
      <c r="G3310" s="34">
        <v>45904</v>
      </c>
      <c r="H3310" s="35">
        <v>0.05</v>
      </c>
      <c r="I3310" s="67">
        <v>1.66E-2</v>
      </c>
      <c r="J3310" s="67">
        <v>7.6930111428937381E-3</v>
      </c>
      <c r="K3310" s="67">
        <v>8.9069888571062621E-3</v>
      </c>
      <c r="L3310" s="36">
        <f>+K3310-((K3310*0.4847*0.125)+(K3310*(1-0.4847)*0.26))</f>
        <v>7.1739961166289532E-3</v>
      </c>
      <c r="M3310" s="64">
        <f t="shared" si="94"/>
        <v>1.4867007259522691E-2</v>
      </c>
      <c r="N3310" s="33" t="s">
        <v>718</v>
      </c>
    </row>
    <row r="3311" spans="1:14" ht="15">
      <c r="A3311" s="12"/>
      <c r="B3311" s="33" t="s">
        <v>186</v>
      </c>
      <c r="C3311" s="92" t="s">
        <v>731</v>
      </c>
      <c r="D3311" s="33" t="s">
        <v>411</v>
      </c>
      <c r="E3311" s="34">
        <v>45898</v>
      </c>
      <c r="F3311" s="34">
        <v>45901</v>
      </c>
      <c r="G3311" s="34">
        <v>45904</v>
      </c>
      <c r="H3311" s="35">
        <v>0.05</v>
      </c>
      <c r="I3311" s="67">
        <v>0.3024</v>
      </c>
      <c r="J3311" s="67">
        <v>0.14779912906117915</v>
      </c>
      <c r="K3311" s="67">
        <v>0.15460087093882086</v>
      </c>
      <c r="L3311" s="36">
        <f>+K3311-((K3311*0.4847*0.125)+(K3311*(1-0.4847)*0.26))</f>
        <v>0.12452087518417371</v>
      </c>
      <c r="M3311" s="64">
        <f t="shared" si="94"/>
        <v>0.27232000424535285</v>
      </c>
      <c r="N3311" s="33" t="s">
        <v>718</v>
      </c>
    </row>
    <row r="3312" spans="1:14" ht="15">
      <c r="A3312" s="12"/>
      <c r="B3312" s="33" t="s">
        <v>194</v>
      </c>
      <c r="C3312" s="92" t="s">
        <v>732</v>
      </c>
      <c r="D3312" s="33" t="s">
        <v>411</v>
      </c>
      <c r="E3312" s="34">
        <v>45898</v>
      </c>
      <c r="F3312" s="34">
        <v>45901</v>
      </c>
      <c r="G3312" s="34">
        <v>45904</v>
      </c>
      <c r="H3312" s="35">
        <v>0.05</v>
      </c>
      <c r="I3312" s="67">
        <v>0.31569999999999998</v>
      </c>
      <c r="J3312" s="67">
        <v>0.12849756048745134</v>
      </c>
      <c r="K3312" s="67">
        <v>0.18720243951254864</v>
      </c>
      <c r="L3312" s="36">
        <f>+K3312-((K3312*0.4847*0.125)+(K3312*(1-0.4847)*0.26))</f>
        <v>0.15077930326756986</v>
      </c>
      <c r="M3312" s="64">
        <f t="shared" si="94"/>
        <v>0.2792768637550212</v>
      </c>
      <c r="N3312" s="33" t="s">
        <v>718</v>
      </c>
    </row>
    <row r="3313" spans="1:14" ht="15">
      <c r="A3313" s="12"/>
      <c r="B3313" s="33" t="s">
        <v>307</v>
      </c>
      <c r="C3313" s="92" t="s">
        <v>983</v>
      </c>
      <c r="D3313" s="33" t="s">
        <v>411</v>
      </c>
      <c r="E3313" s="34">
        <v>45898</v>
      </c>
      <c r="F3313" s="34">
        <v>45901</v>
      </c>
      <c r="G3313" s="34">
        <v>45904</v>
      </c>
      <c r="H3313" s="35">
        <v>0.04</v>
      </c>
      <c r="I3313" s="67">
        <v>1.09E-2</v>
      </c>
      <c r="J3313" s="67">
        <v>3.7845465875682395E-3</v>
      </c>
      <c r="K3313" s="67">
        <v>7.1154534124317605E-3</v>
      </c>
      <c r="L3313" s="36">
        <f>+K3313-((K3313*0.671*0.125)+(K3313*(1-0.671)*0.26))</f>
        <v>5.909988872564634E-3</v>
      </c>
      <c r="M3313" s="64">
        <f t="shared" si="94"/>
        <v>9.6945354601328734E-3</v>
      </c>
      <c r="N3313" s="33" t="s">
        <v>718</v>
      </c>
    </row>
    <row r="3314" spans="1:14" ht="15">
      <c r="A3314" s="12"/>
      <c r="B3314" s="33" t="s">
        <v>185</v>
      </c>
      <c r="C3314" s="92" t="s">
        <v>985</v>
      </c>
      <c r="D3314" s="33" t="s">
        <v>411</v>
      </c>
      <c r="E3314" s="34">
        <v>45898</v>
      </c>
      <c r="F3314" s="34">
        <v>45901</v>
      </c>
      <c r="G3314" s="34">
        <v>45904</v>
      </c>
      <c r="H3314" s="35">
        <v>0.04</v>
      </c>
      <c r="I3314" s="67">
        <v>0.17910000000000001</v>
      </c>
      <c r="J3314" s="67">
        <v>6.8001734960021556E-2</v>
      </c>
      <c r="K3314" s="67">
        <v>0.11109826503997845</v>
      </c>
      <c r="L3314" s="36">
        <f>+K3314-((K3314*0.671*0.125)+(K3314*(1-0.671)*0.26))</f>
        <v>9.2276552468230508E-2</v>
      </c>
      <c r="M3314" s="64">
        <f t="shared" si="94"/>
        <v>0.16027828742825206</v>
      </c>
      <c r="N3314" s="33" t="s">
        <v>718</v>
      </c>
    </row>
    <row r="3315" spans="1:14" ht="15">
      <c r="A3315" s="12"/>
      <c r="B3315" s="33" t="s">
        <v>193</v>
      </c>
      <c r="C3315" s="92" t="s">
        <v>984</v>
      </c>
      <c r="D3315" s="33" t="s">
        <v>411</v>
      </c>
      <c r="E3315" s="34">
        <v>45898</v>
      </c>
      <c r="F3315" s="34">
        <v>45901</v>
      </c>
      <c r="G3315" s="34">
        <v>45904</v>
      </c>
      <c r="H3315" s="35">
        <v>0.04</v>
      </c>
      <c r="I3315" s="67">
        <v>0.1789</v>
      </c>
      <c r="J3315" s="67">
        <v>4.8583066765292671E-2</v>
      </c>
      <c r="K3315" s="67">
        <v>0.13031693323470733</v>
      </c>
      <c r="L3315" s="36">
        <f>+K3315-((K3315*0.671*0.125)+(K3315*(1-0.671)*0.26))</f>
        <v>0.10823928999074939</v>
      </c>
      <c r="M3315" s="64">
        <f t="shared" si="94"/>
        <v>0.15682235675604206</v>
      </c>
      <c r="N3315" s="33" t="s">
        <v>718</v>
      </c>
    </row>
    <row r="3316" spans="1:14" ht="15">
      <c r="A3316" s="12"/>
      <c r="B3316" s="33" t="s">
        <v>309</v>
      </c>
      <c r="C3316" s="92" t="s">
        <v>736</v>
      </c>
      <c r="D3316" s="33" t="s">
        <v>411</v>
      </c>
      <c r="E3316" s="34">
        <v>45898</v>
      </c>
      <c r="F3316" s="34">
        <v>45901</v>
      </c>
      <c r="G3316" s="34">
        <v>45904</v>
      </c>
      <c r="H3316" s="35">
        <v>0.05</v>
      </c>
      <c r="I3316" s="67">
        <v>1.61E-2</v>
      </c>
      <c r="J3316" s="67">
        <v>6.9643238160496251E-3</v>
      </c>
      <c r="K3316" s="67">
        <v>9.1356761839503746E-3</v>
      </c>
      <c r="L3316" s="36">
        <f>+K3316-((K3316*0.0283*0.125)+(K3316*(1-0.0283)*0.26))</f>
        <v>6.7953032269840591E-3</v>
      </c>
      <c r="M3316" s="64">
        <f t="shared" si="94"/>
        <v>1.3759627043033684E-2</v>
      </c>
      <c r="N3316" s="33" t="s">
        <v>718</v>
      </c>
    </row>
    <row r="3317" spans="1:14" ht="15">
      <c r="A3317" s="12"/>
      <c r="B3317" s="33" t="s">
        <v>187</v>
      </c>
      <c r="C3317" s="92" t="s">
        <v>737</v>
      </c>
      <c r="D3317" s="33" t="s">
        <v>411</v>
      </c>
      <c r="E3317" s="34">
        <v>45898</v>
      </c>
      <c r="F3317" s="34">
        <v>45901</v>
      </c>
      <c r="G3317" s="34">
        <v>45904</v>
      </c>
      <c r="H3317" s="35">
        <v>0.05</v>
      </c>
      <c r="I3317" s="67">
        <v>0.28210000000000002</v>
      </c>
      <c r="J3317" s="67">
        <v>0.12942884540325678</v>
      </c>
      <c r="K3317" s="67">
        <v>0.15267115459674324</v>
      </c>
      <c r="L3317" s="36">
        <f>+K3317-((K3317*0.0283*0.125)+(K3317*(1-0.0283)*0.26))</f>
        <v>0.11355993454772685</v>
      </c>
      <c r="M3317" s="64">
        <f t="shared" si="94"/>
        <v>0.24298877995098361</v>
      </c>
      <c r="N3317" s="33" t="s">
        <v>718</v>
      </c>
    </row>
    <row r="3318" spans="1:14" ht="15">
      <c r="A3318" s="12"/>
      <c r="B3318" s="33" t="s">
        <v>195</v>
      </c>
      <c r="C3318" s="92" t="s">
        <v>738</v>
      </c>
      <c r="D3318" s="33" t="s">
        <v>411</v>
      </c>
      <c r="E3318" s="34">
        <v>45898</v>
      </c>
      <c r="F3318" s="34">
        <v>45901</v>
      </c>
      <c r="G3318" s="34">
        <v>45904</v>
      </c>
      <c r="H3318" s="35">
        <v>0.05</v>
      </c>
      <c r="I3318" s="67">
        <v>0.29730000000000001</v>
      </c>
      <c r="J3318" s="67">
        <v>0.11176388325974321</v>
      </c>
      <c r="K3318" s="67">
        <v>0.1855361167402568</v>
      </c>
      <c r="L3318" s="36">
        <f>+K3318-((K3318*0.0283*0.125)+(K3318*(1-0.0283)*0.26))</f>
        <v>0.13800556712179618</v>
      </c>
      <c r="M3318" s="64">
        <f t="shared" si="94"/>
        <v>0.24976945038153939</v>
      </c>
      <c r="N3318" s="33" t="s">
        <v>718</v>
      </c>
    </row>
    <row r="3319" spans="1:14" ht="15">
      <c r="A3319" s="12"/>
      <c r="B3319" s="33" t="s">
        <v>312</v>
      </c>
      <c r="C3319" s="92" t="s">
        <v>739</v>
      </c>
      <c r="D3319" s="33" t="s">
        <v>411</v>
      </c>
      <c r="E3319" s="34">
        <v>45898</v>
      </c>
      <c r="F3319" s="34">
        <v>45901</v>
      </c>
      <c r="G3319" s="34">
        <v>45904</v>
      </c>
      <c r="H3319" s="35">
        <v>5.2499999999999998E-2</v>
      </c>
      <c r="I3319" s="67">
        <v>1.6299999999999999E-2</v>
      </c>
      <c r="J3319" s="67">
        <v>8.4083997957018833E-4</v>
      </c>
      <c r="K3319" s="67">
        <v>1.545916002042981E-2</v>
      </c>
      <c r="L3319" s="36">
        <f>+K3319-((K3319*0.0006*0.125)+(K3319*(1-0.0006)*0.26))</f>
        <v>1.1441030607079714E-2</v>
      </c>
      <c r="M3319" s="64">
        <f t="shared" si="94"/>
        <v>1.2281870586649903E-2</v>
      </c>
      <c r="N3319" s="33" t="s">
        <v>718</v>
      </c>
    </row>
    <row r="3320" spans="1:14" ht="15">
      <c r="A3320" s="12"/>
      <c r="B3320" s="33" t="s">
        <v>190</v>
      </c>
      <c r="C3320" s="92" t="s">
        <v>740</v>
      </c>
      <c r="D3320" s="33" t="s">
        <v>411</v>
      </c>
      <c r="E3320" s="34">
        <v>45898</v>
      </c>
      <c r="F3320" s="34">
        <v>45901</v>
      </c>
      <c r="G3320" s="34">
        <v>45904</v>
      </c>
      <c r="H3320" s="35">
        <v>5.2499999999999998E-2</v>
      </c>
      <c r="I3320" s="67">
        <v>0.30649999999999999</v>
      </c>
      <c r="J3320" s="67">
        <v>2.3294027562652475E-2</v>
      </c>
      <c r="K3320" s="67">
        <v>0.28320597243734752</v>
      </c>
      <c r="L3320" s="36">
        <f>+K3320-((K3320*0.0006*0.125)+(K3320*(1-0.0006)*0.26))</f>
        <v>0.20959535928740458</v>
      </c>
      <c r="M3320" s="64">
        <f t="shared" si="94"/>
        <v>0.23288938685005706</v>
      </c>
      <c r="N3320" s="33" t="s">
        <v>718</v>
      </c>
    </row>
    <row r="3321" spans="1:14" ht="15">
      <c r="A3321" s="12"/>
      <c r="B3321" s="33" t="s">
        <v>198</v>
      </c>
      <c r="C3321" s="92" t="s">
        <v>741</v>
      </c>
      <c r="D3321" s="33" t="s">
        <v>411</v>
      </c>
      <c r="E3321" s="34">
        <v>45898</v>
      </c>
      <c r="F3321" s="34">
        <v>45901</v>
      </c>
      <c r="G3321" s="34">
        <v>45904</v>
      </c>
      <c r="H3321" s="35">
        <v>5.2499999999999998E-2</v>
      </c>
      <c r="I3321" s="67">
        <v>0.31280000000000002</v>
      </c>
      <c r="J3321" s="67">
        <v>0</v>
      </c>
      <c r="K3321" s="67">
        <v>0.31280000000000002</v>
      </c>
      <c r="L3321" s="36">
        <f>+K3321-((K3321*0.0006*0.125)+(K3321*(1-0.0006)*0.26))</f>
        <v>0.23149733680000001</v>
      </c>
      <c r="M3321" s="64">
        <f t="shared" ref="M3321:M3384" si="96">J3321+L3321</f>
        <v>0.23149733680000001</v>
      </c>
      <c r="N3321" s="33" t="s">
        <v>718</v>
      </c>
    </row>
    <row r="3322" spans="1:14" ht="15">
      <c r="A3322" s="12"/>
      <c r="B3322" s="33" t="s">
        <v>313</v>
      </c>
      <c r="C3322" s="92" t="s">
        <v>884</v>
      </c>
      <c r="D3322" s="33" t="s">
        <v>411</v>
      </c>
      <c r="E3322" s="34">
        <v>45898</v>
      </c>
      <c r="F3322" s="34">
        <v>45901</v>
      </c>
      <c r="G3322" s="34">
        <v>45904</v>
      </c>
      <c r="H3322" s="35">
        <v>4.1250000000000002E-2</v>
      </c>
      <c r="I3322" s="67">
        <v>1.3299999999999999E-2</v>
      </c>
      <c r="J3322" s="67">
        <v>2.7473400000000009E-3</v>
      </c>
      <c r="K3322" s="67">
        <v>1.0552659999999998E-2</v>
      </c>
      <c r="L3322" s="36">
        <f>+K3322-((K3322*0.2971*0.125)+(K3322*(1-0.2971)*0.26))</f>
        <v>8.2322197636099988E-3</v>
      </c>
      <c r="M3322" s="64">
        <f t="shared" si="96"/>
        <v>1.097955976361E-2</v>
      </c>
      <c r="N3322" s="33" t="s">
        <v>718</v>
      </c>
    </row>
    <row r="3323" spans="1:14" ht="15">
      <c r="A3323" s="12"/>
      <c r="B3323" s="33" t="s">
        <v>745</v>
      </c>
      <c r="C3323" s="92" t="s">
        <v>746</v>
      </c>
      <c r="D3323" s="33" t="s">
        <v>412</v>
      </c>
      <c r="E3323" s="34">
        <v>45908</v>
      </c>
      <c r="F3323" s="34">
        <v>45909</v>
      </c>
      <c r="G3323" s="34">
        <v>45912</v>
      </c>
      <c r="H3323" s="35"/>
      <c r="I3323" s="67">
        <f>VLOOKUP(B3323,'[7]SHN and RC AMUNDI'!$A$2:$D$288,4,FALSE)</f>
        <v>0.13</v>
      </c>
      <c r="J3323" s="67">
        <v>0</v>
      </c>
      <c r="K3323" s="67">
        <v>0.13</v>
      </c>
      <c r="L3323" s="36">
        <f>+K3323-((K3323*0.396*0.125)+(K3323*(1-0.396)*0.26))</f>
        <v>0.1031498</v>
      </c>
      <c r="M3323" s="64">
        <f t="shared" si="96"/>
        <v>0.1031498</v>
      </c>
      <c r="N3323" s="33" t="s">
        <v>288</v>
      </c>
    </row>
    <row r="3324" spans="1:14" ht="15">
      <c r="A3324" s="12"/>
      <c r="B3324" s="33" t="s">
        <v>747</v>
      </c>
      <c r="C3324" s="92" t="s">
        <v>748</v>
      </c>
      <c r="D3324" s="33" t="s">
        <v>412</v>
      </c>
      <c r="E3324" s="34">
        <v>45908</v>
      </c>
      <c r="F3324" s="34">
        <v>45909</v>
      </c>
      <c r="G3324" s="34">
        <v>45912</v>
      </c>
      <c r="H3324" s="35"/>
      <c r="I3324" s="67">
        <f>VLOOKUP(B3324,'[7]SHN and RC AMUNDI'!$A$2:$D$288,4,FALSE)</f>
        <v>0.1</v>
      </c>
      <c r="J3324" s="67">
        <v>0</v>
      </c>
      <c r="K3324" s="67">
        <v>0.1</v>
      </c>
      <c r="L3324" s="36">
        <f>+K3324-((K3324*0.396*0.125)+(K3324*(1-0.396)*0.26))</f>
        <v>7.9346E-2</v>
      </c>
      <c r="M3324" s="64">
        <f t="shared" si="96"/>
        <v>7.9346E-2</v>
      </c>
      <c r="N3324" s="33" t="s">
        <v>288</v>
      </c>
    </row>
    <row r="3325" spans="1:14" ht="15">
      <c r="A3325" s="12"/>
      <c r="B3325" s="33" t="s">
        <v>749</v>
      </c>
      <c r="C3325" s="92" t="s">
        <v>750</v>
      </c>
      <c r="D3325" s="33" t="s">
        <v>412</v>
      </c>
      <c r="E3325" s="34">
        <v>45908</v>
      </c>
      <c r="F3325" s="34">
        <v>45909</v>
      </c>
      <c r="G3325" s="34">
        <v>45912</v>
      </c>
      <c r="H3325" s="35"/>
      <c r="I3325" s="67">
        <f>VLOOKUP(B3325,'[7]SHN and RC AMUNDI'!$A$2:$D$288,4,FALSE)</f>
        <v>0.11</v>
      </c>
      <c r="J3325" s="67">
        <v>0</v>
      </c>
      <c r="K3325" s="67">
        <v>0.11</v>
      </c>
      <c r="L3325" s="36">
        <f>+K3325-((K3325*0.396*0.125)+(K3325*(1-0.396)*0.26))</f>
        <v>8.72806E-2</v>
      </c>
      <c r="M3325" s="64">
        <f t="shared" si="96"/>
        <v>8.72806E-2</v>
      </c>
      <c r="N3325" s="33" t="s">
        <v>288</v>
      </c>
    </row>
    <row r="3326" spans="1:14" ht="15">
      <c r="A3326" s="12"/>
      <c r="B3326" s="33" t="s">
        <v>272</v>
      </c>
      <c r="C3326" s="92" t="s">
        <v>431</v>
      </c>
      <c r="D3326" s="33" t="s">
        <v>412</v>
      </c>
      <c r="E3326" s="34">
        <v>45908</v>
      </c>
      <c r="F3326" s="34">
        <v>45909</v>
      </c>
      <c r="G3326" s="34">
        <v>45912</v>
      </c>
      <c r="H3326" s="35"/>
      <c r="I3326" s="67">
        <f>VLOOKUP(B3326,'[7]SHN and RC AMUNDI'!$A$2:$D$288,4,FALSE)</f>
        <v>0.21</v>
      </c>
      <c r="J3326" s="67">
        <v>0</v>
      </c>
      <c r="K3326" s="67">
        <v>0.21</v>
      </c>
      <c r="L3326" s="36">
        <f>+K3326-((K3326*0.3726*0.125)+(K3326*(1-0.3726)*0.26))</f>
        <v>0.16596321</v>
      </c>
      <c r="M3326" s="64">
        <f t="shared" si="96"/>
        <v>0.16596321</v>
      </c>
      <c r="N3326" s="33" t="s">
        <v>288</v>
      </c>
    </row>
    <row r="3327" spans="1:14" ht="15">
      <c r="A3327" s="12"/>
      <c r="B3327" s="33" t="s">
        <v>273</v>
      </c>
      <c r="C3327" s="92" t="s">
        <v>343</v>
      </c>
      <c r="D3327" s="33" t="s">
        <v>412</v>
      </c>
      <c r="E3327" s="34">
        <v>45908</v>
      </c>
      <c r="F3327" s="34">
        <v>45909</v>
      </c>
      <c r="G3327" s="34">
        <v>45912</v>
      </c>
      <c r="H3327" s="35"/>
      <c r="I3327" s="67">
        <f>VLOOKUP(B3327,'[7]SHN and RC AMUNDI'!$A$2:$D$288,4,FALSE)</f>
        <v>0.23</v>
      </c>
      <c r="J3327" s="67">
        <v>0</v>
      </c>
      <c r="K3327" s="67">
        <v>0.23</v>
      </c>
      <c r="L3327" s="36">
        <f>+K3327-((K3327*0.8353*0.125)+(K3327*(1-0.8353)*0.26))</f>
        <v>0.19613606500000003</v>
      </c>
      <c r="M3327" s="64">
        <f t="shared" si="96"/>
        <v>0.19613606500000003</v>
      </c>
      <c r="N3327" s="33" t="s">
        <v>288</v>
      </c>
    </row>
    <row r="3328" spans="1:14" ht="15">
      <c r="A3328" s="12"/>
      <c r="B3328" s="33" t="s">
        <v>274</v>
      </c>
      <c r="C3328" s="92" t="s">
        <v>432</v>
      </c>
      <c r="D3328" s="33" t="s">
        <v>412</v>
      </c>
      <c r="E3328" s="34">
        <v>45908</v>
      </c>
      <c r="F3328" s="34">
        <v>45909</v>
      </c>
      <c r="G3328" s="34">
        <v>45912</v>
      </c>
      <c r="H3328" s="35"/>
      <c r="I3328" s="67">
        <f>VLOOKUP(B3328,'[7]SHN and RC AMUNDI'!$A$2:$D$288,4,FALSE)</f>
        <v>0.22</v>
      </c>
      <c r="J3328" s="67">
        <v>0</v>
      </c>
      <c r="K3328" s="67">
        <v>0.22</v>
      </c>
      <c r="L3328" s="36">
        <f>+K3328-((K3328*0.8353*0.125)+(K3328*(1-0.8353)*0.26))</f>
        <v>0.18760841</v>
      </c>
      <c r="M3328" s="64">
        <f t="shared" si="96"/>
        <v>0.18760841</v>
      </c>
      <c r="N3328" s="33" t="s">
        <v>288</v>
      </c>
    </row>
    <row r="3329" spans="1:14" ht="15">
      <c r="A3329" s="12"/>
      <c r="B3329" s="33" t="s">
        <v>275</v>
      </c>
      <c r="C3329" s="92" t="s">
        <v>418</v>
      </c>
      <c r="D3329" s="33" t="s">
        <v>412</v>
      </c>
      <c r="E3329" s="34">
        <v>45908</v>
      </c>
      <c r="F3329" s="34">
        <v>45909</v>
      </c>
      <c r="G3329" s="34">
        <v>45912</v>
      </c>
      <c r="H3329" s="35"/>
      <c r="I3329" s="67">
        <f>VLOOKUP(B3329,'[7]SHN and RC AMUNDI'!$A$2:$D$288,4,FALSE)</f>
        <v>0.1</v>
      </c>
      <c r="J3329" s="67">
        <v>0</v>
      </c>
      <c r="K3329" s="67">
        <v>0.1</v>
      </c>
      <c r="L3329" s="36">
        <f>+K3329-((K3329*0.371*0.125)+(K3329*(1-0.371)*0.26))</f>
        <v>7.9008500000000009E-2</v>
      </c>
      <c r="M3329" s="64">
        <f t="shared" si="96"/>
        <v>7.9008500000000009E-2</v>
      </c>
      <c r="N3329" s="33" t="s">
        <v>288</v>
      </c>
    </row>
    <row r="3330" spans="1:14" ht="15">
      <c r="A3330" s="12"/>
      <c r="B3330" s="33" t="s">
        <v>276</v>
      </c>
      <c r="C3330" s="92" t="s">
        <v>419</v>
      </c>
      <c r="D3330" s="33" t="s">
        <v>412</v>
      </c>
      <c r="E3330" s="34">
        <v>45908</v>
      </c>
      <c r="F3330" s="34">
        <v>45909</v>
      </c>
      <c r="G3330" s="34">
        <v>45912</v>
      </c>
      <c r="H3330" s="35"/>
      <c r="I3330" s="67">
        <f>VLOOKUP(B3330,'[7]SHN and RC AMUNDI'!$A$2:$D$288,4,FALSE)</f>
        <v>7.0000000000000007E-2</v>
      </c>
      <c r="J3330" s="67">
        <v>0</v>
      </c>
      <c r="K3330" s="67">
        <v>7.0000000000000007E-2</v>
      </c>
      <c r="L3330" s="36">
        <f>+K3330-((K3330*0.371*0.125)+(K3330*(1-0.371)*0.26))</f>
        <v>5.5305950000000006E-2</v>
      </c>
      <c r="M3330" s="64">
        <f t="shared" si="96"/>
        <v>5.5305950000000006E-2</v>
      </c>
      <c r="N3330" s="33" t="s">
        <v>288</v>
      </c>
    </row>
    <row r="3331" spans="1:14" ht="15">
      <c r="A3331" s="12"/>
      <c r="B3331" s="33" t="s">
        <v>696</v>
      </c>
      <c r="C3331" s="92" t="s">
        <v>695</v>
      </c>
      <c r="D3331" s="33" t="s">
        <v>412</v>
      </c>
      <c r="E3331" s="34">
        <v>45908</v>
      </c>
      <c r="F3331" s="34">
        <v>45909</v>
      </c>
      <c r="G3331" s="34">
        <v>45912</v>
      </c>
      <c r="H3331" s="35"/>
      <c r="I3331" s="67">
        <f>VLOOKUP(B3331,'[7]SHN and RC AMUNDI'!$A$2:$D$288,4,FALSE)</f>
        <v>0.1</v>
      </c>
      <c r="J3331" s="67">
        <v>0</v>
      </c>
      <c r="K3331" s="67">
        <v>0.1</v>
      </c>
      <c r="L3331" s="36">
        <f>+K3331-((K3331*0.3864*0.125)+(K3331*(1-0.3864)*0.26))</f>
        <v>7.9216400000000006E-2</v>
      </c>
      <c r="M3331" s="64">
        <f t="shared" si="96"/>
        <v>7.9216400000000006E-2</v>
      </c>
      <c r="N3331" s="33" t="s">
        <v>288</v>
      </c>
    </row>
    <row r="3332" spans="1:14" ht="15">
      <c r="A3332" s="12"/>
      <c r="B3332" s="33" t="s">
        <v>280</v>
      </c>
      <c r="C3332" s="92" t="s">
        <v>385</v>
      </c>
      <c r="D3332" s="33" t="s">
        <v>412</v>
      </c>
      <c r="E3332" s="34">
        <v>45908</v>
      </c>
      <c r="F3332" s="34">
        <v>45909</v>
      </c>
      <c r="G3332" s="34">
        <v>45912</v>
      </c>
      <c r="H3332" s="35"/>
      <c r="I3332" s="67">
        <f>VLOOKUP(B3332,'[7]SHN and RC AMUNDI'!$A$2:$D$288,4,FALSE)</f>
        <v>0.17</v>
      </c>
      <c r="J3332" s="67">
        <v>0</v>
      </c>
      <c r="K3332" s="67">
        <v>0.17</v>
      </c>
      <c r="L3332" s="36">
        <f>+K3332-((K3332*0.0374*0.125)+(K3332*(1-0.0374)*0.26))</f>
        <v>0.12665833000000001</v>
      </c>
      <c r="M3332" s="64">
        <f t="shared" si="96"/>
        <v>0.12665833000000001</v>
      </c>
      <c r="N3332" s="33" t="s">
        <v>288</v>
      </c>
    </row>
    <row r="3333" spans="1:14" ht="15">
      <c r="A3333" s="12"/>
      <c r="B3333" s="33" t="s">
        <v>281</v>
      </c>
      <c r="C3333" s="92" t="s">
        <v>433</v>
      </c>
      <c r="D3333" s="33" t="s">
        <v>412</v>
      </c>
      <c r="E3333" s="34">
        <v>45908</v>
      </c>
      <c r="F3333" s="34">
        <v>45909</v>
      </c>
      <c r="G3333" s="34">
        <v>45912</v>
      </c>
      <c r="H3333" s="35"/>
      <c r="I3333" s="67">
        <f>VLOOKUP(B3333,'[7]SHN and RC AMUNDI'!$A$2:$D$288,4,FALSE)</f>
        <v>0.21</v>
      </c>
      <c r="J3333" s="67">
        <v>0</v>
      </c>
      <c r="K3333" s="67">
        <v>0.21</v>
      </c>
      <c r="L3333" s="36">
        <f>+K3333-((K3333*0.0338*0.125)+(K3333*(1-0.0338)*0.26))</f>
        <v>0.15635822999999999</v>
      </c>
      <c r="M3333" s="64">
        <f t="shared" si="96"/>
        <v>0.15635822999999999</v>
      </c>
      <c r="N3333" s="33" t="s">
        <v>288</v>
      </c>
    </row>
    <row r="3334" spans="1:14" ht="15">
      <c r="A3334" s="12"/>
      <c r="B3334" s="33" t="s">
        <v>282</v>
      </c>
      <c r="C3334" s="92" t="s">
        <v>878</v>
      </c>
      <c r="D3334" s="33" t="s">
        <v>412</v>
      </c>
      <c r="E3334" s="34">
        <v>45908</v>
      </c>
      <c r="F3334" s="34">
        <v>45909</v>
      </c>
      <c r="G3334" s="34">
        <v>45912</v>
      </c>
      <c r="H3334" s="35"/>
      <c r="I3334" s="67">
        <f>VLOOKUP(B3334,'[7]SHN and RC AMUNDI'!$A$2:$D$288,4,FALSE)</f>
        <v>0.25</v>
      </c>
      <c r="J3334" s="67">
        <v>0</v>
      </c>
      <c r="K3334" s="67">
        <v>0.25</v>
      </c>
      <c r="L3334" s="36">
        <f>+K3334-((K3334*0.1776*0.125)+(K3334*(1-0.1776)*0.26))</f>
        <v>0.190994</v>
      </c>
      <c r="M3334" s="64">
        <f t="shared" si="96"/>
        <v>0.190994</v>
      </c>
      <c r="N3334" s="33" t="s">
        <v>288</v>
      </c>
    </row>
    <row r="3335" spans="1:14" ht="15">
      <c r="A3335" s="12"/>
      <c r="B3335" s="33" t="s">
        <v>283</v>
      </c>
      <c r="C3335" s="92" t="s">
        <v>879</v>
      </c>
      <c r="D3335" s="33" t="s">
        <v>412</v>
      </c>
      <c r="E3335" s="34">
        <v>45908</v>
      </c>
      <c r="F3335" s="34">
        <v>45909</v>
      </c>
      <c r="G3335" s="34">
        <v>45912</v>
      </c>
      <c r="H3335" s="35"/>
      <c r="I3335" s="67">
        <f>VLOOKUP(B3335,'[7]SHN and RC AMUNDI'!$A$2:$D$288,4,FALSE)</f>
        <v>0.18</v>
      </c>
      <c r="J3335" s="67">
        <v>0</v>
      </c>
      <c r="K3335" s="67">
        <v>0.18</v>
      </c>
      <c r="L3335" s="36">
        <f>+K3335-((K3335*0.1776*0.125)+(K3335*(1-0.1776)*0.26))</f>
        <v>0.13751568</v>
      </c>
      <c r="M3335" s="64">
        <f t="shared" si="96"/>
        <v>0.13751568</v>
      </c>
      <c r="N3335" s="33" t="s">
        <v>288</v>
      </c>
    </row>
    <row r="3336" spans="1:14" ht="15">
      <c r="A3336" s="12"/>
      <c r="B3336" s="33" t="s">
        <v>284</v>
      </c>
      <c r="C3336" s="92" t="s">
        <v>880</v>
      </c>
      <c r="D3336" s="33" t="s">
        <v>412</v>
      </c>
      <c r="E3336" s="34">
        <v>45908</v>
      </c>
      <c r="F3336" s="34">
        <v>45909</v>
      </c>
      <c r="G3336" s="34">
        <v>45912</v>
      </c>
      <c r="H3336" s="35"/>
      <c r="I3336" s="67">
        <f>VLOOKUP(B3336,'[7]SHN and RC AMUNDI'!$A$2:$D$288,4,FALSE)</f>
        <v>0.23</v>
      </c>
      <c r="J3336" s="67">
        <v>0</v>
      </c>
      <c r="K3336" s="67">
        <v>0.23</v>
      </c>
      <c r="L3336" s="36">
        <f>+K3336-((K3336*0.1776*0.125)+(K3336*(1-0.1776)*0.26))</f>
        <v>0.17571448000000001</v>
      </c>
      <c r="M3336" s="64">
        <f t="shared" si="96"/>
        <v>0.17571448000000001</v>
      </c>
      <c r="N3336" s="33" t="s">
        <v>288</v>
      </c>
    </row>
    <row r="3337" spans="1:14" ht="15">
      <c r="A3337" s="12"/>
      <c r="B3337" s="33" t="s">
        <v>285</v>
      </c>
      <c r="C3337" s="92" t="s">
        <v>881</v>
      </c>
      <c r="D3337" s="33" t="s">
        <v>412</v>
      </c>
      <c r="E3337" s="34">
        <v>45908</v>
      </c>
      <c r="F3337" s="34">
        <v>45909</v>
      </c>
      <c r="G3337" s="34">
        <v>45912</v>
      </c>
      <c r="H3337" s="35"/>
      <c r="I3337" s="67">
        <f>VLOOKUP(B3337,'[7]SHN and RC AMUNDI'!$A$2:$D$288,4,FALSE)</f>
        <v>0.16</v>
      </c>
      <c r="J3337" s="67">
        <v>0</v>
      </c>
      <c r="K3337" s="67">
        <v>0.16</v>
      </c>
      <c r="L3337" s="36">
        <f>+K3337-((K3337*0.1776*0.125)+(K3337*(1-0.1776)*0.26))</f>
        <v>0.12223616000000001</v>
      </c>
      <c r="M3337" s="64">
        <f t="shared" si="96"/>
        <v>0.12223616000000001</v>
      </c>
      <c r="N3337" s="33" t="s">
        <v>288</v>
      </c>
    </row>
    <row r="3338" spans="1:14" ht="15">
      <c r="A3338" s="12"/>
      <c r="B3338" s="33" t="s">
        <v>286</v>
      </c>
      <c r="C3338" s="92" t="s">
        <v>882</v>
      </c>
      <c r="D3338" s="33" t="s">
        <v>412</v>
      </c>
      <c r="E3338" s="34">
        <v>45908</v>
      </c>
      <c r="F3338" s="34">
        <v>45909</v>
      </c>
      <c r="G3338" s="34">
        <v>45912</v>
      </c>
      <c r="H3338" s="35"/>
      <c r="I3338" s="67">
        <f>VLOOKUP(B3338,'[7]SHN and RC AMUNDI'!$A$2:$D$288,4,FALSE)</f>
        <v>0.19</v>
      </c>
      <c r="J3338" s="67">
        <v>0</v>
      </c>
      <c r="K3338" s="67">
        <v>0.19</v>
      </c>
      <c r="L3338" s="36">
        <f>+K3338-((K3338*0.1776*0.125)+(K3338*(1-0.1776)*0.26))</f>
        <v>0.14515544</v>
      </c>
      <c r="M3338" s="64">
        <f t="shared" si="96"/>
        <v>0.14515544</v>
      </c>
      <c r="N3338" s="33" t="s">
        <v>288</v>
      </c>
    </row>
    <row r="3339" spans="1:14" ht="15">
      <c r="A3339" s="12"/>
      <c r="B3339" s="33" t="s">
        <v>277</v>
      </c>
      <c r="C3339" s="92" t="s">
        <v>468</v>
      </c>
      <c r="D3339" s="33" t="s">
        <v>412</v>
      </c>
      <c r="E3339" s="34">
        <v>45908</v>
      </c>
      <c r="F3339" s="34">
        <v>45909</v>
      </c>
      <c r="G3339" s="34">
        <v>45912</v>
      </c>
      <c r="H3339" s="35"/>
      <c r="I3339" s="67">
        <f>VLOOKUP(B3339,'[7]SHN and RC AMUNDI'!$A$2:$D$288,4,FALSE)</f>
        <v>0.25</v>
      </c>
      <c r="J3339" s="67">
        <v>0</v>
      </c>
      <c r="K3339" s="67">
        <v>0.25</v>
      </c>
      <c r="L3339" s="36">
        <f>+K3339-((K3339*0.0611*0.125)+(K3339*(1-0.0611)*0.26))</f>
        <v>0.187062125</v>
      </c>
      <c r="M3339" s="64">
        <f t="shared" si="96"/>
        <v>0.187062125</v>
      </c>
      <c r="N3339" s="33" t="s">
        <v>288</v>
      </c>
    </row>
    <row r="3340" spans="1:14" ht="15">
      <c r="A3340" s="12"/>
      <c r="B3340" s="33" t="s">
        <v>278</v>
      </c>
      <c r="C3340" s="92" t="s">
        <v>469</v>
      </c>
      <c r="D3340" s="33" t="s">
        <v>412</v>
      </c>
      <c r="E3340" s="34">
        <v>45908</v>
      </c>
      <c r="F3340" s="34">
        <v>45909</v>
      </c>
      <c r="G3340" s="34">
        <v>45912</v>
      </c>
      <c r="H3340" s="35"/>
      <c r="I3340" s="67">
        <f>VLOOKUP(B3340,'[7]SHN and RC AMUNDI'!$A$2:$D$288,4,FALSE)</f>
        <v>0.23</v>
      </c>
      <c r="J3340" s="67">
        <v>0</v>
      </c>
      <c r="K3340" s="67">
        <v>0.23</v>
      </c>
      <c r="L3340" s="36">
        <f>+K3340-((K3340*0.0611*0.125)+(K3340*(1-0.0611)*0.26))</f>
        <v>0.172097155</v>
      </c>
      <c r="M3340" s="64">
        <f t="shared" si="96"/>
        <v>0.172097155</v>
      </c>
      <c r="N3340" s="33" t="s">
        <v>288</v>
      </c>
    </row>
    <row r="3341" spans="1:14" ht="15">
      <c r="A3341" s="12"/>
      <c r="B3341" s="33" t="s">
        <v>279</v>
      </c>
      <c r="C3341" s="92" t="s">
        <v>470</v>
      </c>
      <c r="D3341" s="33" t="s">
        <v>412</v>
      </c>
      <c r="E3341" s="34">
        <v>45908</v>
      </c>
      <c r="F3341" s="34">
        <v>45909</v>
      </c>
      <c r="G3341" s="34">
        <v>45912</v>
      </c>
      <c r="H3341" s="35"/>
      <c r="I3341" s="67">
        <f>VLOOKUP(B3341,'[7]SHN and RC AMUNDI'!$A$2:$D$288,4,FALSE)</f>
        <v>0.27</v>
      </c>
      <c r="J3341" s="67">
        <v>0</v>
      </c>
      <c r="K3341" s="67">
        <v>0.27</v>
      </c>
      <c r="L3341" s="36">
        <f>+K3341-((K3341*0.0611*0.125)+(K3341*(1-0.0611)*0.26))</f>
        <v>0.20202709500000002</v>
      </c>
      <c r="M3341" s="64">
        <f t="shared" si="96"/>
        <v>0.20202709500000002</v>
      </c>
      <c r="N3341" s="33" t="s">
        <v>288</v>
      </c>
    </row>
    <row r="3342" spans="1:14" ht="15">
      <c r="A3342" s="12"/>
      <c r="B3342" s="33" t="s">
        <v>334</v>
      </c>
      <c r="C3342" s="92" t="s">
        <v>1000</v>
      </c>
      <c r="D3342" s="33" t="s">
        <v>412</v>
      </c>
      <c r="E3342" s="34">
        <v>45908</v>
      </c>
      <c r="F3342" s="34">
        <v>45909</v>
      </c>
      <c r="G3342" s="34">
        <v>45912</v>
      </c>
      <c r="H3342" s="35"/>
      <c r="I3342" s="67">
        <v>4.75</v>
      </c>
      <c r="J3342" s="67">
        <v>0</v>
      </c>
      <c r="K3342" s="67">
        <v>4.75</v>
      </c>
      <c r="L3342" s="36">
        <f>+K3342-((K3342*0.00001*0.125)+(K3342*(1-0.00001)*0.26))</f>
        <v>3.5150064125</v>
      </c>
      <c r="M3342" s="64">
        <f t="shared" si="96"/>
        <v>3.5150064125</v>
      </c>
      <c r="N3342" s="33" t="s">
        <v>288</v>
      </c>
    </row>
    <row r="3343" spans="1:14" ht="15">
      <c r="A3343" s="12"/>
      <c r="B3343" s="33" t="s">
        <v>333</v>
      </c>
      <c r="C3343" s="92" t="s">
        <v>1001</v>
      </c>
      <c r="D3343" s="33" t="s">
        <v>412</v>
      </c>
      <c r="E3343" s="34">
        <v>45908</v>
      </c>
      <c r="F3343" s="34">
        <v>45909</v>
      </c>
      <c r="G3343" s="34">
        <v>45912</v>
      </c>
      <c r="H3343" s="35"/>
      <c r="I3343" s="67">
        <v>4.75</v>
      </c>
      <c r="J3343" s="67">
        <v>0</v>
      </c>
      <c r="K3343" s="67">
        <v>4.75</v>
      </c>
      <c r="L3343" s="36">
        <f>+K3343-((K3343*0.00001*0.125)+(K3343*(1-0.00001)*0.26))</f>
        <v>3.5150064125</v>
      </c>
      <c r="M3343" s="64">
        <f t="shared" si="96"/>
        <v>3.5150064125</v>
      </c>
      <c r="N3343" s="33" t="s">
        <v>288</v>
      </c>
    </row>
    <row r="3344" spans="1:14" ht="15">
      <c r="A3344" s="12"/>
      <c r="B3344" s="33" t="s">
        <v>174</v>
      </c>
      <c r="C3344" s="92" t="s">
        <v>382</v>
      </c>
      <c r="D3344" s="33" t="s">
        <v>410</v>
      </c>
      <c r="E3344" s="34">
        <v>45929</v>
      </c>
      <c r="F3344" s="34">
        <v>45930</v>
      </c>
      <c r="G3344" s="34">
        <v>45933</v>
      </c>
      <c r="H3344" s="35"/>
      <c r="I3344" s="67">
        <v>4.1813000000000003E-2</v>
      </c>
      <c r="J3344" s="67">
        <v>0</v>
      </c>
      <c r="K3344" s="67">
        <v>4.1813120000000002E-2</v>
      </c>
      <c r="L3344" s="36">
        <f>+K3344-((K3344*0.0306*0.125)+(K3344*(1-0.0306)*0.26))</f>
        <v>3.1114438798720001E-2</v>
      </c>
      <c r="M3344" s="64">
        <f t="shared" si="96"/>
        <v>3.1114438798720001E-2</v>
      </c>
      <c r="N3344" s="33" t="s">
        <v>247</v>
      </c>
    </row>
    <row r="3345" spans="1:14" ht="15">
      <c r="A3345" s="12"/>
      <c r="B3345" s="33" t="s">
        <v>176</v>
      </c>
      <c r="C3345" s="92" t="s">
        <v>877</v>
      </c>
      <c r="D3345" s="33" t="s">
        <v>410</v>
      </c>
      <c r="E3345" s="34">
        <v>45929</v>
      </c>
      <c r="F3345" s="34">
        <v>45930</v>
      </c>
      <c r="G3345" s="34">
        <v>45933</v>
      </c>
      <c r="H3345" s="35"/>
      <c r="I3345" s="67">
        <v>4.6044000000000002E-2</v>
      </c>
      <c r="J3345" s="67">
        <v>0</v>
      </c>
      <c r="K3345" s="67">
        <v>4.6043809999999998E-2</v>
      </c>
      <c r="L3345" s="36">
        <f>+K3345-((K3345*0.1776*0.125)+(K3345*(1-0.1776)*0.26))</f>
        <v>3.5176365788559996E-2</v>
      </c>
      <c r="M3345" s="64">
        <f t="shared" si="96"/>
        <v>3.5176365788559996E-2</v>
      </c>
      <c r="N3345" s="33" t="s">
        <v>247</v>
      </c>
    </row>
    <row r="3346" spans="1:14" ht="15">
      <c r="A3346" s="12"/>
      <c r="B3346" s="33" t="s">
        <v>175</v>
      </c>
      <c r="C3346" s="92" t="s">
        <v>465</v>
      </c>
      <c r="D3346" s="33" t="s">
        <v>410</v>
      </c>
      <c r="E3346" s="34">
        <v>45929</v>
      </c>
      <c r="F3346" s="34">
        <v>45930</v>
      </c>
      <c r="G3346" s="34">
        <v>45933</v>
      </c>
      <c r="H3346" s="35"/>
      <c r="I3346" s="67">
        <v>6.2746999999999997E-2</v>
      </c>
      <c r="J3346" s="67">
        <v>0</v>
      </c>
      <c r="K3346" s="67">
        <v>6.2747410000000003E-2</v>
      </c>
      <c r="L3346" s="36">
        <f>+K3346-((K3346*0.0611*0.125)+(K3346*(1-0.0611)*0.26))</f>
        <v>4.6950655411385003E-2</v>
      </c>
      <c r="M3346" s="64">
        <f t="shared" si="96"/>
        <v>4.6950655411385003E-2</v>
      </c>
      <c r="N3346" s="33" t="s">
        <v>247</v>
      </c>
    </row>
    <row r="3347" spans="1:14" ht="15">
      <c r="A3347" s="12"/>
      <c r="B3347" s="33" t="s">
        <v>310</v>
      </c>
      <c r="C3347" s="92" t="s">
        <v>719</v>
      </c>
      <c r="D3347" s="33" t="s">
        <v>411</v>
      </c>
      <c r="E3347" s="34">
        <v>45930</v>
      </c>
      <c r="F3347" s="34">
        <v>45931</v>
      </c>
      <c r="G3347" s="34">
        <v>45936</v>
      </c>
      <c r="H3347" s="35">
        <v>0.05</v>
      </c>
      <c r="I3347" s="67">
        <v>1.44E-2</v>
      </c>
      <c r="J3347" s="67">
        <v>0</v>
      </c>
      <c r="K3347" s="67">
        <v>1.44E-2</v>
      </c>
      <c r="L3347" s="36">
        <f>+K3347-((K3347*0.0574*0.125)+(K3347*(1-0.0574)*0.26))</f>
        <v>1.0767585600000001E-2</v>
      </c>
      <c r="M3347" s="64">
        <f t="shared" si="96"/>
        <v>1.0767585600000001E-2</v>
      </c>
      <c r="N3347" s="33" t="s">
        <v>718</v>
      </c>
    </row>
    <row r="3348" spans="1:14" ht="15">
      <c r="A3348" s="12"/>
      <c r="B3348" s="33" t="s">
        <v>188</v>
      </c>
      <c r="C3348" s="92" t="s">
        <v>720</v>
      </c>
      <c r="D3348" s="33" t="s">
        <v>411</v>
      </c>
      <c r="E3348" s="34">
        <v>45930</v>
      </c>
      <c r="F3348" s="34">
        <v>45931</v>
      </c>
      <c r="G3348" s="34">
        <v>45936</v>
      </c>
      <c r="H3348" s="35">
        <v>0.05</v>
      </c>
      <c r="I3348" s="67">
        <v>0.24979999999999999</v>
      </c>
      <c r="J3348" s="67">
        <v>0</v>
      </c>
      <c r="K3348" s="67">
        <v>0.24980000000000002</v>
      </c>
      <c r="L3348" s="36">
        <f>+K3348-((K3348*0.0574*0.125)+(K3348*(1-0.0574)*0.26))</f>
        <v>0.18678770020000002</v>
      </c>
      <c r="M3348" s="64">
        <f t="shared" si="96"/>
        <v>0.18678770020000002</v>
      </c>
      <c r="N3348" s="33" t="s">
        <v>718</v>
      </c>
    </row>
    <row r="3349" spans="1:14" ht="15">
      <c r="A3349" s="12"/>
      <c r="B3349" s="33" t="s">
        <v>196</v>
      </c>
      <c r="C3349" s="92" t="s">
        <v>721</v>
      </c>
      <c r="D3349" s="33" t="s">
        <v>411</v>
      </c>
      <c r="E3349" s="34">
        <v>45930</v>
      </c>
      <c r="F3349" s="34">
        <v>45931</v>
      </c>
      <c r="G3349" s="34">
        <v>45936</v>
      </c>
      <c r="H3349" s="35">
        <v>0.05</v>
      </c>
      <c r="I3349" s="67">
        <v>0.26519999999999999</v>
      </c>
      <c r="J3349" s="67">
        <v>0</v>
      </c>
      <c r="K3349" s="67">
        <v>0.26519999999999999</v>
      </c>
      <c r="L3349" s="36">
        <f>+K3349-((K3349*0.0574*0.125)+(K3349*(1-0.0574)*0.26))</f>
        <v>0.1983030348</v>
      </c>
      <c r="M3349" s="64">
        <f t="shared" si="96"/>
        <v>0.1983030348</v>
      </c>
      <c r="N3349" s="33" t="s">
        <v>718</v>
      </c>
    </row>
    <row r="3350" spans="1:14" ht="15">
      <c r="A3350" s="12"/>
      <c r="B3350" s="33" t="s">
        <v>191</v>
      </c>
      <c r="C3350" s="92" t="s">
        <v>722</v>
      </c>
      <c r="D3350" s="33" t="s">
        <v>411</v>
      </c>
      <c r="E3350" s="34">
        <v>45930</v>
      </c>
      <c r="F3350" s="34">
        <v>45931</v>
      </c>
      <c r="G3350" s="34">
        <v>45936</v>
      </c>
      <c r="H3350" s="35">
        <v>0.05</v>
      </c>
      <c r="I3350" s="67">
        <v>1.37E-2</v>
      </c>
      <c r="J3350" s="67">
        <v>0</v>
      </c>
      <c r="K3350" s="67">
        <v>1.37E-2</v>
      </c>
      <c r="L3350" s="36">
        <f>+K3350-((K3350*0.8353*0.125)+(K3350*(1-0.8353)*0.26))</f>
        <v>1.1682887350000001E-2</v>
      </c>
      <c r="M3350" s="64">
        <f t="shared" si="96"/>
        <v>1.1682887350000001E-2</v>
      </c>
      <c r="N3350" s="33" t="s">
        <v>718</v>
      </c>
    </row>
    <row r="3351" spans="1:14" ht="15">
      <c r="A3351" s="12"/>
      <c r="B3351" s="33" t="s">
        <v>199</v>
      </c>
      <c r="C3351" s="92" t="s">
        <v>723</v>
      </c>
      <c r="D3351" s="33" t="s">
        <v>411</v>
      </c>
      <c r="E3351" s="34">
        <v>45930</v>
      </c>
      <c r="F3351" s="34">
        <v>45931</v>
      </c>
      <c r="G3351" s="34">
        <v>45936</v>
      </c>
      <c r="H3351" s="35">
        <v>0.05</v>
      </c>
      <c r="I3351" s="67">
        <v>1.38E-2</v>
      </c>
      <c r="J3351" s="67">
        <v>0</v>
      </c>
      <c r="K3351" s="67">
        <v>1.38E-2</v>
      </c>
      <c r="L3351" s="36">
        <f>+K3351-((K3351*0.8353*0.125)+(K3351*(1-0.8353)*0.26))</f>
        <v>1.17681639E-2</v>
      </c>
      <c r="M3351" s="64">
        <f t="shared" si="96"/>
        <v>1.17681639E-2</v>
      </c>
      <c r="N3351" s="33" t="s">
        <v>718</v>
      </c>
    </row>
    <row r="3352" spans="1:14" ht="15">
      <c r="A3352" s="12"/>
      <c r="B3352" s="33" t="s">
        <v>306</v>
      </c>
      <c r="C3352" s="92" t="s">
        <v>724</v>
      </c>
      <c r="D3352" s="33" t="s">
        <v>411</v>
      </c>
      <c r="E3352" s="34">
        <v>45930</v>
      </c>
      <c r="F3352" s="34">
        <v>45931</v>
      </c>
      <c r="G3352" s="34">
        <v>45936</v>
      </c>
      <c r="H3352" s="35">
        <v>0.04</v>
      </c>
      <c r="I3352" s="67">
        <v>1.4200000000000001E-2</v>
      </c>
      <c r="J3352" s="67">
        <v>3.013179999999999E-3</v>
      </c>
      <c r="K3352" s="67">
        <v>1.1186820000000002E-2</v>
      </c>
      <c r="L3352" s="36">
        <f>+K3352-((K3352*0.0004*0.125)+(K3352*(1-0.0004)*0.26))</f>
        <v>8.2788508882800007E-3</v>
      </c>
      <c r="M3352" s="64">
        <f t="shared" si="96"/>
        <v>1.129203088828E-2</v>
      </c>
      <c r="N3352" s="33" t="s">
        <v>718</v>
      </c>
    </row>
    <row r="3353" spans="1:14" ht="15">
      <c r="A3353" s="12"/>
      <c r="B3353" s="33" t="s">
        <v>184</v>
      </c>
      <c r="C3353" s="92" t="s">
        <v>725</v>
      </c>
      <c r="D3353" s="33" t="s">
        <v>411</v>
      </c>
      <c r="E3353" s="34">
        <v>45930</v>
      </c>
      <c r="F3353" s="34">
        <v>45931</v>
      </c>
      <c r="G3353" s="34">
        <v>45936</v>
      </c>
      <c r="H3353" s="35">
        <v>0.04</v>
      </c>
      <c r="I3353" s="67">
        <v>0.28399999999999997</v>
      </c>
      <c r="J3353" s="67">
        <v>6.7090749999999977E-2</v>
      </c>
      <c r="K3353" s="67">
        <v>0.21690925</v>
      </c>
      <c r="L3353" s="36">
        <f>+K3353-((K3353*0.0004*0.125)+(K3353*(1-0.0004)*0.26))</f>
        <v>0.1605245580995</v>
      </c>
      <c r="M3353" s="64">
        <f t="shared" si="96"/>
        <v>0.22761530809949998</v>
      </c>
      <c r="N3353" s="33" t="s">
        <v>718</v>
      </c>
    </row>
    <row r="3354" spans="1:14" ht="15">
      <c r="A3354" s="12"/>
      <c r="B3354" s="33" t="s">
        <v>192</v>
      </c>
      <c r="C3354" s="92" t="s">
        <v>726</v>
      </c>
      <c r="D3354" s="33" t="s">
        <v>411</v>
      </c>
      <c r="E3354" s="34">
        <v>45930</v>
      </c>
      <c r="F3354" s="34">
        <v>45931</v>
      </c>
      <c r="G3354" s="34">
        <v>45936</v>
      </c>
      <c r="H3354" s="35">
        <v>0.04</v>
      </c>
      <c r="I3354" s="67">
        <v>0.2923</v>
      </c>
      <c r="J3354" s="67">
        <v>4.0211749999999935E-2</v>
      </c>
      <c r="K3354" s="67">
        <v>0.25208825000000007</v>
      </c>
      <c r="L3354" s="36">
        <f>+K3354-((K3354*0.0004*0.125)+(K3354*(1-0.0004)*0.26))</f>
        <v>0.18655891776550004</v>
      </c>
      <c r="M3354" s="64">
        <f t="shared" si="96"/>
        <v>0.22677066776549998</v>
      </c>
      <c r="N3354" s="33" t="s">
        <v>718</v>
      </c>
    </row>
    <row r="3355" spans="1:14" ht="15">
      <c r="A3355" s="12"/>
      <c r="B3355" s="33" t="s">
        <v>311</v>
      </c>
      <c r="C3355" s="92" t="s">
        <v>727</v>
      </c>
      <c r="D3355" s="33" t="s">
        <v>411</v>
      </c>
      <c r="E3355" s="34">
        <v>45930</v>
      </c>
      <c r="F3355" s="34">
        <v>45931</v>
      </c>
      <c r="G3355" s="34">
        <v>45936</v>
      </c>
      <c r="H3355" s="35">
        <v>0.04</v>
      </c>
      <c r="I3355" s="67">
        <v>1.5299999999999999E-2</v>
      </c>
      <c r="J3355" s="67">
        <v>4.9726300000000005E-3</v>
      </c>
      <c r="K3355" s="67">
        <v>1.0327369999999999E-2</v>
      </c>
      <c r="L3355" s="36">
        <f>+K3355-((K3355*0.0102*0.125)+(K3355*(1-0.0102)*0.26))</f>
        <v>7.6564745884899988E-3</v>
      </c>
      <c r="M3355" s="64">
        <f t="shared" si="96"/>
        <v>1.2629104588489998E-2</v>
      </c>
      <c r="N3355" s="33" t="s">
        <v>718</v>
      </c>
    </row>
    <row r="3356" spans="1:14" ht="15">
      <c r="A3356" s="12"/>
      <c r="B3356" s="33" t="s">
        <v>189</v>
      </c>
      <c r="C3356" s="92" t="s">
        <v>728</v>
      </c>
      <c r="D3356" s="33" t="s">
        <v>411</v>
      </c>
      <c r="E3356" s="34">
        <v>45930</v>
      </c>
      <c r="F3356" s="34">
        <v>45931</v>
      </c>
      <c r="G3356" s="34">
        <v>45936</v>
      </c>
      <c r="H3356" s="35">
        <v>0.04</v>
      </c>
      <c r="I3356" s="67">
        <v>0.27929999999999999</v>
      </c>
      <c r="J3356" s="67">
        <v>0.10063320000000001</v>
      </c>
      <c r="K3356" s="67">
        <v>0.17866679999999999</v>
      </c>
      <c r="L3356" s="36">
        <f>+K3356-((K3356*0.0102*0.125)+(K3356*(1-0.0102)*0.26))</f>
        <v>0.1324594561836</v>
      </c>
      <c r="M3356" s="64">
        <f t="shared" si="96"/>
        <v>0.23309265618360001</v>
      </c>
      <c r="N3356" s="33" t="s">
        <v>718</v>
      </c>
    </row>
    <row r="3357" spans="1:14" ht="15">
      <c r="A3357" s="12"/>
      <c r="B3357" s="33" t="s">
        <v>197</v>
      </c>
      <c r="C3357" s="92" t="s">
        <v>729</v>
      </c>
      <c r="D3357" s="33" t="s">
        <v>411</v>
      </c>
      <c r="E3357" s="34">
        <v>45930</v>
      </c>
      <c r="F3357" s="34">
        <v>45931</v>
      </c>
      <c r="G3357" s="34">
        <v>45936</v>
      </c>
      <c r="H3357" s="35">
        <v>0.04</v>
      </c>
      <c r="I3357" s="67">
        <v>0.28970000000000001</v>
      </c>
      <c r="J3357" s="67">
        <v>7.3600609999999983E-2</v>
      </c>
      <c r="K3357" s="67">
        <v>0.21609939000000003</v>
      </c>
      <c r="L3357" s="36">
        <f>+K3357-((K3357*0.0102*0.125)+(K3357*(1-0.0102)*0.26))</f>
        <v>0.16021111746003003</v>
      </c>
      <c r="M3357" s="64">
        <f t="shared" si="96"/>
        <v>0.23381172746003001</v>
      </c>
      <c r="N3357" s="33" t="s">
        <v>718</v>
      </c>
    </row>
    <row r="3358" spans="1:14" ht="15">
      <c r="A3358" s="12"/>
      <c r="B3358" s="33" t="s">
        <v>308</v>
      </c>
      <c r="C3358" s="92" t="s">
        <v>730</v>
      </c>
      <c r="D3358" s="33" t="s">
        <v>411</v>
      </c>
      <c r="E3358" s="34">
        <v>45930</v>
      </c>
      <c r="F3358" s="34">
        <v>45931</v>
      </c>
      <c r="G3358" s="34">
        <v>45936</v>
      </c>
      <c r="H3358" s="35">
        <v>0.05</v>
      </c>
      <c r="I3358" s="67">
        <v>1.66E-2</v>
      </c>
      <c r="J3358" s="67">
        <v>7.2135036185610891E-3</v>
      </c>
      <c r="K3358" s="67">
        <v>9.3864963814389111E-3</v>
      </c>
      <c r="L3358" s="36">
        <f>+K3358-((K3358*0.4847*0.125)+(K3358*(1-0.4847)*0.26))</f>
        <v>7.5602080197360588E-3</v>
      </c>
      <c r="M3358" s="64">
        <f t="shared" si="96"/>
        <v>1.4773711638297148E-2</v>
      </c>
      <c r="N3358" s="33" t="s">
        <v>718</v>
      </c>
    </row>
    <row r="3359" spans="1:14" ht="15">
      <c r="A3359" s="12"/>
      <c r="B3359" s="33" t="s">
        <v>186</v>
      </c>
      <c r="C3359" s="92" t="s">
        <v>731</v>
      </c>
      <c r="D3359" s="33" t="s">
        <v>411</v>
      </c>
      <c r="E3359" s="34">
        <v>45930</v>
      </c>
      <c r="F3359" s="34">
        <v>45931</v>
      </c>
      <c r="G3359" s="34">
        <v>45936</v>
      </c>
      <c r="H3359" s="35">
        <v>0.05</v>
      </c>
      <c r="I3359" s="67">
        <v>0.3024</v>
      </c>
      <c r="J3359" s="67">
        <v>0.13829025117071098</v>
      </c>
      <c r="K3359" s="67">
        <v>0.16410974882928903</v>
      </c>
      <c r="L3359" s="36">
        <f>+K3359-((K3359*0.4847*0.125)+(K3359*(1-0.4847)*0.26))</f>
        <v>0.13217965349344399</v>
      </c>
      <c r="M3359" s="64">
        <f t="shared" si="96"/>
        <v>0.27046990466415499</v>
      </c>
      <c r="N3359" s="33" t="s">
        <v>718</v>
      </c>
    </row>
    <row r="3360" spans="1:14" ht="15">
      <c r="A3360" s="12"/>
      <c r="B3360" s="33" t="s">
        <v>194</v>
      </c>
      <c r="C3360" s="92" t="s">
        <v>732</v>
      </c>
      <c r="D3360" s="33" t="s">
        <v>411</v>
      </c>
      <c r="E3360" s="34">
        <v>45930</v>
      </c>
      <c r="F3360" s="34">
        <v>45931</v>
      </c>
      <c r="G3360" s="34">
        <v>45936</v>
      </c>
      <c r="H3360" s="35">
        <v>0.05</v>
      </c>
      <c r="I3360" s="67">
        <v>0.31569999999999998</v>
      </c>
      <c r="J3360" s="67">
        <v>0.11751223499361432</v>
      </c>
      <c r="K3360" s="67">
        <v>0.19818776500638566</v>
      </c>
      <c r="L3360" s="36">
        <f>+K3360-((K3360*0.4847*0.125)+(K3360*(1-0.4847)*0.26))</f>
        <v>0.15962726341403571</v>
      </c>
      <c r="M3360" s="64">
        <f t="shared" si="96"/>
        <v>0.27713949840765006</v>
      </c>
      <c r="N3360" s="33" t="s">
        <v>718</v>
      </c>
    </row>
    <row r="3361" spans="1:14" ht="15">
      <c r="A3361" s="12"/>
      <c r="B3361" s="33" t="s">
        <v>307</v>
      </c>
      <c r="C3361" s="92" t="s">
        <v>983</v>
      </c>
      <c r="D3361" s="33" t="s">
        <v>411</v>
      </c>
      <c r="E3361" s="34">
        <v>45930</v>
      </c>
      <c r="F3361" s="34">
        <v>45931</v>
      </c>
      <c r="G3361" s="34">
        <v>45936</v>
      </c>
      <c r="H3361" s="35">
        <v>0.04</v>
      </c>
      <c r="I3361" s="67">
        <v>1.09E-2</v>
      </c>
      <c r="J3361" s="67">
        <v>4.7344231587909767E-3</v>
      </c>
      <c r="K3361" s="67">
        <v>6.1655768412090233E-3</v>
      </c>
      <c r="L3361" s="36">
        <f>+K3361-((K3361*0.671*0.125)+(K3361*(1-0.671)*0.26))</f>
        <v>5.1210356406555966E-3</v>
      </c>
      <c r="M3361" s="64">
        <f t="shared" si="96"/>
        <v>9.8554587994465724E-3</v>
      </c>
      <c r="N3361" s="33" t="s">
        <v>718</v>
      </c>
    </row>
    <row r="3362" spans="1:14" ht="15">
      <c r="A3362" s="12"/>
      <c r="B3362" s="33" t="s">
        <v>185</v>
      </c>
      <c r="C3362" s="92" t="s">
        <v>985</v>
      </c>
      <c r="D3362" s="33" t="s">
        <v>411</v>
      </c>
      <c r="E3362" s="34">
        <v>45930</v>
      </c>
      <c r="F3362" s="34">
        <v>45931</v>
      </c>
      <c r="G3362" s="34">
        <v>45936</v>
      </c>
      <c r="H3362" s="35">
        <v>0.04</v>
      </c>
      <c r="I3362" s="67">
        <v>0.17910000000000001</v>
      </c>
      <c r="J3362" s="67">
        <v>8.4498705832269067E-2</v>
      </c>
      <c r="K3362" s="67">
        <v>9.4601294167730943E-2</v>
      </c>
      <c r="L3362" s="36">
        <f>+K3362-((K3362*0.671*0.125)+(K3362*(1-0.671)*0.26))</f>
        <v>7.8574415916304804E-2</v>
      </c>
      <c r="M3362" s="64">
        <f t="shared" si="96"/>
        <v>0.16307312174857386</v>
      </c>
      <c r="N3362" s="33" t="s">
        <v>718</v>
      </c>
    </row>
    <row r="3363" spans="1:14" ht="15">
      <c r="A3363" s="12"/>
      <c r="B3363" s="33" t="s">
        <v>193</v>
      </c>
      <c r="C3363" s="92" t="s">
        <v>984</v>
      </c>
      <c r="D3363" s="33" t="s">
        <v>411</v>
      </c>
      <c r="E3363" s="34">
        <v>45930</v>
      </c>
      <c r="F3363" s="34">
        <v>45931</v>
      </c>
      <c r="G3363" s="34">
        <v>45936</v>
      </c>
      <c r="H3363" s="35">
        <v>0.04</v>
      </c>
      <c r="I3363" s="67">
        <v>0.1789</v>
      </c>
      <c r="J3363" s="67">
        <v>6.4382307364836092E-2</v>
      </c>
      <c r="K3363" s="67">
        <v>0.11451769263516391</v>
      </c>
      <c r="L3363" s="36">
        <f>+K3363-((K3363*0.671*0.125)+(K3363*(1-0.671)*0.26))</f>
        <v>9.5116677737377614E-2</v>
      </c>
      <c r="M3363" s="64">
        <f t="shared" si="96"/>
        <v>0.15949898510221372</v>
      </c>
      <c r="N3363" s="33" t="s">
        <v>718</v>
      </c>
    </row>
    <row r="3364" spans="1:14" ht="15">
      <c r="A3364" s="12"/>
      <c r="B3364" s="33" t="s">
        <v>309</v>
      </c>
      <c r="C3364" s="92" t="s">
        <v>736</v>
      </c>
      <c r="D3364" s="33" t="s">
        <v>411</v>
      </c>
      <c r="E3364" s="34">
        <v>45930</v>
      </c>
      <c r="F3364" s="34">
        <v>45931</v>
      </c>
      <c r="G3364" s="34">
        <v>45936</v>
      </c>
      <c r="H3364" s="35">
        <v>0.05</v>
      </c>
      <c r="I3364" s="67">
        <v>1.61E-2</v>
      </c>
      <c r="J3364" s="67">
        <v>7.2609535972754363E-3</v>
      </c>
      <c r="K3364" s="67">
        <v>8.8390464027245635E-3</v>
      </c>
      <c r="L3364" s="36">
        <f>+K3364-((K3364*0.0283*0.125)+(K3364*(1-0.0283)*0.26))</f>
        <v>6.5746639147977858E-3</v>
      </c>
      <c r="M3364" s="64">
        <f t="shared" si="96"/>
        <v>1.3835617512073222E-2</v>
      </c>
      <c r="N3364" s="33" t="s">
        <v>718</v>
      </c>
    </row>
    <row r="3365" spans="1:14" ht="15">
      <c r="A3365" s="12"/>
      <c r="B3365" s="33" t="s">
        <v>187</v>
      </c>
      <c r="C3365" s="92" t="s">
        <v>737</v>
      </c>
      <c r="D3365" s="33" t="s">
        <v>411</v>
      </c>
      <c r="E3365" s="34">
        <v>45930</v>
      </c>
      <c r="F3365" s="34">
        <v>45931</v>
      </c>
      <c r="G3365" s="34">
        <v>45936</v>
      </c>
      <c r="H3365" s="35">
        <v>0.05</v>
      </c>
      <c r="I3365" s="67">
        <v>0.28210000000000002</v>
      </c>
      <c r="J3365" s="67">
        <v>0.13501968497232864</v>
      </c>
      <c r="K3365" s="67">
        <v>0.14708031502767138</v>
      </c>
      <c r="L3365" s="36">
        <f>+K3365-((K3365*0.0283*0.125)+(K3365*(1-0.0283)*0.26))</f>
        <v>0.10940135346404004</v>
      </c>
      <c r="M3365" s="64">
        <f t="shared" si="96"/>
        <v>0.24442103843636867</v>
      </c>
      <c r="N3365" s="33" t="s">
        <v>718</v>
      </c>
    </row>
    <row r="3366" spans="1:14" ht="15">
      <c r="A3366" s="12"/>
      <c r="B3366" s="33" t="s">
        <v>195</v>
      </c>
      <c r="C3366" s="92" t="s">
        <v>738</v>
      </c>
      <c r="D3366" s="33" t="s">
        <v>411</v>
      </c>
      <c r="E3366" s="34">
        <v>45930</v>
      </c>
      <c r="F3366" s="34">
        <v>45931</v>
      </c>
      <c r="G3366" s="34">
        <v>45936</v>
      </c>
      <c r="H3366" s="35">
        <v>0.05</v>
      </c>
      <c r="I3366" s="67">
        <v>0.29730000000000001</v>
      </c>
      <c r="J3366" s="67">
        <v>0.11653347807577691</v>
      </c>
      <c r="K3366" s="67">
        <v>0.1807665219242231</v>
      </c>
      <c r="L3366" s="36">
        <f>+K3366-((K3366*0.0283*0.125)+(K3366*(1-0.0283)*0.26))</f>
        <v>0.13445784472093658</v>
      </c>
      <c r="M3366" s="64">
        <f t="shared" si="96"/>
        <v>0.25099132279671349</v>
      </c>
      <c r="N3366" s="33" t="s">
        <v>718</v>
      </c>
    </row>
    <row r="3367" spans="1:14" ht="15">
      <c r="A3367" s="12"/>
      <c r="B3367" s="33" t="s">
        <v>312</v>
      </c>
      <c r="C3367" s="92" t="s">
        <v>739</v>
      </c>
      <c r="D3367" s="33" t="s">
        <v>411</v>
      </c>
      <c r="E3367" s="34">
        <v>45930</v>
      </c>
      <c r="F3367" s="34">
        <v>45931</v>
      </c>
      <c r="G3367" s="34">
        <v>45936</v>
      </c>
      <c r="H3367" s="35">
        <v>5.2499999999999998E-2</v>
      </c>
      <c r="I3367" s="67">
        <v>1.6299999999999999E-2</v>
      </c>
      <c r="J3367" s="67">
        <v>2.5490421455938717E-3</v>
      </c>
      <c r="K3367" s="67">
        <v>1.3750957854406127E-2</v>
      </c>
      <c r="L3367" s="36">
        <f>+K3367-((K3367*0.0006*0.125)+(K3367*(1-0.0006)*0.26))</f>
        <v>1.017682263984674E-2</v>
      </c>
      <c r="M3367" s="64">
        <f t="shared" si="96"/>
        <v>1.2725864785440612E-2</v>
      </c>
      <c r="N3367" s="33" t="s">
        <v>718</v>
      </c>
    </row>
    <row r="3368" spans="1:14" ht="15">
      <c r="A3368" s="12"/>
      <c r="B3368" s="33" t="s">
        <v>190</v>
      </c>
      <c r="C3368" s="92" t="s">
        <v>740</v>
      </c>
      <c r="D3368" s="33" t="s">
        <v>411</v>
      </c>
      <c r="E3368" s="34">
        <v>45930</v>
      </c>
      <c r="F3368" s="34">
        <v>45931</v>
      </c>
      <c r="G3368" s="34">
        <v>45936</v>
      </c>
      <c r="H3368" s="35">
        <v>5.2499999999999998E-2</v>
      </c>
      <c r="I3368" s="67">
        <v>0.30649999999999999</v>
      </c>
      <c r="J3368" s="67">
        <v>5.6473861217539445E-2</v>
      </c>
      <c r="K3368" s="67">
        <v>0.25002613878246055</v>
      </c>
      <c r="L3368" s="36">
        <f>+K3368-((K3368*0.0006*0.125)+(K3368*(1-0.0006)*0.26))</f>
        <v>0.1850395948162622</v>
      </c>
      <c r="M3368" s="64">
        <f t="shared" si="96"/>
        <v>0.24151345603380164</v>
      </c>
      <c r="N3368" s="33" t="s">
        <v>718</v>
      </c>
    </row>
    <row r="3369" spans="1:14" ht="15">
      <c r="A3369" s="12"/>
      <c r="B3369" s="33" t="s">
        <v>198</v>
      </c>
      <c r="C3369" s="92" t="s">
        <v>741</v>
      </c>
      <c r="D3369" s="33" t="s">
        <v>411</v>
      </c>
      <c r="E3369" s="34">
        <v>45930</v>
      </c>
      <c r="F3369" s="34">
        <v>45931</v>
      </c>
      <c r="G3369" s="34">
        <v>45936</v>
      </c>
      <c r="H3369" s="35">
        <v>5.2499999999999998E-2</v>
      </c>
      <c r="I3369" s="67">
        <v>0.31280000000000002</v>
      </c>
      <c r="J3369" s="67">
        <v>0</v>
      </c>
      <c r="K3369" s="67">
        <v>0.31280000000000002</v>
      </c>
      <c r="L3369" s="36">
        <f>+K3369-((K3369*0.0006*0.125)+(K3369*(1-0.0006)*0.26))</f>
        <v>0.23149733680000001</v>
      </c>
      <c r="M3369" s="64">
        <f t="shared" si="96"/>
        <v>0.23149733680000001</v>
      </c>
      <c r="N3369" s="33" t="s">
        <v>718</v>
      </c>
    </row>
    <row r="3370" spans="1:14" ht="15">
      <c r="A3370" s="12"/>
      <c r="B3370" s="33" t="s">
        <v>313</v>
      </c>
      <c r="C3370" s="92" t="s">
        <v>884</v>
      </c>
      <c r="D3370" s="33" t="s">
        <v>411</v>
      </c>
      <c r="E3370" s="34">
        <v>45930</v>
      </c>
      <c r="F3370" s="34">
        <v>45931</v>
      </c>
      <c r="G3370" s="34">
        <v>45936</v>
      </c>
      <c r="H3370" s="35">
        <v>4.1250000000000002E-2</v>
      </c>
      <c r="I3370" s="67">
        <v>1.3299999999999999E-2</v>
      </c>
      <c r="J3370" s="67">
        <v>2.2322999999999978E-3</v>
      </c>
      <c r="K3370" s="67">
        <v>1.1067700000000001E-2</v>
      </c>
      <c r="L3370" s="36">
        <f>+K3370-((K3370*0.2971*0.125)+(K3370*(1-0.2971)*0.26))</f>
        <v>8.6340068454500013E-3</v>
      </c>
      <c r="M3370" s="64">
        <f t="shared" si="96"/>
        <v>1.0866306845449999E-2</v>
      </c>
      <c r="N3370" s="33" t="s">
        <v>718</v>
      </c>
    </row>
    <row r="3371" spans="1:14" ht="15">
      <c r="A3371" s="12"/>
      <c r="B3371" s="33" t="s">
        <v>298</v>
      </c>
      <c r="C3371" s="92" t="s">
        <v>403</v>
      </c>
      <c r="D3371" s="33" t="s">
        <v>410</v>
      </c>
      <c r="E3371" s="34">
        <v>45930</v>
      </c>
      <c r="F3371" s="34">
        <v>45931</v>
      </c>
      <c r="G3371" s="34">
        <v>45936</v>
      </c>
      <c r="H3371" s="35">
        <v>0.05</v>
      </c>
      <c r="I3371" s="67">
        <v>4.7800000000000002E-2</v>
      </c>
      <c r="J3371" s="67">
        <v>0</v>
      </c>
      <c r="K3371" s="67">
        <v>4.7800000000000002E-2</v>
      </c>
      <c r="L3371" s="36">
        <f>+K3371-((K3371*0.4693*0.125)+(K3371*(1-0.4693)*0.26))</f>
        <v>3.8400392900000004E-2</v>
      </c>
      <c r="M3371" s="64">
        <f t="shared" si="96"/>
        <v>3.8400392900000004E-2</v>
      </c>
      <c r="N3371" s="33" t="s">
        <v>248</v>
      </c>
    </row>
    <row r="3372" spans="1:14" ht="15">
      <c r="A3372" s="12"/>
      <c r="B3372" s="33" t="s">
        <v>181</v>
      </c>
      <c r="C3372" s="92" t="s">
        <v>335</v>
      </c>
      <c r="D3372" s="33" t="s">
        <v>410</v>
      </c>
      <c r="E3372" s="34">
        <v>45930</v>
      </c>
      <c r="F3372" s="34">
        <v>45931</v>
      </c>
      <c r="G3372" s="34">
        <v>45936</v>
      </c>
      <c r="H3372" s="35">
        <v>0.05</v>
      </c>
      <c r="I3372" s="67">
        <v>0.85060000000000002</v>
      </c>
      <c r="J3372" s="67">
        <v>0</v>
      </c>
      <c r="K3372" s="67">
        <v>0.85060000000000002</v>
      </c>
      <c r="L3372" s="36">
        <f>+K3372-((K3372*0.4693*0.125)+(K3372*(1-0.4693)*0.26))</f>
        <v>0.68333418830000003</v>
      </c>
      <c r="M3372" s="64">
        <f t="shared" si="96"/>
        <v>0.68333418830000003</v>
      </c>
      <c r="N3372" s="33" t="s">
        <v>248</v>
      </c>
    </row>
    <row r="3373" spans="1:14" ht="15">
      <c r="A3373" s="12"/>
      <c r="B3373" s="33" t="s">
        <v>201</v>
      </c>
      <c r="C3373" s="92" t="s">
        <v>336</v>
      </c>
      <c r="D3373" s="33" t="s">
        <v>410</v>
      </c>
      <c r="E3373" s="34">
        <v>45930</v>
      </c>
      <c r="F3373" s="34">
        <v>45931</v>
      </c>
      <c r="G3373" s="34">
        <v>45936</v>
      </c>
      <c r="H3373" s="35">
        <v>0.05</v>
      </c>
      <c r="I3373" s="67">
        <v>0.87580000000000002</v>
      </c>
      <c r="J3373" s="67">
        <v>0</v>
      </c>
      <c r="K3373" s="67">
        <v>0.87580000000000002</v>
      </c>
      <c r="L3373" s="36">
        <f>+K3373-((K3373*0.4693*0.125)+(K3373*(1-0.4693)*0.26))</f>
        <v>0.7035787469</v>
      </c>
      <c r="M3373" s="64">
        <f t="shared" si="96"/>
        <v>0.7035787469</v>
      </c>
      <c r="N3373" s="33" t="s">
        <v>248</v>
      </c>
    </row>
    <row r="3374" spans="1:14" ht="15">
      <c r="A3374" s="12"/>
      <c r="B3374" s="33" t="s">
        <v>138</v>
      </c>
      <c r="C3374" s="92" t="s">
        <v>337</v>
      </c>
      <c r="D3374" s="33" t="s">
        <v>410</v>
      </c>
      <c r="E3374" s="34">
        <v>45930</v>
      </c>
      <c r="F3374" s="34">
        <v>45931</v>
      </c>
      <c r="G3374" s="34">
        <v>45936</v>
      </c>
      <c r="H3374" s="35">
        <v>0.05</v>
      </c>
      <c r="I3374" s="67">
        <v>6.83E-2</v>
      </c>
      <c r="J3374" s="67">
        <v>0</v>
      </c>
      <c r="K3374" s="67">
        <v>6.83E-2</v>
      </c>
      <c r="L3374" s="36">
        <f>+K3374-((K3374*0.3726*0.125)+(K3374*(1-0.3726)*0.26))</f>
        <v>5.3977558299999999E-2</v>
      </c>
      <c r="M3374" s="64">
        <f t="shared" si="96"/>
        <v>5.3977558299999999E-2</v>
      </c>
      <c r="N3374" s="33" t="s">
        <v>248</v>
      </c>
    </row>
    <row r="3375" spans="1:14" ht="15">
      <c r="A3375" s="12"/>
      <c r="B3375" s="33" t="s">
        <v>160</v>
      </c>
      <c r="C3375" s="92" t="s">
        <v>338</v>
      </c>
      <c r="D3375" s="33" t="s">
        <v>410</v>
      </c>
      <c r="E3375" s="34">
        <v>45930</v>
      </c>
      <c r="F3375" s="34">
        <v>45931</v>
      </c>
      <c r="G3375" s="34">
        <v>45936</v>
      </c>
      <c r="H3375" s="35">
        <v>0.05</v>
      </c>
      <c r="I3375" s="67">
        <v>6.59E-2</v>
      </c>
      <c r="J3375" s="67">
        <v>2.9046900000000153E-3</v>
      </c>
      <c r="K3375" s="67">
        <v>6.2995309999999985E-2</v>
      </c>
      <c r="L3375" s="36">
        <f>+K3375-((K3375*0.3726*0.125)+(K3375*(1-0.3726)*0.26))</f>
        <v>4.978525648830999E-2</v>
      </c>
      <c r="M3375" s="64">
        <f t="shared" si="96"/>
        <v>5.2689946488310005E-2</v>
      </c>
      <c r="N3375" s="33" t="s">
        <v>248</v>
      </c>
    </row>
    <row r="3376" spans="1:14" ht="15">
      <c r="A3376" s="12"/>
      <c r="B3376" s="33" t="s">
        <v>300</v>
      </c>
      <c r="C3376" s="92" t="s">
        <v>404</v>
      </c>
      <c r="D3376" s="33" t="s">
        <v>410</v>
      </c>
      <c r="E3376" s="34">
        <v>45930</v>
      </c>
      <c r="F3376" s="34">
        <v>45931</v>
      </c>
      <c r="G3376" s="34">
        <v>45936</v>
      </c>
      <c r="H3376" s="35">
        <v>0.05</v>
      </c>
      <c r="I3376" s="67">
        <v>5.1999999999999998E-2</v>
      </c>
      <c r="J3376" s="67">
        <v>0</v>
      </c>
      <c r="K3376" s="67">
        <v>5.1999999999999998E-2</v>
      </c>
      <c r="L3376" s="36">
        <f>+K3376-((K3376*0.3726*0.125)+(K3376*(1-0.3726)*0.26))</f>
        <v>4.1095651999999996E-2</v>
      </c>
      <c r="M3376" s="64">
        <f t="shared" si="96"/>
        <v>4.1095651999999996E-2</v>
      </c>
      <c r="N3376" s="33" t="s">
        <v>248</v>
      </c>
    </row>
    <row r="3377" spans="1:14" ht="15">
      <c r="A3377" s="12"/>
      <c r="B3377" s="33" t="s">
        <v>142</v>
      </c>
      <c r="C3377" s="92" t="s">
        <v>341</v>
      </c>
      <c r="D3377" s="33" t="s">
        <v>410</v>
      </c>
      <c r="E3377" s="34">
        <v>45930</v>
      </c>
      <c r="F3377" s="34">
        <v>45931</v>
      </c>
      <c r="G3377" s="34">
        <v>45936</v>
      </c>
      <c r="H3377" s="35">
        <v>5.7500000000000002E-2</v>
      </c>
      <c r="I3377" s="67">
        <v>8.5199999999999998E-2</v>
      </c>
      <c r="J3377" s="67">
        <v>0</v>
      </c>
      <c r="K3377" s="67">
        <v>8.5199999999999998E-2</v>
      </c>
      <c r="L3377" s="36">
        <f>+K3377-((K3377*0.0261*0.125)+(K3377*(1-0.0261)*0.26))</f>
        <v>6.3348202199999995E-2</v>
      </c>
      <c r="M3377" s="64">
        <f t="shared" si="96"/>
        <v>6.3348202199999995E-2</v>
      </c>
      <c r="N3377" s="33" t="s">
        <v>248</v>
      </c>
    </row>
    <row r="3378" spans="1:14" ht="15">
      <c r="A3378" s="12"/>
      <c r="B3378" s="33" t="s">
        <v>159</v>
      </c>
      <c r="C3378" s="92" t="s">
        <v>342</v>
      </c>
      <c r="D3378" s="33" t="s">
        <v>410</v>
      </c>
      <c r="E3378" s="34">
        <v>45930</v>
      </c>
      <c r="F3378" s="34">
        <v>45931</v>
      </c>
      <c r="G3378" s="34">
        <v>45936</v>
      </c>
      <c r="H3378" s="35">
        <v>5.7500000000000002E-2</v>
      </c>
      <c r="I3378" s="67">
        <v>8.2900000000000001E-2</v>
      </c>
      <c r="J3378" s="67">
        <v>3.1783900000000032E-3</v>
      </c>
      <c r="K3378" s="67">
        <v>7.9721609999999998E-2</v>
      </c>
      <c r="L3378" s="36">
        <f>+K3378-((K3378*0.0261*0.125)+(K3378*(1-0.0261)*0.26))</f>
        <v>5.9274890492834992E-2</v>
      </c>
      <c r="M3378" s="64">
        <f t="shared" si="96"/>
        <v>6.2453280492834995E-2</v>
      </c>
      <c r="N3378" s="33" t="s">
        <v>248</v>
      </c>
    </row>
    <row r="3379" spans="1:14" ht="15">
      <c r="A3379" s="12"/>
      <c r="B3379" s="33" t="s">
        <v>507</v>
      </c>
      <c r="C3379" s="92" t="s">
        <v>508</v>
      </c>
      <c r="D3379" s="33" t="s">
        <v>410</v>
      </c>
      <c r="E3379" s="34">
        <v>45930</v>
      </c>
      <c r="F3379" s="34">
        <v>45931</v>
      </c>
      <c r="G3379" s="34">
        <v>45936</v>
      </c>
      <c r="H3379" s="35">
        <v>5.7500000000000002E-2</v>
      </c>
      <c r="I3379" s="67">
        <v>6.6900000000000001E-2</v>
      </c>
      <c r="J3379" s="67">
        <v>0</v>
      </c>
      <c r="K3379" s="67">
        <v>6.6900000000000001E-2</v>
      </c>
      <c r="L3379" s="36">
        <f>+K3379-((K3379*0.0261*0.125)+(K3379*(1-0.0261)*0.26))</f>
        <v>4.9741722150000001E-2</v>
      </c>
      <c r="M3379" s="64">
        <f t="shared" si="96"/>
        <v>4.9741722150000001E-2</v>
      </c>
      <c r="N3379" s="33" t="s">
        <v>248</v>
      </c>
    </row>
    <row r="3380" spans="1:14" ht="15">
      <c r="A3380" s="12"/>
      <c r="B3380" s="33" t="s">
        <v>139</v>
      </c>
      <c r="C3380" s="92" t="s">
        <v>344</v>
      </c>
      <c r="D3380" s="33" t="s">
        <v>410</v>
      </c>
      <c r="E3380" s="34">
        <v>45930</v>
      </c>
      <c r="F3380" s="34">
        <v>45931</v>
      </c>
      <c r="G3380" s="34">
        <v>45936</v>
      </c>
      <c r="H3380" s="35">
        <v>0.05</v>
      </c>
      <c r="I3380" s="67">
        <v>4.8599999999999997E-2</v>
      </c>
      <c r="J3380" s="67">
        <v>0</v>
      </c>
      <c r="K3380" s="67">
        <v>4.8599999999999997E-2</v>
      </c>
      <c r="L3380" s="36">
        <f>+K3380-((K3380*0.8353*0.125)+(K3380*(1-0.8353)*0.26))</f>
        <v>4.1444403300000002E-2</v>
      </c>
      <c r="M3380" s="64">
        <f t="shared" si="96"/>
        <v>4.1444403300000002E-2</v>
      </c>
      <c r="N3380" s="33" t="s">
        <v>248</v>
      </c>
    </row>
    <row r="3381" spans="1:14" ht="15">
      <c r="A3381" s="12"/>
      <c r="B3381" s="33" t="s">
        <v>161</v>
      </c>
      <c r="C3381" s="92" t="s">
        <v>345</v>
      </c>
      <c r="D3381" s="33" t="s">
        <v>410</v>
      </c>
      <c r="E3381" s="34">
        <v>45930</v>
      </c>
      <c r="F3381" s="34">
        <v>45931</v>
      </c>
      <c r="G3381" s="34">
        <v>45936</v>
      </c>
      <c r="H3381" s="35">
        <v>0.05</v>
      </c>
      <c r="I3381" s="67">
        <v>4.7300000000000002E-2</v>
      </c>
      <c r="J3381" s="67">
        <v>0</v>
      </c>
      <c r="K3381" s="67">
        <v>4.7300000000000002E-2</v>
      </c>
      <c r="L3381" s="36">
        <f>+K3381-((K3381*0.8353*0.125)+(K3381*(1-0.8353)*0.26))</f>
        <v>4.0335808149999999E-2</v>
      </c>
      <c r="M3381" s="64">
        <f t="shared" si="96"/>
        <v>4.0335808149999999E-2</v>
      </c>
      <c r="N3381" s="33" t="s">
        <v>248</v>
      </c>
    </row>
    <row r="3382" spans="1:14" ht="15">
      <c r="A3382" s="12"/>
      <c r="B3382" s="33" t="s">
        <v>141</v>
      </c>
      <c r="C3382" s="92" t="s">
        <v>348</v>
      </c>
      <c r="D3382" s="33" t="s">
        <v>410</v>
      </c>
      <c r="E3382" s="34">
        <v>45930</v>
      </c>
      <c r="F3382" s="34">
        <v>45931</v>
      </c>
      <c r="G3382" s="34">
        <v>45936</v>
      </c>
      <c r="H3382" s="35">
        <v>0.05</v>
      </c>
      <c r="I3382" s="67">
        <v>4.9599999999999998E-2</v>
      </c>
      <c r="J3382" s="67">
        <v>0</v>
      </c>
      <c r="K3382" s="67">
        <v>4.9599999999999998E-2</v>
      </c>
      <c r="L3382" s="36">
        <f>+K3382-((K3382*0.0653*0.125)+(K3382*(1-0.0653)*0.26))</f>
        <v>3.7141248799999999E-2</v>
      </c>
      <c r="M3382" s="64">
        <f t="shared" si="96"/>
        <v>3.7141248799999999E-2</v>
      </c>
      <c r="N3382" s="33" t="s">
        <v>248</v>
      </c>
    </row>
    <row r="3383" spans="1:14" ht="15">
      <c r="A3383" s="12"/>
      <c r="B3383" s="33" t="s">
        <v>140</v>
      </c>
      <c r="C3383" s="92" t="s">
        <v>349</v>
      </c>
      <c r="D3383" s="33" t="s">
        <v>410</v>
      </c>
      <c r="E3383" s="34">
        <v>45930</v>
      </c>
      <c r="F3383" s="34">
        <v>45931</v>
      </c>
      <c r="G3383" s="34">
        <v>45936</v>
      </c>
      <c r="H3383" s="35">
        <v>0.05</v>
      </c>
      <c r="I3383" s="67">
        <v>6.4699999999999994E-2</v>
      </c>
      <c r="J3383" s="67">
        <v>0</v>
      </c>
      <c r="K3383" s="67">
        <v>6.4699999999999994E-2</v>
      </c>
      <c r="L3383" s="36">
        <f>+K3383-((K3383*0.0653*0.125)+(K3383*(1-0.0653)*0.26))</f>
        <v>4.8448362849999996E-2</v>
      </c>
      <c r="M3383" s="64">
        <f t="shared" si="96"/>
        <v>4.8448362849999996E-2</v>
      </c>
      <c r="N3383" s="33" t="s">
        <v>248</v>
      </c>
    </row>
    <row r="3384" spans="1:14" ht="15">
      <c r="A3384" s="12"/>
      <c r="B3384" s="33" t="s">
        <v>162</v>
      </c>
      <c r="C3384" s="92" t="s">
        <v>350</v>
      </c>
      <c r="D3384" s="33" t="s">
        <v>410</v>
      </c>
      <c r="E3384" s="34">
        <v>45930</v>
      </c>
      <c r="F3384" s="34">
        <v>45931</v>
      </c>
      <c r="G3384" s="34">
        <v>45936</v>
      </c>
      <c r="H3384" s="35">
        <v>0.05</v>
      </c>
      <c r="I3384" s="67">
        <v>6.25E-2</v>
      </c>
      <c r="J3384" s="67">
        <v>0</v>
      </c>
      <c r="K3384" s="67">
        <v>6.25E-2</v>
      </c>
      <c r="L3384" s="36">
        <f>+K3384-((K3384*0.0653*0.125)+(K3384*(1-0.0653)*0.26))</f>
        <v>4.6800968750000005E-2</v>
      </c>
      <c r="M3384" s="64">
        <f t="shared" si="96"/>
        <v>4.6800968750000005E-2</v>
      </c>
      <c r="N3384" s="33" t="s">
        <v>248</v>
      </c>
    </row>
    <row r="3385" spans="1:14" ht="15">
      <c r="A3385" s="12"/>
      <c r="B3385" s="33" t="s">
        <v>302</v>
      </c>
      <c r="C3385" s="92" t="s">
        <v>405</v>
      </c>
      <c r="D3385" s="33" t="s">
        <v>410</v>
      </c>
      <c r="E3385" s="34">
        <v>45930</v>
      </c>
      <c r="F3385" s="34">
        <v>45931</v>
      </c>
      <c r="G3385" s="34">
        <v>45936</v>
      </c>
      <c r="H3385" s="35">
        <v>0.05</v>
      </c>
      <c r="I3385" s="67">
        <v>5.1200000000000002E-2</v>
      </c>
      <c r="J3385" s="67">
        <v>0</v>
      </c>
      <c r="K3385" s="67">
        <v>5.1200000000000002E-2</v>
      </c>
      <c r="L3385" s="36">
        <f>+K3385-((K3385*0.0653*0.125)+(K3385*(1-0.0653)*0.26))</f>
        <v>3.8339353600000001E-2</v>
      </c>
      <c r="M3385" s="64">
        <f t="shared" ref="M3385:M3448" si="97">J3385+L3385</f>
        <v>3.8339353600000001E-2</v>
      </c>
      <c r="N3385" s="33" t="s">
        <v>248</v>
      </c>
    </row>
    <row r="3386" spans="1:14" ht="15">
      <c r="A3386" s="12"/>
      <c r="B3386" s="33" t="s">
        <v>303</v>
      </c>
      <c r="C3386" s="92" t="s">
        <v>406</v>
      </c>
      <c r="D3386" s="33" t="s">
        <v>410</v>
      </c>
      <c r="E3386" s="34">
        <v>45930</v>
      </c>
      <c r="F3386" s="34">
        <v>45931</v>
      </c>
      <c r="G3386" s="34">
        <v>45936</v>
      </c>
      <c r="H3386" s="35">
        <v>0.05</v>
      </c>
      <c r="I3386" s="67">
        <v>6.0100000000000001E-2</v>
      </c>
      <c r="J3386" s="67">
        <v>0</v>
      </c>
      <c r="K3386" s="67">
        <v>6.0100000000000001E-2</v>
      </c>
      <c r="L3386" s="36">
        <f>+K3386-((K3386*0.0653*0.125)+(K3386*(1-0.0653)*0.26))</f>
        <v>4.5003811550000002E-2</v>
      </c>
      <c r="M3386" s="64">
        <f t="shared" si="97"/>
        <v>4.5003811550000002E-2</v>
      </c>
      <c r="N3386" s="33" t="s">
        <v>248</v>
      </c>
    </row>
    <row r="3387" spans="1:14" ht="15">
      <c r="A3387" s="12"/>
      <c r="B3387" s="33" t="s">
        <v>143</v>
      </c>
      <c r="C3387" s="92" t="s">
        <v>351</v>
      </c>
      <c r="D3387" s="33" t="s">
        <v>410</v>
      </c>
      <c r="E3387" s="34">
        <v>45930</v>
      </c>
      <c r="F3387" s="34">
        <v>45931</v>
      </c>
      <c r="G3387" s="34">
        <v>45936</v>
      </c>
      <c r="H3387" s="35">
        <v>2.5000000000000001E-2</v>
      </c>
      <c r="I3387" s="67">
        <v>2.75E-2</v>
      </c>
      <c r="J3387" s="67">
        <v>1.7212699999999935E-3</v>
      </c>
      <c r="K3387" s="67">
        <v>2.5778730000000007E-2</v>
      </c>
      <c r="L3387" s="36">
        <f>+K3387-((K3387*0.371*0.125)+(K3387*(1-0.371)*0.26))</f>
        <v>2.0367387892050004E-2</v>
      </c>
      <c r="M3387" s="64">
        <f t="shared" si="97"/>
        <v>2.2088657892049997E-2</v>
      </c>
      <c r="N3387" s="33" t="s">
        <v>248</v>
      </c>
    </row>
    <row r="3388" spans="1:14" ht="15">
      <c r="A3388" s="12"/>
      <c r="B3388" s="33" t="s">
        <v>145</v>
      </c>
      <c r="C3388" s="92" t="s">
        <v>974</v>
      </c>
      <c r="D3388" s="33" t="s">
        <v>410</v>
      </c>
      <c r="E3388" s="34">
        <v>45930</v>
      </c>
      <c r="F3388" s="34">
        <v>45931</v>
      </c>
      <c r="G3388" s="34">
        <v>45936</v>
      </c>
      <c r="H3388" s="35">
        <v>0.03</v>
      </c>
      <c r="I3388" s="67">
        <v>3.4599999999999999E-2</v>
      </c>
      <c r="J3388" s="67">
        <v>0</v>
      </c>
      <c r="K3388" s="67">
        <v>3.4599999999999999E-2</v>
      </c>
      <c r="L3388" s="36">
        <f>+K3388-((K3388*0.0511*0.125)+(K3388*(1-0.0511)*0.26))</f>
        <v>2.5842688099999997E-2</v>
      </c>
      <c r="M3388" s="64">
        <f t="shared" si="97"/>
        <v>2.5842688099999997E-2</v>
      </c>
      <c r="N3388" s="33" t="s">
        <v>248</v>
      </c>
    </row>
    <row r="3389" spans="1:14" ht="15">
      <c r="A3389" s="12"/>
      <c r="B3389" s="33" t="s">
        <v>144</v>
      </c>
      <c r="C3389" s="92" t="s">
        <v>973</v>
      </c>
      <c r="D3389" s="33" t="s">
        <v>410</v>
      </c>
      <c r="E3389" s="34">
        <v>45930</v>
      </c>
      <c r="F3389" s="34">
        <v>45931</v>
      </c>
      <c r="G3389" s="34">
        <v>45936</v>
      </c>
      <c r="H3389" s="35">
        <v>0.02</v>
      </c>
      <c r="I3389" s="67">
        <v>2.1600000000000001E-2</v>
      </c>
      <c r="J3389" s="67">
        <v>5.8673100000000006E-3</v>
      </c>
      <c r="K3389" s="67">
        <v>1.5732690000000001E-2</v>
      </c>
      <c r="L3389" s="36">
        <f>+K3389-((K3389*0.7973*0.125)+(K3389*(1-0.7973)*0.26))</f>
        <v>1.3335586554495E-2</v>
      </c>
      <c r="M3389" s="64">
        <f t="shared" si="97"/>
        <v>1.9202896554495003E-2</v>
      </c>
      <c r="N3389" s="33" t="s">
        <v>248</v>
      </c>
    </row>
    <row r="3390" spans="1:14" ht="15">
      <c r="A3390" s="12"/>
      <c r="B3390" s="33" t="s">
        <v>148</v>
      </c>
      <c r="C3390" s="92" t="s">
        <v>362</v>
      </c>
      <c r="D3390" s="33" t="s">
        <v>410</v>
      </c>
      <c r="E3390" s="34">
        <v>45930</v>
      </c>
      <c r="F3390" s="34">
        <v>45931</v>
      </c>
      <c r="G3390" s="34">
        <v>45936</v>
      </c>
      <c r="H3390" s="35">
        <v>0.05</v>
      </c>
      <c r="I3390" s="67">
        <v>6.5100000000000005E-2</v>
      </c>
      <c r="J3390" s="67">
        <v>2.754654746700725E-2</v>
      </c>
      <c r="K3390" s="67">
        <v>3.7553452532992755E-2</v>
      </c>
      <c r="L3390" s="36">
        <f>+K3390-((K3390*0.4847*0.125)+(K3390*(1-0.4847)*0.26))</f>
        <v>3.0246846264184751E-2</v>
      </c>
      <c r="M3390" s="64">
        <f t="shared" si="97"/>
        <v>5.7793393731192001E-2</v>
      </c>
      <c r="N3390" s="33" t="s">
        <v>248</v>
      </c>
    </row>
    <row r="3391" spans="1:14" ht="15">
      <c r="A3391" s="12"/>
      <c r="B3391" s="33" t="s">
        <v>200</v>
      </c>
      <c r="C3391" s="92" t="s">
        <v>365</v>
      </c>
      <c r="D3391" s="33" t="s">
        <v>410</v>
      </c>
      <c r="E3391" s="34">
        <v>45930</v>
      </c>
      <c r="F3391" s="34">
        <v>45931</v>
      </c>
      <c r="G3391" s="34">
        <v>45936</v>
      </c>
      <c r="H3391" s="35">
        <v>0.05</v>
      </c>
      <c r="I3391" s="67">
        <v>1.0024</v>
      </c>
      <c r="J3391" s="67">
        <v>0.40235219242230746</v>
      </c>
      <c r="K3391" s="67">
        <v>0.60004780757769249</v>
      </c>
      <c r="L3391" s="36">
        <f>+K3391-((K3391*0.4847*0.125)+(K3391*(1-0.4847)*0.26))</f>
        <v>0.48329920587243497</v>
      </c>
      <c r="M3391" s="64">
        <f t="shared" si="97"/>
        <v>0.88565139829474249</v>
      </c>
      <c r="N3391" s="33" t="s">
        <v>248</v>
      </c>
    </row>
    <row r="3392" spans="1:14" ht="15">
      <c r="A3392" s="12"/>
      <c r="B3392" s="33" t="s">
        <v>173</v>
      </c>
      <c r="C3392" s="92" t="s">
        <v>372</v>
      </c>
      <c r="D3392" s="33" t="s">
        <v>410</v>
      </c>
      <c r="E3392" s="34">
        <v>45930</v>
      </c>
      <c r="F3392" s="34">
        <v>45931</v>
      </c>
      <c r="G3392" s="34">
        <v>45936</v>
      </c>
      <c r="H3392" s="35">
        <v>0.03</v>
      </c>
      <c r="I3392" s="67">
        <v>3.8199999999999998E-2</v>
      </c>
      <c r="J3392" s="67">
        <v>2.817588E-2</v>
      </c>
      <c r="K3392" s="67">
        <v>1.0024119999999999E-2</v>
      </c>
      <c r="L3392" s="36">
        <f>+K3392-((K3392*0.3864*0.125)+(K3392*(1-0.3864)*0.26))</f>
        <v>7.9407469956799988E-3</v>
      </c>
      <c r="M3392" s="64">
        <f t="shared" si="97"/>
        <v>3.6116626995679996E-2</v>
      </c>
      <c r="N3392" s="33" t="s">
        <v>248</v>
      </c>
    </row>
    <row r="3393" spans="1:14" ht="15">
      <c r="A3393" s="12"/>
      <c r="B3393" s="33" t="s">
        <v>150</v>
      </c>
      <c r="C3393" s="92" t="s">
        <v>377</v>
      </c>
      <c r="D3393" s="33" t="s">
        <v>410</v>
      </c>
      <c r="E3393" s="34">
        <v>45930</v>
      </c>
      <c r="F3393" s="34">
        <v>45931</v>
      </c>
      <c r="G3393" s="34">
        <v>45936</v>
      </c>
      <c r="H3393" s="35">
        <v>0.05</v>
      </c>
      <c r="I3393" s="67">
        <v>6.54E-2</v>
      </c>
      <c r="J3393" s="67">
        <v>1.4665020000000001E-2</v>
      </c>
      <c r="K3393" s="67">
        <v>5.0734979999999999E-2</v>
      </c>
      <c r="L3393" s="36">
        <f>+K3393-((K3393*0.0325*0.125)+(K3393*(1-0.0325)*0.26))</f>
        <v>3.7766484924750002E-2</v>
      </c>
      <c r="M3393" s="64">
        <f t="shared" si="97"/>
        <v>5.2431504924750003E-2</v>
      </c>
      <c r="N3393" s="33" t="s">
        <v>248</v>
      </c>
    </row>
    <row r="3394" spans="1:14" ht="15">
      <c r="A3394" s="12"/>
      <c r="B3394" s="33" t="s">
        <v>510</v>
      </c>
      <c r="C3394" s="92" t="s">
        <v>509</v>
      </c>
      <c r="D3394" s="33" t="s">
        <v>410</v>
      </c>
      <c r="E3394" s="34">
        <v>45930</v>
      </c>
      <c r="F3394" s="34">
        <v>45931</v>
      </c>
      <c r="G3394" s="34">
        <v>45936</v>
      </c>
      <c r="H3394" s="35">
        <v>0.05</v>
      </c>
      <c r="I3394" s="67">
        <v>5.6899999999999999E-2</v>
      </c>
      <c r="J3394" s="67">
        <v>1.5169479999999992E-2</v>
      </c>
      <c r="K3394" s="67">
        <v>4.1730520000000007E-2</v>
      </c>
      <c r="L3394" s="36">
        <f>+K3394-((K3394*0.0325*0.125)+(K3394*(1-0.0325)*0.26))</f>
        <v>3.1063677456500002E-2</v>
      </c>
      <c r="M3394" s="64">
        <f t="shared" si="97"/>
        <v>4.6233157456499994E-2</v>
      </c>
      <c r="N3394" s="33" t="s">
        <v>248</v>
      </c>
    </row>
    <row r="3395" spans="1:14" ht="15">
      <c r="A3395" s="12"/>
      <c r="B3395" s="33" t="s">
        <v>441</v>
      </c>
      <c r="C3395" s="92" t="s">
        <v>978</v>
      </c>
      <c r="D3395" s="33" t="s">
        <v>410</v>
      </c>
      <c r="E3395" s="34">
        <v>45930</v>
      </c>
      <c r="F3395" s="34">
        <v>45931</v>
      </c>
      <c r="G3395" s="34">
        <v>45936</v>
      </c>
      <c r="H3395" s="35">
        <v>0.04</v>
      </c>
      <c r="I3395" s="67">
        <v>0</v>
      </c>
      <c r="J3395" s="67">
        <v>0.5</v>
      </c>
      <c r="K3395" s="67">
        <v>0</v>
      </c>
      <c r="L3395" s="36">
        <f>+K3395-((K3395*0.2068*0.125)+(K3395*(1-0.2068)*0.26))</f>
        <v>0</v>
      </c>
      <c r="M3395" s="64">
        <f t="shared" si="97"/>
        <v>0.5</v>
      </c>
      <c r="N3395" s="33" t="s">
        <v>248</v>
      </c>
    </row>
    <row r="3396" spans="1:14" ht="15">
      <c r="A3396" s="12"/>
      <c r="B3396" s="33" t="s">
        <v>440</v>
      </c>
      <c r="C3396" s="92" t="s">
        <v>977</v>
      </c>
      <c r="D3396" s="33" t="s">
        <v>410</v>
      </c>
      <c r="E3396" s="34">
        <v>45930</v>
      </c>
      <c r="F3396" s="34">
        <v>45931</v>
      </c>
      <c r="G3396" s="34">
        <v>45936</v>
      </c>
      <c r="H3396" s="35">
        <v>0.04</v>
      </c>
      <c r="I3396" s="67">
        <v>0</v>
      </c>
      <c r="J3396" s="67">
        <v>1</v>
      </c>
      <c r="K3396" s="67">
        <v>0</v>
      </c>
      <c r="L3396" s="36">
        <f>+K3396-((K3396*0.2068*0.125)+(K3396*(1-0.2068)*0.26))</f>
        <v>0</v>
      </c>
      <c r="M3396" s="64">
        <f t="shared" si="97"/>
        <v>1</v>
      </c>
      <c r="N3396" s="33" t="s">
        <v>248</v>
      </c>
    </row>
    <row r="3397" spans="1:14" ht="15">
      <c r="A3397" s="12"/>
      <c r="B3397" s="33" t="s">
        <v>299</v>
      </c>
      <c r="C3397" s="92" t="s">
        <v>517</v>
      </c>
      <c r="D3397" s="33" t="s">
        <v>410</v>
      </c>
      <c r="E3397" s="34">
        <v>45930</v>
      </c>
      <c r="F3397" s="34">
        <v>45931</v>
      </c>
      <c r="G3397" s="34">
        <v>45936</v>
      </c>
      <c r="H3397" s="35">
        <v>0.03</v>
      </c>
      <c r="I3397" s="67">
        <v>3.39E-2</v>
      </c>
      <c r="J3397" s="67">
        <v>3.0431199999999999E-2</v>
      </c>
      <c r="K3397" s="67">
        <v>3.4688000000000002E-3</v>
      </c>
      <c r="L3397" s="36">
        <f>+K3397-((K3397*0.3102*0.125)+(K3397*(1-0.3102)*0.26))</f>
        <v>2.7121749376000002E-3</v>
      </c>
      <c r="M3397" s="64">
        <f t="shared" si="97"/>
        <v>3.3143374937600001E-2</v>
      </c>
      <c r="N3397" s="33" t="s">
        <v>248</v>
      </c>
    </row>
    <row r="3398" spans="1:14" ht="15">
      <c r="A3398" s="12"/>
      <c r="B3398" s="33" t="s">
        <v>182</v>
      </c>
      <c r="C3398" s="92" t="s">
        <v>477</v>
      </c>
      <c r="D3398" s="33" t="s">
        <v>410</v>
      </c>
      <c r="E3398" s="34">
        <v>45930</v>
      </c>
      <c r="F3398" s="34">
        <v>45931</v>
      </c>
      <c r="G3398" s="34">
        <v>45936</v>
      </c>
      <c r="H3398" s="35">
        <v>0.03</v>
      </c>
      <c r="I3398" s="67">
        <v>0.65629999999999999</v>
      </c>
      <c r="J3398" s="67">
        <v>0.63397932999999995</v>
      </c>
      <c r="K3398" s="67">
        <v>2.2320670000000001E-2</v>
      </c>
      <c r="L3398" s="36">
        <f>+K3398-((K3398*0.3102*0.125)+(K3398*(1-0.3102)*0.26))</f>
        <v>1.745201849759E-2</v>
      </c>
      <c r="M3398" s="64">
        <f t="shared" si="97"/>
        <v>0.65143134849758999</v>
      </c>
      <c r="N3398" s="33" t="s">
        <v>248</v>
      </c>
    </row>
    <row r="3399" spans="1:14" ht="15">
      <c r="A3399" s="12"/>
      <c r="B3399" s="33" t="s">
        <v>202</v>
      </c>
      <c r="C3399" s="92" t="s">
        <v>478</v>
      </c>
      <c r="D3399" s="33" t="s">
        <v>410</v>
      </c>
      <c r="E3399" s="34">
        <v>45930</v>
      </c>
      <c r="F3399" s="34">
        <v>45931</v>
      </c>
      <c r="G3399" s="34">
        <v>45936</v>
      </c>
      <c r="H3399" s="35">
        <v>0.03</v>
      </c>
      <c r="I3399" s="67">
        <v>0.67789999999999995</v>
      </c>
      <c r="J3399" s="67">
        <v>0.52886200999999999</v>
      </c>
      <c r="K3399" s="67">
        <v>0.14903798999999995</v>
      </c>
      <c r="L3399" s="36">
        <f>+K3399-((K3399*0.3102*0.125)+(K3399*(1-0.3102)*0.26))</f>
        <v>0.11652937650722997</v>
      </c>
      <c r="M3399" s="64">
        <f t="shared" si="97"/>
        <v>0.64539138650722994</v>
      </c>
      <c r="N3399" s="33" t="s">
        <v>248</v>
      </c>
    </row>
    <row r="3400" spans="1:14" ht="15">
      <c r="A3400" s="12"/>
      <c r="B3400" s="33" t="s">
        <v>146</v>
      </c>
      <c r="C3400" s="92" t="s">
        <v>380</v>
      </c>
      <c r="D3400" s="33" t="s">
        <v>410</v>
      </c>
      <c r="E3400" s="34">
        <v>45930</v>
      </c>
      <c r="F3400" s="34">
        <v>45931</v>
      </c>
      <c r="G3400" s="34">
        <v>45936</v>
      </c>
      <c r="H3400" s="35">
        <v>4.4999999999999998E-2</v>
      </c>
      <c r="I3400" s="67">
        <v>6.3500000000000001E-2</v>
      </c>
      <c r="J3400" s="67">
        <v>1.030215000000001E-2</v>
      </c>
      <c r="K3400" s="67">
        <v>5.3197849999999991E-2</v>
      </c>
      <c r="L3400" s="36">
        <f>+K3400-((K3400*0.0306*0.125)+(K3400*(1-0.0306)*0.26))</f>
        <v>3.958616931834999E-2</v>
      </c>
      <c r="M3400" s="64">
        <f t="shared" si="97"/>
        <v>4.988831931835E-2</v>
      </c>
      <c r="N3400" s="33" t="s">
        <v>248</v>
      </c>
    </row>
    <row r="3401" spans="1:14" ht="15">
      <c r="A3401" s="12"/>
      <c r="B3401" s="33" t="s">
        <v>163</v>
      </c>
      <c r="C3401" s="92" t="s">
        <v>381</v>
      </c>
      <c r="D3401" s="33" t="s">
        <v>410</v>
      </c>
      <c r="E3401" s="34">
        <v>45930</v>
      </c>
      <c r="F3401" s="34">
        <v>45931</v>
      </c>
      <c r="G3401" s="34">
        <v>45936</v>
      </c>
      <c r="H3401" s="35">
        <v>4.4999999999999998E-2</v>
      </c>
      <c r="I3401" s="67">
        <v>5.5899999999999998E-2</v>
      </c>
      <c r="J3401" s="67">
        <v>1.5334579999999993E-2</v>
      </c>
      <c r="K3401" s="67">
        <v>4.0565420000000005E-2</v>
      </c>
      <c r="L3401" s="36">
        <f>+K3401-((K3401*0.0306*0.125)+(K3401*(1-0.0306)*0.26))</f>
        <v>3.0185986550020003E-2</v>
      </c>
      <c r="M3401" s="64">
        <f t="shared" si="97"/>
        <v>4.552056655002E-2</v>
      </c>
      <c r="N3401" s="33" t="s">
        <v>248</v>
      </c>
    </row>
    <row r="3402" spans="1:14" ht="15">
      <c r="A3402" s="12"/>
      <c r="B3402" s="33" t="s">
        <v>151</v>
      </c>
      <c r="C3402" s="92" t="s">
        <v>383</v>
      </c>
      <c r="D3402" s="33" t="s">
        <v>410</v>
      </c>
      <c r="E3402" s="34">
        <v>45930</v>
      </c>
      <c r="F3402" s="34">
        <v>45931</v>
      </c>
      <c r="G3402" s="34">
        <v>45936</v>
      </c>
      <c r="H3402" s="35">
        <v>4.4999999999999998E-2</v>
      </c>
      <c r="I3402" s="67">
        <v>5.1700000000000003E-2</v>
      </c>
      <c r="J3402" s="67">
        <v>0</v>
      </c>
      <c r="K3402" s="67">
        <v>5.1700000000000003E-2</v>
      </c>
      <c r="L3402" s="36">
        <f>+K3402-((K3402*0.0374*0.125)+(K3402*(1-0.0374)*0.26))</f>
        <v>3.8519033299999998E-2</v>
      </c>
      <c r="M3402" s="64">
        <f t="shared" si="97"/>
        <v>3.8519033299999998E-2</v>
      </c>
      <c r="N3402" s="33" t="s">
        <v>248</v>
      </c>
    </row>
    <row r="3403" spans="1:14" ht="15">
      <c r="A3403" s="12"/>
      <c r="B3403" s="33" t="s">
        <v>166</v>
      </c>
      <c r="C3403" s="92" t="s">
        <v>384</v>
      </c>
      <c r="D3403" s="33" t="s">
        <v>410</v>
      </c>
      <c r="E3403" s="34">
        <v>45930</v>
      </c>
      <c r="F3403" s="34">
        <v>45931</v>
      </c>
      <c r="G3403" s="34">
        <v>45936</v>
      </c>
      <c r="H3403" s="35">
        <v>4.4999999999999998E-2</v>
      </c>
      <c r="I3403" s="67">
        <v>5.04E-2</v>
      </c>
      <c r="J3403" s="67">
        <v>0</v>
      </c>
      <c r="K3403" s="67">
        <v>5.04E-2</v>
      </c>
      <c r="L3403" s="36">
        <f>+K3403-((K3403*0.0374*0.125)+(K3403*(1-0.0374)*0.26))</f>
        <v>3.7550469599999997E-2</v>
      </c>
      <c r="M3403" s="64">
        <f t="shared" si="97"/>
        <v>3.7550469599999997E-2</v>
      </c>
      <c r="N3403" s="33" t="s">
        <v>248</v>
      </c>
    </row>
    <row r="3404" spans="1:14" ht="15">
      <c r="A3404" s="12"/>
      <c r="B3404" s="33" t="s">
        <v>149</v>
      </c>
      <c r="C3404" s="92" t="s">
        <v>386</v>
      </c>
      <c r="D3404" s="33" t="s">
        <v>410</v>
      </c>
      <c r="E3404" s="34">
        <v>45930</v>
      </c>
      <c r="F3404" s="34">
        <v>45931</v>
      </c>
      <c r="G3404" s="34">
        <v>45936</v>
      </c>
      <c r="H3404" s="35">
        <v>5.2499999999999998E-2</v>
      </c>
      <c r="I3404" s="67">
        <v>6.123812E-2</v>
      </c>
      <c r="J3404" s="67">
        <v>1.1061880000000003E-2</v>
      </c>
      <c r="K3404" s="67">
        <v>6.123812E-2</v>
      </c>
      <c r="L3404" s="36">
        <f>+K3404-((K3404*0.0338*0.125)+(K3404*(1-0.0338)*0.26))</f>
        <v>4.5595638341559996E-2</v>
      </c>
      <c r="M3404" s="64">
        <f t="shared" si="97"/>
        <v>5.6657518341559999E-2</v>
      </c>
      <c r="N3404" s="33" t="s">
        <v>248</v>
      </c>
    </row>
    <row r="3405" spans="1:14" ht="15">
      <c r="A3405" s="12"/>
      <c r="B3405" s="33" t="s">
        <v>165</v>
      </c>
      <c r="C3405" s="92" t="s">
        <v>387</v>
      </c>
      <c r="D3405" s="33" t="s">
        <v>410</v>
      </c>
      <c r="E3405" s="34">
        <v>45930</v>
      </c>
      <c r="F3405" s="34">
        <v>45931</v>
      </c>
      <c r="G3405" s="34">
        <v>45936</v>
      </c>
      <c r="H3405" s="35">
        <v>5.2499999999999998E-2</v>
      </c>
      <c r="I3405" s="67">
        <v>5.022270999999999E-2</v>
      </c>
      <c r="J3405" s="67">
        <v>1.6077290000000008E-2</v>
      </c>
      <c r="K3405" s="67">
        <v>5.022270999999999E-2</v>
      </c>
      <c r="L3405" s="36">
        <f>+K3405-((K3405*0.0338*0.125)+(K3405*(1-0.0338)*0.26))</f>
        <v>3.7393971625729994E-2</v>
      </c>
      <c r="M3405" s="64">
        <f t="shared" si="97"/>
        <v>5.3471261625730002E-2</v>
      </c>
      <c r="N3405" s="33" t="s">
        <v>248</v>
      </c>
    </row>
    <row r="3406" spans="1:14" ht="15">
      <c r="A3406" s="12"/>
      <c r="B3406" s="33" t="s">
        <v>153</v>
      </c>
      <c r="C3406" s="92" t="s">
        <v>873</v>
      </c>
      <c r="D3406" s="33" t="s">
        <v>410</v>
      </c>
      <c r="E3406" s="34">
        <v>45930</v>
      </c>
      <c r="F3406" s="34">
        <v>45931</v>
      </c>
      <c r="G3406" s="34">
        <v>45936</v>
      </c>
      <c r="H3406" s="35">
        <v>4.8750000000000002E-2</v>
      </c>
      <c r="I3406" s="67">
        <v>4.6528590000000002E-2</v>
      </c>
      <c r="J3406" s="67">
        <v>1.2714100000000006E-3</v>
      </c>
      <c r="K3406" s="67">
        <v>4.6528590000000002E-2</v>
      </c>
      <c r="L3406" s="36">
        <f>+K3406-((K3406*0.1776*0.125)+(K3406*(1-0.1776)*0.26))</f>
        <v>3.5546726073839997E-2</v>
      </c>
      <c r="M3406" s="64">
        <f t="shared" si="97"/>
        <v>3.6818136073839998E-2</v>
      </c>
      <c r="N3406" s="33" t="s">
        <v>248</v>
      </c>
    </row>
    <row r="3407" spans="1:14" ht="15">
      <c r="A3407" s="12"/>
      <c r="B3407" s="33" t="s">
        <v>152</v>
      </c>
      <c r="C3407" s="92" t="s">
        <v>874</v>
      </c>
      <c r="D3407" s="33" t="s">
        <v>410</v>
      </c>
      <c r="E3407" s="34">
        <v>45930</v>
      </c>
      <c r="F3407" s="34">
        <v>45931</v>
      </c>
      <c r="G3407" s="34">
        <v>45936</v>
      </c>
      <c r="H3407" s="35">
        <v>4.8750000000000002E-2</v>
      </c>
      <c r="I3407" s="67">
        <v>6.6835869999999992E-2</v>
      </c>
      <c r="J3407" s="67">
        <v>9.6641300000000069E-3</v>
      </c>
      <c r="K3407" s="67">
        <v>6.6835869999999992E-2</v>
      </c>
      <c r="L3407" s="36">
        <f>+K3407-((K3407*0.1776*0.125)+(K3407*(1-0.1776)*0.26))</f>
        <v>5.1061000619119994E-2</v>
      </c>
      <c r="M3407" s="64">
        <f t="shared" si="97"/>
        <v>6.072513061912E-2</v>
      </c>
      <c r="N3407" s="33" t="s">
        <v>248</v>
      </c>
    </row>
    <row r="3408" spans="1:14" ht="15">
      <c r="A3408" s="12"/>
      <c r="B3408" s="33" t="s">
        <v>167</v>
      </c>
      <c r="C3408" s="92" t="s">
        <v>875</v>
      </c>
      <c r="D3408" s="33" t="s">
        <v>410</v>
      </c>
      <c r="E3408" s="34">
        <v>45930</v>
      </c>
      <c r="F3408" s="34">
        <v>45931</v>
      </c>
      <c r="G3408" s="34">
        <v>45936</v>
      </c>
      <c r="H3408" s="35">
        <v>4.8750000000000002E-2</v>
      </c>
      <c r="I3408" s="67">
        <v>5.5564750000000003E-2</v>
      </c>
      <c r="J3408" s="67">
        <v>1.6135249999999997E-2</v>
      </c>
      <c r="K3408" s="67">
        <v>5.5564750000000003E-2</v>
      </c>
      <c r="L3408" s="36">
        <f>+K3408-((K3408*0.1776*0.125)+(K3408*(1-0.1776)*0.26))</f>
        <v>4.2450135446000001E-2</v>
      </c>
      <c r="M3408" s="64">
        <f t="shared" si="97"/>
        <v>5.8585385445999998E-2</v>
      </c>
      <c r="N3408" s="33" t="s">
        <v>248</v>
      </c>
    </row>
    <row r="3409" spans="1:14" ht="15">
      <c r="A3409" s="12"/>
      <c r="B3409" s="33" t="s">
        <v>301</v>
      </c>
      <c r="C3409" s="92" t="s">
        <v>876</v>
      </c>
      <c r="D3409" s="33" t="s">
        <v>410</v>
      </c>
      <c r="E3409" s="34">
        <v>45930</v>
      </c>
      <c r="F3409" s="34">
        <v>45931</v>
      </c>
      <c r="G3409" s="34">
        <v>45936</v>
      </c>
      <c r="H3409" s="35">
        <v>4.8750000000000002E-2</v>
      </c>
      <c r="I3409" s="67">
        <v>4.7361819999999999E-2</v>
      </c>
      <c r="J3409" s="67">
        <v>9.5381800000000003E-3</v>
      </c>
      <c r="K3409" s="67">
        <v>4.7361819999999999E-2</v>
      </c>
      <c r="L3409" s="36">
        <f>+K3409-((K3409*0.1776*0.125)+(K3409*(1-0.1776)*0.26))</f>
        <v>3.6183293796320001E-2</v>
      </c>
      <c r="M3409" s="64">
        <f t="shared" si="97"/>
        <v>4.5721473796320002E-2</v>
      </c>
      <c r="N3409" s="33" t="s">
        <v>248</v>
      </c>
    </row>
    <row r="3410" spans="1:14" ht="15">
      <c r="A3410" s="12"/>
      <c r="B3410" s="33" t="s">
        <v>304</v>
      </c>
      <c r="C3410" s="92" t="s">
        <v>885</v>
      </c>
      <c r="D3410" s="33" t="s">
        <v>410</v>
      </c>
      <c r="E3410" s="34">
        <v>45930</v>
      </c>
      <c r="F3410" s="34">
        <v>45931</v>
      </c>
      <c r="G3410" s="34">
        <v>45936</v>
      </c>
      <c r="H3410" s="35">
        <v>4.1250000000000002E-2</v>
      </c>
      <c r="I3410" s="67">
        <v>3.9100000000000003E-2</v>
      </c>
      <c r="J3410" s="67">
        <v>7.6405699999999993E-3</v>
      </c>
      <c r="K3410" s="67">
        <v>3.1459430000000004E-2</v>
      </c>
      <c r="L3410" s="36">
        <f>+K3410-((K3410*0.2971*0.125)+(K3410*(1-0.2971)*0.26))</f>
        <v>2.4541768748155002E-2</v>
      </c>
      <c r="M3410" s="64">
        <f t="shared" si="97"/>
        <v>3.2182338748155001E-2</v>
      </c>
      <c r="N3410" s="33" t="s">
        <v>248</v>
      </c>
    </row>
    <row r="3411" spans="1:14" ht="15">
      <c r="A3411" s="12"/>
      <c r="B3411" s="33" t="s">
        <v>183</v>
      </c>
      <c r="C3411" s="92" t="s">
        <v>886</v>
      </c>
      <c r="D3411" s="33" t="s">
        <v>410</v>
      </c>
      <c r="E3411" s="34">
        <v>45930</v>
      </c>
      <c r="F3411" s="34">
        <v>45931</v>
      </c>
      <c r="G3411" s="34">
        <v>45936</v>
      </c>
      <c r="H3411" s="35">
        <v>4.1250000000000002E-2</v>
      </c>
      <c r="I3411" s="67">
        <v>3.9E-2</v>
      </c>
      <c r="J3411" s="67">
        <v>9.1025399999999992E-3</v>
      </c>
      <c r="K3411" s="67">
        <v>2.9897460000000001E-2</v>
      </c>
      <c r="L3411" s="36">
        <f>+K3411-((K3411*0.2971*0.125)+(K3411*(1-0.2971)*0.26))</f>
        <v>2.3323262674410001E-2</v>
      </c>
      <c r="M3411" s="64">
        <f t="shared" si="97"/>
        <v>3.2425802674410004E-2</v>
      </c>
      <c r="N3411" s="33" t="s">
        <v>248</v>
      </c>
    </row>
    <row r="3412" spans="1:14" ht="15">
      <c r="A3412" s="12"/>
      <c r="B3412" s="33" t="s">
        <v>305</v>
      </c>
      <c r="C3412" s="92" t="s">
        <v>887</v>
      </c>
      <c r="D3412" s="33" t="s">
        <v>410</v>
      </c>
      <c r="E3412" s="34">
        <v>45930</v>
      </c>
      <c r="F3412" s="34">
        <v>45931</v>
      </c>
      <c r="G3412" s="34">
        <v>45936</v>
      </c>
      <c r="H3412" s="35">
        <v>4.1250000000000002E-2</v>
      </c>
      <c r="I3412" s="67">
        <v>3.9899999999999998E-2</v>
      </c>
      <c r="J3412" s="67">
        <v>4.8416899999999957E-3</v>
      </c>
      <c r="K3412" s="67">
        <v>3.5058310000000002E-2</v>
      </c>
      <c r="L3412" s="36">
        <f>+K3412-((K3412*0.2971*0.125)+(K3412*(1-0.2971)*0.26))</f>
        <v>2.7349285626635002E-2</v>
      </c>
      <c r="M3412" s="64">
        <f t="shared" si="97"/>
        <v>3.2190975626634998E-2</v>
      </c>
      <c r="N3412" s="33" t="s">
        <v>248</v>
      </c>
    </row>
    <row r="3413" spans="1:14" ht="15">
      <c r="A3413" s="12"/>
      <c r="B3413" s="33" t="s">
        <v>147</v>
      </c>
      <c r="C3413" s="92" t="s">
        <v>466</v>
      </c>
      <c r="D3413" s="33" t="s">
        <v>410</v>
      </c>
      <c r="E3413" s="34">
        <v>45930</v>
      </c>
      <c r="F3413" s="34">
        <v>45931</v>
      </c>
      <c r="G3413" s="34">
        <v>45936</v>
      </c>
      <c r="H3413" s="35">
        <v>0.05</v>
      </c>
      <c r="I3413" s="67">
        <v>6.1400000000000003E-2</v>
      </c>
      <c r="J3413" s="67">
        <v>0</v>
      </c>
      <c r="K3413" s="67">
        <v>6.1400000000000003E-2</v>
      </c>
      <c r="L3413" s="36">
        <f>+K3413-((K3413*0.0611*0.125)+(K3413*(1-0.0611)*0.26))</f>
        <v>4.5942457900000004E-2</v>
      </c>
      <c r="M3413" s="64">
        <f t="shared" si="97"/>
        <v>4.5942457900000004E-2</v>
      </c>
      <c r="N3413" s="33" t="s">
        <v>248</v>
      </c>
    </row>
    <row r="3414" spans="1:14" ht="15">
      <c r="A3414" s="12"/>
      <c r="B3414" s="33" t="s">
        <v>164</v>
      </c>
      <c r="C3414" s="92" t="s">
        <v>467</v>
      </c>
      <c r="D3414" s="33" t="s">
        <v>410</v>
      </c>
      <c r="E3414" s="34">
        <v>45930</v>
      </c>
      <c r="F3414" s="34">
        <v>45931</v>
      </c>
      <c r="G3414" s="34">
        <v>45936</v>
      </c>
      <c r="H3414" s="35">
        <v>0.05</v>
      </c>
      <c r="I3414" s="67">
        <v>5.6599999999999998E-2</v>
      </c>
      <c r="J3414" s="67">
        <v>0</v>
      </c>
      <c r="K3414" s="67">
        <v>5.6599999999999998E-2</v>
      </c>
      <c r="L3414" s="36">
        <f>+K3414-((K3414*0.0611*0.125)+(K3414*(1-0.0611)*0.26))</f>
        <v>4.2350865099999996E-2</v>
      </c>
      <c r="M3414" s="64">
        <f t="shared" si="97"/>
        <v>4.2350865099999996E-2</v>
      </c>
      <c r="N3414" s="33" t="s">
        <v>248</v>
      </c>
    </row>
    <row r="3415" spans="1:14" ht="23.25" customHeight="1">
      <c r="B3415" s="9" t="s">
        <v>1009</v>
      </c>
      <c r="C3415" s="180" t="s">
        <v>1017</v>
      </c>
      <c r="D3415" s="9" t="s">
        <v>410</v>
      </c>
      <c r="E3415" s="34">
        <v>45930</v>
      </c>
      <c r="F3415" s="34">
        <v>45931</v>
      </c>
      <c r="G3415" s="34">
        <v>45936</v>
      </c>
      <c r="H3415" s="181"/>
      <c r="I3415" s="36">
        <v>8.1299999999999997E-2</v>
      </c>
      <c r="J3415" s="36">
        <v>4.2449425287356325E-2</v>
      </c>
      <c r="K3415" s="36">
        <v>3.8850574712643672E-2</v>
      </c>
      <c r="L3415" s="36">
        <f>+K3415-((K3415*0.000000001*0.125)+(K3415*(1-0.000000001)*0.26))</f>
        <v>2.8749425292601147E-2</v>
      </c>
      <c r="M3415" s="64">
        <f t="shared" si="97"/>
        <v>7.1198850579957479E-2</v>
      </c>
      <c r="N3415" s="42" t="s">
        <v>248</v>
      </c>
    </row>
    <row r="3416" spans="1:14" ht="15">
      <c r="B3416" s="9" t="s">
        <v>1010</v>
      </c>
      <c r="C3416" s="180" t="s">
        <v>1018</v>
      </c>
      <c r="D3416" s="9" t="s">
        <v>410</v>
      </c>
      <c r="E3416" s="34">
        <v>45930</v>
      </c>
      <c r="F3416" s="34">
        <v>45931</v>
      </c>
      <c r="G3416" s="34">
        <v>45936</v>
      </c>
      <c r="H3416" s="181"/>
      <c r="I3416" s="67">
        <v>0</v>
      </c>
      <c r="J3416" s="67">
        <v>0</v>
      </c>
      <c r="K3416" s="67">
        <v>0</v>
      </c>
      <c r="L3416" s="36">
        <f>+K3416-((K3416*0.000000001*0.125)+(K3416*(1-0.000000001)*0.26))</f>
        <v>0</v>
      </c>
      <c r="M3416" s="64">
        <f t="shared" si="97"/>
        <v>0</v>
      </c>
      <c r="N3416" s="42" t="s">
        <v>248</v>
      </c>
    </row>
    <row r="3417" spans="1:14" ht="15">
      <c r="B3417" s="9" t="s">
        <v>1011</v>
      </c>
      <c r="C3417" s="180" t="s">
        <v>1019</v>
      </c>
      <c r="D3417" s="9" t="s">
        <v>410</v>
      </c>
      <c r="E3417" s="34">
        <v>45930</v>
      </c>
      <c r="F3417" s="34">
        <v>45931</v>
      </c>
      <c r="G3417" s="34">
        <v>45936</v>
      </c>
      <c r="H3417" s="181"/>
      <c r="I3417" s="67">
        <v>0</v>
      </c>
      <c r="J3417" s="67">
        <v>0</v>
      </c>
      <c r="K3417" s="67">
        <v>0</v>
      </c>
      <c r="L3417" s="36">
        <f>+K3417-((K3417*0.000000001*0.125)+(K3417*(1-0.000000001)*0.26))</f>
        <v>0</v>
      </c>
      <c r="M3417" s="64">
        <f t="shared" si="97"/>
        <v>0</v>
      </c>
      <c r="N3417" s="42" t="s">
        <v>248</v>
      </c>
    </row>
    <row r="3418" spans="1:14" ht="15">
      <c r="A3418" s="12"/>
      <c r="B3418" s="33" t="s">
        <v>132</v>
      </c>
      <c r="C3418" s="92" t="s">
        <v>358</v>
      </c>
      <c r="D3418" s="33" t="s">
        <v>410</v>
      </c>
      <c r="E3418" s="34">
        <v>45957</v>
      </c>
      <c r="F3418" s="34">
        <v>45958</v>
      </c>
      <c r="G3418" s="34">
        <v>45961</v>
      </c>
      <c r="H3418" s="35">
        <v>0.04</v>
      </c>
      <c r="I3418" s="67">
        <v>4.4299999999999999E-2</v>
      </c>
      <c r="J3418" s="67">
        <v>0</v>
      </c>
      <c r="K3418" s="67">
        <v>4.4299999999999999E-2</v>
      </c>
      <c r="L3418" s="36">
        <f>+K3418-((K3418*0.274*0.125)+(K3418*(1-0.274)*0.26))</f>
        <v>3.4420657E-2</v>
      </c>
      <c r="M3418" s="64">
        <f t="shared" si="97"/>
        <v>3.4420657E-2</v>
      </c>
      <c r="N3418" s="33" t="s">
        <v>249</v>
      </c>
    </row>
    <row r="3419" spans="1:14" ht="15">
      <c r="A3419" s="12"/>
      <c r="B3419" s="33" t="s">
        <v>227</v>
      </c>
      <c r="C3419" s="92" t="s">
        <v>359</v>
      </c>
      <c r="D3419" s="33" t="s">
        <v>410</v>
      </c>
      <c r="E3419" s="34">
        <v>45957</v>
      </c>
      <c r="F3419" s="34">
        <v>45958</v>
      </c>
      <c r="G3419" s="34">
        <v>45961</v>
      </c>
      <c r="H3419" s="35">
        <v>0.04</v>
      </c>
      <c r="I3419" s="67">
        <v>4.36E-2</v>
      </c>
      <c r="J3419" s="67">
        <v>0</v>
      </c>
      <c r="K3419" s="67">
        <v>4.36E-2</v>
      </c>
      <c r="L3419" s="36">
        <f>+K3419-((K3419*0.274*0.125)+(K3419*(1-0.274)*0.26))</f>
        <v>3.3876764000000004E-2</v>
      </c>
      <c r="M3419" s="64">
        <f t="shared" si="97"/>
        <v>3.3876764000000004E-2</v>
      </c>
      <c r="N3419" s="33" t="s">
        <v>249</v>
      </c>
    </row>
    <row r="3420" spans="1:14" ht="15">
      <c r="A3420" s="12"/>
      <c r="B3420" s="33" t="s">
        <v>133</v>
      </c>
      <c r="C3420" s="92" t="s">
        <v>979</v>
      </c>
      <c r="D3420" s="33" t="s">
        <v>410</v>
      </c>
      <c r="E3420" s="34">
        <v>45957</v>
      </c>
      <c r="F3420" s="34">
        <v>45958</v>
      </c>
      <c r="G3420" s="34">
        <v>45961</v>
      </c>
      <c r="H3420" s="35">
        <v>3.2500000000000001E-2</v>
      </c>
      <c r="I3420" s="67">
        <v>4.87E-2</v>
      </c>
      <c r="J3420" s="67">
        <v>2.6120360000000002E-2</v>
      </c>
      <c r="K3420" s="67">
        <v>2.2579639999999998E-2</v>
      </c>
      <c r="L3420" s="36">
        <f>+K3420-((K3420*0.0011*0.125)+(K3420*(1-0.0011)*0.26))</f>
        <v>1.6712286676539997E-2</v>
      </c>
      <c r="M3420" s="64">
        <f t="shared" si="97"/>
        <v>4.283264667654E-2</v>
      </c>
      <c r="N3420" s="33" t="s">
        <v>249</v>
      </c>
    </row>
    <row r="3421" spans="1:14" ht="15">
      <c r="A3421" s="12"/>
      <c r="B3421" s="33" t="s">
        <v>134</v>
      </c>
      <c r="C3421" s="92" t="s">
        <v>374</v>
      </c>
      <c r="D3421" s="33" t="s">
        <v>410</v>
      </c>
      <c r="E3421" s="34">
        <v>45957</v>
      </c>
      <c r="F3421" s="34">
        <v>45958</v>
      </c>
      <c r="G3421" s="34">
        <v>45961</v>
      </c>
      <c r="H3421" s="35">
        <v>5.5E-2</v>
      </c>
      <c r="I3421" s="67">
        <v>7.1800000000000003E-2</v>
      </c>
      <c r="J3421" s="67">
        <v>0</v>
      </c>
      <c r="K3421" s="67">
        <v>7.1800000000000003E-2</v>
      </c>
      <c r="L3421" s="36">
        <f>+K3421-((K3421*0.2888*0.125)+(K3421*(1-0.2888)*0.26))</f>
        <v>5.5931338400000002E-2</v>
      </c>
      <c r="M3421" s="64">
        <f t="shared" si="97"/>
        <v>5.5931338400000002E-2</v>
      </c>
      <c r="N3421" s="33" t="s">
        <v>249</v>
      </c>
    </row>
    <row r="3422" spans="1:14" ht="15">
      <c r="A3422" s="12"/>
      <c r="B3422" s="33" t="s">
        <v>168</v>
      </c>
      <c r="C3422" s="92" t="s">
        <v>376</v>
      </c>
      <c r="D3422" s="33" t="s">
        <v>410</v>
      </c>
      <c r="E3422" s="34">
        <v>45957</v>
      </c>
      <c r="F3422" s="34">
        <v>45958</v>
      </c>
      <c r="G3422" s="34">
        <v>45961</v>
      </c>
      <c r="H3422" s="35">
        <v>5.5E-2</v>
      </c>
      <c r="I3422" s="67">
        <v>5.16E-2</v>
      </c>
      <c r="J3422" s="67">
        <v>0</v>
      </c>
      <c r="K3422" s="67">
        <v>5.16E-2</v>
      </c>
      <c r="L3422" s="36">
        <f>+K3422-((K3422*0.2888*0.125)+(K3422*(1-0.2888)*0.26))</f>
        <v>4.0195780799999997E-2</v>
      </c>
      <c r="M3422" s="64">
        <f t="shared" si="97"/>
        <v>4.0195780799999997E-2</v>
      </c>
      <c r="N3422" s="33" t="s">
        <v>249</v>
      </c>
    </row>
    <row r="3423" spans="1:14" ht="15">
      <c r="A3423" s="12"/>
      <c r="B3423" s="33" t="s">
        <v>136</v>
      </c>
      <c r="C3423" s="92" t="s">
        <v>867</v>
      </c>
      <c r="D3423" s="33" t="s">
        <v>410</v>
      </c>
      <c r="E3423" s="34">
        <v>45957</v>
      </c>
      <c r="F3423" s="34">
        <v>45958</v>
      </c>
      <c r="G3423" s="34">
        <v>45961</v>
      </c>
      <c r="H3423" s="35">
        <v>4.7500000000000001E-2</v>
      </c>
      <c r="I3423" s="67">
        <v>5.6899999999999999E-2</v>
      </c>
      <c r="J3423" s="67">
        <v>0</v>
      </c>
      <c r="K3423" s="67">
        <v>5.6899999999999999E-2</v>
      </c>
      <c r="L3423" s="36">
        <f t="shared" ref="L3423:L3428" si="98">+K3423-((K3423*0.0168*0.125)+(K3423*(1-0.0168)*0.26))</f>
        <v>4.2235049199999999E-2</v>
      </c>
      <c r="M3423" s="64">
        <f t="shared" si="97"/>
        <v>4.2235049199999999E-2</v>
      </c>
      <c r="N3423" s="33" t="s">
        <v>249</v>
      </c>
    </row>
    <row r="3424" spans="1:14" ht="15">
      <c r="A3424" s="12"/>
      <c r="B3424" s="33" t="s">
        <v>137</v>
      </c>
      <c r="C3424" s="92" t="s">
        <v>868</v>
      </c>
      <c r="D3424" s="33" t="s">
        <v>410</v>
      </c>
      <c r="E3424" s="34">
        <v>45957</v>
      </c>
      <c r="F3424" s="34">
        <v>45958</v>
      </c>
      <c r="G3424" s="34">
        <v>45961</v>
      </c>
      <c r="H3424" s="35">
        <v>4.7500000000000001E-2</v>
      </c>
      <c r="I3424" s="67">
        <v>6.4100000000000004E-2</v>
      </c>
      <c r="J3424" s="67">
        <v>0</v>
      </c>
      <c r="K3424" s="67">
        <v>6.4100000000000004E-2</v>
      </c>
      <c r="L3424" s="36">
        <f t="shared" si="98"/>
        <v>4.7579378800000002E-2</v>
      </c>
      <c r="M3424" s="64">
        <f t="shared" si="97"/>
        <v>4.7579378800000002E-2</v>
      </c>
      <c r="N3424" s="33" t="s">
        <v>249</v>
      </c>
    </row>
    <row r="3425" spans="1:14" ht="15">
      <c r="A3425" s="12"/>
      <c r="B3425" s="33" t="s">
        <v>135</v>
      </c>
      <c r="C3425" s="92" t="s">
        <v>869</v>
      </c>
      <c r="D3425" s="33" t="s">
        <v>410</v>
      </c>
      <c r="E3425" s="34">
        <v>45957</v>
      </c>
      <c r="F3425" s="34">
        <v>45958</v>
      </c>
      <c r="G3425" s="34">
        <v>45961</v>
      </c>
      <c r="H3425" s="35">
        <v>4.7500000000000001E-2</v>
      </c>
      <c r="I3425" s="67">
        <v>6.5500000000000003E-2</v>
      </c>
      <c r="J3425" s="67">
        <v>0</v>
      </c>
      <c r="K3425" s="67">
        <v>6.5500000000000003E-2</v>
      </c>
      <c r="L3425" s="36">
        <f t="shared" si="98"/>
        <v>4.8618554000000001E-2</v>
      </c>
      <c r="M3425" s="64">
        <f t="shared" si="97"/>
        <v>4.8618554000000001E-2</v>
      </c>
      <c r="N3425" s="33" t="s">
        <v>249</v>
      </c>
    </row>
    <row r="3426" spans="1:14" ht="15">
      <c r="A3426" s="12"/>
      <c r="B3426" s="33" t="s">
        <v>170</v>
      </c>
      <c r="C3426" s="92" t="s">
        <v>870</v>
      </c>
      <c r="D3426" s="33" t="s">
        <v>410</v>
      </c>
      <c r="E3426" s="34">
        <v>45957</v>
      </c>
      <c r="F3426" s="34">
        <v>45958</v>
      </c>
      <c r="G3426" s="34">
        <v>45961</v>
      </c>
      <c r="H3426" s="35">
        <v>4.7500000000000001E-2</v>
      </c>
      <c r="I3426" s="67">
        <v>5.5100000000000003E-2</v>
      </c>
      <c r="J3426" s="67">
        <v>0</v>
      </c>
      <c r="K3426" s="67">
        <v>5.5100000000000003E-2</v>
      </c>
      <c r="L3426" s="36">
        <f t="shared" si="98"/>
        <v>4.0898966800000006E-2</v>
      </c>
      <c r="M3426" s="64">
        <f t="shared" si="97"/>
        <v>4.0898966800000006E-2</v>
      </c>
      <c r="N3426" s="33" t="s">
        <v>249</v>
      </c>
    </row>
    <row r="3427" spans="1:14" ht="15">
      <c r="A3427" s="12"/>
      <c r="B3427" s="33" t="s">
        <v>171</v>
      </c>
      <c r="C3427" s="92" t="s">
        <v>871</v>
      </c>
      <c r="D3427" s="33" t="s">
        <v>410</v>
      </c>
      <c r="E3427" s="34">
        <v>45957</v>
      </c>
      <c r="F3427" s="34">
        <v>45958</v>
      </c>
      <c r="G3427" s="34">
        <v>45961</v>
      </c>
      <c r="H3427" s="35">
        <v>4.7500000000000001E-2</v>
      </c>
      <c r="I3427" s="67">
        <v>6.1400000000000003E-2</v>
      </c>
      <c r="J3427" s="67">
        <v>0</v>
      </c>
      <c r="K3427" s="67">
        <v>6.1400000000000003E-2</v>
      </c>
      <c r="L3427" s="36">
        <f t="shared" si="98"/>
        <v>4.5575255199999998E-2</v>
      </c>
      <c r="M3427" s="64">
        <f t="shared" si="97"/>
        <v>4.5575255199999998E-2</v>
      </c>
      <c r="N3427" s="33" t="s">
        <v>249</v>
      </c>
    </row>
    <row r="3428" spans="1:14" ht="15">
      <c r="A3428" s="12"/>
      <c r="B3428" s="33" t="s">
        <v>172</v>
      </c>
      <c r="C3428" s="92" t="s">
        <v>872</v>
      </c>
      <c r="D3428" s="33" t="s">
        <v>410</v>
      </c>
      <c r="E3428" s="34">
        <v>45957</v>
      </c>
      <c r="F3428" s="34">
        <v>45958</v>
      </c>
      <c r="G3428" s="34">
        <v>45961</v>
      </c>
      <c r="H3428" s="35">
        <v>4.7500000000000001E-2</v>
      </c>
      <c r="I3428" s="67">
        <v>6.3200000000000006E-2</v>
      </c>
      <c r="J3428" s="67">
        <v>0</v>
      </c>
      <c r="K3428" s="67">
        <v>6.3200000000000006E-2</v>
      </c>
      <c r="L3428" s="36">
        <f t="shared" si="98"/>
        <v>4.6911337600000005E-2</v>
      </c>
      <c r="M3428" s="64">
        <f t="shared" si="97"/>
        <v>4.6911337600000005E-2</v>
      </c>
      <c r="N3428" s="33" t="s">
        <v>249</v>
      </c>
    </row>
    <row r="3429" spans="1:14" ht="15">
      <c r="A3429" s="12"/>
      <c r="B3429" s="33" t="s">
        <v>169</v>
      </c>
      <c r="C3429" s="92" t="s">
        <v>400</v>
      </c>
      <c r="D3429" s="33" t="s">
        <v>410</v>
      </c>
      <c r="E3429" s="34">
        <v>45957</v>
      </c>
      <c r="F3429" s="34">
        <v>45958</v>
      </c>
      <c r="G3429" s="34">
        <v>45961</v>
      </c>
      <c r="H3429" s="35">
        <v>6.5000000000000002E-2</v>
      </c>
      <c r="I3429" s="67">
        <v>5.4300000000000001E-2</v>
      </c>
      <c r="J3429" s="67">
        <v>0</v>
      </c>
      <c r="K3429" s="67">
        <v>5.4300000000000001E-2</v>
      </c>
      <c r="L3429" s="36">
        <f>+K3429-((K3429*0.0904*0.125)+(K3429*(1-0.0904)*0.26))</f>
        <v>4.0844677199999999E-2</v>
      </c>
      <c r="M3429" s="64">
        <f t="shared" si="97"/>
        <v>4.0844677199999999E-2</v>
      </c>
      <c r="N3429" s="33" t="s">
        <v>249</v>
      </c>
    </row>
    <row r="3430" spans="1:14" ht="15">
      <c r="A3430" s="12"/>
      <c r="B3430" s="33" t="s">
        <v>310</v>
      </c>
      <c r="C3430" s="92" t="s">
        <v>719</v>
      </c>
      <c r="D3430" s="33" t="s">
        <v>411</v>
      </c>
      <c r="E3430" s="34">
        <v>45961</v>
      </c>
      <c r="F3430" s="34">
        <v>45964</v>
      </c>
      <c r="G3430" s="34">
        <v>45967</v>
      </c>
      <c r="H3430" s="35">
        <v>0.05</v>
      </c>
      <c r="I3430" s="67">
        <v>1.44E-2</v>
      </c>
      <c r="J3430" s="67">
        <v>0</v>
      </c>
      <c r="K3430" s="67">
        <v>1.4400000000000001E-2</v>
      </c>
      <c r="L3430" s="36">
        <f>+K3430-((K3430*0.0574*0.125)+(K3430*(1-0.0574)*0.26))</f>
        <v>1.0767585600000001E-2</v>
      </c>
      <c r="M3430" s="64">
        <f t="shared" si="97"/>
        <v>1.0767585600000001E-2</v>
      </c>
      <c r="N3430" s="33" t="s">
        <v>718</v>
      </c>
    </row>
    <row r="3431" spans="1:14" ht="15">
      <c r="A3431" s="12"/>
      <c r="B3431" s="33" t="s">
        <v>188</v>
      </c>
      <c r="C3431" s="92" t="s">
        <v>720</v>
      </c>
      <c r="D3431" s="33" t="s">
        <v>411</v>
      </c>
      <c r="E3431" s="34">
        <v>45961</v>
      </c>
      <c r="F3431" s="34">
        <v>45964</v>
      </c>
      <c r="G3431" s="34">
        <v>45967</v>
      </c>
      <c r="H3431" s="35">
        <v>0.05</v>
      </c>
      <c r="I3431" s="67">
        <v>0.24979999999999999</v>
      </c>
      <c r="J3431" s="67">
        <v>0</v>
      </c>
      <c r="K3431" s="67">
        <v>0.24979999999999997</v>
      </c>
      <c r="L3431" s="36">
        <f>+K3431-((K3431*0.0574*0.125)+(K3431*(1-0.0574)*0.26))</f>
        <v>0.18678770019999996</v>
      </c>
      <c r="M3431" s="64">
        <f t="shared" si="97"/>
        <v>0.18678770019999996</v>
      </c>
      <c r="N3431" s="33" t="s">
        <v>718</v>
      </c>
    </row>
    <row r="3432" spans="1:14" ht="15">
      <c r="A3432" s="12"/>
      <c r="B3432" s="33" t="s">
        <v>196</v>
      </c>
      <c r="C3432" s="92" t="s">
        <v>721</v>
      </c>
      <c r="D3432" s="33" t="s">
        <v>411</v>
      </c>
      <c r="E3432" s="34">
        <v>45961</v>
      </c>
      <c r="F3432" s="34">
        <v>45964</v>
      </c>
      <c r="G3432" s="34">
        <v>45967</v>
      </c>
      <c r="H3432" s="35">
        <v>0.05</v>
      </c>
      <c r="I3432" s="67">
        <v>0.26519999999999999</v>
      </c>
      <c r="J3432" s="67">
        <v>0</v>
      </c>
      <c r="K3432" s="67">
        <v>0.26519999999999999</v>
      </c>
      <c r="L3432" s="36">
        <f>+K3432-((K3432*0.0574*0.125)+(K3432*(1-0.0574)*0.26))</f>
        <v>0.1983030348</v>
      </c>
      <c r="M3432" s="64">
        <f t="shared" si="97"/>
        <v>0.1983030348</v>
      </c>
      <c r="N3432" s="33" t="s">
        <v>718</v>
      </c>
    </row>
    <row r="3433" spans="1:14" ht="15">
      <c r="A3433" s="12"/>
      <c r="B3433" s="33" t="s">
        <v>191</v>
      </c>
      <c r="C3433" s="92" t="s">
        <v>722</v>
      </c>
      <c r="D3433" s="33" t="s">
        <v>411</v>
      </c>
      <c r="E3433" s="34">
        <v>45961</v>
      </c>
      <c r="F3433" s="34">
        <v>45964</v>
      </c>
      <c r="G3433" s="34">
        <v>45967</v>
      </c>
      <c r="H3433" s="35">
        <v>0.05</v>
      </c>
      <c r="I3433" s="67">
        <v>1.37E-2</v>
      </c>
      <c r="J3433" s="67">
        <v>0</v>
      </c>
      <c r="K3433" s="67">
        <v>1.37E-2</v>
      </c>
      <c r="L3433" s="36">
        <f>+K3433-((K3433*0.8353*0.125)+(K3433*(1-0.8353)*0.26))</f>
        <v>1.1682887350000001E-2</v>
      </c>
      <c r="M3433" s="64">
        <f t="shared" si="97"/>
        <v>1.1682887350000001E-2</v>
      </c>
      <c r="N3433" s="33" t="s">
        <v>718</v>
      </c>
    </row>
    <row r="3434" spans="1:14" ht="15">
      <c r="A3434" s="12"/>
      <c r="B3434" s="33" t="s">
        <v>199</v>
      </c>
      <c r="C3434" s="92" t="s">
        <v>723</v>
      </c>
      <c r="D3434" s="33" t="s">
        <v>411</v>
      </c>
      <c r="E3434" s="34">
        <v>45961</v>
      </c>
      <c r="F3434" s="34">
        <v>45964</v>
      </c>
      <c r="G3434" s="34">
        <v>45967</v>
      </c>
      <c r="H3434" s="35">
        <v>0.05</v>
      </c>
      <c r="I3434" s="67">
        <v>1.38E-2</v>
      </c>
      <c r="J3434" s="67">
        <v>0</v>
      </c>
      <c r="K3434" s="67">
        <v>1.38E-2</v>
      </c>
      <c r="L3434" s="36">
        <f>+K3434-((K3434*0.8353*0.125)+(K3434*(1-0.8353)*0.26))</f>
        <v>1.17681639E-2</v>
      </c>
      <c r="M3434" s="64">
        <f t="shared" si="97"/>
        <v>1.17681639E-2</v>
      </c>
      <c r="N3434" s="33" t="s">
        <v>718</v>
      </c>
    </row>
    <row r="3435" spans="1:14" ht="15">
      <c r="A3435" s="12"/>
      <c r="B3435" s="33" t="s">
        <v>306</v>
      </c>
      <c r="C3435" s="92" t="s">
        <v>724</v>
      </c>
      <c r="D3435" s="33" t="s">
        <v>411</v>
      </c>
      <c r="E3435" s="34">
        <v>45961</v>
      </c>
      <c r="F3435" s="34">
        <v>45964</v>
      </c>
      <c r="G3435" s="34">
        <v>45967</v>
      </c>
      <c r="H3435" s="35">
        <v>0.04</v>
      </c>
      <c r="I3435" s="67">
        <v>1.4200000000000001E-2</v>
      </c>
      <c r="J3435" s="67">
        <v>3.2054100000000006E-3</v>
      </c>
      <c r="K3435" s="67">
        <v>1.099459E-2</v>
      </c>
      <c r="L3435" s="36">
        <f>+K3435-((K3435*0.0004*0.125)+(K3435*(1-0.0004)*0.26))</f>
        <v>8.1365903078600005E-3</v>
      </c>
      <c r="M3435" s="64">
        <f t="shared" si="97"/>
        <v>1.1342000307860001E-2</v>
      </c>
      <c r="N3435" s="33" t="s">
        <v>718</v>
      </c>
    </row>
    <row r="3436" spans="1:14" ht="15">
      <c r="A3436" s="12"/>
      <c r="B3436" s="33" t="s">
        <v>184</v>
      </c>
      <c r="C3436" s="92" t="s">
        <v>725</v>
      </c>
      <c r="D3436" s="33" t="s">
        <v>411</v>
      </c>
      <c r="E3436" s="34">
        <v>45961</v>
      </c>
      <c r="F3436" s="34">
        <v>45964</v>
      </c>
      <c r="G3436" s="34">
        <v>45967</v>
      </c>
      <c r="H3436" s="35">
        <v>0.04</v>
      </c>
      <c r="I3436" s="67">
        <v>0.28399999999999997</v>
      </c>
      <c r="J3436" s="67">
        <v>7.3855759999999993E-2</v>
      </c>
      <c r="K3436" s="67">
        <v>0.21014423999999998</v>
      </c>
      <c r="L3436" s="36">
        <f>+K3436-((K3436*0.0004*0.125)+(K3436*(1-0.0004)*0.26))</f>
        <v>0.15551808538895998</v>
      </c>
      <c r="M3436" s="64">
        <f t="shared" si="97"/>
        <v>0.22937384538895997</v>
      </c>
      <c r="N3436" s="33" t="s">
        <v>718</v>
      </c>
    </row>
    <row r="3437" spans="1:14" ht="15">
      <c r="A3437" s="12"/>
      <c r="B3437" s="33" t="s">
        <v>192</v>
      </c>
      <c r="C3437" s="92" t="s">
        <v>726</v>
      </c>
      <c r="D3437" s="33" t="s">
        <v>411</v>
      </c>
      <c r="E3437" s="34">
        <v>45961</v>
      </c>
      <c r="F3437" s="34">
        <v>45964</v>
      </c>
      <c r="G3437" s="34">
        <v>45967</v>
      </c>
      <c r="H3437" s="35">
        <v>0.04</v>
      </c>
      <c r="I3437" s="67">
        <v>0.2923</v>
      </c>
      <c r="J3437" s="67">
        <v>4.3358680000000038E-2</v>
      </c>
      <c r="K3437" s="67">
        <v>0.24894131999999997</v>
      </c>
      <c r="L3437" s="36">
        <f>+K3437-((K3437*0.0004*0.125)+(K3437*(1-0.0004)*0.26))</f>
        <v>0.18423001963128</v>
      </c>
      <c r="M3437" s="64">
        <f t="shared" si="97"/>
        <v>0.22758869963128003</v>
      </c>
      <c r="N3437" s="33" t="s">
        <v>718</v>
      </c>
    </row>
    <row r="3438" spans="1:14" ht="15">
      <c r="A3438" s="12"/>
      <c r="B3438" s="33" t="s">
        <v>311</v>
      </c>
      <c r="C3438" s="92" t="s">
        <v>727</v>
      </c>
      <c r="D3438" s="33" t="s">
        <v>411</v>
      </c>
      <c r="E3438" s="34">
        <v>45961</v>
      </c>
      <c r="F3438" s="34">
        <v>45964</v>
      </c>
      <c r="G3438" s="34">
        <v>45967</v>
      </c>
      <c r="H3438" s="35">
        <v>0.04</v>
      </c>
      <c r="I3438" s="67">
        <v>1.5299999999999999E-2</v>
      </c>
      <c r="J3438" s="67">
        <v>4.9043600000000017E-3</v>
      </c>
      <c r="K3438" s="67">
        <v>1.0395639999999998E-2</v>
      </c>
      <c r="L3438" s="36">
        <f>+K3438-((K3438*0.0102*0.125)+(K3438*(1-0.0102)*0.26))</f>
        <v>7.7070883962799984E-3</v>
      </c>
      <c r="M3438" s="64">
        <f t="shared" si="97"/>
        <v>1.2611448396279999E-2</v>
      </c>
      <c r="N3438" s="33" t="s">
        <v>718</v>
      </c>
    </row>
    <row r="3439" spans="1:14" ht="15">
      <c r="A3439" s="12"/>
      <c r="B3439" s="33" t="s">
        <v>189</v>
      </c>
      <c r="C3439" s="92" t="s">
        <v>728</v>
      </c>
      <c r="D3439" s="33" t="s">
        <v>411</v>
      </c>
      <c r="E3439" s="34">
        <v>45961</v>
      </c>
      <c r="F3439" s="34">
        <v>45964</v>
      </c>
      <c r="G3439" s="34">
        <v>45967</v>
      </c>
      <c r="H3439" s="35">
        <v>0.04</v>
      </c>
      <c r="I3439" s="67">
        <v>0.27929999999999999</v>
      </c>
      <c r="J3439" s="67">
        <v>0.10005784999999995</v>
      </c>
      <c r="K3439" s="67">
        <v>0.17924215000000004</v>
      </c>
      <c r="L3439" s="36">
        <f>+K3439-((K3439*0.0102*0.125)+(K3439*(1-0.0102)*0.26))</f>
        <v>0.13288600744055001</v>
      </c>
      <c r="M3439" s="64">
        <f t="shared" si="97"/>
        <v>0.23294385744054996</v>
      </c>
      <c r="N3439" s="33" t="s">
        <v>718</v>
      </c>
    </row>
    <row r="3440" spans="1:14" ht="15">
      <c r="A3440" s="12"/>
      <c r="B3440" s="33" t="s">
        <v>197</v>
      </c>
      <c r="C3440" s="92" t="s">
        <v>729</v>
      </c>
      <c r="D3440" s="33" t="s">
        <v>411</v>
      </c>
      <c r="E3440" s="34">
        <v>45961</v>
      </c>
      <c r="F3440" s="34">
        <v>45964</v>
      </c>
      <c r="G3440" s="34">
        <v>45967</v>
      </c>
      <c r="H3440" s="35">
        <v>0.04</v>
      </c>
      <c r="I3440" s="67">
        <v>0.28970000000000001</v>
      </c>
      <c r="J3440" s="67">
        <v>7.1231130000000004E-2</v>
      </c>
      <c r="K3440" s="67">
        <v>0.21846887000000001</v>
      </c>
      <c r="L3440" s="36">
        <f>+K3440-((K3440*0.0102*0.125)+(K3440*(1-0.0102)*0.26))</f>
        <v>0.16196779543399001</v>
      </c>
      <c r="M3440" s="64">
        <f t="shared" si="97"/>
        <v>0.23319892543399001</v>
      </c>
      <c r="N3440" s="33" t="s">
        <v>718</v>
      </c>
    </row>
    <row r="3441" spans="1:14" ht="15">
      <c r="A3441" s="12"/>
      <c r="B3441" s="33" t="s">
        <v>308</v>
      </c>
      <c r="C3441" s="92" t="s">
        <v>730</v>
      </c>
      <c r="D3441" s="33" t="s">
        <v>411</v>
      </c>
      <c r="E3441" s="34">
        <v>45961</v>
      </c>
      <c r="F3441" s="34">
        <v>45964</v>
      </c>
      <c r="G3441" s="34">
        <v>45967</v>
      </c>
      <c r="H3441" s="35">
        <v>0.05</v>
      </c>
      <c r="I3441" s="67">
        <v>1.66E-2</v>
      </c>
      <c r="J3441" s="67">
        <v>8.6825545576814604E-3</v>
      </c>
      <c r="K3441" s="67">
        <v>7.9174454423185398E-3</v>
      </c>
      <c r="L3441" s="36">
        <f>+K3441-((K3441*0.4847*0.125)+(K3441*(1-0.4847)*0.26))</f>
        <v>6.376983711111112E-3</v>
      </c>
      <c r="M3441" s="64">
        <f t="shared" si="97"/>
        <v>1.5059538268792572E-2</v>
      </c>
      <c r="N3441" s="33" t="s">
        <v>718</v>
      </c>
    </row>
    <row r="3442" spans="1:14" ht="15">
      <c r="A3442" s="12"/>
      <c r="B3442" s="33" t="s">
        <v>186</v>
      </c>
      <c r="C3442" s="92" t="s">
        <v>731</v>
      </c>
      <c r="D3442" s="33" t="s">
        <v>411</v>
      </c>
      <c r="E3442" s="34">
        <v>45961</v>
      </c>
      <c r="F3442" s="34">
        <v>45964</v>
      </c>
      <c r="G3442" s="34">
        <v>45967</v>
      </c>
      <c r="H3442" s="35">
        <v>0.05</v>
      </c>
      <c r="I3442" s="67">
        <v>0.3024</v>
      </c>
      <c r="J3442" s="67">
        <v>0.16664055707405961</v>
      </c>
      <c r="K3442" s="67">
        <v>0.13575944292594039</v>
      </c>
      <c r="L3442" s="36">
        <f>+K3442-((K3442*0.4847*0.125)+(K3442*(1-0.4847)*0.26))</f>
        <v>0.10934533903333334</v>
      </c>
      <c r="M3442" s="64">
        <f t="shared" si="97"/>
        <v>0.27598589610739294</v>
      </c>
      <c r="N3442" s="33" t="s">
        <v>718</v>
      </c>
    </row>
    <row r="3443" spans="1:14" ht="15">
      <c r="A3443" s="12"/>
      <c r="B3443" s="33" t="s">
        <v>194</v>
      </c>
      <c r="C3443" s="92" t="s">
        <v>732</v>
      </c>
      <c r="D3443" s="33" t="s">
        <v>411</v>
      </c>
      <c r="E3443" s="34">
        <v>45961</v>
      </c>
      <c r="F3443" s="34">
        <v>45964</v>
      </c>
      <c r="G3443" s="34">
        <v>45967</v>
      </c>
      <c r="H3443" s="35">
        <v>0.05</v>
      </c>
      <c r="I3443" s="67">
        <v>0.31569999999999998</v>
      </c>
      <c r="J3443" s="67">
        <v>0.14571979027973792</v>
      </c>
      <c r="K3443" s="67">
        <v>0.16998020972026207</v>
      </c>
      <c r="L3443" s="36">
        <f>+K3443-((K3443*0.4847*0.125)+(K3443*(1-0.4847)*0.26))</f>
        <v>0.13690792522593442</v>
      </c>
      <c r="M3443" s="64">
        <f t="shared" si="97"/>
        <v>0.28262771550567234</v>
      </c>
      <c r="N3443" s="33" t="s">
        <v>718</v>
      </c>
    </row>
    <row r="3444" spans="1:14" ht="15">
      <c r="A3444" s="12"/>
      <c r="B3444" s="33" t="s">
        <v>307</v>
      </c>
      <c r="C3444" s="92" t="s">
        <v>983</v>
      </c>
      <c r="D3444" s="33" t="s">
        <v>411</v>
      </c>
      <c r="E3444" s="34">
        <v>45961</v>
      </c>
      <c r="F3444" s="34">
        <v>45964</v>
      </c>
      <c r="G3444" s="34">
        <v>45967</v>
      </c>
      <c r="H3444" s="35">
        <v>0.04</v>
      </c>
      <c r="I3444" s="67">
        <v>1.09E-2</v>
      </c>
      <c r="J3444" s="67">
        <v>5.9551453583946761E-3</v>
      </c>
      <c r="K3444" s="67">
        <v>4.9448546416053238E-3</v>
      </c>
      <c r="L3444" s="36">
        <f>+K3444-((K3444*0.671*0.125)+(K3444*(1-0.671)*0.26))</f>
        <v>4.1071220924977581E-3</v>
      </c>
      <c r="M3444" s="64">
        <f t="shared" si="97"/>
        <v>1.0062267450892434E-2</v>
      </c>
      <c r="N3444" s="33" t="s">
        <v>718</v>
      </c>
    </row>
    <row r="3445" spans="1:14" ht="15">
      <c r="A3445" s="12"/>
      <c r="B3445" s="33" t="s">
        <v>185</v>
      </c>
      <c r="C3445" s="92" t="s">
        <v>985</v>
      </c>
      <c r="D3445" s="33" t="s">
        <v>411</v>
      </c>
      <c r="E3445" s="34">
        <v>45961</v>
      </c>
      <c r="F3445" s="34">
        <v>45964</v>
      </c>
      <c r="G3445" s="34">
        <v>45967</v>
      </c>
      <c r="H3445" s="35">
        <v>0.04</v>
      </c>
      <c r="I3445" s="67">
        <v>0.17910000000000001</v>
      </c>
      <c r="J3445" s="67">
        <v>0.10447887797021559</v>
      </c>
      <c r="K3445" s="67">
        <v>7.4621122029784423E-2</v>
      </c>
      <c r="L3445" s="36">
        <f>+K3445-((K3445*0.671*0.125)+(K3445*(1-0.671)*0.26))</f>
        <v>6.1979184641108492E-2</v>
      </c>
      <c r="M3445" s="64">
        <f t="shared" si="97"/>
        <v>0.16645806261132406</v>
      </c>
      <c r="N3445" s="33" t="s">
        <v>718</v>
      </c>
    </row>
    <row r="3446" spans="1:14" ht="15">
      <c r="A3446" s="12"/>
      <c r="B3446" s="33" t="s">
        <v>193</v>
      </c>
      <c r="C3446" s="92" t="s">
        <v>984</v>
      </c>
      <c r="D3446" s="33" t="s">
        <v>411</v>
      </c>
      <c r="E3446" s="34">
        <v>45961</v>
      </c>
      <c r="F3446" s="34">
        <v>45964</v>
      </c>
      <c r="G3446" s="34">
        <v>45967</v>
      </c>
      <c r="H3446" s="35">
        <v>0.04</v>
      </c>
      <c r="I3446" s="67">
        <v>0.1789</v>
      </c>
      <c r="J3446" s="67">
        <v>8.3478934154959217E-2</v>
      </c>
      <c r="K3446" s="67">
        <v>9.5421065845040787E-2</v>
      </c>
      <c r="L3446" s="36">
        <f>+K3446-((K3446*0.671*0.125)+(K3446*(1-0.671)*0.26))</f>
        <v>7.9255305974903212E-2</v>
      </c>
      <c r="M3446" s="64">
        <f t="shared" si="97"/>
        <v>0.16273424012986243</v>
      </c>
      <c r="N3446" s="33" t="s">
        <v>718</v>
      </c>
    </row>
    <row r="3447" spans="1:14" ht="15">
      <c r="A3447" s="12"/>
      <c r="B3447" s="33" t="s">
        <v>309</v>
      </c>
      <c r="C3447" s="92" t="s">
        <v>736</v>
      </c>
      <c r="D3447" s="33" t="s">
        <v>411</v>
      </c>
      <c r="E3447" s="34">
        <v>45961</v>
      </c>
      <c r="F3447" s="34">
        <v>45964</v>
      </c>
      <c r="G3447" s="34">
        <v>45967</v>
      </c>
      <c r="H3447" s="35">
        <v>0.05</v>
      </c>
      <c r="I3447" s="67">
        <v>1.61E-2</v>
      </c>
      <c r="J3447" s="67">
        <v>7.8991300734487253E-3</v>
      </c>
      <c r="K3447" s="67">
        <v>8.2008699265512745E-3</v>
      </c>
      <c r="L3447" s="36">
        <f>+K3447-((K3447*0.0283*0.125)+(K3447*(1-0.0283)*0.26))</f>
        <v>6.0999751692023315E-3</v>
      </c>
      <c r="M3447" s="64">
        <f t="shared" si="97"/>
        <v>1.3999105242651057E-2</v>
      </c>
      <c r="N3447" s="33" t="s">
        <v>718</v>
      </c>
    </row>
    <row r="3448" spans="1:14" ht="15">
      <c r="A3448" s="12"/>
      <c r="B3448" s="33" t="s">
        <v>187</v>
      </c>
      <c r="C3448" s="92" t="s">
        <v>737</v>
      </c>
      <c r="D3448" s="33" t="s">
        <v>411</v>
      </c>
      <c r="E3448" s="34">
        <v>45961</v>
      </c>
      <c r="F3448" s="34">
        <v>45964</v>
      </c>
      <c r="G3448" s="34">
        <v>45967</v>
      </c>
      <c r="H3448" s="35">
        <v>0.05</v>
      </c>
      <c r="I3448" s="67">
        <v>0.28210000000000002</v>
      </c>
      <c r="J3448" s="67">
        <v>0.14661755165197587</v>
      </c>
      <c r="K3448" s="67">
        <v>0.13548244834802414</v>
      </c>
      <c r="L3448" s="36">
        <f>+K3448-((K3448*0.0283*0.125)+(K3448*(1-0.0283)*0.26))</f>
        <v>0.10077462247145148</v>
      </c>
      <c r="M3448" s="64">
        <f t="shared" si="97"/>
        <v>0.24739217412342734</v>
      </c>
      <c r="N3448" s="33" t="s">
        <v>718</v>
      </c>
    </row>
    <row r="3449" spans="1:14" ht="15">
      <c r="A3449" s="12"/>
      <c r="B3449" s="33" t="s">
        <v>195</v>
      </c>
      <c r="C3449" s="92" t="s">
        <v>738</v>
      </c>
      <c r="D3449" s="33" t="s">
        <v>411</v>
      </c>
      <c r="E3449" s="34">
        <v>45961</v>
      </c>
      <c r="F3449" s="34">
        <v>45964</v>
      </c>
      <c r="G3449" s="34">
        <v>45967</v>
      </c>
      <c r="H3449" s="35">
        <v>0.05</v>
      </c>
      <c r="I3449" s="67">
        <v>0.29730000000000001</v>
      </c>
      <c r="J3449" s="67">
        <v>0.12751229802203523</v>
      </c>
      <c r="K3449" s="67">
        <v>0.16978770197796478</v>
      </c>
      <c r="L3449" s="36">
        <f>+K3449-((K3449*0.0283*0.125)+(K3449*(1-0.0283)*0.26))</f>
        <v>0.12629157337910074</v>
      </c>
      <c r="M3449" s="64">
        <f t="shared" ref="M3449:M3512" si="99">J3449+L3449</f>
        <v>0.25380387140113597</v>
      </c>
      <c r="N3449" s="33" t="s">
        <v>718</v>
      </c>
    </row>
    <row r="3450" spans="1:14" ht="15">
      <c r="A3450" s="12"/>
      <c r="B3450" s="33" t="s">
        <v>312</v>
      </c>
      <c r="C3450" s="92" t="s">
        <v>739</v>
      </c>
      <c r="D3450" s="33" t="s">
        <v>411</v>
      </c>
      <c r="E3450" s="34">
        <v>45961</v>
      </c>
      <c r="F3450" s="34">
        <v>45964</v>
      </c>
      <c r="G3450" s="34">
        <v>45967</v>
      </c>
      <c r="H3450" s="35">
        <v>5.2499999999999998E-2</v>
      </c>
      <c r="I3450" s="67">
        <v>1.6299999999999999E-2</v>
      </c>
      <c r="J3450" s="67">
        <v>8.6388106642874482E-4</v>
      </c>
      <c r="K3450" s="67">
        <v>1.5436118933571254E-2</v>
      </c>
      <c r="L3450" s="36">
        <f>+K3450-((K3450*0.0006*0.125)+(K3450*(1-0.0006)*0.26))</f>
        <v>1.1423978336476346E-2</v>
      </c>
      <c r="M3450" s="64">
        <f t="shared" si="99"/>
        <v>1.2287859402905091E-2</v>
      </c>
      <c r="N3450" s="33" t="s">
        <v>718</v>
      </c>
    </row>
    <row r="3451" spans="1:14" ht="15">
      <c r="A3451" s="12"/>
      <c r="B3451" s="33" t="s">
        <v>190</v>
      </c>
      <c r="C3451" s="92" t="s">
        <v>740</v>
      </c>
      <c r="D3451" s="33" t="s">
        <v>411</v>
      </c>
      <c r="E3451" s="34">
        <v>45961</v>
      </c>
      <c r="F3451" s="34">
        <v>45964</v>
      </c>
      <c r="G3451" s="34">
        <v>45967</v>
      </c>
      <c r="H3451" s="35">
        <v>5.2499999999999998E-2</v>
      </c>
      <c r="I3451" s="67">
        <v>0.30649999999999999</v>
      </c>
      <c r="J3451" s="67">
        <v>2.4331510784046995E-2</v>
      </c>
      <c r="K3451" s="67">
        <v>0.282168489215953</v>
      </c>
      <c r="L3451" s="36">
        <f>+K3451-((K3451*0.0006*0.125)+(K3451*(1-0.0006)*0.26))</f>
        <v>0.20882753766743173</v>
      </c>
      <c r="M3451" s="64">
        <f t="shared" si="99"/>
        <v>0.23315904845147872</v>
      </c>
      <c r="N3451" s="33" t="s">
        <v>718</v>
      </c>
    </row>
    <row r="3452" spans="1:14" ht="15">
      <c r="A3452" s="12"/>
      <c r="B3452" s="33" t="s">
        <v>198</v>
      </c>
      <c r="C3452" s="92" t="s">
        <v>741</v>
      </c>
      <c r="D3452" s="33" t="s">
        <v>411</v>
      </c>
      <c r="E3452" s="34">
        <v>45961</v>
      </c>
      <c r="F3452" s="34">
        <v>45964</v>
      </c>
      <c r="G3452" s="34">
        <v>45967</v>
      </c>
      <c r="H3452" s="35">
        <v>5.2499999999999998E-2</v>
      </c>
      <c r="I3452" s="67">
        <v>0.31280000000000002</v>
      </c>
      <c r="J3452" s="67">
        <v>0</v>
      </c>
      <c r="K3452" s="67">
        <v>0.31280000000000002</v>
      </c>
      <c r="L3452" s="36">
        <f>+K3452-((K3452*0.0006*0.125)+(K3452*(1-0.0006)*0.26))</f>
        <v>0.23149733680000001</v>
      </c>
      <c r="M3452" s="64">
        <f t="shared" si="99"/>
        <v>0.23149733680000001</v>
      </c>
      <c r="N3452" s="33" t="s">
        <v>718</v>
      </c>
    </row>
    <row r="3453" spans="1:14" ht="15">
      <c r="A3453" s="12"/>
      <c r="B3453" s="33" t="s">
        <v>313</v>
      </c>
      <c r="C3453" s="92" t="s">
        <v>884</v>
      </c>
      <c r="D3453" s="33" t="s">
        <v>411</v>
      </c>
      <c r="E3453" s="34">
        <v>45961</v>
      </c>
      <c r="F3453" s="34">
        <v>45964</v>
      </c>
      <c r="G3453" s="34">
        <v>45967</v>
      </c>
      <c r="H3453" s="35">
        <v>4.1250000000000002E-2</v>
      </c>
      <c r="I3453" s="67">
        <v>1.3299999999999999E-2</v>
      </c>
      <c r="J3453" s="67">
        <v>1.4740200000000012E-3</v>
      </c>
      <c r="K3453" s="67">
        <v>1.1825979999999998E-2</v>
      </c>
      <c r="L3453" s="36">
        <f>+K3453-((K3453*0.2971*0.125)+(K3453*(1-0.2971)*0.26))</f>
        <v>9.2255475188299987E-3</v>
      </c>
      <c r="M3453" s="64">
        <f t="shared" si="99"/>
        <v>1.069956751883E-2</v>
      </c>
      <c r="N3453" s="33" t="s">
        <v>718</v>
      </c>
    </row>
    <row r="3454" spans="1:14" ht="15">
      <c r="A3454" s="12"/>
      <c r="B3454" s="33" t="s">
        <v>310</v>
      </c>
      <c r="C3454" s="92" t="s">
        <v>719</v>
      </c>
      <c r="D3454" s="33" t="s">
        <v>411</v>
      </c>
      <c r="E3454" s="34">
        <v>45989</v>
      </c>
      <c r="F3454" s="34">
        <v>45992</v>
      </c>
      <c r="G3454" s="34">
        <v>45995</v>
      </c>
      <c r="H3454" s="35">
        <v>0.05</v>
      </c>
      <c r="I3454" s="67">
        <f>VLOOKUP(B3454,[9]NAVPRICE_20251202024534_FPNO_20!$A$9:$P$2398,9,FALSE)</f>
        <v>1.44E-2</v>
      </c>
      <c r="J3454" s="67">
        <v>0</v>
      </c>
      <c r="K3454" s="67">
        <v>1.44E-2</v>
      </c>
      <c r="L3454" s="36">
        <f>+K3454-((K3454*0.0574*0.125)+(K3454*(1-0.0574)*0.26))</f>
        <v>1.0767585600000001E-2</v>
      </c>
      <c r="M3454" s="64">
        <f t="shared" si="99"/>
        <v>1.0767585600000001E-2</v>
      </c>
      <c r="N3454" s="33" t="s">
        <v>718</v>
      </c>
    </row>
    <row r="3455" spans="1:14" ht="15">
      <c r="A3455" s="12"/>
      <c r="B3455" s="33" t="s">
        <v>188</v>
      </c>
      <c r="C3455" s="92" t="s">
        <v>720</v>
      </c>
      <c r="D3455" s="33" t="s">
        <v>411</v>
      </c>
      <c r="E3455" s="34">
        <v>45989</v>
      </c>
      <c r="F3455" s="34">
        <v>45992</v>
      </c>
      <c r="G3455" s="34">
        <v>45995</v>
      </c>
      <c r="H3455" s="35">
        <v>0.05</v>
      </c>
      <c r="I3455" s="67">
        <f>VLOOKUP(B3455,[9]NAVPRICE_20251202024534_FPNO_20!$A$9:$P$2398,9,FALSE)</f>
        <v>0.24979999999999999</v>
      </c>
      <c r="J3455" s="67">
        <v>9.0396388650042792E-3</v>
      </c>
      <c r="K3455" s="67">
        <v>0.24076036113499572</v>
      </c>
      <c r="L3455" s="36">
        <f>+K3455-((K3455*0.0574*0.125)+(K3455*(1-0.0574)*0.26))</f>
        <v>0.18002831927833191</v>
      </c>
      <c r="M3455" s="64">
        <f t="shared" si="99"/>
        <v>0.18906795814333618</v>
      </c>
      <c r="N3455" s="33" t="s">
        <v>718</v>
      </c>
    </row>
    <row r="3456" spans="1:14" ht="15">
      <c r="A3456" s="12"/>
      <c r="B3456" s="33" t="s">
        <v>196</v>
      </c>
      <c r="C3456" s="92" t="s">
        <v>721</v>
      </c>
      <c r="D3456" s="33" t="s">
        <v>411</v>
      </c>
      <c r="E3456" s="34">
        <v>45989</v>
      </c>
      <c r="F3456" s="34">
        <v>45992</v>
      </c>
      <c r="G3456" s="34">
        <v>45995</v>
      </c>
      <c r="H3456" s="35">
        <v>0.05</v>
      </c>
      <c r="I3456" s="67">
        <f>VLOOKUP(B3456,[9]NAVPRICE_20251202024534_FPNO_20!$A$9:$P$2398,9,FALSE)</f>
        <v>0.26519999999999999</v>
      </c>
      <c r="J3456" s="67">
        <v>0</v>
      </c>
      <c r="K3456" s="67">
        <v>0.26519999999999999</v>
      </c>
      <c r="L3456" s="36">
        <f>+K3456-((K3456*0.0574*0.125)+(K3456*(1-0.0574)*0.26))</f>
        <v>0.1983030348</v>
      </c>
      <c r="M3456" s="64">
        <f t="shared" si="99"/>
        <v>0.1983030348</v>
      </c>
      <c r="N3456" s="33" t="s">
        <v>718</v>
      </c>
    </row>
    <row r="3457" spans="1:14" ht="15">
      <c r="A3457" s="12"/>
      <c r="B3457" s="33" t="s">
        <v>191</v>
      </c>
      <c r="C3457" s="92" t="s">
        <v>722</v>
      </c>
      <c r="D3457" s="33" t="s">
        <v>411</v>
      </c>
      <c r="E3457" s="34">
        <v>45989</v>
      </c>
      <c r="F3457" s="34">
        <v>45992</v>
      </c>
      <c r="G3457" s="34">
        <v>45995</v>
      </c>
      <c r="H3457" s="35">
        <v>0.05</v>
      </c>
      <c r="I3457" s="67">
        <f>VLOOKUP(B3457,[9]NAVPRICE_20251202024534_FPNO_20!$A$9:$P$2398,9,FALSE)</f>
        <v>1.37E-2</v>
      </c>
      <c r="J3457" s="67">
        <v>0</v>
      </c>
      <c r="K3457" s="67">
        <v>1.37E-2</v>
      </c>
      <c r="L3457" s="36">
        <f>+K3457-((K3457*0.8353*0.125)+(K3457*(1-0.8353)*0.26))</f>
        <v>1.1682887350000001E-2</v>
      </c>
      <c r="M3457" s="64">
        <f t="shared" si="99"/>
        <v>1.1682887350000001E-2</v>
      </c>
      <c r="N3457" s="33" t="s">
        <v>718</v>
      </c>
    </row>
    <row r="3458" spans="1:14" ht="15">
      <c r="A3458" s="12"/>
      <c r="B3458" s="33" t="s">
        <v>199</v>
      </c>
      <c r="C3458" s="92" t="s">
        <v>723</v>
      </c>
      <c r="D3458" s="33" t="s">
        <v>411</v>
      </c>
      <c r="E3458" s="34">
        <v>45989</v>
      </c>
      <c r="F3458" s="34">
        <v>45992</v>
      </c>
      <c r="G3458" s="34">
        <v>45995</v>
      </c>
      <c r="H3458" s="35">
        <v>0.05</v>
      </c>
      <c r="I3458" s="67">
        <f>VLOOKUP(B3458,[9]NAVPRICE_20251202024534_FPNO_20!$A$9:$P$2398,9,FALSE)</f>
        <v>1.38E-2</v>
      </c>
      <c r="J3458" s="67">
        <v>0</v>
      </c>
      <c r="K3458" s="67">
        <v>1.38E-2</v>
      </c>
      <c r="L3458" s="36">
        <f>+K3458-((K3458*0.8353*0.125)+(K3458*(1-0.8353)*0.26))</f>
        <v>1.17681639E-2</v>
      </c>
      <c r="M3458" s="64">
        <f t="shared" si="99"/>
        <v>1.17681639E-2</v>
      </c>
      <c r="N3458" s="33" t="s">
        <v>718</v>
      </c>
    </row>
    <row r="3459" spans="1:14" ht="15">
      <c r="A3459" s="12"/>
      <c r="B3459" s="33" t="s">
        <v>306</v>
      </c>
      <c r="C3459" s="92" t="s">
        <v>724</v>
      </c>
      <c r="D3459" s="33" t="s">
        <v>411</v>
      </c>
      <c r="E3459" s="34">
        <v>45989</v>
      </c>
      <c r="F3459" s="34">
        <v>45992</v>
      </c>
      <c r="G3459" s="34">
        <v>45995</v>
      </c>
      <c r="H3459" s="35">
        <v>0.04</v>
      </c>
      <c r="I3459" s="67">
        <f>VLOOKUP(B3459,[9]NAVPRICE_20251202024534_FPNO_20!$A$9:$P$2398,9,FALSE)</f>
        <v>1.4200000000000001E-2</v>
      </c>
      <c r="J3459" s="67">
        <v>4.2590499999999986E-3</v>
      </c>
      <c r="K3459" s="67">
        <v>9.9409500000000022E-3</v>
      </c>
      <c r="L3459" s="36">
        <f>+K3459-((K3459*0.0004*0.125)+(K3459*(1-0.0004)*0.26))</f>
        <v>7.3568398113000016E-3</v>
      </c>
      <c r="M3459" s="64">
        <f t="shared" si="99"/>
        <v>1.16158898113E-2</v>
      </c>
      <c r="N3459" s="33" t="s">
        <v>718</v>
      </c>
    </row>
    <row r="3460" spans="1:14" ht="15">
      <c r="A3460" s="12"/>
      <c r="B3460" s="33" t="s">
        <v>184</v>
      </c>
      <c r="C3460" s="92" t="s">
        <v>725</v>
      </c>
      <c r="D3460" s="33" t="s">
        <v>411</v>
      </c>
      <c r="E3460" s="34">
        <v>45989</v>
      </c>
      <c r="F3460" s="34">
        <v>45992</v>
      </c>
      <c r="G3460" s="34">
        <v>45995</v>
      </c>
      <c r="H3460" s="35">
        <v>0.04</v>
      </c>
      <c r="I3460" s="67">
        <f>VLOOKUP(B3460,[9]NAVPRICE_20251202024534_FPNO_20!$A$9:$P$2398,9,FALSE)</f>
        <v>0.28399999999999997</v>
      </c>
      <c r="J3460" s="67">
        <v>9.4064769999999992E-2</v>
      </c>
      <c r="K3460" s="67">
        <v>0.18993522999999998</v>
      </c>
      <c r="L3460" s="36">
        <f>+K3460-((K3460*0.0004*0.125)+(K3460*(1-0.0004)*0.26))</f>
        <v>0.14056232670241997</v>
      </c>
      <c r="M3460" s="64">
        <f t="shared" si="99"/>
        <v>0.23462709670241996</v>
      </c>
      <c r="N3460" s="33" t="s">
        <v>718</v>
      </c>
    </row>
    <row r="3461" spans="1:14" ht="15">
      <c r="A3461" s="12"/>
      <c r="B3461" s="33" t="s">
        <v>192</v>
      </c>
      <c r="C3461" s="92" t="s">
        <v>726</v>
      </c>
      <c r="D3461" s="33" t="s">
        <v>411</v>
      </c>
      <c r="E3461" s="34">
        <v>45989</v>
      </c>
      <c r="F3461" s="34">
        <v>45992</v>
      </c>
      <c r="G3461" s="34">
        <v>45995</v>
      </c>
      <c r="H3461" s="35">
        <v>0.04</v>
      </c>
      <c r="I3461" s="67">
        <f>VLOOKUP(B3461,[9]NAVPRICE_20251202024534_FPNO_20!$A$9:$P$2398,9,FALSE)</f>
        <v>0.2923</v>
      </c>
      <c r="J3461" s="67">
        <v>6.9127369999999938E-2</v>
      </c>
      <c r="K3461" s="67">
        <v>0.22317263000000007</v>
      </c>
      <c r="L3461" s="36">
        <f>+K3461-((K3461*0.0004*0.125)+(K3461*(1-0.0004)*0.26))</f>
        <v>0.16515979752202004</v>
      </c>
      <c r="M3461" s="64">
        <f t="shared" si="99"/>
        <v>0.23428716752201997</v>
      </c>
      <c r="N3461" s="33" t="s">
        <v>718</v>
      </c>
    </row>
    <row r="3462" spans="1:14" ht="15">
      <c r="A3462" s="12"/>
      <c r="B3462" s="33" t="s">
        <v>311</v>
      </c>
      <c r="C3462" s="92" t="s">
        <v>727</v>
      </c>
      <c r="D3462" s="33" t="s">
        <v>411</v>
      </c>
      <c r="E3462" s="34">
        <v>45989</v>
      </c>
      <c r="F3462" s="34">
        <v>45992</v>
      </c>
      <c r="G3462" s="34">
        <v>45995</v>
      </c>
      <c r="H3462" s="35">
        <v>0.04</v>
      </c>
      <c r="I3462" s="67">
        <f>VLOOKUP(B3462,[9]NAVPRICE_20251202024534_FPNO_20!$A$9:$P$2398,9,FALSE)</f>
        <v>1.5299999999999999E-2</v>
      </c>
      <c r="J3462" s="67">
        <v>6.1974200000000021E-3</v>
      </c>
      <c r="K3462" s="67">
        <v>9.1025799999999973E-3</v>
      </c>
      <c r="L3462" s="36">
        <f>+K3462-((K3462*0.0102*0.125)+(K3462*(1-0.0102)*0.26))</f>
        <v>6.7484434526599978E-3</v>
      </c>
      <c r="M3462" s="64">
        <f t="shared" si="99"/>
        <v>1.294586345266E-2</v>
      </c>
      <c r="N3462" s="33" t="s">
        <v>718</v>
      </c>
    </row>
    <row r="3463" spans="1:14" ht="15">
      <c r="A3463" s="12"/>
      <c r="B3463" s="33" t="s">
        <v>189</v>
      </c>
      <c r="C3463" s="92" t="s">
        <v>728</v>
      </c>
      <c r="D3463" s="33" t="s">
        <v>411</v>
      </c>
      <c r="E3463" s="34">
        <v>45989</v>
      </c>
      <c r="F3463" s="34">
        <v>45992</v>
      </c>
      <c r="G3463" s="34">
        <v>45995</v>
      </c>
      <c r="H3463" s="35">
        <v>0.04</v>
      </c>
      <c r="I3463" s="67">
        <f>VLOOKUP(B3463,[9]NAVPRICE_20251202024534_FPNO_20!$A$9:$P$2398,9,FALSE)</f>
        <v>0.27929999999999999</v>
      </c>
      <c r="J3463" s="67">
        <v>0.12114535000000001</v>
      </c>
      <c r="K3463" s="67">
        <v>0.15815464999999998</v>
      </c>
      <c r="L3463" s="36">
        <f>+K3463-((K3463*0.0102*0.125)+(K3463*(1-0.0102)*0.26))</f>
        <v>0.11725221995304999</v>
      </c>
      <c r="M3463" s="64">
        <f t="shared" si="99"/>
        <v>0.23839756995305</v>
      </c>
      <c r="N3463" s="33" t="s">
        <v>718</v>
      </c>
    </row>
    <row r="3464" spans="1:14" ht="15">
      <c r="A3464" s="12"/>
      <c r="B3464" s="33" t="s">
        <v>197</v>
      </c>
      <c r="C3464" s="92" t="s">
        <v>729</v>
      </c>
      <c r="D3464" s="33" t="s">
        <v>411</v>
      </c>
      <c r="E3464" s="34">
        <v>45989</v>
      </c>
      <c r="F3464" s="34">
        <v>45992</v>
      </c>
      <c r="G3464" s="34">
        <v>45995</v>
      </c>
      <c r="H3464" s="35">
        <v>0.04</v>
      </c>
      <c r="I3464" s="67">
        <f>VLOOKUP(B3464,[9]NAVPRICE_20251202024534_FPNO_20!$A$9:$P$2398,9,FALSE)</f>
        <v>0.28970000000000001</v>
      </c>
      <c r="J3464" s="67">
        <v>9.8499959999999998E-2</v>
      </c>
      <c r="K3464" s="67">
        <v>0.19120004000000002</v>
      </c>
      <c r="L3464" s="36">
        <f>+K3464-((K3464*0.0102*0.125)+(K3464*(1-0.0102)*0.26))</f>
        <v>0.14175131205508001</v>
      </c>
      <c r="M3464" s="64">
        <f t="shared" si="99"/>
        <v>0.24025127205508001</v>
      </c>
      <c r="N3464" s="33" t="s">
        <v>718</v>
      </c>
    </row>
    <row r="3465" spans="1:14" ht="15">
      <c r="A3465" s="12"/>
      <c r="B3465" s="33" t="s">
        <v>308</v>
      </c>
      <c r="C3465" s="92" t="s">
        <v>730</v>
      </c>
      <c r="D3465" s="33" t="s">
        <v>411</v>
      </c>
      <c r="E3465" s="34">
        <v>45989</v>
      </c>
      <c r="F3465" s="34">
        <v>45992</v>
      </c>
      <c r="G3465" s="34">
        <v>45995</v>
      </c>
      <c r="H3465" s="35">
        <v>0.05</v>
      </c>
      <c r="I3465" s="67">
        <f>VLOOKUP(B3465,[9]NAVPRICE_20251202024534_FPNO_20!$A$9:$P$2398,9,FALSE)</f>
        <v>1.66E-2</v>
      </c>
      <c r="J3465" s="67">
        <v>8.0698968185726559E-3</v>
      </c>
      <c r="K3465" s="67">
        <v>8.5301031814273443E-3</v>
      </c>
      <c r="L3465" s="36">
        <f>+K3465-((K3465*0.4847*0.125)+(K3465*(1-0.4847)*0.26))</f>
        <v>6.8704393908813419E-3</v>
      </c>
      <c r="M3465" s="64">
        <f t="shared" si="99"/>
        <v>1.4940336209453998E-2</v>
      </c>
      <c r="N3465" s="33" t="s">
        <v>718</v>
      </c>
    </row>
    <row r="3466" spans="1:14" ht="15">
      <c r="A3466" s="12"/>
      <c r="B3466" s="33" t="s">
        <v>186</v>
      </c>
      <c r="C3466" s="92" t="s">
        <v>731</v>
      </c>
      <c r="D3466" s="33" t="s">
        <v>411</v>
      </c>
      <c r="E3466" s="34">
        <v>45989</v>
      </c>
      <c r="F3466" s="34">
        <v>45992</v>
      </c>
      <c r="G3466" s="34">
        <v>45995</v>
      </c>
      <c r="H3466" s="35">
        <v>0.05</v>
      </c>
      <c r="I3466" s="67">
        <f>VLOOKUP(B3466,[9]NAVPRICE_20251202024534_FPNO_20!$A$9:$P$2398,9,FALSE)</f>
        <v>0.3024</v>
      </c>
      <c r="J3466" s="67">
        <v>0.15372756663800521</v>
      </c>
      <c r="K3466" s="67">
        <v>0.14867243336199479</v>
      </c>
      <c r="L3466" s="36">
        <f>+K3466-((K3466*0.4847*0.125)+(K3466*(1-0.4847)*0.26))</f>
        <v>0.1197459070287016</v>
      </c>
      <c r="M3466" s="64">
        <f t="shared" si="99"/>
        <v>0.27347347366670682</v>
      </c>
      <c r="N3466" s="33" t="s">
        <v>718</v>
      </c>
    </row>
    <row r="3467" spans="1:14" ht="15">
      <c r="A3467" s="12"/>
      <c r="B3467" s="33" t="s">
        <v>194</v>
      </c>
      <c r="C3467" s="92" t="s">
        <v>732</v>
      </c>
      <c r="D3467" s="33" t="s">
        <v>411</v>
      </c>
      <c r="E3467" s="34">
        <v>45989</v>
      </c>
      <c r="F3467" s="34">
        <v>45992</v>
      </c>
      <c r="G3467" s="34">
        <v>45995</v>
      </c>
      <c r="H3467" s="35">
        <v>0.05</v>
      </c>
      <c r="I3467" s="67">
        <f>VLOOKUP(B3467,[9]NAVPRICE_20251202024534_FPNO_20!$A$9:$P$2398,9,FALSE)</f>
        <v>0.31569999999999998</v>
      </c>
      <c r="J3467" s="67">
        <v>0.13741484092863279</v>
      </c>
      <c r="K3467" s="67">
        <v>0.17828515907136719</v>
      </c>
      <c r="L3467" s="36">
        <f>+K3467-((K3467*0.4847*0.125)+(K3467*(1-0.4847)*0.26))</f>
        <v>0.1435970179540671</v>
      </c>
      <c r="M3467" s="64">
        <f t="shared" si="99"/>
        <v>0.28101185888269986</v>
      </c>
      <c r="N3467" s="33" t="s">
        <v>718</v>
      </c>
    </row>
    <row r="3468" spans="1:14" ht="15">
      <c r="A3468" s="12"/>
      <c r="B3468" s="33" t="s">
        <v>307</v>
      </c>
      <c r="C3468" s="92" t="s">
        <v>983</v>
      </c>
      <c r="D3468" s="33" t="s">
        <v>411</v>
      </c>
      <c r="E3468" s="34">
        <v>45989</v>
      </c>
      <c r="F3468" s="34">
        <v>45992</v>
      </c>
      <c r="G3468" s="34">
        <v>45995</v>
      </c>
      <c r="H3468" s="35">
        <v>0.04</v>
      </c>
      <c r="I3468" s="67">
        <f>VLOOKUP(B3468,[9]NAVPRICE_20251202024534_FPNO_20!$A$9:$P$2398,9,FALSE)</f>
        <v>1.09E-2</v>
      </c>
      <c r="J3468" s="67">
        <v>7.5539810834049873E-3</v>
      </c>
      <c r="K3468" s="67">
        <v>3.3460189165950131E-3</v>
      </c>
      <c r="L3468" s="36">
        <f>+K3468-((K3468*0.671*0.125)+(K3468*(1-0.671)*0.26))</f>
        <v>2.7791531218400688E-3</v>
      </c>
      <c r="M3468" s="64">
        <f t="shared" si="99"/>
        <v>1.0333134205245056E-2</v>
      </c>
      <c r="N3468" s="33" t="s">
        <v>718</v>
      </c>
    </row>
    <row r="3469" spans="1:14" ht="15">
      <c r="A3469" s="12"/>
      <c r="B3469" s="33" t="s">
        <v>185</v>
      </c>
      <c r="C3469" s="92" t="s">
        <v>985</v>
      </c>
      <c r="D3469" s="33" t="s">
        <v>411</v>
      </c>
      <c r="E3469" s="34">
        <v>45989</v>
      </c>
      <c r="F3469" s="34">
        <v>45992</v>
      </c>
      <c r="G3469" s="34">
        <v>45995</v>
      </c>
      <c r="H3469" s="35">
        <v>0.04</v>
      </c>
      <c r="I3469" s="67">
        <f>VLOOKUP(B3469,[9]NAVPRICE_20251202024534_FPNO_20!$A$9:$P$2398,9,FALSE)</f>
        <v>0.17910000000000001</v>
      </c>
      <c r="J3469" s="67">
        <v>0.12907385210662081</v>
      </c>
      <c r="K3469" s="67">
        <v>5.0026147893379211E-2</v>
      </c>
      <c r="L3469" s="36">
        <f>+K3469-((K3469*0.671*0.125)+(K3469*(1-0.671)*0.26))</f>
        <v>4.1550968048022371E-2</v>
      </c>
      <c r="M3469" s="64">
        <f t="shared" si="99"/>
        <v>0.1706248201546432</v>
      </c>
      <c r="N3469" s="33" t="s">
        <v>718</v>
      </c>
    </row>
    <row r="3470" spans="1:14" ht="15">
      <c r="A3470" s="12"/>
      <c r="B3470" s="33" t="s">
        <v>193</v>
      </c>
      <c r="C3470" s="92" t="s">
        <v>984</v>
      </c>
      <c r="D3470" s="33" t="s">
        <v>411</v>
      </c>
      <c r="E3470" s="34">
        <v>45989</v>
      </c>
      <c r="F3470" s="34">
        <v>45992</v>
      </c>
      <c r="G3470" s="34">
        <v>45995</v>
      </c>
      <c r="H3470" s="35">
        <v>0.04</v>
      </c>
      <c r="I3470" s="67">
        <f>VLOOKUP(B3470,[9]NAVPRICE_20251202024534_FPNO_20!$A$9:$P$2398,9,FALSE)</f>
        <v>0.1789</v>
      </c>
      <c r="J3470" s="67">
        <v>0.11211448839208943</v>
      </c>
      <c r="K3470" s="67">
        <v>6.6785511607910575E-2</v>
      </c>
      <c r="L3470" s="36">
        <f>+K3470-((K3470*0.671*0.125)+(K3470*(1-0.671)*0.26))</f>
        <v>5.5471044158856404E-2</v>
      </c>
      <c r="M3470" s="64">
        <f t="shared" si="99"/>
        <v>0.16758553255094583</v>
      </c>
      <c r="N3470" s="33" t="s">
        <v>718</v>
      </c>
    </row>
    <row r="3471" spans="1:14" ht="15">
      <c r="A3471" s="12"/>
      <c r="B3471" s="33" t="s">
        <v>309</v>
      </c>
      <c r="C3471" s="92" t="s">
        <v>736</v>
      </c>
      <c r="D3471" s="33" t="s">
        <v>411</v>
      </c>
      <c r="E3471" s="34">
        <v>45989</v>
      </c>
      <c r="F3471" s="34">
        <v>45992</v>
      </c>
      <c r="G3471" s="34">
        <v>45995</v>
      </c>
      <c r="H3471" s="35">
        <v>0.05</v>
      </c>
      <c r="I3471" s="67">
        <f>VLOOKUP(B3471,[9]NAVPRICE_20251202024534_FPNO_20!$A$9:$P$2398,9,FALSE)</f>
        <v>1.61E-2</v>
      </c>
      <c r="J3471" s="67">
        <v>8.8792777300085966E-3</v>
      </c>
      <c r="K3471" s="67">
        <v>7.220722269991404E-3</v>
      </c>
      <c r="L3471" s="36">
        <f>+K3471-((K3471*0.0283*0.125)+(K3471*(1-0.0283)*0.26))</f>
        <v>5.3709212492261404E-3</v>
      </c>
      <c r="M3471" s="64">
        <f t="shared" si="99"/>
        <v>1.4250198979234737E-2</v>
      </c>
      <c r="N3471" s="33" t="s">
        <v>718</v>
      </c>
    </row>
    <row r="3472" spans="1:14" ht="15">
      <c r="A3472" s="12"/>
      <c r="B3472" s="33" t="s">
        <v>187</v>
      </c>
      <c r="C3472" s="92" t="s">
        <v>737</v>
      </c>
      <c r="D3472" s="33" t="s">
        <v>411</v>
      </c>
      <c r="E3472" s="34">
        <v>45989</v>
      </c>
      <c r="F3472" s="34">
        <v>45992</v>
      </c>
      <c r="G3472" s="34">
        <v>45995</v>
      </c>
      <c r="H3472" s="35">
        <v>0.05</v>
      </c>
      <c r="I3472" s="67">
        <f>VLOOKUP(B3472,[9]NAVPRICE_20251202024534_FPNO_20!$A$9:$P$2398,9,FALSE)</f>
        <v>0.28210000000000002</v>
      </c>
      <c r="J3472" s="67">
        <v>0.16210443680137571</v>
      </c>
      <c r="K3472" s="67">
        <v>0.1199955631986243</v>
      </c>
      <c r="L3472" s="36">
        <f>+K3472-((K3472*0.0283*0.125)+(K3472*(1-0.0283)*0.26))</f>
        <v>8.9255159816182317E-2</v>
      </c>
      <c r="M3472" s="64">
        <f t="shared" si="99"/>
        <v>0.25135959661755802</v>
      </c>
      <c r="N3472" s="33" t="s">
        <v>718</v>
      </c>
    </row>
    <row r="3473" spans="1:14" ht="15">
      <c r="A3473" s="12"/>
      <c r="B3473" s="33" t="s">
        <v>195</v>
      </c>
      <c r="C3473" s="92" t="s">
        <v>738</v>
      </c>
      <c r="D3473" s="33" t="s">
        <v>411</v>
      </c>
      <c r="E3473" s="34">
        <v>45989</v>
      </c>
      <c r="F3473" s="34">
        <v>45992</v>
      </c>
      <c r="G3473" s="34">
        <v>45995</v>
      </c>
      <c r="H3473" s="35">
        <v>0.05</v>
      </c>
      <c r="I3473" s="67">
        <f>VLOOKUP(B3473,[9]NAVPRICE_20251202024534_FPNO_20!$A$9:$P$2398,9,FALSE)</f>
        <v>0.29730000000000001</v>
      </c>
      <c r="J3473" s="67">
        <v>0.14899183147033535</v>
      </c>
      <c r="K3473" s="67">
        <v>0.14830816852966466</v>
      </c>
      <c r="L3473" s="36">
        <f>+K3473-((K3473*0.0283*0.125)+(K3473*(1-0.0283)*0.26))</f>
        <v>0.11031465606981944</v>
      </c>
      <c r="M3473" s="64">
        <f t="shared" si="99"/>
        <v>0.25930648754015478</v>
      </c>
      <c r="N3473" s="33" t="s">
        <v>718</v>
      </c>
    </row>
    <row r="3474" spans="1:14" ht="15">
      <c r="A3474" s="12"/>
      <c r="B3474" s="33" t="s">
        <v>312</v>
      </c>
      <c r="C3474" s="92" t="s">
        <v>739</v>
      </c>
      <c r="D3474" s="33" t="s">
        <v>411</v>
      </c>
      <c r="E3474" s="34">
        <v>45989</v>
      </c>
      <c r="F3474" s="34">
        <v>45992</v>
      </c>
      <c r="G3474" s="34">
        <v>45995</v>
      </c>
      <c r="H3474" s="35">
        <v>5.2499999999999998E-2</v>
      </c>
      <c r="I3474" s="67">
        <f>VLOOKUP(B3474,[9]NAVPRICE_20251202024534_FPNO_20!$A$9:$P$2398,9,FALSE)</f>
        <v>1.6299999999999999E-2</v>
      </c>
      <c r="J3474" s="67">
        <v>2.6271195184866692E-3</v>
      </c>
      <c r="K3474" s="67">
        <v>1.3672880481513329E-2</v>
      </c>
      <c r="L3474" s="36">
        <f>+K3474-((K3474*0.0006*0.125)+(K3474*(1-0.0006)*0.26))</f>
        <v>1.0119039059638867E-2</v>
      </c>
      <c r="M3474" s="64">
        <f t="shared" si="99"/>
        <v>1.2746158578125536E-2</v>
      </c>
      <c r="N3474" s="33" t="s">
        <v>718</v>
      </c>
    </row>
    <row r="3475" spans="1:14" ht="15">
      <c r="A3475" s="12"/>
      <c r="B3475" s="33" t="s">
        <v>190</v>
      </c>
      <c r="C3475" s="92" t="s">
        <v>740</v>
      </c>
      <c r="D3475" s="33" t="s">
        <v>411</v>
      </c>
      <c r="E3475" s="34">
        <v>45989</v>
      </c>
      <c r="F3475" s="34">
        <v>45992</v>
      </c>
      <c r="G3475" s="34">
        <v>45995</v>
      </c>
      <c r="H3475" s="35">
        <v>5.2499999999999998E-2</v>
      </c>
      <c r="I3475" s="67">
        <f>VLOOKUP(B3475,[9]NAVPRICE_20251202024534_FPNO_20!$A$9:$P$2398,9,FALSE)</f>
        <v>0.30649999999999999</v>
      </c>
      <c r="J3475" s="67">
        <v>6.334080825451413E-2</v>
      </c>
      <c r="K3475" s="67">
        <v>0.24315919174548586</v>
      </c>
      <c r="L3475" s="36">
        <f>+K3475-((K3475*0.0006*0.125)+(K3475*(1-0.0006)*0.26))</f>
        <v>0.17995749778619091</v>
      </c>
      <c r="M3475" s="64">
        <f t="shared" si="99"/>
        <v>0.24329830604070504</v>
      </c>
      <c r="N3475" s="33" t="s">
        <v>718</v>
      </c>
    </row>
    <row r="3476" spans="1:14" ht="15">
      <c r="A3476" s="12"/>
      <c r="B3476" s="33" t="s">
        <v>198</v>
      </c>
      <c r="C3476" s="92" t="s">
        <v>741</v>
      </c>
      <c r="D3476" s="33" t="s">
        <v>411</v>
      </c>
      <c r="E3476" s="34">
        <v>45989</v>
      </c>
      <c r="F3476" s="34">
        <v>45992</v>
      </c>
      <c r="G3476" s="34">
        <v>45995</v>
      </c>
      <c r="H3476" s="35">
        <v>5.2499999999999998E-2</v>
      </c>
      <c r="I3476" s="67">
        <f>VLOOKUP(B3476,[9]NAVPRICE_20251202024534_FPNO_20!$A$9:$P$2398,9,FALSE)</f>
        <v>0.31280000000000002</v>
      </c>
      <c r="J3476" s="67">
        <v>3.6522184006879121E-3</v>
      </c>
      <c r="K3476" s="67">
        <v>0.30914778159931211</v>
      </c>
      <c r="L3476" s="36">
        <f>+K3476-((K3476*0.0006*0.125)+(K3476*(1-0.0006)*0.26))</f>
        <v>0.22879439935380053</v>
      </c>
      <c r="M3476" s="64">
        <f t="shared" si="99"/>
        <v>0.23244661775448844</v>
      </c>
      <c r="N3476" s="33" t="s">
        <v>718</v>
      </c>
    </row>
    <row r="3477" spans="1:14" ht="15">
      <c r="A3477" s="12"/>
      <c r="B3477" s="33" t="s">
        <v>313</v>
      </c>
      <c r="C3477" s="92" t="s">
        <v>884</v>
      </c>
      <c r="D3477" s="33" t="s">
        <v>411</v>
      </c>
      <c r="E3477" s="34">
        <v>45989</v>
      </c>
      <c r="F3477" s="34">
        <v>45992</v>
      </c>
      <c r="G3477" s="34">
        <v>45995</v>
      </c>
      <c r="H3477" s="35">
        <v>4.1250000000000002E-2</v>
      </c>
      <c r="I3477" s="67">
        <f>VLOOKUP(B3477,[9]NAVPRICE_20251202024534_FPNO_20!$A$9:$P$2398,9,FALSE)</f>
        <v>1.3299999999999999E-2</v>
      </c>
      <c r="J3477" s="67">
        <v>3.9769800000000015E-3</v>
      </c>
      <c r="K3477" s="67">
        <v>9.3230199999999978E-3</v>
      </c>
      <c r="L3477" s="36">
        <f>+K3477-((K3477*0.2971*0.125)+(K3477*(1-0.2971)*0.26))</f>
        <v>7.2729671476699977E-3</v>
      </c>
      <c r="M3477" s="64">
        <f t="shared" si="99"/>
        <v>1.1249947147669999E-2</v>
      </c>
      <c r="N3477" s="33" t="s">
        <v>718</v>
      </c>
    </row>
    <row r="3478" spans="1:14" ht="15">
      <c r="A3478" s="12"/>
      <c r="B3478" s="33" t="s">
        <v>174</v>
      </c>
      <c r="C3478" s="92" t="s">
        <v>382</v>
      </c>
      <c r="D3478" s="33" t="s">
        <v>410</v>
      </c>
      <c r="E3478" s="34">
        <v>46021</v>
      </c>
      <c r="F3478" s="34">
        <v>46022</v>
      </c>
      <c r="G3478" s="34">
        <v>45663</v>
      </c>
      <c r="H3478" s="35"/>
      <c r="I3478" s="67">
        <v>4.4970000000000003E-2</v>
      </c>
      <c r="J3478" s="67">
        <v>0</v>
      </c>
      <c r="K3478" s="67">
        <v>4.4970129999999997E-2</v>
      </c>
      <c r="L3478" s="36">
        <f>+K3478-((K3478*0.0306*0.125)+(K3478*(1-0.0306)*0.26))</f>
        <v>3.3463667807030001E-2</v>
      </c>
      <c r="M3478" s="64">
        <f t="shared" si="99"/>
        <v>3.3463667807030001E-2</v>
      </c>
      <c r="N3478" s="33" t="s">
        <v>247</v>
      </c>
    </row>
    <row r="3479" spans="1:14" ht="15">
      <c r="A3479" s="12"/>
      <c r="B3479" s="33" t="s">
        <v>176</v>
      </c>
      <c r="C3479" s="92" t="s">
        <v>877</v>
      </c>
      <c r="D3479" s="33" t="s">
        <v>410</v>
      </c>
      <c r="E3479" s="34">
        <v>46021</v>
      </c>
      <c r="F3479" s="34">
        <v>46022</v>
      </c>
      <c r="G3479" s="34">
        <v>45663</v>
      </c>
      <c r="H3479" s="35"/>
      <c r="I3479" s="67">
        <v>4.4880999999999997E-2</v>
      </c>
      <c r="J3479" s="67">
        <v>0</v>
      </c>
      <c r="K3479" s="67">
        <v>4.4881379999999998E-2</v>
      </c>
      <c r="L3479" s="36">
        <f>+K3479-((K3479*0.1776*0.125)+(K3479*(1-0.1776)*0.26))</f>
        <v>3.4288297166879998E-2</v>
      </c>
      <c r="M3479" s="64">
        <f t="shared" si="99"/>
        <v>3.4288297166879998E-2</v>
      </c>
      <c r="N3479" s="33" t="s">
        <v>247</v>
      </c>
    </row>
    <row r="3480" spans="1:14" ht="15">
      <c r="A3480" s="12"/>
      <c r="B3480" s="33" t="s">
        <v>175</v>
      </c>
      <c r="C3480" s="92" t="s">
        <v>465</v>
      </c>
      <c r="D3480" s="33" t="s">
        <v>410</v>
      </c>
      <c r="E3480" s="34">
        <v>46021</v>
      </c>
      <c r="F3480" s="34">
        <v>46022</v>
      </c>
      <c r="G3480" s="34">
        <v>45663</v>
      </c>
      <c r="H3480" s="35"/>
      <c r="I3480" s="67">
        <v>5.6239999999999998E-2</v>
      </c>
      <c r="J3480" s="67">
        <v>0</v>
      </c>
      <c r="K3480" s="67">
        <v>5.6240150000000003E-2</v>
      </c>
      <c r="L3480" s="36">
        <f>+K3480-((K3480*0.0611*0.125)+(K3480*(1-0.0611)*0.26))</f>
        <v>4.2081607877275003E-2</v>
      </c>
      <c r="M3480" s="64">
        <f t="shared" si="99"/>
        <v>4.2081607877275003E-2</v>
      </c>
      <c r="N3480" s="33" t="s">
        <v>247</v>
      </c>
    </row>
    <row r="3481" spans="1:14" ht="15">
      <c r="A3481" s="12"/>
      <c r="B3481" s="33" t="s">
        <v>310</v>
      </c>
      <c r="C3481" s="92" t="s">
        <v>719</v>
      </c>
      <c r="D3481" s="33" t="s">
        <v>411</v>
      </c>
      <c r="E3481" s="34">
        <v>46022</v>
      </c>
      <c r="F3481" s="34">
        <v>46024</v>
      </c>
      <c r="G3481" s="34">
        <v>46029</v>
      </c>
      <c r="H3481" s="35">
        <v>0.05</v>
      </c>
      <c r="I3481" s="67">
        <v>1.44E-2</v>
      </c>
      <c r="J3481" s="67">
        <v>0</v>
      </c>
      <c r="K3481" s="67">
        <v>1.44E-2</v>
      </c>
      <c r="L3481" s="36">
        <f>+K3481-((K3481*0.0574*0.125)+(K3481*(1-0.0574)*0.26))</f>
        <v>1.0767585600000001E-2</v>
      </c>
      <c r="M3481" s="64">
        <f t="shared" si="99"/>
        <v>1.0767585600000001E-2</v>
      </c>
      <c r="N3481" s="33" t="s">
        <v>718</v>
      </c>
    </row>
    <row r="3482" spans="1:14" ht="15">
      <c r="A3482" s="12"/>
      <c r="B3482" s="33" t="s">
        <v>188</v>
      </c>
      <c r="C3482" s="92" t="s">
        <v>720</v>
      </c>
      <c r="D3482" s="33" t="s">
        <v>411</v>
      </c>
      <c r="E3482" s="34">
        <v>46022</v>
      </c>
      <c r="F3482" s="34">
        <v>46024</v>
      </c>
      <c r="G3482" s="34">
        <v>46029</v>
      </c>
      <c r="H3482" s="35">
        <v>0.05</v>
      </c>
      <c r="I3482" s="67">
        <v>0.24979999999999999</v>
      </c>
      <c r="J3482" s="67">
        <v>6.2398842700928103E-4</v>
      </c>
      <c r="K3482" s="67">
        <v>0.24917601157299071</v>
      </c>
      <c r="L3482" s="36">
        <f>+K3482-((K3482*0.0574*0.125)+(K3482*(1-0.0574)*0.26))</f>
        <v>0.18632111347769223</v>
      </c>
      <c r="M3482" s="64">
        <f t="shared" si="99"/>
        <v>0.18694510190470151</v>
      </c>
      <c r="N3482" s="33" t="s">
        <v>718</v>
      </c>
    </row>
    <row r="3483" spans="1:14" ht="15">
      <c r="A3483" s="12"/>
      <c r="B3483" s="33" t="s">
        <v>196</v>
      </c>
      <c r="C3483" s="92" t="s">
        <v>721</v>
      </c>
      <c r="D3483" s="33" t="s">
        <v>411</v>
      </c>
      <c r="E3483" s="34">
        <v>46022</v>
      </c>
      <c r="F3483" s="34">
        <v>46024</v>
      </c>
      <c r="G3483" s="34">
        <v>46029</v>
      </c>
      <c r="H3483" s="35">
        <v>0.05</v>
      </c>
      <c r="I3483" s="67">
        <v>0.26519999999999999</v>
      </c>
      <c r="J3483" s="67">
        <v>0</v>
      </c>
      <c r="K3483" s="67">
        <v>0.26519999999999999</v>
      </c>
      <c r="L3483" s="36">
        <f>+K3483-((K3483*0.0574*0.125)+(K3483*(1-0.0574)*0.26))</f>
        <v>0.1983030348</v>
      </c>
      <c r="M3483" s="64">
        <f t="shared" si="99"/>
        <v>0.1983030348</v>
      </c>
      <c r="N3483" s="33" t="s">
        <v>718</v>
      </c>
    </row>
    <row r="3484" spans="1:14" ht="15">
      <c r="A3484" s="12"/>
      <c r="B3484" s="33" t="s">
        <v>191</v>
      </c>
      <c r="C3484" s="92" t="s">
        <v>722</v>
      </c>
      <c r="D3484" s="33" t="s">
        <v>411</v>
      </c>
      <c r="E3484" s="34">
        <v>46022</v>
      </c>
      <c r="F3484" s="34">
        <v>46024</v>
      </c>
      <c r="G3484" s="34">
        <v>46029</v>
      </c>
      <c r="H3484" s="35">
        <v>0.05</v>
      </c>
      <c r="I3484" s="67">
        <v>1.37E-2</v>
      </c>
      <c r="J3484" s="67">
        <v>0</v>
      </c>
      <c r="K3484" s="67">
        <v>1.37E-2</v>
      </c>
      <c r="L3484" s="36">
        <f>+K3484-((K3484*0.8353*0.125)+(K3484*(1-0.8353)*0.26))</f>
        <v>1.1682887350000001E-2</v>
      </c>
      <c r="M3484" s="64">
        <f t="shared" si="99"/>
        <v>1.1682887350000001E-2</v>
      </c>
      <c r="N3484" s="33" t="s">
        <v>718</v>
      </c>
    </row>
    <row r="3485" spans="1:14" ht="15">
      <c r="A3485" s="12"/>
      <c r="B3485" s="33" t="s">
        <v>199</v>
      </c>
      <c r="C3485" s="92" t="s">
        <v>723</v>
      </c>
      <c r="D3485" s="33" t="s">
        <v>411</v>
      </c>
      <c r="E3485" s="34">
        <v>46022</v>
      </c>
      <c r="F3485" s="34">
        <v>46024</v>
      </c>
      <c r="G3485" s="34">
        <v>46029</v>
      </c>
      <c r="H3485" s="35">
        <v>0.05</v>
      </c>
      <c r="I3485" s="67">
        <v>1.38E-2</v>
      </c>
      <c r="J3485" s="67">
        <v>0</v>
      </c>
      <c r="K3485" s="67">
        <v>1.38E-2</v>
      </c>
      <c r="L3485" s="36">
        <f>+K3485-((K3485*0.8353*0.125)+(K3485*(1-0.8353)*0.26))</f>
        <v>1.17681639E-2</v>
      </c>
      <c r="M3485" s="64">
        <f t="shared" si="99"/>
        <v>1.17681639E-2</v>
      </c>
      <c r="N3485" s="33" t="s">
        <v>718</v>
      </c>
    </row>
    <row r="3486" spans="1:14" ht="15">
      <c r="A3486" s="12"/>
      <c r="B3486" s="33" t="s">
        <v>306</v>
      </c>
      <c r="C3486" s="92" t="s">
        <v>724</v>
      </c>
      <c r="D3486" s="33" t="s">
        <v>411</v>
      </c>
      <c r="E3486" s="34">
        <v>46022</v>
      </c>
      <c r="F3486" s="34">
        <v>46024</v>
      </c>
      <c r="G3486" s="34">
        <v>46029</v>
      </c>
      <c r="H3486" s="35">
        <v>0.04</v>
      </c>
      <c r="I3486" s="67">
        <v>1.4200000000000001E-2</v>
      </c>
      <c r="J3486" s="67">
        <v>4.1718300000000014E-3</v>
      </c>
      <c r="K3486" s="67">
        <v>1.0028169999999999E-2</v>
      </c>
      <c r="L3486" s="36">
        <f>+K3486-((K3486*0.0004*0.125)+(K3486*(1-0.0004)*0.26))</f>
        <v>7.421387321179999E-3</v>
      </c>
      <c r="M3486" s="64">
        <f t="shared" si="99"/>
        <v>1.159321732118E-2</v>
      </c>
      <c r="N3486" s="33" t="s">
        <v>718</v>
      </c>
    </row>
    <row r="3487" spans="1:14" ht="15">
      <c r="A3487" s="12"/>
      <c r="B3487" s="33" t="s">
        <v>184</v>
      </c>
      <c r="C3487" s="92" t="s">
        <v>725</v>
      </c>
      <c r="D3487" s="33" t="s">
        <v>411</v>
      </c>
      <c r="E3487" s="34">
        <v>46022</v>
      </c>
      <c r="F3487" s="34">
        <v>46024</v>
      </c>
      <c r="G3487" s="34">
        <v>46029</v>
      </c>
      <c r="H3487" s="35">
        <v>0.04</v>
      </c>
      <c r="I3487" s="67">
        <v>0.28399999999999997</v>
      </c>
      <c r="J3487" s="67">
        <v>9.3932799999999927E-2</v>
      </c>
      <c r="K3487" s="67">
        <v>0.19006720000000005</v>
      </c>
      <c r="L3487" s="36">
        <f>+K3487-((K3487*0.0004*0.125)+(K3487*(1-0.0004)*0.26))</f>
        <v>0.14065999162880002</v>
      </c>
      <c r="M3487" s="64">
        <f t="shared" si="99"/>
        <v>0.23459279162879995</v>
      </c>
      <c r="N3487" s="33" t="s">
        <v>718</v>
      </c>
    </row>
    <row r="3488" spans="1:14" ht="15">
      <c r="A3488" s="12"/>
      <c r="B3488" s="33" t="s">
        <v>192</v>
      </c>
      <c r="C3488" s="92" t="s">
        <v>726</v>
      </c>
      <c r="D3488" s="33" t="s">
        <v>411</v>
      </c>
      <c r="E3488" s="34">
        <v>46022</v>
      </c>
      <c r="F3488" s="34">
        <v>46024</v>
      </c>
      <c r="G3488" s="34">
        <v>46029</v>
      </c>
      <c r="H3488" s="35">
        <v>0.04</v>
      </c>
      <c r="I3488" s="67">
        <v>0.2923</v>
      </c>
      <c r="J3488" s="67">
        <v>6.352227000000002E-2</v>
      </c>
      <c r="K3488" s="67">
        <v>0.22877772999999998</v>
      </c>
      <c r="L3488" s="36">
        <f>+K3488-((K3488*0.0004*0.125)+(K3488*(1-0.0004)*0.26))</f>
        <v>0.16930787419741999</v>
      </c>
      <c r="M3488" s="64">
        <f t="shared" si="99"/>
        <v>0.23283014419742001</v>
      </c>
      <c r="N3488" s="33" t="s">
        <v>718</v>
      </c>
    </row>
    <row r="3489" spans="1:14" ht="15">
      <c r="A3489" s="12"/>
      <c r="B3489" s="33" t="s">
        <v>311</v>
      </c>
      <c r="C3489" s="92" t="s">
        <v>727</v>
      </c>
      <c r="D3489" s="33" t="s">
        <v>411</v>
      </c>
      <c r="E3489" s="34">
        <v>46022</v>
      </c>
      <c r="F3489" s="34">
        <v>46024</v>
      </c>
      <c r="G3489" s="34">
        <v>46029</v>
      </c>
      <c r="H3489" s="35">
        <v>0.04</v>
      </c>
      <c r="I3489" s="67">
        <v>1.5299999999999999E-2</v>
      </c>
      <c r="J3489" s="67">
        <v>5.565839999999999E-3</v>
      </c>
      <c r="K3489" s="67">
        <v>9.7341600000000004E-3</v>
      </c>
      <c r="L3489" s="36">
        <f>+K3489-((K3489*0.0102*0.125)+(K3489*(1-0.0102)*0.26))</f>
        <v>7.2166823383199999E-3</v>
      </c>
      <c r="M3489" s="64">
        <f t="shared" si="99"/>
        <v>1.2782522338319998E-2</v>
      </c>
      <c r="N3489" s="33" t="s">
        <v>718</v>
      </c>
    </row>
    <row r="3490" spans="1:14" ht="15">
      <c r="A3490" s="12"/>
      <c r="B3490" s="33" t="s">
        <v>189</v>
      </c>
      <c r="C3490" s="92" t="s">
        <v>728</v>
      </c>
      <c r="D3490" s="33" t="s">
        <v>411</v>
      </c>
      <c r="E3490" s="34">
        <v>46022</v>
      </c>
      <c r="F3490" s="34">
        <v>46024</v>
      </c>
      <c r="G3490" s="34">
        <v>46029</v>
      </c>
      <c r="H3490" s="35">
        <v>0.04</v>
      </c>
      <c r="I3490" s="67">
        <v>0.27929999999999999</v>
      </c>
      <c r="J3490" s="67">
        <v>0.11245106999999999</v>
      </c>
      <c r="K3490" s="67">
        <v>0.16684893000000001</v>
      </c>
      <c r="L3490" s="36">
        <f>+K3490-((K3490*0.0102*0.125)+(K3490*(1-0.0102)*0.26))</f>
        <v>0.12369795917661</v>
      </c>
      <c r="M3490" s="64">
        <f t="shared" si="99"/>
        <v>0.23614902917660999</v>
      </c>
      <c r="N3490" s="33" t="s">
        <v>718</v>
      </c>
    </row>
    <row r="3491" spans="1:14" ht="15">
      <c r="A3491" s="12"/>
      <c r="B3491" s="33" t="s">
        <v>197</v>
      </c>
      <c r="C3491" s="92" t="s">
        <v>729</v>
      </c>
      <c r="D3491" s="33" t="s">
        <v>411</v>
      </c>
      <c r="E3491" s="34">
        <v>46022</v>
      </c>
      <c r="F3491" s="34">
        <v>46024</v>
      </c>
      <c r="G3491" s="34">
        <v>46029</v>
      </c>
      <c r="H3491" s="35">
        <v>0.04</v>
      </c>
      <c r="I3491" s="67">
        <v>0.28970000000000001</v>
      </c>
      <c r="J3491" s="67">
        <v>8.0827529999999981E-2</v>
      </c>
      <c r="K3491" s="67">
        <v>0.20887247000000003</v>
      </c>
      <c r="L3491" s="36">
        <f>+K3491-((K3491*0.0102*0.125)+(K3491*(1-0.0102)*0.26))</f>
        <v>0.15485324519119004</v>
      </c>
      <c r="M3491" s="64">
        <f t="shared" si="99"/>
        <v>0.23568077519119002</v>
      </c>
      <c r="N3491" s="33" t="s">
        <v>718</v>
      </c>
    </row>
    <row r="3492" spans="1:14" ht="15">
      <c r="A3492" s="12"/>
      <c r="B3492" s="33" t="s">
        <v>308</v>
      </c>
      <c r="C3492" s="92" t="s">
        <v>730</v>
      </c>
      <c r="D3492" s="33" t="s">
        <v>411</v>
      </c>
      <c r="E3492" s="34">
        <v>46022</v>
      </c>
      <c r="F3492" s="34">
        <v>46024</v>
      </c>
      <c r="G3492" s="34">
        <v>46029</v>
      </c>
      <c r="H3492" s="35">
        <v>0.05</v>
      </c>
      <c r="I3492" s="67">
        <v>1.66E-2</v>
      </c>
      <c r="J3492" s="67">
        <v>7.1291239416244739E-3</v>
      </c>
      <c r="K3492" s="67">
        <v>9.4708760583755262E-3</v>
      </c>
      <c r="L3492" s="36">
        <f>+K3492-((K3492*0.4847*0.125)+(K3492*(1-0.4847)*0.26))</f>
        <v>7.6281703226396633E-3</v>
      </c>
      <c r="M3492" s="64">
        <f t="shared" si="99"/>
        <v>1.4757294264264137E-2</v>
      </c>
      <c r="N3492" s="33" t="s">
        <v>718</v>
      </c>
    </row>
    <row r="3493" spans="1:14" ht="15">
      <c r="A3493" s="12"/>
      <c r="B3493" s="33" t="s">
        <v>186</v>
      </c>
      <c r="C3493" s="92" t="s">
        <v>731</v>
      </c>
      <c r="D3493" s="33" t="s">
        <v>411</v>
      </c>
      <c r="E3493" s="34">
        <v>46022</v>
      </c>
      <c r="F3493" s="34">
        <v>46024</v>
      </c>
      <c r="G3493" s="34">
        <v>46029</v>
      </c>
      <c r="H3493" s="35">
        <v>0.05</v>
      </c>
      <c r="I3493" s="67">
        <v>0.3024</v>
      </c>
      <c r="J3493" s="67">
        <v>0.13733485087010169</v>
      </c>
      <c r="K3493" s="67">
        <v>0.16506514912989831</v>
      </c>
      <c r="L3493" s="36">
        <f>+K3493-((K3493*0.4847*0.125)+(K3493*(1-0.4847)*0.26))</f>
        <v>0.13294916585686509</v>
      </c>
      <c r="M3493" s="64">
        <f t="shared" si="99"/>
        <v>0.27028401672696678</v>
      </c>
      <c r="N3493" s="33" t="s">
        <v>718</v>
      </c>
    </row>
    <row r="3494" spans="1:14" ht="15">
      <c r="A3494" s="12"/>
      <c r="B3494" s="33" t="s">
        <v>194</v>
      </c>
      <c r="C3494" s="92" t="s">
        <v>732</v>
      </c>
      <c r="D3494" s="33" t="s">
        <v>411</v>
      </c>
      <c r="E3494" s="34">
        <v>46022</v>
      </c>
      <c r="F3494" s="34">
        <v>46024</v>
      </c>
      <c r="G3494" s="34">
        <v>46029</v>
      </c>
      <c r="H3494" s="35">
        <v>0.05</v>
      </c>
      <c r="I3494" s="67">
        <v>0.31569999999999998</v>
      </c>
      <c r="J3494" s="67">
        <v>0.11574304712855177</v>
      </c>
      <c r="K3494" s="67">
        <v>0.19995695287144821</v>
      </c>
      <c r="L3494" s="36">
        <f>+K3494-((K3494*0.4847*0.125)+(K3494*(1-0.4847)*0.26))</f>
        <v>0.16105222835753846</v>
      </c>
      <c r="M3494" s="64">
        <f t="shared" si="99"/>
        <v>0.27679527548609023</v>
      </c>
      <c r="N3494" s="33" t="s">
        <v>718</v>
      </c>
    </row>
    <row r="3495" spans="1:14" ht="15">
      <c r="A3495" s="12"/>
      <c r="B3495" s="33" t="s">
        <v>307</v>
      </c>
      <c r="C3495" s="92" t="s">
        <v>983</v>
      </c>
      <c r="D3495" s="33" t="s">
        <v>411</v>
      </c>
      <c r="E3495" s="34">
        <v>46022</v>
      </c>
      <c r="F3495" s="34">
        <v>46024</v>
      </c>
      <c r="G3495" s="34">
        <v>46029</v>
      </c>
      <c r="H3495" s="35">
        <v>0.04</v>
      </c>
      <c r="I3495" s="67">
        <v>1.09E-2</v>
      </c>
      <c r="J3495" s="67">
        <v>4.6894882790634506E-3</v>
      </c>
      <c r="K3495" s="67">
        <v>6.2105117209365493E-3</v>
      </c>
      <c r="L3495" s="36">
        <f>+K3495-((K3495*0.671*0.125)+(K3495*(1-0.671)*0.26))</f>
        <v>5.1583578777340839E-3</v>
      </c>
      <c r="M3495" s="64">
        <f t="shared" si="99"/>
        <v>9.8478461567975337E-3</v>
      </c>
      <c r="N3495" s="33" t="s">
        <v>718</v>
      </c>
    </row>
    <row r="3496" spans="1:14" ht="15">
      <c r="A3496" s="12"/>
      <c r="B3496" s="33" t="s">
        <v>185</v>
      </c>
      <c r="C3496" s="92" t="s">
        <v>985</v>
      </c>
      <c r="D3496" s="33" t="s">
        <v>411</v>
      </c>
      <c r="E3496" s="34">
        <v>46022</v>
      </c>
      <c r="F3496" s="34">
        <v>46024</v>
      </c>
      <c r="G3496" s="34">
        <v>46029</v>
      </c>
      <c r="H3496" s="35">
        <v>0.04</v>
      </c>
      <c r="I3496" s="67">
        <v>0.17910000000000001</v>
      </c>
      <c r="J3496" s="67">
        <v>8.34184081426389E-2</v>
      </c>
      <c r="K3496" s="67">
        <v>9.5681591857361109E-2</v>
      </c>
      <c r="L3496" s="36">
        <f>+K3496-((K3496*0.671*0.125)+(K3496*(1-0.671)*0.26))</f>
        <v>7.9471694972846285E-2</v>
      </c>
      <c r="M3496" s="64">
        <f t="shared" si="99"/>
        <v>0.16289010311548519</v>
      </c>
      <c r="N3496" s="33" t="s">
        <v>718</v>
      </c>
    </row>
    <row r="3497" spans="1:14" ht="15">
      <c r="A3497" s="12"/>
      <c r="B3497" s="33" t="s">
        <v>193</v>
      </c>
      <c r="C3497" s="92" t="s">
        <v>984</v>
      </c>
      <c r="D3497" s="33" t="s">
        <v>411</v>
      </c>
      <c r="E3497" s="34">
        <v>46022</v>
      </c>
      <c r="F3497" s="34">
        <v>46024</v>
      </c>
      <c r="G3497" s="34">
        <v>46029</v>
      </c>
      <c r="H3497" s="35">
        <v>0.04</v>
      </c>
      <c r="I3497" s="67">
        <v>0.1789</v>
      </c>
      <c r="J3497" s="67">
        <v>6.3019927871916639E-2</v>
      </c>
      <c r="K3497" s="67">
        <v>0.11588007212808336</v>
      </c>
      <c r="L3497" s="36">
        <f>+K3497-((K3497*0.671*0.125)+(K3497*(1-0.671)*0.26))</f>
        <v>9.6248249708504124E-2</v>
      </c>
      <c r="M3497" s="64">
        <f t="shared" si="99"/>
        <v>0.15926817758042078</v>
      </c>
      <c r="N3497" s="33" t="s">
        <v>718</v>
      </c>
    </row>
    <row r="3498" spans="1:14" ht="15">
      <c r="A3498" s="12"/>
      <c r="B3498" s="33" t="s">
        <v>309</v>
      </c>
      <c r="C3498" s="92" t="s">
        <v>736</v>
      </c>
      <c r="D3498" s="33" t="s">
        <v>411</v>
      </c>
      <c r="E3498" s="34">
        <v>46022</v>
      </c>
      <c r="F3498" s="34">
        <v>46024</v>
      </c>
      <c r="G3498" s="34">
        <v>46029</v>
      </c>
      <c r="H3498" s="35">
        <v>0.05</v>
      </c>
      <c r="I3498" s="67">
        <v>1.61E-2</v>
      </c>
      <c r="J3498" s="67">
        <v>8.4131579907092569E-3</v>
      </c>
      <c r="K3498" s="67">
        <v>7.6868420092907428E-3</v>
      </c>
      <c r="L3498" s="36">
        <f>+K3498-((K3498*0.0283*0.125)+(K3498*(1-0.0283)*0.26))</f>
        <v>5.7176306667716444E-3</v>
      </c>
      <c r="M3498" s="64">
        <f t="shared" si="99"/>
        <v>1.4130788657480901E-2</v>
      </c>
      <c r="N3498" s="33" t="s">
        <v>718</v>
      </c>
    </row>
    <row r="3499" spans="1:14" ht="15">
      <c r="A3499" s="12"/>
      <c r="B3499" s="33" t="s">
        <v>187</v>
      </c>
      <c r="C3499" s="92" t="s">
        <v>737</v>
      </c>
      <c r="D3499" s="33" t="s">
        <v>411</v>
      </c>
      <c r="E3499" s="34">
        <v>46022</v>
      </c>
      <c r="F3499" s="34">
        <v>46024</v>
      </c>
      <c r="G3499" s="34">
        <v>46029</v>
      </c>
      <c r="H3499" s="35">
        <v>0.05</v>
      </c>
      <c r="I3499" s="67">
        <v>0.28210000000000002</v>
      </c>
      <c r="J3499" s="67">
        <v>0.15630110813911938</v>
      </c>
      <c r="K3499" s="67">
        <v>0.12579889186088064</v>
      </c>
      <c r="L3499" s="36">
        <f>+K3499-((K3499*0.0283*0.125)+(K3499*(1-0.0283)*0.26))</f>
        <v>9.3571794643406175E-2</v>
      </c>
      <c r="M3499" s="64">
        <f t="shared" si="99"/>
        <v>0.24987290278252555</v>
      </c>
      <c r="N3499" s="33" t="s">
        <v>718</v>
      </c>
    </row>
    <row r="3500" spans="1:14" ht="15">
      <c r="A3500" s="12"/>
      <c r="B3500" s="33" t="s">
        <v>195</v>
      </c>
      <c r="C3500" s="92" t="s">
        <v>738</v>
      </c>
      <c r="D3500" s="33" t="s">
        <v>411</v>
      </c>
      <c r="E3500" s="34">
        <v>46022</v>
      </c>
      <c r="F3500" s="34">
        <v>46024</v>
      </c>
      <c r="G3500" s="34">
        <v>46029</v>
      </c>
      <c r="H3500" s="35">
        <v>0.05</v>
      </c>
      <c r="I3500" s="67">
        <v>0.29730000000000001</v>
      </c>
      <c r="J3500" s="67">
        <v>0.13574197993199802</v>
      </c>
      <c r="K3500" s="67">
        <v>0.16155802006800199</v>
      </c>
      <c r="L3500" s="36">
        <f>+K3500-((K3500*0.0283*0.125)+(K3500*(1-0.0283)*0.26))</f>
        <v>0.12017016726599128</v>
      </c>
      <c r="M3500" s="64">
        <f t="shared" si="99"/>
        <v>0.25591214719798927</v>
      </c>
      <c r="N3500" s="33" t="s">
        <v>718</v>
      </c>
    </row>
    <row r="3501" spans="1:14" ht="15">
      <c r="A3501" s="12"/>
      <c r="B3501" s="33" t="s">
        <v>312</v>
      </c>
      <c r="C3501" s="92" t="s">
        <v>739</v>
      </c>
      <c r="D3501" s="33" t="s">
        <v>411</v>
      </c>
      <c r="E3501" s="34">
        <v>46022</v>
      </c>
      <c r="F3501" s="34">
        <v>46024</v>
      </c>
      <c r="G3501" s="34">
        <v>46029</v>
      </c>
      <c r="H3501" s="35">
        <v>5.2499999999999998E-2</v>
      </c>
      <c r="I3501" s="67">
        <v>1.6299999999999999E-2</v>
      </c>
      <c r="J3501" s="67">
        <v>1.4902782258780292E-4</v>
      </c>
      <c r="K3501" s="67">
        <v>1.6150972177412196E-2</v>
      </c>
      <c r="L3501" s="36">
        <f>+K3501-((K3501*0.0006*0.125)+(K3501*(1-0.0006)*0.26))</f>
        <v>1.1953027640031396E-2</v>
      </c>
      <c r="M3501" s="64">
        <f t="shared" si="99"/>
        <v>1.2102055462619199E-2</v>
      </c>
      <c r="N3501" s="33" t="s">
        <v>718</v>
      </c>
    </row>
    <row r="3502" spans="1:14" ht="15">
      <c r="A3502" s="12"/>
      <c r="B3502" s="33" t="s">
        <v>190</v>
      </c>
      <c r="C3502" s="92" t="s">
        <v>740</v>
      </c>
      <c r="D3502" s="33" t="s">
        <v>411</v>
      </c>
      <c r="E3502" s="34">
        <v>46022</v>
      </c>
      <c r="F3502" s="34">
        <v>46024</v>
      </c>
      <c r="G3502" s="34">
        <v>46029</v>
      </c>
      <c r="H3502" s="35">
        <v>5.2499999999999998E-2</v>
      </c>
      <c r="I3502" s="67">
        <v>0.30649999999999999</v>
      </c>
      <c r="J3502" s="67">
        <v>1.1101382956302808E-2</v>
      </c>
      <c r="K3502" s="67">
        <v>0.29539861704369719</v>
      </c>
      <c r="L3502" s="36">
        <f>+K3502-((K3502*0.0006*0.125)+(K3502*(1-0.0006)*0.26))</f>
        <v>0.21861890390031646</v>
      </c>
      <c r="M3502" s="64">
        <f t="shared" si="99"/>
        <v>0.22972028685661927</v>
      </c>
      <c r="N3502" s="33" t="s">
        <v>718</v>
      </c>
    </row>
    <row r="3503" spans="1:14" ht="15">
      <c r="A3503" s="12"/>
      <c r="B3503" s="33" t="s">
        <v>198</v>
      </c>
      <c r="C3503" s="92" t="s">
        <v>741</v>
      </c>
      <c r="D3503" s="33" t="s">
        <v>411</v>
      </c>
      <c r="E3503" s="34">
        <v>46022</v>
      </c>
      <c r="F3503" s="34">
        <v>46024</v>
      </c>
      <c r="G3503" s="34">
        <v>46029</v>
      </c>
      <c r="H3503" s="35">
        <v>5.2499999999999998E-2</v>
      </c>
      <c r="I3503" s="67">
        <v>0.31280000000000002</v>
      </c>
      <c r="J3503" s="67">
        <v>0</v>
      </c>
      <c r="K3503" s="67">
        <v>0.31280000000000002</v>
      </c>
      <c r="L3503" s="36">
        <f>+K3503-((K3503*0.0006*0.125)+(K3503*(1-0.0006)*0.26))</f>
        <v>0.23149733680000001</v>
      </c>
      <c r="M3503" s="64">
        <f t="shared" si="99"/>
        <v>0.23149733680000001</v>
      </c>
      <c r="N3503" s="33" t="s">
        <v>718</v>
      </c>
    </row>
    <row r="3504" spans="1:14" ht="15">
      <c r="A3504" s="12"/>
      <c r="B3504" s="33" t="s">
        <v>313</v>
      </c>
      <c r="C3504" s="92" t="s">
        <v>884</v>
      </c>
      <c r="D3504" s="33" t="s">
        <v>411</v>
      </c>
      <c r="E3504" s="34">
        <v>46022</v>
      </c>
      <c r="F3504" s="34">
        <v>46024</v>
      </c>
      <c r="G3504" s="34">
        <v>46029</v>
      </c>
      <c r="H3504" s="35">
        <v>4.1250000000000002E-2</v>
      </c>
      <c r="I3504" s="67">
        <v>1.3299999999999999E-2</v>
      </c>
      <c r="J3504" s="67">
        <v>1.5985400000000007E-3</v>
      </c>
      <c r="K3504" s="67">
        <v>1.1701459999999999E-2</v>
      </c>
      <c r="L3504" s="36">
        <f>+K3504-((K3504*0.2971*0.125)+(K3504*(1-0.2971)*0.26))</f>
        <v>9.1284084084099978E-3</v>
      </c>
      <c r="M3504" s="64">
        <f t="shared" si="99"/>
        <v>1.0726948408409999E-2</v>
      </c>
      <c r="N3504" s="33" t="s">
        <v>718</v>
      </c>
    </row>
    <row r="3505" spans="1:14" ht="15">
      <c r="A3505" s="12"/>
      <c r="B3505" s="33" t="s">
        <v>298</v>
      </c>
      <c r="C3505" s="92" t="s">
        <v>403</v>
      </c>
      <c r="D3505" s="33" t="s">
        <v>410</v>
      </c>
      <c r="E3505" s="34">
        <v>46022</v>
      </c>
      <c r="F3505" s="34">
        <v>46024</v>
      </c>
      <c r="G3505" s="34">
        <v>46029</v>
      </c>
      <c r="H3505" s="35">
        <v>0.05</v>
      </c>
      <c r="I3505" s="67">
        <v>4.7800000000000002E-2</v>
      </c>
      <c r="J3505" s="67">
        <v>0</v>
      </c>
      <c r="K3505" s="67">
        <v>4.7800000000000002E-2</v>
      </c>
      <c r="L3505" s="36">
        <f>+K3505-((K3505*0.4693*0.125)+(K3505*(1-0.4693)*0.26))</f>
        <v>3.8400392900000004E-2</v>
      </c>
      <c r="M3505" s="64">
        <f t="shared" si="99"/>
        <v>3.8400392900000004E-2</v>
      </c>
      <c r="N3505" s="33" t="s">
        <v>248</v>
      </c>
    </row>
    <row r="3506" spans="1:14" ht="15">
      <c r="A3506" s="12"/>
      <c r="B3506" s="33" t="s">
        <v>181</v>
      </c>
      <c r="C3506" s="92" t="s">
        <v>335</v>
      </c>
      <c r="D3506" s="33" t="s">
        <v>410</v>
      </c>
      <c r="E3506" s="34">
        <v>46022</v>
      </c>
      <c r="F3506" s="34">
        <v>46024</v>
      </c>
      <c r="G3506" s="34">
        <v>46029</v>
      </c>
      <c r="H3506" s="35">
        <v>0.05</v>
      </c>
      <c r="I3506" s="67">
        <v>0.85060000000000002</v>
      </c>
      <c r="J3506" s="67">
        <v>0</v>
      </c>
      <c r="K3506" s="67">
        <v>0.85060000000000002</v>
      </c>
      <c r="L3506" s="36">
        <f>+K3506-((K3506*0.4693*0.125)+(K3506*(1-0.4693)*0.26))</f>
        <v>0.68333418830000003</v>
      </c>
      <c r="M3506" s="64">
        <f t="shared" si="99"/>
        <v>0.68333418830000003</v>
      </c>
      <c r="N3506" s="33" t="s">
        <v>248</v>
      </c>
    </row>
    <row r="3507" spans="1:14" ht="15">
      <c r="A3507" s="12"/>
      <c r="B3507" s="33" t="s">
        <v>201</v>
      </c>
      <c r="C3507" s="92" t="s">
        <v>336</v>
      </c>
      <c r="D3507" s="33" t="s">
        <v>410</v>
      </c>
      <c r="E3507" s="34">
        <v>46022</v>
      </c>
      <c r="F3507" s="34">
        <v>46024</v>
      </c>
      <c r="G3507" s="34">
        <v>46029</v>
      </c>
      <c r="H3507" s="35">
        <v>0.05</v>
      </c>
      <c r="I3507" s="67">
        <v>0.87580000000000002</v>
      </c>
      <c r="J3507" s="67">
        <v>0</v>
      </c>
      <c r="K3507" s="67">
        <v>0.87580000000000002</v>
      </c>
      <c r="L3507" s="36">
        <f>+K3507-((K3507*0.4693*0.125)+(K3507*(1-0.4693)*0.26))</f>
        <v>0.7035787469</v>
      </c>
      <c r="M3507" s="64">
        <f t="shared" si="99"/>
        <v>0.7035787469</v>
      </c>
      <c r="N3507" s="33" t="s">
        <v>248</v>
      </c>
    </row>
    <row r="3508" spans="1:14" ht="15">
      <c r="A3508" s="12"/>
      <c r="B3508" s="33" t="s">
        <v>138</v>
      </c>
      <c r="C3508" s="92" t="s">
        <v>337</v>
      </c>
      <c r="D3508" s="33" t="s">
        <v>410</v>
      </c>
      <c r="E3508" s="34">
        <v>46022</v>
      </c>
      <c r="F3508" s="34">
        <v>46024</v>
      </c>
      <c r="G3508" s="34">
        <v>46029</v>
      </c>
      <c r="H3508" s="35">
        <v>0.05</v>
      </c>
      <c r="I3508" s="67">
        <v>6.83E-2</v>
      </c>
      <c r="J3508" s="67">
        <v>0</v>
      </c>
      <c r="K3508" s="67">
        <v>6.83E-2</v>
      </c>
      <c r="L3508" s="36">
        <f>+K3508-((K3508*0.3726*0.125)+(K3508*(1-0.3726)*0.26))</f>
        <v>5.3977558299999999E-2</v>
      </c>
      <c r="M3508" s="64">
        <f t="shared" si="99"/>
        <v>5.3977558299999999E-2</v>
      </c>
      <c r="N3508" s="33" t="s">
        <v>248</v>
      </c>
    </row>
    <row r="3509" spans="1:14" ht="15">
      <c r="A3509" s="12"/>
      <c r="B3509" s="33" t="s">
        <v>160</v>
      </c>
      <c r="C3509" s="92" t="s">
        <v>338</v>
      </c>
      <c r="D3509" s="33" t="s">
        <v>410</v>
      </c>
      <c r="E3509" s="34">
        <v>46022</v>
      </c>
      <c r="F3509" s="34">
        <v>46024</v>
      </c>
      <c r="G3509" s="34">
        <v>46029</v>
      </c>
      <c r="H3509" s="35">
        <v>0.05</v>
      </c>
      <c r="I3509" s="67">
        <v>6.59E-2</v>
      </c>
      <c r="J3509" s="67">
        <v>4.4397099999999856E-3</v>
      </c>
      <c r="K3509" s="67">
        <v>6.1460290000000015E-2</v>
      </c>
      <c r="L3509" s="36">
        <f>+K3509-((K3509*0.3726*0.125)+(K3509*(1-0.3726)*0.26))</f>
        <v>4.8572128647290012E-2</v>
      </c>
      <c r="M3509" s="64">
        <f t="shared" si="99"/>
        <v>5.3011838647289998E-2</v>
      </c>
      <c r="N3509" s="33" t="s">
        <v>248</v>
      </c>
    </row>
    <row r="3510" spans="1:14" ht="15">
      <c r="A3510" s="12"/>
      <c r="B3510" s="33" t="s">
        <v>300</v>
      </c>
      <c r="C3510" s="92" t="s">
        <v>404</v>
      </c>
      <c r="D3510" s="33" t="s">
        <v>410</v>
      </c>
      <c r="E3510" s="34">
        <v>46022</v>
      </c>
      <c r="F3510" s="34">
        <v>46024</v>
      </c>
      <c r="G3510" s="34">
        <v>46029</v>
      </c>
      <c r="H3510" s="35">
        <v>0.05</v>
      </c>
      <c r="I3510" s="67">
        <v>5.1999999999999998E-2</v>
      </c>
      <c r="J3510" s="67">
        <v>0</v>
      </c>
      <c r="K3510" s="67">
        <v>5.1999999999999998E-2</v>
      </c>
      <c r="L3510" s="36">
        <f>+K3510-((K3510*0.3726*0.125)+(K3510*(1-0.3726)*0.26))</f>
        <v>4.1095651999999996E-2</v>
      </c>
      <c r="M3510" s="64">
        <f t="shared" si="99"/>
        <v>4.1095651999999996E-2</v>
      </c>
      <c r="N3510" s="33" t="s">
        <v>248</v>
      </c>
    </row>
    <row r="3511" spans="1:14" ht="15">
      <c r="A3511" s="12"/>
      <c r="B3511" s="33" t="s">
        <v>142</v>
      </c>
      <c r="C3511" s="92" t="s">
        <v>341</v>
      </c>
      <c r="D3511" s="33" t="s">
        <v>410</v>
      </c>
      <c r="E3511" s="34">
        <v>46022</v>
      </c>
      <c r="F3511" s="34">
        <v>46024</v>
      </c>
      <c r="G3511" s="34">
        <v>46029</v>
      </c>
      <c r="H3511" s="35">
        <v>5.7500000000000002E-2</v>
      </c>
      <c r="I3511" s="67">
        <v>8.5199999999999998E-2</v>
      </c>
      <c r="J3511" s="67">
        <v>0</v>
      </c>
      <c r="K3511" s="67">
        <v>8.5199999999999998E-2</v>
      </c>
      <c r="L3511" s="36">
        <f>+K3511-((K3511*0.0261*0.125)+(K3511*(1-0.0261)*0.26))</f>
        <v>6.3348202199999995E-2</v>
      </c>
      <c r="M3511" s="64">
        <f t="shared" si="99"/>
        <v>6.3348202199999995E-2</v>
      </c>
      <c r="N3511" s="33" t="s">
        <v>248</v>
      </c>
    </row>
    <row r="3512" spans="1:14" ht="15">
      <c r="A3512" s="12"/>
      <c r="B3512" s="33" t="s">
        <v>159</v>
      </c>
      <c r="C3512" s="92" t="s">
        <v>342</v>
      </c>
      <c r="D3512" s="33" t="s">
        <v>410</v>
      </c>
      <c r="E3512" s="34">
        <v>46022</v>
      </c>
      <c r="F3512" s="34">
        <v>46024</v>
      </c>
      <c r="G3512" s="34">
        <v>46029</v>
      </c>
      <c r="H3512" s="35">
        <v>5.7500000000000002E-2</v>
      </c>
      <c r="I3512" s="67">
        <v>8.2900000000000001E-2</v>
      </c>
      <c r="J3512" s="67">
        <v>2.0703899999999914E-3</v>
      </c>
      <c r="K3512" s="67">
        <v>8.082961000000001E-2</v>
      </c>
      <c r="L3512" s="36">
        <f>+K3512-((K3512*0.0261*0.125)+(K3512*(1-0.0261)*0.26))</f>
        <v>6.0098714530835012E-2</v>
      </c>
      <c r="M3512" s="64">
        <f t="shared" si="99"/>
        <v>6.2169104530835004E-2</v>
      </c>
      <c r="N3512" s="33" t="s">
        <v>248</v>
      </c>
    </row>
    <row r="3513" spans="1:14" ht="15">
      <c r="A3513" s="12"/>
      <c r="B3513" s="33" t="s">
        <v>507</v>
      </c>
      <c r="C3513" s="92" t="s">
        <v>508</v>
      </c>
      <c r="D3513" s="33" t="s">
        <v>410</v>
      </c>
      <c r="E3513" s="34">
        <v>46022</v>
      </c>
      <c r="F3513" s="34">
        <v>46024</v>
      </c>
      <c r="G3513" s="34">
        <v>46029</v>
      </c>
      <c r="H3513" s="35">
        <v>5.7500000000000002E-2</v>
      </c>
      <c r="I3513" s="67">
        <v>6.6900000000000001E-2</v>
      </c>
      <c r="J3513" s="67">
        <v>0</v>
      </c>
      <c r="K3513" s="67">
        <v>6.6900000000000001E-2</v>
      </c>
      <c r="L3513" s="36">
        <f>+K3513-((K3513*0.0261*0.125)+(K3513*(1-0.0261)*0.26))</f>
        <v>4.9741722150000001E-2</v>
      </c>
      <c r="M3513" s="64">
        <f t="shared" ref="M3513:M3576" si="100">J3513+L3513</f>
        <v>4.9741722150000001E-2</v>
      </c>
      <c r="N3513" s="33" t="s">
        <v>248</v>
      </c>
    </row>
    <row r="3514" spans="1:14" ht="15">
      <c r="A3514" s="12"/>
      <c r="B3514" s="33" t="s">
        <v>139</v>
      </c>
      <c r="C3514" s="92" t="s">
        <v>344</v>
      </c>
      <c r="D3514" s="33" t="s">
        <v>410</v>
      </c>
      <c r="E3514" s="34">
        <v>46022</v>
      </c>
      <c r="F3514" s="34">
        <v>46024</v>
      </c>
      <c r="G3514" s="34">
        <v>46029</v>
      </c>
      <c r="H3514" s="35">
        <v>0.05</v>
      </c>
      <c r="I3514" s="67">
        <v>4.8599999999999997E-2</v>
      </c>
      <c r="J3514" s="67">
        <v>0</v>
      </c>
      <c r="K3514" s="67">
        <v>4.8599999999999997E-2</v>
      </c>
      <c r="L3514" s="36">
        <f>+K3514-((K3514*0.8353*0.125)+(K3514*(1-0.8353)*0.26))</f>
        <v>4.1444403300000002E-2</v>
      </c>
      <c r="M3514" s="64">
        <f t="shared" si="100"/>
        <v>4.1444403300000002E-2</v>
      </c>
      <c r="N3514" s="33" t="s">
        <v>248</v>
      </c>
    </row>
    <row r="3515" spans="1:14" ht="15">
      <c r="A3515" s="12"/>
      <c r="B3515" s="33" t="s">
        <v>161</v>
      </c>
      <c r="C3515" s="92" t="s">
        <v>345</v>
      </c>
      <c r="D3515" s="33" t="s">
        <v>410</v>
      </c>
      <c r="E3515" s="34">
        <v>46022</v>
      </c>
      <c r="F3515" s="34">
        <v>46024</v>
      </c>
      <c r="G3515" s="34">
        <v>46029</v>
      </c>
      <c r="H3515" s="35">
        <v>0.05</v>
      </c>
      <c r="I3515" s="67">
        <v>4.7300000000000002E-2</v>
      </c>
      <c r="J3515" s="67">
        <v>0</v>
      </c>
      <c r="K3515" s="67">
        <v>4.7300000000000002E-2</v>
      </c>
      <c r="L3515" s="36">
        <f>+K3515-((K3515*0.8353*0.125)+(K3515*(1-0.8353)*0.26))</f>
        <v>4.0335808149999999E-2</v>
      </c>
      <c r="M3515" s="64">
        <f t="shared" si="100"/>
        <v>4.0335808149999999E-2</v>
      </c>
      <c r="N3515" s="33" t="s">
        <v>248</v>
      </c>
    </row>
    <row r="3516" spans="1:14" ht="15">
      <c r="A3516" s="12"/>
      <c r="B3516" s="33" t="s">
        <v>141</v>
      </c>
      <c r="C3516" s="92" t="s">
        <v>348</v>
      </c>
      <c r="D3516" s="33" t="s">
        <v>410</v>
      </c>
      <c r="E3516" s="34">
        <v>46022</v>
      </c>
      <c r="F3516" s="34">
        <v>46024</v>
      </c>
      <c r="G3516" s="34">
        <v>46029</v>
      </c>
      <c r="H3516" s="35">
        <v>0.05</v>
      </c>
      <c r="I3516" s="67">
        <v>4.9599999999999998E-2</v>
      </c>
      <c r="J3516" s="67">
        <v>0</v>
      </c>
      <c r="K3516" s="67">
        <v>4.9599999999999998E-2</v>
      </c>
      <c r="L3516" s="36">
        <f>+K3516-((K3516*0.0653*0.125)+(K3516*(1-0.0653)*0.26))</f>
        <v>3.7141248799999999E-2</v>
      </c>
      <c r="M3516" s="64">
        <f t="shared" si="100"/>
        <v>3.7141248799999999E-2</v>
      </c>
      <c r="N3516" s="33" t="s">
        <v>248</v>
      </c>
    </row>
    <row r="3517" spans="1:14" ht="15">
      <c r="A3517" s="12"/>
      <c r="B3517" s="33" t="s">
        <v>140</v>
      </c>
      <c r="C3517" s="92" t="s">
        <v>349</v>
      </c>
      <c r="D3517" s="33" t="s">
        <v>410</v>
      </c>
      <c r="E3517" s="34">
        <v>46022</v>
      </c>
      <c r="F3517" s="34">
        <v>46024</v>
      </c>
      <c r="G3517" s="34">
        <v>46029</v>
      </c>
      <c r="H3517" s="35">
        <v>0.05</v>
      </c>
      <c r="I3517" s="67">
        <v>6.4699999999999994E-2</v>
      </c>
      <c r="J3517" s="67">
        <v>0</v>
      </c>
      <c r="K3517" s="67">
        <v>6.4699999999999994E-2</v>
      </c>
      <c r="L3517" s="36">
        <f>+K3517-((K3517*0.0653*0.125)+(K3517*(1-0.0653)*0.26))</f>
        <v>4.8448362849999996E-2</v>
      </c>
      <c r="M3517" s="64">
        <f t="shared" si="100"/>
        <v>4.8448362849999996E-2</v>
      </c>
      <c r="N3517" s="33" t="s">
        <v>248</v>
      </c>
    </row>
    <row r="3518" spans="1:14" ht="15">
      <c r="A3518" s="12"/>
      <c r="B3518" s="33" t="s">
        <v>162</v>
      </c>
      <c r="C3518" s="92" t="s">
        <v>350</v>
      </c>
      <c r="D3518" s="33" t="s">
        <v>410</v>
      </c>
      <c r="E3518" s="34">
        <v>46022</v>
      </c>
      <c r="F3518" s="34">
        <v>46024</v>
      </c>
      <c r="G3518" s="34">
        <v>46029</v>
      </c>
      <c r="H3518" s="35">
        <v>0.05</v>
      </c>
      <c r="I3518" s="67">
        <v>6.25E-2</v>
      </c>
      <c r="J3518" s="67">
        <v>0</v>
      </c>
      <c r="K3518" s="67">
        <v>6.25E-2</v>
      </c>
      <c r="L3518" s="36">
        <f>+K3518-((K3518*0.0653*0.125)+(K3518*(1-0.0653)*0.26))</f>
        <v>4.6800968750000005E-2</v>
      </c>
      <c r="M3518" s="64">
        <f t="shared" si="100"/>
        <v>4.6800968750000005E-2</v>
      </c>
      <c r="N3518" s="33" t="s">
        <v>248</v>
      </c>
    </row>
    <row r="3519" spans="1:14" ht="15">
      <c r="A3519" s="12"/>
      <c r="B3519" s="33" t="s">
        <v>302</v>
      </c>
      <c r="C3519" s="92" t="s">
        <v>405</v>
      </c>
      <c r="D3519" s="33" t="s">
        <v>410</v>
      </c>
      <c r="E3519" s="34">
        <v>46022</v>
      </c>
      <c r="F3519" s="34">
        <v>46024</v>
      </c>
      <c r="G3519" s="34">
        <v>46029</v>
      </c>
      <c r="H3519" s="35">
        <v>0.05</v>
      </c>
      <c r="I3519" s="67">
        <v>5.1200000000000002E-2</v>
      </c>
      <c r="J3519" s="67">
        <v>0</v>
      </c>
      <c r="K3519" s="67">
        <v>5.1200000000000002E-2</v>
      </c>
      <c r="L3519" s="36">
        <f>+K3519-((K3519*0.0653*0.125)+(K3519*(1-0.0653)*0.26))</f>
        <v>3.8339353600000001E-2</v>
      </c>
      <c r="M3519" s="64">
        <f t="shared" si="100"/>
        <v>3.8339353600000001E-2</v>
      </c>
      <c r="N3519" s="33" t="s">
        <v>248</v>
      </c>
    </row>
    <row r="3520" spans="1:14" ht="15">
      <c r="A3520" s="12"/>
      <c r="B3520" s="33" t="s">
        <v>303</v>
      </c>
      <c r="C3520" s="92" t="s">
        <v>406</v>
      </c>
      <c r="D3520" s="33" t="s">
        <v>410</v>
      </c>
      <c r="E3520" s="34">
        <v>46022</v>
      </c>
      <c r="F3520" s="34">
        <v>46024</v>
      </c>
      <c r="G3520" s="34">
        <v>46029</v>
      </c>
      <c r="H3520" s="35">
        <v>0.05</v>
      </c>
      <c r="I3520" s="67">
        <v>6.0100000000000001E-2</v>
      </c>
      <c r="J3520" s="67">
        <v>0</v>
      </c>
      <c r="K3520" s="67">
        <v>6.0100000000000001E-2</v>
      </c>
      <c r="L3520" s="36">
        <f>+K3520-((K3520*0.0653*0.125)+(K3520*(1-0.0653)*0.26))</f>
        <v>4.5003811550000002E-2</v>
      </c>
      <c r="M3520" s="64">
        <f t="shared" si="100"/>
        <v>4.5003811550000002E-2</v>
      </c>
      <c r="N3520" s="33" t="s">
        <v>248</v>
      </c>
    </row>
    <row r="3521" spans="1:14" ht="15">
      <c r="A3521" s="12"/>
      <c r="B3521" s="33" t="s">
        <v>143</v>
      </c>
      <c r="C3521" s="92" t="s">
        <v>351</v>
      </c>
      <c r="D3521" s="33" t="s">
        <v>410</v>
      </c>
      <c r="E3521" s="34">
        <v>46022</v>
      </c>
      <c r="F3521" s="34">
        <v>46024</v>
      </c>
      <c r="G3521" s="34">
        <v>46029</v>
      </c>
      <c r="H3521" s="35">
        <v>2.5000000000000001E-2</v>
      </c>
      <c r="I3521" s="67">
        <v>2.75E-2</v>
      </c>
      <c r="J3521" s="67">
        <v>2.6042699999999988E-3</v>
      </c>
      <c r="K3521" s="67">
        <v>2.4895730000000001E-2</v>
      </c>
      <c r="L3521" s="36">
        <f>+K3521-((K3521*0.371*0.125)+(K3521*(1-0.371)*0.26))</f>
        <v>1.9669742837050003E-2</v>
      </c>
      <c r="M3521" s="64">
        <f t="shared" si="100"/>
        <v>2.2274012837050002E-2</v>
      </c>
      <c r="N3521" s="33" t="s">
        <v>248</v>
      </c>
    </row>
    <row r="3522" spans="1:14" ht="15">
      <c r="A3522" s="12"/>
      <c r="B3522" s="33" t="s">
        <v>145</v>
      </c>
      <c r="C3522" s="92" t="s">
        <v>974</v>
      </c>
      <c r="D3522" s="33" t="s">
        <v>410</v>
      </c>
      <c r="E3522" s="34">
        <v>46022</v>
      </c>
      <c r="F3522" s="34">
        <v>46024</v>
      </c>
      <c r="G3522" s="34">
        <v>46029</v>
      </c>
      <c r="H3522" s="35">
        <v>0.03</v>
      </c>
      <c r="I3522" s="67">
        <v>3.4599999999999999E-2</v>
      </c>
      <c r="J3522" s="67">
        <v>0</v>
      </c>
      <c r="K3522" s="67">
        <v>3.4599999999999999E-2</v>
      </c>
      <c r="L3522" s="36">
        <f>+K3522-((K3522*0.0511*0.125)+(K3522*(1-0.0511)*0.26))</f>
        <v>2.5842688099999997E-2</v>
      </c>
      <c r="M3522" s="64">
        <f t="shared" si="100"/>
        <v>2.5842688099999997E-2</v>
      </c>
      <c r="N3522" s="33" t="s">
        <v>248</v>
      </c>
    </row>
    <row r="3523" spans="1:14" ht="15">
      <c r="A3523" s="12"/>
      <c r="B3523" s="33" t="s">
        <v>144</v>
      </c>
      <c r="C3523" s="92" t="s">
        <v>973</v>
      </c>
      <c r="D3523" s="33" t="s">
        <v>410</v>
      </c>
      <c r="E3523" s="34">
        <v>46022</v>
      </c>
      <c r="F3523" s="34">
        <v>46024</v>
      </c>
      <c r="G3523" s="34">
        <v>46029</v>
      </c>
      <c r="H3523" s="35">
        <v>0.02</v>
      </c>
      <c r="I3523" s="67">
        <v>2.1600000000000001E-2</v>
      </c>
      <c r="J3523" s="67">
        <v>3.4999600000000033E-3</v>
      </c>
      <c r="K3523" s="67">
        <v>1.8100039999999998E-2</v>
      </c>
      <c r="L3523" s="36">
        <f>+K3523-((K3523*0.7973*0.125)+(K3523*(1-0.7973)*0.26))</f>
        <v>1.5342236455419999E-2</v>
      </c>
      <c r="M3523" s="64">
        <f t="shared" si="100"/>
        <v>1.8842196455420002E-2</v>
      </c>
      <c r="N3523" s="33" t="s">
        <v>248</v>
      </c>
    </row>
    <row r="3524" spans="1:14" ht="15">
      <c r="A3524" s="12"/>
      <c r="B3524" s="33" t="s">
        <v>148</v>
      </c>
      <c r="C3524" s="92" t="s">
        <v>362</v>
      </c>
      <c r="D3524" s="33" t="s">
        <v>410</v>
      </c>
      <c r="E3524" s="34">
        <v>46022</v>
      </c>
      <c r="F3524" s="34">
        <v>46024</v>
      </c>
      <c r="G3524" s="34">
        <v>46029</v>
      </c>
      <c r="H3524" s="35">
        <v>0.05</v>
      </c>
      <c r="I3524" s="67">
        <v>6.5100000000000005E-2</v>
      </c>
      <c r="J3524" s="67">
        <v>2.6737010548837314E-2</v>
      </c>
      <c r="K3524" s="67">
        <v>3.8362989451162691E-2</v>
      </c>
      <c r="L3524" s="36">
        <f>+K3524-((K3524*0.4847*0.125)+(K3524*(1-0.4847)*0.26))</f>
        <v>3.0898875227102496E-2</v>
      </c>
      <c r="M3524" s="64">
        <f t="shared" si="100"/>
        <v>5.763588577593981E-2</v>
      </c>
      <c r="N3524" s="33" t="s">
        <v>248</v>
      </c>
    </row>
    <row r="3525" spans="1:14" ht="15">
      <c r="A3525" s="12"/>
      <c r="B3525" s="33" t="s">
        <v>200</v>
      </c>
      <c r="C3525" s="92" t="s">
        <v>365</v>
      </c>
      <c r="D3525" s="33" t="s">
        <v>410</v>
      </c>
      <c r="E3525" s="34">
        <v>46022</v>
      </c>
      <c r="F3525" s="34">
        <v>46024</v>
      </c>
      <c r="G3525" s="34">
        <v>46029</v>
      </c>
      <c r="H3525" s="35">
        <v>0.05</v>
      </c>
      <c r="I3525" s="67">
        <v>1.0024</v>
      </c>
      <c r="J3525" s="67">
        <v>0.39393638258945674</v>
      </c>
      <c r="K3525" s="67">
        <v>0.60846361741054322</v>
      </c>
      <c r="L3525" s="36">
        <f>+K3525-((K3525*0.4847*0.125)+(K3525*(1-0.4847)*0.26))</f>
        <v>0.49007758945725216</v>
      </c>
      <c r="M3525" s="64">
        <f t="shared" si="100"/>
        <v>0.88401397204670884</v>
      </c>
      <c r="N3525" s="33" t="s">
        <v>248</v>
      </c>
    </row>
    <row r="3526" spans="1:14" ht="15">
      <c r="A3526" s="12"/>
      <c r="B3526" s="33" t="s">
        <v>173</v>
      </c>
      <c r="C3526" s="92" t="s">
        <v>372</v>
      </c>
      <c r="D3526" s="33" t="s">
        <v>410</v>
      </c>
      <c r="E3526" s="34">
        <v>46022</v>
      </c>
      <c r="F3526" s="34">
        <v>46024</v>
      </c>
      <c r="G3526" s="34">
        <v>46029</v>
      </c>
      <c r="H3526" s="35">
        <v>0.03</v>
      </c>
      <c r="I3526" s="67">
        <v>3.8199999999999998E-2</v>
      </c>
      <c r="J3526" s="67">
        <v>2.0995760000000002E-2</v>
      </c>
      <c r="K3526" s="67">
        <v>1.7204239999999996E-2</v>
      </c>
      <c r="L3526" s="36">
        <f>+K3526-((K3526*0.3864*0.125)+(K3526*(1-0.3864)*0.26))</f>
        <v>1.3628579575359998E-2</v>
      </c>
      <c r="M3526" s="64">
        <f t="shared" si="100"/>
        <v>3.462433957536E-2</v>
      </c>
      <c r="N3526" s="33" t="s">
        <v>248</v>
      </c>
    </row>
    <row r="3527" spans="1:14" ht="15">
      <c r="A3527" s="12"/>
      <c r="B3527" s="33" t="s">
        <v>150</v>
      </c>
      <c r="C3527" s="92" t="s">
        <v>377</v>
      </c>
      <c r="D3527" s="33" t="s">
        <v>410</v>
      </c>
      <c r="E3527" s="34">
        <v>46022</v>
      </c>
      <c r="F3527" s="34">
        <v>46024</v>
      </c>
      <c r="G3527" s="34">
        <v>46029</v>
      </c>
      <c r="H3527" s="35">
        <v>0.05</v>
      </c>
      <c r="I3527" s="67">
        <v>6.54E-2</v>
      </c>
      <c r="J3527" s="67">
        <v>1.4506909999999998E-2</v>
      </c>
      <c r="K3527" s="67">
        <v>5.0893090000000002E-2</v>
      </c>
      <c r="L3527" s="36">
        <f>+K3527-((K3527*0.0325*0.125)+(K3527*(1-0.0325)*0.26))</f>
        <v>3.7884180032375002E-2</v>
      </c>
      <c r="M3527" s="64">
        <f t="shared" si="100"/>
        <v>5.2391090032375E-2</v>
      </c>
      <c r="N3527" s="33" t="s">
        <v>248</v>
      </c>
    </row>
    <row r="3528" spans="1:14" ht="15">
      <c r="A3528" s="12"/>
      <c r="B3528" s="33" t="s">
        <v>510</v>
      </c>
      <c r="C3528" s="92" t="s">
        <v>509</v>
      </c>
      <c r="D3528" s="33" t="s">
        <v>410</v>
      </c>
      <c r="E3528" s="34">
        <v>46022</v>
      </c>
      <c r="F3528" s="34">
        <v>46024</v>
      </c>
      <c r="G3528" s="34">
        <v>46029</v>
      </c>
      <c r="H3528" s="35">
        <v>0.05</v>
      </c>
      <c r="I3528" s="67">
        <v>5.6899999999999999E-2</v>
      </c>
      <c r="J3528" s="67">
        <v>1.5024750000000003E-2</v>
      </c>
      <c r="K3528" s="67">
        <v>4.1875249999999996E-2</v>
      </c>
      <c r="L3528" s="36">
        <f>+K3528-((K3528*0.0325*0.125)+(K3528*(1-0.0325)*0.26))</f>
        <v>3.1171412659374995E-2</v>
      </c>
      <c r="M3528" s="64">
        <f t="shared" si="100"/>
        <v>4.6196162659374998E-2</v>
      </c>
      <c r="N3528" s="33" t="s">
        <v>248</v>
      </c>
    </row>
    <row r="3529" spans="1:14" ht="15">
      <c r="A3529" s="12"/>
      <c r="B3529" s="33" t="s">
        <v>441</v>
      </c>
      <c r="C3529" s="92" t="s">
        <v>978</v>
      </c>
      <c r="D3529" s="33" t="s">
        <v>410</v>
      </c>
      <c r="E3529" s="34">
        <v>46022</v>
      </c>
      <c r="F3529" s="34">
        <v>46024</v>
      </c>
      <c r="G3529" s="34">
        <v>46029</v>
      </c>
      <c r="H3529" s="35">
        <v>0.04</v>
      </c>
      <c r="I3529" s="67">
        <v>0.05</v>
      </c>
      <c r="J3529" s="67">
        <v>0</v>
      </c>
      <c r="K3529" s="67">
        <v>0.05</v>
      </c>
      <c r="L3529" s="36">
        <f>+K3529-((K3529*0.2068*0.125)+(K3529*(1-0.2068)*0.26))</f>
        <v>3.8395900000000004E-2</v>
      </c>
      <c r="M3529" s="64">
        <f t="shared" si="100"/>
        <v>3.8395900000000004E-2</v>
      </c>
      <c r="N3529" s="33" t="s">
        <v>248</v>
      </c>
    </row>
    <row r="3530" spans="1:14" ht="15">
      <c r="A3530" s="12"/>
      <c r="B3530" s="33" t="s">
        <v>440</v>
      </c>
      <c r="C3530" s="92" t="s">
        <v>977</v>
      </c>
      <c r="D3530" s="33" t="s">
        <v>410</v>
      </c>
      <c r="E3530" s="34">
        <v>46022</v>
      </c>
      <c r="F3530" s="34">
        <v>46024</v>
      </c>
      <c r="G3530" s="34">
        <v>46029</v>
      </c>
      <c r="H3530" s="35">
        <v>0.04</v>
      </c>
      <c r="I3530" s="67">
        <v>1</v>
      </c>
      <c r="J3530" s="67">
        <v>0</v>
      </c>
      <c r="K3530" s="67">
        <v>1</v>
      </c>
      <c r="L3530" s="36">
        <f>+K3530-((K3530*0.2068*0.125)+(K3530*(1-0.2068)*0.26))</f>
        <v>0.76791799999999999</v>
      </c>
      <c r="M3530" s="64">
        <f t="shared" si="100"/>
        <v>0.76791799999999999</v>
      </c>
      <c r="N3530" s="33" t="s">
        <v>248</v>
      </c>
    </row>
    <row r="3531" spans="1:14" ht="15">
      <c r="A3531" s="12"/>
      <c r="B3531" s="33" t="s">
        <v>299</v>
      </c>
      <c r="C3531" s="92" t="s">
        <v>517</v>
      </c>
      <c r="D3531" s="33" t="s">
        <v>410</v>
      </c>
      <c r="E3531" s="34">
        <v>46022</v>
      </c>
      <c r="F3531" s="34">
        <v>46024</v>
      </c>
      <c r="G3531" s="34">
        <v>46029</v>
      </c>
      <c r="H3531" s="35">
        <v>0.03</v>
      </c>
      <c r="I3531" s="67">
        <v>3.39E-2</v>
      </c>
      <c r="J3531" s="67">
        <v>2.9990360000000001E-2</v>
      </c>
      <c r="K3531" s="67">
        <v>3.9096400000000007E-3</v>
      </c>
      <c r="L3531" s="36">
        <f>+K3531-((K3531*0.3102*0.125)+(K3531*(1-0.3102)*0.26))</f>
        <v>3.0568575942800007E-3</v>
      </c>
      <c r="M3531" s="64">
        <f t="shared" si="100"/>
        <v>3.3047217594280004E-2</v>
      </c>
      <c r="N3531" s="33" t="s">
        <v>248</v>
      </c>
    </row>
    <row r="3532" spans="1:14" ht="15">
      <c r="A3532" s="12"/>
      <c r="B3532" s="33" t="s">
        <v>182</v>
      </c>
      <c r="C3532" s="92" t="s">
        <v>477</v>
      </c>
      <c r="D3532" s="33" t="s">
        <v>410</v>
      </c>
      <c r="E3532" s="34">
        <v>46022</v>
      </c>
      <c r="F3532" s="34">
        <v>46024</v>
      </c>
      <c r="G3532" s="34">
        <v>46029</v>
      </c>
      <c r="H3532" s="35">
        <v>0.03</v>
      </c>
      <c r="I3532" s="67">
        <v>0.65629999999999999</v>
      </c>
      <c r="J3532" s="67">
        <v>0.62369094000000003</v>
      </c>
      <c r="K3532" s="67">
        <v>3.2609060000000002E-2</v>
      </c>
      <c r="L3532" s="36">
        <f>+K3532-((K3532*0.3102*0.125)+(K3532*(1-0.3102)*0.26))</f>
        <v>2.5496274005620004E-2</v>
      </c>
      <c r="M3532" s="64">
        <f t="shared" si="100"/>
        <v>0.64918721400562007</v>
      </c>
      <c r="N3532" s="33" t="s">
        <v>248</v>
      </c>
    </row>
    <row r="3533" spans="1:14" ht="15">
      <c r="A3533" s="12"/>
      <c r="B3533" s="33" t="s">
        <v>202</v>
      </c>
      <c r="C3533" s="92" t="s">
        <v>478</v>
      </c>
      <c r="D3533" s="33" t="s">
        <v>410</v>
      </c>
      <c r="E3533" s="34">
        <v>46022</v>
      </c>
      <c r="F3533" s="34">
        <v>46024</v>
      </c>
      <c r="G3533" s="34">
        <v>46029</v>
      </c>
      <c r="H3533" s="35">
        <v>0.03</v>
      </c>
      <c r="I3533" s="67">
        <v>0.67789999999999995</v>
      </c>
      <c r="J3533" s="67">
        <v>0.51799332999999992</v>
      </c>
      <c r="K3533" s="67">
        <v>0.15990666999999997</v>
      </c>
      <c r="L3533" s="36">
        <f>+K3533-((K3533*0.3102*0.125)+(K3533*(1-0.3102)*0.26))</f>
        <v>0.12502734741958998</v>
      </c>
      <c r="M3533" s="64">
        <f t="shared" si="100"/>
        <v>0.6430206774195899</v>
      </c>
      <c r="N3533" s="33" t="s">
        <v>248</v>
      </c>
    </row>
    <row r="3534" spans="1:14" ht="15">
      <c r="A3534" s="12"/>
      <c r="B3534" s="33" t="s">
        <v>146</v>
      </c>
      <c r="C3534" s="92" t="s">
        <v>380</v>
      </c>
      <c r="D3534" s="33" t="s">
        <v>410</v>
      </c>
      <c r="E3534" s="34">
        <v>46022</v>
      </c>
      <c r="F3534" s="34">
        <v>46024</v>
      </c>
      <c r="G3534" s="34">
        <v>46029</v>
      </c>
      <c r="H3534" s="35">
        <v>4.4999999999999998E-2</v>
      </c>
      <c r="I3534" s="67">
        <v>6.3500000000000001E-2</v>
      </c>
      <c r="J3534" s="67">
        <v>7.2797200000000034E-3</v>
      </c>
      <c r="K3534" s="67">
        <v>5.6220279999999997E-2</v>
      </c>
      <c r="L3534" s="36">
        <f>+K3534-((K3534*0.0306*0.125)+(K3534*(1-0.0306)*0.26))</f>
        <v>4.1835253176679993E-2</v>
      </c>
      <c r="M3534" s="64">
        <f t="shared" si="100"/>
        <v>4.9114973176679996E-2</v>
      </c>
      <c r="N3534" s="33" t="s">
        <v>248</v>
      </c>
    </row>
    <row r="3535" spans="1:14" ht="15">
      <c r="A3535" s="12"/>
      <c r="B3535" s="33" t="s">
        <v>163</v>
      </c>
      <c r="C3535" s="92" t="s">
        <v>381</v>
      </c>
      <c r="D3535" s="33" t="s">
        <v>410</v>
      </c>
      <c r="E3535" s="34">
        <v>46022</v>
      </c>
      <c r="F3535" s="34">
        <v>46024</v>
      </c>
      <c r="G3535" s="34">
        <v>46029</v>
      </c>
      <c r="H3535" s="35">
        <v>4.4999999999999998E-2</v>
      </c>
      <c r="I3535" s="67">
        <v>5.5899999999999998E-2</v>
      </c>
      <c r="J3535" s="67">
        <v>1.2629910000000001E-2</v>
      </c>
      <c r="K3535" s="67">
        <v>4.3270089999999997E-2</v>
      </c>
      <c r="L3535" s="36">
        <f>+K3535-((K3535*0.0306*0.125)+(K3535*(1-0.0306)*0.26))</f>
        <v>3.2198615341789999E-2</v>
      </c>
      <c r="M3535" s="64">
        <f t="shared" si="100"/>
        <v>4.482852534179E-2</v>
      </c>
      <c r="N3535" s="33" t="s">
        <v>248</v>
      </c>
    </row>
    <row r="3536" spans="1:14" ht="15">
      <c r="A3536" s="12"/>
      <c r="B3536" s="33" t="s">
        <v>151</v>
      </c>
      <c r="C3536" s="92" t="s">
        <v>383</v>
      </c>
      <c r="D3536" s="33" t="s">
        <v>410</v>
      </c>
      <c r="E3536" s="34">
        <v>46022</v>
      </c>
      <c r="F3536" s="34">
        <v>46024</v>
      </c>
      <c r="G3536" s="34">
        <v>46029</v>
      </c>
      <c r="H3536" s="35">
        <v>4.4999999999999998E-2</v>
      </c>
      <c r="I3536" s="67">
        <v>5.1700000000000003E-2</v>
      </c>
      <c r="J3536" s="67">
        <v>0</v>
      </c>
      <c r="K3536" s="67">
        <v>5.1700000000000003E-2</v>
      </c>
      <c r="L3536" s="36">
        <f>+K3536-((K3536*0.0374*0.125)+(K3536*(1-0.0374)*0.26))</f>
        <v>3.8519033299999998E-2</v>
      </c>
      <c r="M3536" s="64">
        <f t="shared" si="100"/>
        <v>3.8519033299999998E-2</v>
      </c>
      <c r="N3536" s="33" t="s">
        <v>248</v>
      </c>
    </row>
    <row r="3537" spans="1:14" ht="15">
      <c r="A3537" s="12"/>
      <c r="B3537" s="33" t="s">
        <v>166</v>
      </c>
      <c r="C3537" s="92" t="s">
        <v>384</v>
      </c>
      <c r="D3537" s="33" t="s">
        <v>410</v>
      </c>
      <c r="E3537" s="34">
        <v>46022</v>
      </c>
      <c r="F3537" s="34">
        <v>46024</v>
      </c>
      <c r="G3537" s="34">
        <v>46029</v>
      </c>
      <c r="H3537" s="35">
        <v>4.4999999999999998E-2</v>
      </c>
      <c r="I3537" s="67">
        <v>5.04E-2</v>
      </c>
      <c r="J3537" s="67">
        <v>2.5878299999999924E-3</v>
      </c>
      <c r="K3537" s="67">
        <v>4.7812170000000008E-2</v>
      </c>
      <c r="L3537" s="36">
        <f>+K3537-((K3537*0.0374*0.125)+(K3537*(1-0.0374)*0.26))</f>
        <v>3.5622409446330008E-2</v>
      </c>
      <c r="M3537" s="64">
        <f t="shared" si="100"/>
        <v>3.8210239446330001E-2</v>
      </c>
      <c r="N3537" s="33" t="s">
        <v>248</v>
      </c>
    </row>
    <row r="3538" spans="1:14" ht="15">
      <c r="A3538" s="12"/>
      <c r="B3538" s="33" t="s">
        <v>149</v>
      </c>
      <c r="C3538" s="92" t="s">
        <v>386</v>
      </c>
      <c r="D3538" s="33" t="s">
        <v>410</v>
      </c>
      <c r="E3538" s="34">
        <v>46022</v>
      </c>
      <c r="F3538" s="34">
        <v>46024</v>
      </c>
      <c r="G3538" s="34">
        <v>46029</v>
      </c>
      <c r="H3538" s="35">
        <v>5.2499999999999998E-2</v>
      </c>
      <c r="I3538" s="67">
        <v>7.2300000000000003E-2</v>
      </c>
      <c r="J3538" s="67">
        <v>1.0067749999999986E-2</v>
      </c>
      <c r="K3538" s="67">
        <v>6.2232250000000017E-2</v>
      </c>
      <c r="L3538" s="36">
        <f>+K3538-((K3538*0.0338*0.125)+(K3538*(1-0.0338)*0.26))</f>
        <v>4.6335830756750011E-2</v>
      </c>
      <c r="M3538" s="64">
        <f t="shared" si="100"/>
        <v>5.6403580756749998E-2</v>
      </c>
      <c r="N3538" s="33" t="s">
        <v>248</v>
      </c>
    </row>
    <row r="3539" spans="1:14" ht="15">
      <c r="A3539" s="12"/>
      <c r="B3539" s="33" t="s">
        <v>165</v>
      </c>
      <c r="C3539" s="92" t="s">
        <v>387</v>
      </c>
      <c r="D3539" s="33" t="s">
        <v>410</v>
      </c>
      <c r="E3539" s="34">
        <v>46022</v>
      </c>
      <c r="F3539" s="34">
        <v>46024</v>
      </c>
      <c r="G3539" s="34">
        <v>46029</v>
      </c>
      <c r="H3539" s="35">
        <v>5.2499999999999998E-2</v>
      </c>
      <c r="I3539" s="67">
        <v>6.6299999999999998E-2</v>
      </c>
      <c r="J3539" s="67">
        <v>1.5169300000000004E-2</v>
      </c>
      <c r="K3539" s="67">
        <v>5.1130699999999994E-2</v>
      </c>
      <c r="L3539" s="36">
        <f>+K3539-((K3539*0.0338*0.125)+(K3539*(1-0.0338)*0.26))</f>
        <v>3.8070027384099994E-2</v>
      </c>
      <c r="M3539" s="64">
        <f t="shared" si="100"/>
        <v>5.3239327384099998E-2</v>
      </c>
      <c r="N3539" s="33" t="s">
        <v>248</v>
      </c>
    </row>
    <row r="3540" spans="1:14" ht="15">
      <c r="A3540" s="12"/>
      <c r="B3540" s="33" t="s">
        <v>153</v>
      </c>
      <c r="C3540" s="92" t="s">
        <v>873</v>
      </c>
      <c r="D3540" s="33" t="s">
        <v>410</v>
      </c>
      <c r="E3540" s="34">
        <v>46022</v>
      </c>
      <c r="F3540" s="34">
        <v>46024</v>
      </c>
      <c r="G3540" s="34">
        <v>46029</v>
      </c>
      <c r="H3540" s="35">
        <v>4.8750000000000002E-2</v>
      </c>
      <c r="I3540" s="67">
        <v>4.7800000000000002E-2</v>
      </c>
      <c r="J3540" s="67">
        <v>2.920610000000004E-3</v>
      </c>
      <c r="K3540" s="67">
        <v>4.4879389999999998E-2</v>
      </c>
      <c r="L3540" s="36">
        <f>+K3540-((K3540*0.1776*0.125)+(K3540*(1-0.1776)*0.26))</f>
        <v>3.4286776854639996E-2</v>
      </c>
      <c r="M3540" s="64">
        <f t="shared" si="100"/>
        <v>3.720738685464E-2</v>
      </c>
      <c r="N3540" s="33" t="s">
        <v>248</v>
      </c>
    </row>
    <row r="3541" spans="1:14" ht="15">
      <c r="A3541" s="12"/>
      <c r="B3541" s="33" t="s">
        <v>152</v>
      </c>
      <c r="C3541" s="92" t="s">
        <v>874</v>
      </c>
      <c r="D3541" s="33" t="s">
        <v>410</v>
      </c>
      <c r="E3541" s="34">
        <v>46022</v>
      </c>
      <c r="F3541" s="34">
        <v>46024</v>
      </c>
      <c r="G3541" s="34">
        <v>46029</v>
      </c>
      <c r="H3541" s="35">
        <v>4.8750000000000002E-2</v>
      </c>
      <c r="I3541" s="67">
        <v>7.6499999999999999E-2</v>
      </c>
      <c r="J3541" s="67">
        <v>1.1403040000000003E-2</v>
      </c>
      <c r="K3541" s="67">
        <v>6.5096959999999995E-2</v>
      </c>
      <c r="L3541" s="36">
        <f>+K3541-((K3541*0.1776*0.125)+(K3541*(1-0.1776)*0.26))</f>
        <v>4.9732515112959993E-2</v>
      </c>
      <c r="M3541" s="64">
        <f t="shared" si="100"/>
        <v>6.1135555112959997E-2</v>
      </c>
      <c r="N3541" s="33" t="s">
        <v>248</v>
      </c>
    </row>
    <row r="3542" spans="1:14" ht="15">
      <c r="A3542" s="12"/>
      <c r="B3542" s="33" t="s">
        <v>167</v>
      </c>
      <c r="C3542" s="92" t="s">
        <v>875</v>
      </c>
      <c r="D3542" s="33" t="s">
        <v>410</v>
      </c>
      <c r="E3542" s="34">
        <v>46022</v>
      </c>
      <c r="F3542" s="34">
        <v>46024</v>
      </c>
      <c r="G3542" s="34">
        <v>46029</v>
      </c>
      <c r="H3542" s="35">
        <v>4.8750000000000002E-2</v>
      </c>
      <c r="I3542" s="67">
        <v>7.17E-2</v>
      </c>
      <c r="J3542" s="67">
        <v>1.7823200000000011E-2</v>
      </c>
      <c r="K3542" s="67">
        <v>5.3876799999999989E-2</v>
      </c>
      <c r="L3542" s="36">
        <f>+K3542-((K3542*0.1776*0.125)+(K3542*(1-0.1776)*0.26))</f>
        <v>4.1160582156799991E-2</v>
      </c>
      <c r="M3542" s="64">
        <f t="shared" si="100"/>
        <v>5.8983782156800002E-2</v>
      </c>
      <c r="N3542" s="33" t="s">
        <v>248</v>
      </c>
    </row>
    <row r="3543" spans="1:14" ht="15">
      <c r="A3543" s="12"/>
      <c r="B3543" s="33" t="s">
        <v>301</v>
      </c>
      <c r="C3543" s="92" t="s">
        <v>876</v>
      </c>
      <c r="D3543" s="33" t="s">
        <v>410</v>
      </c>
      <c r="E3543" s="34">
        <v>46022</v>
      </c>
      <c r="F3543" s="34">
        <v>46024</v>
      </c>
      <c r="G3543" s="34">
        <v>46029</v>
      </c>
      <c r="H3543" s="35">
        <v>4.8750000000000002E-2</v>
      </c>
      <c r="I3543" s="67">
        <v>5.6899999999999999E-2</v>
      </c>
      <c r="J3543" s="67">
        <v>1.0866850000000004E-2</v>
      </c>
      <c r="K3543" s="67">
        <v>4.6033149999999995E-2</v>
      </c>
      <c r="L3543" s="36">
        <f>+K3543-((K3543*0.1776*0.125)+(K3543*(1-0.1776)*0.26))</f>
        <v>3.5168221804399991E-2</v>
      </c>
      <c r="M3543" s="64">
        <f t="shared" si="100"/>
        <v>4.6035071804399995E-2</v>
      </c>
      <c r="N3543" s="33" t="s">
        <v>248</v>
      </c>
    </row>
    <row r="3544" spans="1:14" ht="15">
      <c r="A3544" s="12"/>
      <c r="B3544" s="33" t="s">
        <v>304</v>
      </c>
      <c r="C3544" s="92" t="s">
        <v>885</v>
      </c>
      <c r="D3544" s="33" t="s">
        <v>410</v>
      </c>
      <c r="E3544" s="34">
        <v>46022</v>
      </c>
      <c r="F3544" s="34">
        <v>46024</v>
      </c>
      <c r="G3544" s="34">
        <v>46029</v>
      </c>
      <c r="H3544" s="35">
        <v>4.1250000000000002E-2</v>
      </c>
      <c r="I3544" s="67">
        <v>3.9100000000000003E-2</v>
      </c>
      <c r="J3544" s="67">
        <v>8.219940000000002E-3</v>
      </c>
      <c r="K3544" s="67">
        <v>3.0880060000000001E-2</v>
      </c>
      <c r="L3544" s="36">
        <f>+K3544-((K3544*0.2971*0.125)+(K3544*(1-0.2971)*0.26))</f>
        <v>2.4089797286509999E-2</v>
      </c>
      <c r="M3544" s="64">
        <f t="shared" si="100"/>
        <v>3.2309737286510001E-2</v>
      </c>
      <c r="N3544" s="33" t="s">
        <v>248</v>
      </c>
    </row>
    <row r="3545" spans="1:14" ht="15">
      <c r="A3545" s="12"/>
      <c r="B3545" s="33" t="s">
        <v>183</v>
      </c>
      <c r="C3545" s="92" t="s">
        <v>886</v>
      </c>
      <c r="D3545" s="33" t="s">
        <v>410</v>
      </c>
      <c r="E3545" s="34">
        <v>46022</v>
      </c>
      <c r="F3545" s="34">
        <v>46024</v>
      </c>
      <c r="G3545" s="34">
        <v>46029</v>
      </c>
      <c r="H3545" s="35">
        <v>4.1250000000000002E-2</v>
      </c>
      <c r="I3545" s="67">
        <v>3.9E-2</v>
      </c>
      <c r="J3545" s="67">
        <v>9.6746900000000031E-3</v>
      </c>
      <c r="K3545" s="67">
        <v>2.9325309999999997E-2</v>
      </c>
      <c r="L3545" s="36">
        <f>+K3545-((K3545*0.2971*0.125)+(K3545*(1-0.2971)*0.26))</f>
        <v>2.2876923596134996E-2</v>
      </c>
      <c r="M3545" s="64">
        <f t="shared" si="100"/>
        <v>3.2551613596134996E-2</v>
      </c>
      <c r="N3545" s="33" t="s">
        <v>248</v>
      </c>
    </row>
    <row r="3546" spans="1:14" ht="15">
      <c r="A3546" s="12"/>
      <c r="B3546" s="33" t="s">
        <v>305</v>
      </c>
      <c r="C3546" s="92" t="s">
        <v>887</v>
      </c>
      <c r="D3546" s="33" t="s">
        <v>410</v>
      </c>
      <c r="E3546" s="34">
        <v>46022</v>
      </c>
      <c r="F3546" s="34">
        <v>46024</v>
      </c>
      <c r="G3546" s="34">
        <v>46029</v>
      </c>
      <c r="H3546" s="35">
        <v>4.1250000000000002E-2</v>
      </c>
      <c r="I3546" s="67">
        <v>3.9899999999999998E-2</v>
      </c>
      <c r="J3546" s="67">
        <v>5.413359999999999E-3</v>
      </c>
      <c r="K3546" s="67">
        <v>3.4486639999999999E-2</v>
      </c>
      <c r="L3546" s="36">
        <f>+K3546-((K3546*0.2971*0.125)+(K3546*(1-0.2971)*0.26))</f>
        <v>2.6903321000439996E-2</v>
      </c>
      <c r="M3546" s="64">
        <f t="shared" si="100"/>
        <v>3.2316681000439995E-2</v>
      </c>
      <c r="N3546" s="33" t="s">
        <v>248</v>
      </c>
    </row>
    <row r="3547" spans="1:14" ht="15">
      <c r="A3547" s="12"/>
      <c r="B3547" s="33" t="s">
        <v>147</v>
      </c>
      <c r="C3547" s="92" t="s">
        <v>466</v>
      </c>
      <c r="D3547" s="33" t="s">
        <v>410</v>
      </c>
      <c r="E3547" s="34">
        <v>46022</v>
      </c>
      <c r="F3547" s="34">
        <v>46024</v>
      </c>
      <c r="G3547" s="34">
        <v>46029</v>
      </c>
      <c r="H3547" s="35">
        <v>0.05</v>
      </c>
      <c r="I3547" s="67">
        <v>6.1400000000000003E-2</v>
      </c>
      <c r="J3547" s="67">
        <v>0</v>
      </c>
      <c r="K3547" s="67">
        <v>6.1400000000000003E-2</v>
      </c>
      <c r="L3547" s="36">
        <f>+K3547-((K3547*0.0611*0.125)+(K3547*(1-0.0611)*0.26))</f>
        <v>4.5942457900000004E-2</v>
      </c>
      <c r="M3547" s="64">
        <f t="shared" si="100"/>
        <v>4.5942457900000004E-2</v>
      </c>
      <c r="N3547" s="33" t="s">
        <v>248</v>
      </c>
    </row>
    <row r="3548" spans="1:14" ht="15">
      <c r="A3548" s="12"/>
      <c r="B3548" s="33" t="s">
        <v>164</v>
      </c>
      <c r="C3548" s="92" t="s">
        <v>467</v>
      </c>
      <c r="D3548" s="33" t="s">
        <v>410</v>
      </c>
      <c r="E3548" s="34">
        <v>46022</v>
      </c>
      <c r="F3548" s="34">
        <v>46024</v>
      </c>
      <c r="G3548" s="34">
        <v>46029</v>
      </c>
      <c r="H3548" s="35">
        <v>0.05</v>
      </c>
      <c r="I3548" s="67">
        <v>5.6599999999999998E-2</v>
      </c>
      <c r="J3548" s="67">
        <v>0</v>
      </c>
      <c r="K3548" s="67">
        <v>5.6599999999999998E-2</v>
      </c>
      <c r="L3548" s="36">
        <f>+K3548-((K3548*0.0611*0.125)+(K3548*(1-0.0611)*0.26))</f>
        <v>4.2350865099999996E-2</v>
      </c>
      <c r="M3548" s="64">
        <f t="shared" si="100"/>
        <v>4.2350865099999996E-2</v>
      </c>
      <c r="N3548" s="33" t="s">
        <v>248</v>
      </c>
    </row>
    <row r="3549" spans="1:14" ht="15">
      <c r="A3549" s="12"/>
      <c r="B3549" s="33" t="s">
        <v>1006</v>
      </c>
      <c r="C3549" s="92" t="s">
        <v>1014</v>
      </c>
      <c r="D3549" s="33" t="s">
        <v>410</v>
      </c>
      <c r="E3549" s="34">
        <v>46022</v>
      </c>
      <c r="F3549" s="34">
        <v>46024</v>
      </c>
      <c r="G3549" s="34">
        <v>46029</v>
      </c>
      <c r="H3549" s="35"/>
      <c r="I3549" s="67">
        <v>0</v>
      </c>
      <c r="J3549" s="67">
        <v>0</v>
      </c>
      <c r="K3549" s="67">
        <v>0</v>
      </c>
      <c r="L3549" s="36">
        <f t="shared" ref="L3549:L3554" si="101">+K3549-((K3549*0.000001*0.125)+(K3549*(1-0.000001)*0.26))</f>
        <v>0</v>
      </c>
      <c r="M3549" s="64">
        <f t="shared" si="100"/>
        <v>0</v>
      </c>
      <c r="N3549" s="33" t="s">
        <v>248</v>
      </c>
    </row>
    <row r="3550" spans="1:14" ht="15">
      <c r="A3550" s="12"/>
      <c r="B3550" s="33" t="s">
        <v>1007</v>
      </c>
      <c r="C3550" s="92" t="s">
        <v>1015</v>
      </c>
      <c r="D3550" s="33" t="s">
        <v>410</v>
      </c>
      <c r="E3550" s="34">
        <v>46022</v>
      </c>
      <c r="F3550" s="34">
        <v>46024</v>
      </c>
      <c r="G3550" s="34">
        <v>46029</v>
      </c>
      <c r="H3550" s="35"/>
      <c r="I3550" s="67">
        <v>0</v>
      </c>
      <c r="J3550" s="67">
        <v>0</v>
      </c>
      <c r="K3550" s="67">
        <v>0</v>
      </c>
      <c r="L3550" s="36">
        <f t="shared" si="101"/>
        <v>0</v>
      </c>
      <c r="M3550" s="64">
        <f t="shared" si="100"/>
        <v>0</v>
      </c>
      <c r="N3550" s="33" t="s">
        <v>248</v>
      </c>
    </row>
    <row r="3551" spans="1:14" ht="15">
      <c r="A3551" s="12"/>
      <c r="B3551" s="33" t="s">
        <v>1008</v>
      </c>
      <c r="C3551" s="92" t="s">
        <v>1016</v>
      </c>
      <c r="D3551" s="33" t="s">
        <v>410</v>
      </c>
      <c r="E3551" s="34">
        <v>46022</v>
      </c>
      <c r="F3551" s="34">
        <v>46024</v>
      </c>
      <c r="G3551" s="34">
        <v>46029</v>
      </c>
      <c r="H3551" s="35"/>
      <c r="I3551" s="67">
        <v>0</v>
      </c>
      <c r="J3551" s="67">
        <v>0</v>
      </c>
      <c r="K3551" s="67">
        <v>0</v>
      </c>
      <c r="L3551" s="36">
        <f t="shared" si="101"/>
        <v>0</v>
      </c>
      <c r="M3551" s="64">
        <f t="shared" si="100"/>
        <v>0</v>
      </c>
      <c r="N3551" s="33" t="s">
        <v>248</v>
      </c>
    </row>
    <row r="3552" spans="1:14" ht="15">
      <c r="A3552" s="12"/>
      <c r="B3552" s="33" t="s">
        <v>1009</v>
      </c>
      <c r="C3552" s="92" t="s">
        <v>1017</v>
      </c>
      <c r="D3552" s="33" t="s">
        <v>410</v>
      </c>
      <c r="E3552" s="34">
        <v>46022</v>
      </c>
      <c r="F3552" s="34">
        <v>46024</v>
      </c>
      <c r="G3552" s="34">
        <v>46029</v>
      </c>
      <c r="H3552" s="35"/>
      <c r="I3552" s="67">
        <v>8.1299999999999997E-2</v>
      </c>
      <c r="J3552" s="67">
        <v>3.8360798501648891E-2</v>
      </c>
      <c r="K3552" s="67">
        <v>4.2939201498351107E-2</v>
      </c>
      <c r="L3552" s="36">
        <f t="shared" si="101"/>
        <v>3.1775014905572024E-2</v>
      </c>
      <c r="M3552" s="64">
        <f t="shared" si="100"/>
        <v>7.0135813407220915E-2</v>
      </c>
      <c r="N3552" s="33" t="s">
        <v>248</v>
      </c>
    </row>
    <row r="3553" spans="1:14" ht="15">
      <c r="A3553" s="12"/>
      <c r="B3553" s="33" t="s">
        <v>1010</v>
      </c>
      <c r="C3553" s="92" t="s">
        <v>1018</v>
      </c>
      <c r="D3553" s="33" t="s">
        <v>410</v>
      </c>
      <c r="E3553" s="34">
        <v>46022</v>
      </c>
      <c r="F3553" s="34">
        <v>46024</v>
      </c>
      <c r="G3553" s="34">
        <v>46029</v>
      </c>
      <c r="H3553" s="35" t="s">
        <v>856</v>
      </c>
      <c r="I3553" s="67">
        <v>0</v>
      </c>
      <c r="J3553" s="67">
        <v>0</v>
      </c>
      <c r="K3553" s="67">
        <v>0</v>
      </c>
      <c r="L3553" s="36">
        <f t="shared" si="101"/>
        <v>0</v>
      </c>
      <c r="M3553" s="64">
        <f t="shared" si="100"/>
        <v>0</v>
      </c>
      <c r="N3553" s="33" t="s">
        <v>248</v>
      </c>
    </row>
    <row r="3554" spans="1:14" ht="15">
      <c r="A3554" s="12"/>
      <c r="B3554" s="33" t="s">
        <v>1011</v>
      </c>
      <c r="C3554" s="92" t="s">
        <v>1019</v>
      </c>
      <c r="D3554" s="33" t="s">
        <v>410</v>
      </c>
      <c r="E3554" s="34">
        <v>46022</v>
      </c>
      <c r="F3554" s="34">
        <v>46024</v>
      </c>
      <c r="G3554" s="34">
        <v>46029</v>
      </c>
      <c r="H3554" s="35" t="s">
        <v>856</v>
      </c>
      <c r="I3554" s="67">
        <v>0</v>
      </c>
      <c r="J3554" s="67">
        <v>0</v>
      </c>
      <c r="K3554" s="67">
        <v>0</v>
      </c>
      <c r="L3554" s="36">
        <f t="shared" si="101"/>
        <v>0</v>
      </c>
      <c r="M3554" s="64">
        <f t="shared" si="100"/>
        <v>0</v>
      </c>
      <c r="N3554" s="33" t="s">
        <v>248</v>
      </c>
    </row>
    <row r="3555" spans="1:14" ht="23.25" customHeight="1">
      <c r="B3555" s="109" t="s">
        <v>479</v>
      </c>
      <c r="C3555" s="110" t="s">
        <v>481</v>
      </c>
      <c r="D3555" s="109" t="s">
        <v>412</v>
      </c>
      <c r="E3555" s="116">
        <v>46048</v>
      </c>
      <c r="F3555" s="116">
        <v>46049</v>
      </c>
      <c r="G3555" s="116">
        <v>46052</v>
      </c>
      <c r="H3555" s="112"/>
      <c r="I3555" s="113"/>
      <c r="J3555" s="113"/>
      <c r="K3555" s="113"/>
      <c r="L3555" s="107">
        <f>+K3555-((K3555*0.1483*0.125)+(K3555*(1-0.1483)*0.26))</f>
        <v>0</v>
      </c>
      <c r="M3555" s="114">
        <f t="shared" si="100"/>
        <v>0</v>
      </c>
      <c r="N3555" s="109" t="s">
        <v>495</v>
      </c>
    </row>
    <row r="3556" spans="1:14" ht="23.25" customHeight="1">
      <c r="B3556" s="109" t="s">
        <v>480</v>
      </c>
      <c r="C3556" s="110" t="s">
        <v>482</v>
      </c>
      <c r="D3556" s="109" t="s">
        <v>412</v>
      </c>
      <c r="E3556" s="116">
        <v>46048</v>
      </c>
      <c r="F3556" s="116">
        <v>46049</v>
      </c>
      <c r="G3556" s="116">
        <v>46052</v>
      </c>
      <c r="H3556" s="112"/>
      <c r="I3556" s="113"/>
      <c r="J3556" s="113"/>
      <c r="K3556" s="113"/>
      <c r="L3556" s="107">
        <f>+K3556-((K3556*0.1483*0.125)+(K3556*(1-0.1483)*0.26))</f>
        <v>0</v>
      </c>
      <c r="M3556" s="114">
        <f t="shared" si="100"/>
        <v>0</v>
      </c>
      <c r="N3556" s="109" t="s">
        <v>495</v>
      </c>
    </row>
    <row r="3557" spans="1:14" ht="23.25" customHeight="1">
      <c r="B3557" s="109" t="s">
        <v>132</v>
      </c>
      <c r="C3557" s="110" t="s">
        <v>358</v>
      </c>
      <c r="D3557" s="109" t="s">
        <v>410</v>
      </c>
      <c r="E3557" s="116">
        <v>46048</v>
      </c>
      <c r="F3557" s="116">
        <v>46049</v>
      </c>
      <c r="G3557" s="116">
        <v>46052</v>
      </c>
      <c r="H3557" s="112"/>
      <c r="I3557" s="113"/>
      <c r="J3557" s="113"/>
      <c r="K3557" s="113"/>
      <c r="L3557" s="107">
        <f>+K3557-((K3557*0.2741*0.125)+(K3557*(1-0.2741)*0.26))</f>
        <v>0</v>
      </c>
      <c r="M3557" s="114">
        <f t="shared" si="100"/>
        <v>0</v>
      </c>
      <c r="N3557" s="109" t="s">
        <v>249</v>
      </c>
    </row>
    <row r="3558" spans="1:14" ht="23.25" customHeight="1">
      <c r="B3558" s="109" t="s">
        <v>227</v>
      </c>
      <c r="C3558" s="110" t="s">
        <v>359</v>
      </c>
      <c r="D3558" s="109" t="s">
        <v>410</v>
      </c>
      <c r="E3558" s="116">
        <v>46048</v>
      </c>
      <c r="F3558" s="116">
        <v>46049</v>
      </c>
      <c r="G3558" s="116">
        <v>46052</v>
      </c>
      <c r="H3558" s="112"/>
      <c r="I3558" s="113"/>
      <c r="J3558" s="113"/>
      <c r="K3558" s="113"/>
      <c r="L3558" s="107">
        <f>+K3558-((K3558*0.2741*0.125)+(K3558*(1-0.2741)*0.26))</f>
        <v>0</v>
      </c>
      <c r="M3558" s="114">
        <f t="shared" si="100"/>
        <v>0</v>
      </c>
      <c r="N3558" s="109" t="s">
        <v>249</v>
      </c>
    </row>
    <row r="3559" spans="1:14" ht="23.25" customHeight="1">
      <c r="B3559" s="109" t="s">
        <v>133</v>
      </c>
      <c r="C3559" s="110" t="s">
        <v>979</v>
      </c>
      <c r="D3559" s="109" t="s">
        <v>410</v>
      </c>
      <c r="E3559" s="116">
        <v>46048</v>
      </c>
      <c r="F3559" s="116">
        <v>46049</v>
      </c>
      <c r="G3559" s="116">
        <v>46052</v>
      </c>
      <c r="H3559" s="112"/>
      <c r="I3559" s="113"/>
      <c r="J3559" s="113"/>
      <c r="K3559" s="113"/>
      <c r="L3559" s="107">
        <f>+K3559-((K3559*0.002*0.125)+(K3559*(1-0.002)*0.26))</f>
        <v>0</v>
      </c>
      <c r="M3559" s="114">
        <f t="shared" si="100"/>
        <v>0</v>
      </c>
      <c r="N3559" s="109" t="s">
        <v>249</v>
      </c>
    </row>
    <row r="3560" spans="1:14" ht="23.25" customHeight="1">
      <c r="B3560" s="109" t="s">
        <v>134</v>
      </c>
      <c r="C3560" s="110" t="s">
        <v>374</v>
      </c>
      <c r="D3560" s="109" t="s">
        <v>410</v>
      </c>
      <c r="E3560" s="116">
        <v>46048</v>
      </c>
      <c r="F3560" s="116">
        <v>46049</v>
      </c>
      <c r="G3560" s="116">
        <v>46052</v>
      </c>
      <c r="H3560" s="182"/>
      <c r="I3560" s="113"/>
      <c r="J3560" s="113"/>
      <c r="K3560" s="113"/>
      <c r="L3560" s="107">
        <f>+K3560-((K3560*0.3662*0.125)+(K3560*(1-0.3662)*0.26))</f>
        <v>0</v>
      </c>
      <c r="M3560" s="114">
        <f t="shared" si="100"/>
        <v>0</v>
      </c>
      <c r="N3560" s="109" t="s">
        <v>249</v>
      </c>
    </row>
    <row r="3561" spans="1:14" ht="23.25" customHeight="1">
      <c r="B3561" s="109" t="s">
        <v>168</v>
      </c>
      <c r="C3561" s="110" t="s">
        <v>376</v>
      </c>
      <c r="D3561" s="109" t="s">
        <v>410</v>
      </c>
      <c r="E3561" s="116">
        <v>46048</v>
      </c>
      <c r="F3561" s="116">
        <v>46049</v>
      </c>
      <c r="G3561" s="116">
        <v>46052</v>
      </c>
      <c r="H3561" s="182"/>
      <c r="I3561" s="113"/>
      <c r="J3561" s="113"/>
      <c r="K3561" s="113"/>
      <c r="L3561" s="107">
        <f>+K3561-((K3561*0.3662*0.125)+(K3561*(1-0.3662)*0.26))</f>
        <v>0</v>
      </c>
      <c r="M3561" s="114">
        <f t="shared" si="100"/>
        <v>0</v>
      </c>
      <c r="N3561" s="109" t="s">
        <v>249</v>
      </c>
    </row>
    <row r="3562" spans="1:14" ht="23.25" customHeight="1">
      <c r="B3562" s="109" t="s">
        <v>136</v>
      </c>
      <c r="C3562" s="110" t="s">
        <v>867</v>
      </c>
      <c r="D3562" s="109" t="s">
        <v>410</v>
      </c>
      <c r="E3562" s="116">
        <v>46048</v>
      </c>
      <c r="F3562" s="116">
        <v>46049</v>
      </c>
      <c r="G3562" s="116">
        <v>46052</v>
      </c>
      <c r="H3562" s="182"/>
      <c r="I3562" s="113"/>
      <c r="J3562" s="113"/>
      <c r="K3562" s="113"/>
      <c r="L3562" s="107">
        <f t="shared" ref="L3562:L3567" si="102">+K3562-((K3562*0.0469*0.125)+(K3562*(1-0.0469)*0.26))</f>
        <v>0</v>
      </c>
      <c r="M3562" s="114">
        <f t="shared" si="100"/>
        <v>0</v>
      </c>
      <c r="N3562" s="109" t="s">
        <v>249</v>
      </c>
    </row>
    <row r="3563" spans="1:14" ht="23.25" customHeight="1">
      <c r="B3563" s="109" t="s">
        <v>137</v>
      </c>
      <c r="C3563" s="110" t="s">
        <v>868</v>
      </c>
      <c r="D3563" s="109" t="s">
        <v>410</v>
      </c>
      <c r="E3563" s="116">
        <v>46048</v>
      </c>
      <c r="F3563" s="116">
        <v>46049</v>
      </c>
      <c r="G3563" s="116">
        <v>46052</v>
      </c>
      <c r="H3563" s="182"/>
      <c r="I3563" s="113"/>
      <c r="J3563" s="113"/>
      <c r="K3563" s="113"/>
      <c r="L3563" s="107">
        <f t="shared" si="102"/>
        <v>0</v>
      </c>
      <c r="M3563" s="114">
        <f t="shared" si="100"/>
        <v>0</v>
      </c>
      <c r="N3563" s="109" t="s">
        <v>249</v>
      </c>
    </row>
    <row r="3564" spans="1:14" ht="23.25" customHeight="1">
      <c r="B3564" s="109" t="s">
        <v>135</v>
      </c>
      <c r="C3564" s="110" t="s">
        <v>869</v>
      </c>
      <c r="D3564" s="109" t="s">
        <v>410</v>
      </c>
      <c r="E3564" s="116">
        <v>46048</v>
      </c>
      <c r="F3564" s="116">
        <v>46049</v>
      </c>
      <c r="G3564" s="116">
        <v>46052</v>
      </c>
      <c r="H3564" s="182"/>
      <c r="I3564" s="113"/>
      <c r="J3564" s="113"/>
      <c r="K3564" s="113"/>
      <c r="L3564" s="107">
        <f t="shared" si="102"/>
        <v>0</v>
      </c>
      <c r="M3564" s="114">
        <f t="shared" si="100"/>
        <v>0</v>
      </c>
      <c r="N3564" s="109" t="s">
        <v>249</v>
      </c>
    </row>
    <row r="3565" spans="1:14" ht="23.25" customHeight="1">
      <c r="B3565" s="109" t="s">
        <v>170</v>
      </c>
      <c r="C3565" s="110" t="s">
        <v>870</v>
      </c>
      <c r="D3565" s="109" t="s">
        <v>410</v>
      </c>
      <c r="E3565" s="116">
        <v>46048</v>
      </c>
      <c r="F3565" s="116">
        <v>46049</v>
      </c>
      <c r="G3565" s="116">
        <v>46052</v>
      </c>
      <c r="H3565" s="182"/>
      <c r="I3565" s="113"/>
      <c r="J3565" s="113"/>
      <c r="K3565" s="113"/>
      <c r="L3565" s="107">
        <f t="shared" si="102"/>
        <v>0</v>
      </c>
      <c r="M3565" s="114">
        <f t="shared" si="100"/>
        <v>0</v>
      </c>
      <c r="N3565" s="109" t="s">
        <v>249</v>
      </c>
    </row>
    <row r="3566" spans="1:14" ht="23.25" customHeight="1">
      <c r="B3566" s="109" t="s">
        <v>171</v>
      </c>
      <c r="C3566" s="110" t="s">
        <v>871</v>
      </c>
      <c r="D3566" s="109" t="s">
        <v>410</v>
      </c>
      <c r="E3566" s="116">
        <v>46048</v>
      </c>
      <c r="F3566" s="116">
        <v>46049</v>
      </c>
      <c r="G3566" s="116">
        <v>46052</v>
      </c>
      <c r="H3566" s="112"/>
      <c r="I3566" s="113"/>
      <c r="J3566" s="113"/>
      <c r="K3566" s="113"/>
      <c r="L3566" s="107">
        <f t="shared" si="102"/>
        <v>0</v>
      </c>
      <c r="M3566" s="114">
        <f t="shared" si="100"/>
        <v>0</v>
      </c>
      <c r="N3566" s="109" t="s">
        <v>249</v>
      </c>
    </row>
    <row r="3567" spans="1:14" ht="23.25" customHeight="1">
      <c r="B3567" s="109" t="s">
        <v>172</v>
      </c>
      <c r="C3567" s="110" t="s">
        <v>872</v>
      </c>
      <c r="D3567" s="109" t="s">
        <v>410</v>
      </c>
      <c r="E3567" s="116">
        <v>46048</v>
      </c>
      <c r="F3567" s="116">
        <v>46049</v>
      </c>
      <c r="G3567" s="116">
        <v>46052</v>
      </c>
      <c r="H3567" s="112"/>
      <c r="I3567" s="113"/>
      <c r="J3567" s="113"/>
      <c r="K3567" s="113"/>
      <c r="L3567" s="107">
        <f t="shared" si="102"/>
        <v>0</v>
      </c>
      <c r="M3567" s="114">
        <f t="shared" si="100"/>
        <v>0</v>
      </c>
      <c r="N3567" s="109" t="s">
        <v>249</v>
      </c>
    </row>
    <row r="3568" spans="1:14" ht="23.25" customHeight="1">
      <c r="B3568" s="109" t="s">
        <v>169</v>
      </c>
      <c r="C3568" s="110" t="s">
        <v>400</v>
      </c>
      <c r="D3568" s="109" t="s">
        <v>410</v>
      </c>
      <c r="E3568" s="116">
        <v>46048</v>
      </c>
      <c r="F3568" s="116">
        <v>46049</v>
      </c>
      <c r="G3568" s="116">
        <v>46052</v>
      </c>
      <c r="H3568" s="112"/>
      <c r="I3568" s="113"/>
      <c r="J3568" s="113"/>
      <c r="K3568" s="113"/>
      <c r="L3568" s="107">
        <f>+K3568-((K3568*0.1483*0.125)+(K3568*(1-0.1483)*0.26))</f>
        <v>0</v>
      </c>
      <c r="M3568" s="114">
        <f t="shared" si="100"/>
        <v>0</v>
      </c>
      <c r="N3568" s="109" t="s">
        <v>249</v>
      </c>
    </row>
    <row r="3569" spans="2:14" ht="23.25" customHeight="1">
      <c r="B3569" s="109" t="s">
        <v>156</v>
      </c>
      <c r="C3569" s="110" t="s">
        <v>976</v>
      </c>
      <c r="D3569" s="109" t="s">
        <v>496</v>
      </c>
      <c r="E3569" s="116">
        <v>46048</v>
      </c>
      <c r="F3569" s="116">
        <v>46049</v>
      </c>
      <c r="G3569" s="116">
        <v>46052</v>
      </c>
      <c r="H3569" s="182"/>
      <c r="I3569" s="113"/>
      <c r="J3569" s="113"/>
      <c r="K3569" s="113"/>
      <c r="L3569" s="107">
        <f>+K3569-((K3569*0.000001*0.125)+(K3569*(1-0.000001)*0.26))</f>
        <v>0</v>
      </c>
      <c r="M3569" s="114">
        <f t="shared" si="100"/>
        <v>0</v>
      </c>
      <c r="N3569" s="109" t="s">
        <v>250</v>
      </c>
    </row>
    <row r="3570" spans="2:14" ht="23.25" customHeight="1">
      <c r="B3570" s="109" t="s">
        <v>178</v>
      </c>
      <c r="C3570" s="110" t="s">
        <v>975</v>
      </c>
      <c r="D3570" s="109" t="s">
        <v>496</v>
      </c>
      <c r="E3570" s="116">
        <v>46048</v>
      </c>
      <c r="F3570" s="116">
        <v>46049</v>
      </c>
      <c r="G3570" s="116">
        <v>46052</v>
      </c>
      <c r="H3570" s="182"/>
      <c r="I3570" s="113"/>
      <c r="J3570" s="113"/>
      <c r="K3570" s="113"/>
      <c r="L3570" s="107">
        <f>+K3570-((K3570*0.000001*0.125)+(K3570*(1-0.000001)*0.26))</f>
        <v>0</v>
      </c>
      <c r="M3570" s="114">
        <f t="shared" si="100"/>
        <v>0</v>
      </c>
      <c r="N3570" s="109" t="s">
        <v>250</v>
      </c>
    </row>
    <row r="3571" spans="2:14" ht="23.25" customHeight="1">
      <c r="B3571" s="109" t="s">
        <v>155</v>
      </c>
      <c r="C3571" s="110" t="s">
        <v>980</v>
      </c>
      <c r="D3571" s="109" t="s">
        <v>496</v>
      </c>
      <c r="E3571" s="116">
        <v>46048</v>
      </c>
      <c r="F3571" s="116">
        <v>46049</v>
      </c>
      <c r="G3571" s="116">
        <v>46052</v>
      </c>
      <c r="H3571" s="182"/>
      <c r="I3571" s="113"/>
      <c r="J3571" s="113"/>
      <c r="K3571" s="113"/>
      <c r="L3571" s="107">
        <f>+K3571-((K3571*0.002*0.125)+(K3571*(1-0.002)*0.26))</f>
        <v>0</v>
      </c>
      <c r="M3571" s="114">
        <f t="shared" si="100"/>
        <v>0</v>
      </c>
      <c r="N3571" s="109" t="s">
        <v>250</v>
      </c>
    </row>
    <row r="3572" spans="2:14" ht="23.25" customHeight="1">
      <c r="B3572" s="109" t="s">
        <v>972</v>
      </c>
      <c r="C3572" s="110" t="s">
        <v>981</v>
      </c>
      <c r="D3572" s="109" t="s">
        <v>496</v>
      </c>
      <c r="E3572" s="116">
        <v>46048</v>
      </c>
      <c r="F3572" s="116">
        <v>46049</v>
      </c>
      <c r="G3572" s="116">
        <v>46052</v>
      </c>
      <c r="H3572" s="112"/>
      <c r="I3572" s="113"/>
      <c r="J3572" s="113"/>
      <c r="K3572" s="113"/>
      <c r="L3572" s="107">
        <f>+K3572-((K3572*0.002*0.125)+(K3572*(1-0.002)*0.26))</f>
        <v>0</v>
      </c>
      <c r="M3572" s="114">
        <f t="shared" si="100"/>
        <v>0</v>
      </c>
      <c r="N3572" s="109" t="s">
        <v>250</v>
      </c>
    </row>
    <row r="3573" spans="2:14" ht="23.25" customHeight="1">
      <c r="B3573" s="109" t="s">
        <v>177</v>
      </c>
      <c r="C3573" s="110" t="s">
        <v>982</v>
      </c>
      <c r="D3573" s="109" t="s">
        <v>496</v>
      </c>
      <c r="E3573" s="116">
        <v>46048</v>
      </c>
      <c r="F3573" s="116">
        <v>46049</v>
      </c>
      <c r="G3573" s="116">
        <v>46052</v>
      </c>
      <c r="H3573" s="112"/>
      <c r="I3573" s="113"/>
      <c r="J3573" s="113"/>
      <c r="K3573" s="113"/>
      <c r="L3573" s="107">
        <f>+K3573-((K3573*0.002*0.125)+(K3573*(1-0.002)*0.26))</f>
        <v>0</v>
      </c>
      <c r="M3573" s="114">
        <f t="shared" si="100"/>
        <v>0</v>
      </c>
      <c r="N3573" s="109" t="s">
        <v>250</v>
      </c>
    </row>
    <row r="3574" spans="2:14" ht="23.25" customHeight="1">
      <c r="B3574" s="109" t="s">
        <v>158</v>
      </c>
      <c r="C3574" s="110" t="s">
        <v>373</v>
      </c>
      <c r="D3574" s="109" t="s">
        <v>496</v>
      </c>
      <c r="E3574" s="116">
        <v>46048</v>
      </c>
      <c r="F3574" s="116">
        <v>46049</v>
      </c>
      <c r="G3574" s="116">
        <v>46052</v>
      </c>
      <c r="H3574" s="112"/>
      <c r="I3574" s="113"/>
      <c r="J3574" s="113"/>
      <c r="K3574" s="113"/>
      <c r="L3574" s="107">
        <f>+K3574-((K3574*0.3662*0.125)+(K3574*(1-0.3662)*0.26))</f>
        <v>0</v>
      </c>
      <c r="M3574" s="114">
        <f t="shared" si="100"/>
        <v>0</v>
      </c>
      <c r="N3574" s="109" t="s">
        <v>250</v>
      </c>
    </row>
    <row r="3575" spans="2:14" ht="23.25" customHeight="1">
      <c r="B3575" s="109" t="s">
        <v>157</v>
      </c>
      <c r="C3575" s="110" t="s">
        <v>375</v>
      </c>
      <c r="D3575" s="109" t="s">
        <v>496</v>
      </c>
      <c r="E3575" s="116">
        <v>46048</v>
      </c>
      <c r="F3575" s="116">
        <v>46049</v>
      </c>
      <c r="G3575" s="116">
        <v>46052</v>
      </c>
      <c r="H3575" s="112"/>
      <c r="I3575" s="113"/>
      <c r="J3575" s="113"/>
      <c r="K3575" s="113"/>
      <c r="L3575" s="107">
        <f>+K3575-((K3575*0.3662*0.125)+(K3575*(1-0.3662)*0.26))</f>
        <v>0</v>
      </c>
      <c r="M3575" s="114">
        <f t="shared" si="100"/>
        <v>0</v>
      </c>
      <c r="N3575" s="109" t="s">
        <v>250</v>
      </c>
    </row>
    <row r="3576" spans="2:14" ht="23.25" customHeight="1">
      <c r="B3576" s="109" t="s">
        <v>154</v>
      </c>
      <c r="C3576" s="110" t="s">
        <v>399</v>
      </c>
      <c r="D3576" s="109" t="s">
        <v>496</v>
      </c>
      <c r="E3576" s="116">
        <v>46048</v>
      </c>
      <c r="F3576" s="116">
        <v>46049</v>
      </c>
      <c r="G3576" s="116">
        <v>46052</v>
      </c>
      <c r="H3576" s="112"/>
      <c r="I3576" s="113"/>
      <c r="J3576" s="113"/>
      <c r="K3576" s="113"/>
      <c r="L3576" s="107">
        <f>+K3576-((K3576*0.1483*0.125)+(K3576*(1-0.1483)*0.26))</f>
        <v>0</v>
      </c>
      <c r="M3576" s="114">
        <f t="shared" si="100"/>
        <v>0</v>
      </c>
      <c r="N3576" s="109" t="s">
        <v>250</v>
      </c>
    </row>
    <row r="3577" spans="2:14" ht="23.25" customHeight="1">
      <c r="B3577" s="103" t="s">
        <v>310</v>
      </c>
      <c r="C3577" s="121" t="s">
        <v>719</v>
      </c>
      <c r="D3577" s="103" t="s">
        <v>411</v>
      </c>
      <c r="E3577" s="104">
        <v>46052</v>
      </c>
      <c r="F3577" s="105">
        <v>46055</v>
      </c>
      <c r="G3577" s="105">
        <v>46058</v>
      </c>
      <c r="H3577" s="120"/>
      <c r="I3577" s="106"/>
      <c r="J3577" s="107"/>
      <c r="K3577" s="107"/>
      <c r="L3577" s="107">
        <f>+K3577-((K3577*0.0611*0.125)+(K3577*(1-0.0611)*0.26))</f>
        <v>0</v>
      </c>
      <c r="M3577" s="107">
        <f t="shared" ref="M3577:M3640" si="103">J3577+L3577</f>
        <v>0</v>
      </c>
      <c r="N3577" s="108" t="s">
        <v>718</v>
      </c>
    </row>
    <row r="3578" spans="2:14" ht="23.25" customHeight="1">
      <c r="B3578" s="103" t="s">
        <v>188</v>
      </c>
      <c r="C3578" s="122" t="s">
        <v>720</v>
      </c>
      <c r="D3578" s="103" t="s">
        <v>411</v>
      </c>
      <c r="E3578" s="104">
        <v>46052</v>
      </c>
      <c r="F3578" s="105">
        <v>46055</v>
      </c>
      <c r="G3578" s="105">
        <v>46058</v>
      </c>
      <c r="H3578" s="120"/>
      <c r="I3578" s="106"/>
      <c r="J3578" s="107"/>
      <c r="K3578" s="107"/>
      <c r="L3578" s="107">
        <f>+K3578-((K3578*0.0611*0.125)+(K3578*(1-0.0611)*0.26))</f>
        <v>0</v>
      </c>
      <c r="M3578" s="107">
        <f t="shared" si="103"/>
        <v>0</v>
      </c>
      <c r="N3578" s="108" t="s">
        <v>718</v>
      </c>
    </row>
    <row r="3579" spans="2:14" ht="23.25" customHeight="1">
      <c r="B3579" s="103" t="s">
        <v>196</v>
      </c>
      <c r="C3579" s="119" t="s">
        <v>721</v>
      </c>
      <c r="D3579" s="118" t="s">
        <v>411</v>
      </c>
      <c r="E3579" s="104">
        <v>46052</v>
      </c>
      <c r="F3579" s="105">
        <v>46055</v>
      </c>
      <c r="G3579" s="105">
        <v>46058</v>
      </c>
      <c r="H3579" s="120"/>
      <c r="I3579" s="106"/>
      <c r="J3579" s="107"/>
      <c r="K3579" s="107"/>
      <c r="L3579" s="107">
        <f>+K3579-((K3579*0.0611*0.125)+(K3579*(1-0.0611)*0.26))</f>
        <v>0</v>
      </c>
      <c r="M3579" s="107">
        <f t="shared" si="103"/>
        <v>0</v>
      </c>
      <c r="N3579" s="108" t="s">
        <v>718</v>
      </c>
    </row>
    <row r="3580" spans="2:14" ht="23.25" customHeight="1">
      <c r="B3580" s="103" t="s">
        <v>191</v>
      </c>
      <c r="C3580" s="122" t="s">
        <v>722</v>
      </c>
      <c r="D3580" s="103" t="s">
        <v>411</v>
      </c>
      <c r="E3580" s="104">
        <v>46052</v>
      </c>
      <c r="F3580" s="105">
        <v>46055</v>
      </c>
      <c r="G3580" s="105">
        <v>46058</v>
      </c>
      <c r="H3580" s="120"/>
      <c r="I3580" s="106"/>
      <c r="J3580" s="107"/>
      <c r="K3580" s="107"/>
      <c r="L3580" s="107">
        <f>+K3580-((K3580*0.8427*0.125)+(K3580*(1-0.8427)*0.26))</f>
        <v>0</v>
      </c>
      <c r="M3580" s="107">
        <f t="shared" si="103"/>
        <v>0</v>
      </c>
      <c r="N3580" s="108" t="s">
        <v>718</v>
      </c>
    </row>
    <row r="3581" spans="2:14" ht="23.25" customHeight="1">
      <c r="B3581" s="103" t="s">
        <v>199</v>
      </c>
      <c r="C3581" s="119" t="s">
        <v>723</v>
      </c>
      <c r="D3581" s="118" t="s">
        <v>411</v>
      </c>
      <c r="E3581" s="104">
        <v>46052</v>
      </c>
      <c r="F3581" s="105">
        <v>46055</v>
      </c>
      <c r="G3581" s="105">
        <v>46058</v>
      </c>
      <c r="H3581" s="120"/>
      <c r="I3581" s="106"/>
      <c r="J3581" s="107"/>
      <c r="K3581" s="107"/>
      <c r="L3581" s="107">
        <f>+K3581-((K3581*0.8427*0.125)+(K3581*(1-0.8427)*0.26))</f>
        <v>0</v>
      </c>
      <c r="M3581" s="107">
        <f t="shared" si="103"/>
        <v>0</v>
      </c>
      <c r="N3581" s="108" t="s">
        <v>718</v>
      </c>
    </row>
    <row r="3582" spans="2:14" ht="23.25" customHeight="1">
      <c r="B3582" s="103" t="s">
        <v>306</v>
      </c>
      <c r="C3582" s="121" t="s">
        <v>724</v>
      </c>
      <c r="D3582" s="103" t="s">
        <v>411</v>
      </c>
      <c r="E3582" s="104">
        <v>46052</v>
      </c>
      <c r="F3582" s="105">
        <v>46055</v>
      </c>
      <c r="G3582" s="105">
        <v>46058</v>
      </c>
      <c r="H3582" s="120"/>
      <c r="I3582" s="106"/>
      <c r="J3582" s="107"/>
      <c r="K3582" s="107"/>
      <c r="L3582" s="107">
        <f>+K3582-((K3582*0.0002*0.125)+(K3582*(1-0.0002)*0.26))</f>
        <v>0</v>
      </c>
      <c r="M3582" s="107">
        <f t="shared" si="103"/>
        <v>0</v>
      </c>
      <c r="N3582" s="108" t="s">
        <v>718</v>
      </c>
    </row>
    <row r="3583" spans="2:14" ht="23.25" customHeight="1">
      <c r="B3583" s="103" t="s">
        <v>184</v>
      </c>
      <c r="C3583" s="122" t="s">
        <v>725</v>
      </c>
      <c r="D3583" s="103" t="s">
        <v>411</v>
      </c>
      <c r="E3583" s="104">
        <v>46052</v>
      </c>
      <c r="F3583" s="105">
        <v>46055</v>
      </c>
      <c r="G3583" s="105">
        <v>46058</v>
      </c>
      <c r="H3583" s="120"/>
      <c r="I3583" s="106"/>
      <c r="J3583" s="107"/>
      <c r="K3583" s="107"/>
      <c r="L3583" s="107">
        <f>+K3583-((K3583*0.0002*0.125)+(K3583*(1-0.0002)*0.26))</f>
        <v>0</v>
      </c>
      <c r="M3583" s="107">
        <f t="shared" si="103"/>
        <v>0</v>
      </c>
      <c r="N3583" s="108" t="s">
        <v>718</v>
      </c>
    </row>
    <row r="3584" spans="2:14" ht="23.25" customHeight="1">
      <c r="B3584" s="103" t="s">
        <v>192</v>
      </c>
      <c r="C3584" s="119" t="s">
        <v>726</v>
      </c>
      <c r="D3584" s="118" t="s">
        <v>411</v>
      </c>
      <c r="E3584" s="104">
        <v>46052</v>
      </c>
      <c r="F3584" s="105">
        <v>46055</v>
      </c>
      <c r="G3584" s="105">
        <v>46058</v>
      </c>
      <c r="H3584" s="170"/>
      <c r="I3584" s="106"/>
      <c r="J3584" s="107"/>
      <c r="K3584" s="107"/>
      <c r="L3584" s="107">
        <f>+K3584-((K3584*0.0002*0.125)+(K3584*(1-0.0002)*0.26))</f>
        <v>0</v>
      </c>
      <c r="M3584" s="107">
        <f t="shared" si="103"/>
        <v>0</v>
      </c>
      <c r="N3584" s="108" t="s">
        <v>718</v>
      </c>
    </row>
    <row r="3585" spans="2:14" ht="23.25" customHeight="1">
      <c r="B3585" s="103" t="s">
        <v>311</v>
      </c>
      <c r="C3585" s="121" t="s">
        <v>727</v>
      </c>
      <c r="D3585" s="103" t="s">
        <v>411</v>
      </c>
      <c r="E3585" s="104">
        <v>46052</v>
      </c>
      <c r="F3585" s="105">
        <v>46055</v>
      </c>
      <c r="G3585" s="105">
        <v>46058</v>
      </c>
      <c r="H3585" s="170"/>
      <c r="I3585" s="106"/>
      <c r="J3585" s="107"/>
      <c r="K3585" s="107"/>
      <c r="L3585" s="107">
        <f>+K3585-((K3585*0.0001*0.125)+(K3585*(1-0.0001)*0.26))</f>
        <v>0</v>
      </c>
      <c r="M3585" s="107">
        <f t="shared" si="103"/>
        <v>0</v>
      </c>
      <c r="N3585" s="108" t="s">
        <v>718</v>
      </c>
    </row>
    <row r="3586" spans="2:14" ht="23.25" customHeight="1">
      <c r="B3586" s="103" t="s">
        <v>189</v>
      </c>
      <c r="C3586" s="122" t="s">
        <v>728</v>
      </c>
      <c r="D3586" s="103" t="s">
        <v>411</v>
      </c>
      <c r="E3586" s="104">
        <v>46052</v>
      </c>
      <c r="F3586" s="105">
        <v>46055</v>
      </c>
      <c r="G3586" s="105">
        <v>46058</v>
      </c>
      <c r="H3586" s="170"/>
      <c r="I3586" s="106"/>
      <c r="J3586" s="107"/>
      <c r="K3586" s="107"/>
      <c r="L3586" s="107">
        <f>+K3586-((K3586*0.0001*0.125)+(K3586*(1-0.0001)*0.26))</f>
        <v>0</v>
      </c>
      <c r="M3586" s="107">
        <f t="shared" si="103"/>
        <v>0</v>
      </c>
      <c r="N3586" s="108" t="s">
        <v>718</v>
      </c>
    </row>
    <row r="3587" spans="2:14" ht="23.25" customHeight="1">
      <c r="B3587" s="103" t="s">
        <v>197</v>
      </c>
      <c r="C3587" s="119" t="s">
        <v>729</v>
      </c>
      <c r="D3587" s="118" t="s">
        <v>411</v>
      </c>
      <c r="E3587" s="104">
        <v>46052</v>
      </c>
      <c r="F3587" s="105">
        <v>46055</v>
      </c>
      <c r="G3587" s="105">
        <v>46058</v>
      </c>
      <c r="H3587" s="170"/>
      <c r="I3587" s="106"/>
      <c r="J3587" s="107"/>
      <c r="K3587" s="107"/>
      <c r="L3587" s="107">
        <f>+K3587-((K3587*0.0001*0.125)+(K3587*(1-0.0001)*0.26))</f>
        <v>0</v>
      </c>
      <c r="M3587" s="107">
        <f t="shared" si="103"/>
        <v>0</v>
      </c>
      <c r="N3587" s="108" t="s">
        <v>718</v>
      </c>
    </row>
    <row r="3588" spans="2:14" ht="23.25" customHeight="1">
      <c r="B3588" s="103" t="s">
        <v>308</v>
      </c>
      <c r="C3588" s="121" t="s">
        <v>730</v>
      </c>
      <c r="D3588" s="103" t="s">
        <v>411</v>
      </c>
      <c r="E3588" s="104">
        <v>46052</v>
      </c>
      <c r="F3588" s="105">
        <v>46055</v>
      </c>
      <c r="G3588" s="105">
        <v>46058</v>
      </c>
      <c r="H3588" s="170"/>
      <c r="I3588" s="106"/>
      <c r="J3588" s="107"/>
      <c r="K3588" s="107"/>
      <c r="L3588" s="107">
        <f>+K3588-((K3588*0.4566*0.125)+(K3588*(1-0.4566)*0.26))</f>
        <v>0</v>
      </c>
      <c r="M3588" s="107">
        <f t="shared" si="103"/>
        <v>0</v>
      </c>
      <c r="N3588" s="108" t="s">
        <v>718</v>
      </c>
    </row>
    <row r="3589" spans="2:14" ht="23.25" customHeight="1">
      <c r="B3589" s="103" t="s">
        <v>186</v>
      </c>
      <c r="C3589" s="122" t="s">
        <v>731</v>
      </c>
      <c r="D3589" s="103" t="s">
        <v>411</v>
      </c>
      <c r="E3589" s="104">
        <v>46052</v>
      </c>
      <c r="F3589" s="105">
        <v>46055</v>
      </c>
      <c r="G3589" s="105">
        <v>46058</v>
      </c>
      <c r="H3589" s="170"/>
      <c r="I3589" s="106"/>
      <c r="J3589" s="107"/>
      <c r="K3589" s="107"/>
      <c r="L3589" s="107">
        <f>+K3589-((K3589*0.4566*0.125)+(K3589*(1-0.4566)*0.26))</f>
        <v>0</v>
      </c>
      <c r="M3589" s="107">
        <f t="shared" si="103"/>
        <v>0</v>
      </c>
      <c r="N3589" s="108" t="s">
        <v>718</v>
      </c>
    </row>
    <row r="3590" spans="2:14" ht="23.25" customHeight="1">
      <c r="B3590" s="103" t="s">
        <v>194</v>
      </c>
      <c r="C3590" s="119" t="s">
        <v>732</v>
      </c>
      <c r="D3590" s="118" t="s">
        <v>411</v>
      </c>
      <c r="E3590" s="104">
        <v>46052</v>
      </c>
      <c r="F3590" s="105">
        <v>46055</v>
      </c>
      <c r="G3590" s="105">
        <v>46058</v>
      </c>
      <c r="H3590" s="120"/>
      <c r="I3590" s="106"/>
      <c r="J3590" s="107"/>
      <c r="K3590" s="107"/>
      <c r="L3590" s="107">
        <f>+K3590-((K3590*0.4566*0.125)+(K3590*(1-0.4566)*0.26))</f>
        <v>0</v>
      </c>
      <c r="M3590" s="107">
        <f t="shared" si="103"/>
        <v>0</v>
      </c>
      <c r="N3590" s="108" t="s">
        <v>718</v>
      </c>
    </row>
    <row r="3591" spans="2:14" ht="23.25" customHeight="1">
      <c r="B3591" s="103" t="s">
        <v>307</v>
      </c>
      <c r="C3591" s="121" t="s">
        <v>983</v>
      </c>
      <c r="D3591" s="103" t="s">
        <v>411</v>
      </c>
      <c r="E3591" s="104">
        <v>46052</v>
      </c>
      <c r="F3591" s="105">
        <v>46055</v>
      </c>
      <c r="G3591" s="105">
        <v>46058</v>
      </c>
      <c r="H3591" s="120"/>
      <c r="I3591" s="106"/>
      <c r="J3591" s="107"/>
      <c r="K3591" s="107"/>
      <c r="L3591" s="107">
        <f>+K3591-((K3591*0.6855*0.125)+(K3591*(1-0.6855)*0.26))</f>
        <v>0</v>
      </c>
      <c r="M3591" s="107">
        <f t="shared" si="103"/>
        <v>0</v>
      </c>
      <c r="N3591" s="108" t="s">
        <v>718</v>
      </c>
    </row>
    <row r="3592" spans="2:14" ht="23.25" customHeight="1">
      <c r="B3592" s="103" t="s">
        <v>185</v>
      </c>
      <c r="C3592" s="122" t="s">
        <v>985</v>
      </c>
      <c r="D3592" s="103" t="s">
        <v>411</v>
      </c>
      <c r="E3592" s="104">
        <v>46052</v>
      </c>
      <c r="F3592" s="105">
        <v>46055</v>
      </c>
      <c r="G3592" s="105">
        <v>46058</v>
      </c>
      <c r="H3592" s="120"/>
      <c r="I3592" s="106"/>
      <c r="J3592" s="107"/>
      <c r="K3592" s="107"/>
      <c r="L3592" s="107">
        <f>+K3592-((K3592*0.6855*0.125)+(K3592*(1-0.6855)*0.26))</f>
        <v>0</v>
      </c>
      <c r="M3592" s="107">
        <f t="shared" si="103"/>
        <v>0</v>
      </c>
      <c r="N3592" s="108" t="s">
        <v>718</v>
      </c>
    </row>
    <row r="3593" spans="2:14" ht="23.25" customHeight="1">
      <c r="B3593" s="103" t="s">
        <v>193</v>
      </c>
      <c r="C3593" s="119" t="s">
        <v>984</v>
      </c>
      <c r="D3593" s="118" t="s">
        <v>411</v>
      </c>
      <c r="E3593" s="104">
        <v>46052</v>
      </c>
      <c r="F3593" s="105">
        <v>46055</v>
      </c>
      <c r="G3593" s="105">
        <v>46058</v>
      </c>
      <c r="H3593" s="170"/>
      <c r="I3593" s="106"/>
      <c r="J3593" s="107"/>
      <c r="K3593" s="107"/>
      <c r="L3593" s="107">
        <f>+K3593-((K3593*0.6855*0.125)+(K3593*(1-0.6855)*0.26))</f>
        <v>0</v>
      </c>
      <c r="M3593" s="107">
        <f t="shared" si="103"/>
        <v>0</v>
      </c>
      <c r="N3593" s="108" t="s">
        <v>718</v>
      </c>
    </row>
    <row r="3594" spans="2:14" ht="23.25" customHeight="1">
      <c r="B3594" s="103" t="s">
        <v>309</v>
      </c>
      <c r="C3594" s="121" t="s">
        <v>736</v>
      </c>
      <c r="D3594" s="103" t="s">
        <v>411</v>
      </c>
      <c r="E3594" s="104">
        <v>46052</v>
      </c>
      <c r="F3594" s="105">
        <v>46055</v>
      </c>
      <c r="G3594" s="105">
        <v>46058</v>
      </c>
      <c r="H3594" s="170"/>
      <c r="I3594" s="106"/>
      <c r="J3594" s="107"/>
      <c r="K3594" s="107"/>
      <c r="L3594" s="107">
        <f>+K3594-((K3594*0.0269*0.125)+(K3594*(1-0.0269)*0.26))</f>
        <v>0</v>
      </c>
      <c r="M3594" s="107">
        <f t="shared" si="103"/>
        <v>0</v>
      </c>
      <c r="N3594" s="108" t="s">
        <v>718</v>
      </c>
    </row>
    <row r="3595" spans="2:14" ht="23.25" customHeight="1">
      <c r="B3595" s="103" t="s">
        <v>187</v>
      </c>
      <c r="C3595" s="122" t="s">
        <v>737</v>
      </c>
      <c r="D3595" s="103" t="s">
        <v>411</v>
      </c>
      <c r="E3595" s="104">
        <v>46052</v>
      </c>
      <c r="F3595" s="105">
        <v>46055</v>
      </c>
      <c r="G3595" s="105">
        <v>46058</v>
      </c>
      <c r="H3595" s="170"/>
      <c r="I3595" s="106"/>
      <c r="J3595" s="107"/>
      <c r="K3595" s="107"/>
      <c r="L3595" s="107">
        <f>+K3595-((K3595*0.0269*0.125)+(K3595*(1-0.0269)*0.26))</f>
        <v>0</v>
      </c>
      <c r="M3595" s="107">
        <f t="shared" si="103"/>
        <v>0</v>
      </c>
      <c r="N3595" s="108" t="s">
        <v>718</v>
      </c>
    </row>
    <row r="3596" spans="2:14" ht="23.25" customHeight="1">
      <c r="B3596" s="103" t="s">
        <v>195</v>
      </c>
      <c r="C3596" s="119" t="s">
        <v>738</v>
      </c>
      <c r="D3596" s="118" t="s">
        <v>411</v>
      </c>
      <c r="E3596" s="104">
        <v>46052</v>
      </c>
      <c r="F3596" s="105">
        <v>46055</v>
      </c>
      <c r="G3596" s="105">
        <v>46058</v>
      </c>
      <c r="H3596" s="120"/>
      <c r="I3596" s="106"/>
      <c r="J3596" s="107"/>
      <c r="K3596" s="107"/>
      <c r="L3596" s="107">
        <f>+K3596-((K3596*0.0269*0.125)+(K3596*(1-0.0269)*0.26))</f>
        <v>0</v>
      </c>
      <c r="M3596" s="107">
        <f t="shared" si="103"/>
        <v>0</v>
      </c>
      <c r="N3596" s="108" t="s">
        <v>718</v>
      </c>
    </row>
    <row r="3597" spans="2:14" ht="23.25" customHeight="1">
      <c r="B3597" s="103" t="s">
        <v>312</v>
      </c>
      <c r="C3597" s="121" t="s">
        <v>739</v>
      </c>
      <c r="D3597" s="103" t="s">
        <v>411</v>
      </c>
      <c r="E3597" s="104">
        <v>46052</v>
      </c>
      <c r="F3597" s="105">
        <v>46055</v>
      </c>
      <c r="G3597" s="105">
        <v>46058</v>
      </c>
      <c r="H3597" s="120"/>
      <c r="I3597" s="106"/>
      <c r="J3597" s="107"/>
      <c r="K3597" s="107"/>
      <c r="L3597" s="107">
        <f>+K3597-((K3597*0.0017*0.125)+(K3597*(1-0.0017)*0.26))</f>
        <v>0</v>
      </c>
      <c r="M3597" s="107">
        <f t="shared" si="103"/>
        <v>0</v>
      </c>
      <c r="N3597" s="108" t="s">
        <v>718</v>
      </c>
    </row>
    <row r="3598" spans="2:14" ht="23.25" customHeight="1">
      <c r="B3598" s="103" t="s">
        <v>190</v>
      </c>
      <c r="C3598" s="122" t="s">
        <v>740</v>
      </c>
      <c r="D3598" s="103" t="s">
        <v>411</v>
      </c>
      <c r="E3598" s="104">
        <v>46052</v>
      </c>
      <c r="F3598" s="105">
        <v>46055</v>
      </c>
      <c r="G3598" s="105">
        <v>46058</v>
      </c>
      <c r="H3598" s="120"/>
      <c r="I3598" s="106"/>
      <c r="J3598" s="107"/>
      <c r="K3598" s="107"/>
      <c r="L3598" s="107">
        <f>+K3598-((K3598*0.0017*0.125)+(K3598*(1-0.0017)*0.26))</f>
        <v>0</v>
      </c>
      <c r="M3598" s="107">
        <f t="shared" si="103"/>
        <v>0</v>
      </c>
      <c r="N3598" s="108" t="s">
        <v>718</v>
      </c>
    </row>
    <row r="3599" spans="2:14" ht="23.25" customHeight="1">
      <c r="B3599" s="103" t="s">
        <v>198</v>
      </c>
      <c r="C3599" s="119" t="s">
        <v>741</v>
      </c>
      <c r="D3599" s="118" t="s">
        <v>411</v>
      </c>
      <c r="E3599" s="104">
        <v>46052</v>
      </c>
      <c r="F3599" s="105">
        <v>46055</v>
      </c>
      <c r="G3599" s="105">
        <v>46058</v>
      </c>
      <c r="H3599" s="120"/>
      <c r="I3599" s="106"/>
      <c r="J3599" s="107"/>
      <c r="K3599" s="107"/>
      <c r="L3599" s="107">
        <f>+K3599-((K3599*0.0017*0.125)+(K3599*(1-0.0017)*0.26))</f>
        <v>0</v>
      </c>
      <c r="M3599" s="107">
        <f t="shared" si="103"/>
        <v>0</v>
      </c>
      <c r="N3599" s="108" t="s">
        <v>718</v>
      </c>
    </row>
    <row r="3600" spans="2:14" ht="23.25" customHeight="1">
      <c r="B3600" s="103" t="s">
        <v>313</v>
      </c>
      <c r="C3600" s="121" t="s">
        <v>884</v>
      </c>
      <c r="D3600" s="103" t="s">
        <v>411</v>
      </c>
      <c r="E3600" s="104">
        <v>46052</v>
      </c>
      <c r="F3600" s="105">
        <v>46055</v>
      </c>
      <c r="G3600" s="105">
        <v>46058</v>
      </c>
      <c r="H3600" s="174"/>
      <c r="I3600" s="106"/>
      <c r="J3600" s="107"/>
      <c r="K3600" s="107"/>
      <c r="L3600" s="107">
        <f>+K3600-((K3600*0.2804*0.125)+(K3600*(1-0.2804)*0.26))</f>
        <v>0</v>
      </c>
      <c r="M3600" s="107">
        <f t="shared" si="103"/>
        <v>0</v>
      </c>
      <c r="N3600" s="108" t="s">
        <v>718</v>
      </c>
    </row>
    <row r="3601" spans="2:14" ht="23.25" customHeight="1">
      <c r="B3601" s="103" t="s">
        <v>310</v>
      </c>
      <c r="C3601" s="121" t="s">
        <v>719</v>
      </c>
      <c r="D3601" s="103" t="s">
        <v>411</v>
      </c>
      <c r="E3601" s="104">
        <v>46080</v>
      </c>
      <c r="F3601" s="105">
        <v>46083</v>
      </c>
      <c r="G3601" s="105">
        <v>46086</v>
      </c>
      <c r="H3601" s="120"/>
      <c r="I3601" s="106"/>
      <c r="J3601" s="107"/>
      <c r="K3601" s="107"/>
      <c r="L3601" s="107">
        <f>+K3601-((K3601*0.0611*0.125)+(K3601*(1-0.0611)*0.26))</f>
        <v>0</v>
      </c>
      <c r="M3601" s="107">
        <f t="shared" si="103"/>
        <v>0</v>
      </c>
      <c r="N3601" s="108" t="s">
        <v>718</v>
      </c>
    </row>
    <row r="3602" spans="2:14" ht="23.25" customHeight="1">
      <c r="B3602" s="103" t="s">
        <v>188</v>
      </c>
      <c r="C3602" s="122" t="s">
        <v>720</v>
      </c>
      <c r="D3602" s="103" t="s">
        <v>411</v>
      </c>
      <c r="E3602" s="104">
        <v>46080</v>
      </c>
      <c r="F3602" s="105">
        <v>46083</v>
      </c>
      <c r="G3602" s="105">
        <v>46086</v>
      </c>
      <c r="H3602" s="120"/>
      <c r="I3602" s="106"/>
      <c r="J3602" s="107"/>
      <c r="K3602" s="107"/>
      <c r="L3602" s="107">
        <f>+K3602-((K3602*0.0611*0.125)+(K3602*(1-0.0611)*0.26))</f>
        <v>0</v>
      </c>
      <c r="M3602" s="107">
        <f t="shared" si="103"/>
        <v>0</v>
      </c>
      <c r="N3602" s="108" t="s">
        <v>718</v>
      </c>
    </row>
    <row r="3603" spans="2:14" ht="23.25" customHeight="1">
      <c r="B3603" s="103" t="s">
        <v>196</v>
      </c>
      <c r="C3603" s="119" t="s">
        <v>721</v>
      </c>
      <c r="D3603" s="118" t="s">
        <v>411</v>
      </c>
      <c r="E3603" s="104">
        <v>46080</v>
      </c>
      <c r="F3603" s="105">
        <v>46083</v>
      </c>
      <c r="G3603" s="105">
        <v>46086</v>
      </c>
      <c r="H3603" s="120"/>
      <c r="I3603" s="106"/>
      <c r="J3603" s="107"/>
      <c r="K3603" s="107"/>
      <c r="L3603" s="107">
        <f>+K3603-((K3603*0.0611*0.125)+(K3603*(1-0.0611)*0.26))</f>
        <v>0</v>
      </c>
      <c r="M3603" s="107">
        <f t="shared" si="103"/>
        <v>0</v>
      </c>
      <c r="N3603" s="108" t="s">
        <v>718</v>
      </c>
    </row>
    <row r="3604" spans="2:14" ht="23.25" customHeight="1">
      <c r="B3604" s="103" t="s">
        <v>191</v>
      </c>
      <c r="C3604" s="122" t="s">
        <v>722</v>
      </c>
      <c r="D3604" s="103" t="s">
        <v>411</v>
      </c>
      <c r="E3604" s="104">
        <v>46080</v>
      </c>
      <c r="F3604" s="105">
        <v>46083</v>
      </c>
      <c r="G3604" s="105">
        <v>46086</v>
      </c>
      <c r="H3604" s="120"/>
      <c r="I3604" s="106"/>
      <c r="J3604" s="107"/>
      <c r="K3604" s="107"/>
      <c r="L3604" s="107">
        <f>+K3604-((K3604*0.8427*0.125)+(K3604*(1-0.8427)*0.26))</f>
        <v>0</v>
      </c>
      <c r="M3604" s="107">
        <f t="shared" si="103"/>
        <v>0</v>
      </c>
      <c r="N3604" s="108" t="s">
        <v>718</v>
      </c>
    </row>
    <row r="3605" spans="2:14" ht="23.25" customHeight="1">
      <c r="B3605" s="103" t="s">
        <v>199</v>
      </c>
      <c r="C3605" s="119" t="s">
        <v>723</v>
      </c>
      <c r="D3605" s="118" t="s">
        <v>411</v>
      </c>
      <c r="E3605" s="104">
        <v>46080</v>
      </c>
      <c r="F3605" s="105">
        <v>46083</v>
      </c>
      <c r="G3605" s="105">
        <v>46086</v>
      </c>
      <c r="H3605" s="120"/>
      <c r="I3605" s="106"/>
      <c r="J3605" s="107"/>
      <c r="K3605" s="107"/>
      <c r="L3605" s="107">
        <f>+K3605-((K3605*0.8427*0.125)+(K3605*(1-0.8427)*0.26))</f>
        <v>0</v>
      </c>
      <c r="M3605" s="107">
        <f t="shared" si="103"/>
        <v>0</v>
      </c>
      <c r="N3605" s="108" t="s">
        <v>718</v>
      </c>
    </row>
    <row r="3606" spans="2:14" ht="23.25" customHeight="1">
      <c r="B3606" s="103" t="s">
        <v>306</v>
      </c>
      <c r="C3606" s="121" t="s">
        <v>724</v>
      </c>
      <c r="D3606" s="103" t="s">
        <v>411</v>
      </c>
      <c r="E3606" s="104">
        <v>46080</v>
      </c>
      <c r="F3606" s="105">
        <v>46083</v>
      </c>
      <c r="G3606" s="105">
        <v>46086</v>
      </c>
      <c r="H3606" s="120"/>
      <c r="I3606" s="106"/>
      <c r="J3606" s="107"/>
      <c r="K3606" s="107"/>
      <c r="L3606" s="107">
        <f>+K3606-((K3606*0.0002*0.125)+(K3606*(1-0.0002)*0.26))</f>
        <v>0</v>
      </c>
      <c r="M3606" s="107">
        <f t="shared" si="103"/>
        <v>0</v>
      </c>
      <c r="N3606" s="108" t="s">
        <v>718</v>
      </c>
    </row>
    <row r="3607" spans="2:14" ht="23.25" customHeight="1">
      <c r="B3607" s="103" t="s">
        <v>184</v>
      </c>
      <c r="C3607" s="122" t="s">
        <v>725</v>
      </c>
      <c r="D3607" s="103" t="s">
        <v>411</v>
      </c>
      <c r="E3607" s="104">
        <v>46080</v>
      </c>
      <c r="F3607" s="105">
        <v>46083</v>
      </c>
      <c r="G3607" s="105">
        <v>46086</v>
      </c>
      <c r="H3607" s="120"/>
      <c r="I3607" s="106"/>
      <c r="J3607" s="107"/>
      <c r="K3607" s="107"/>
      <c r="L3607" s="107">
        <f>+K3607-((K3607*0.0002*0.125)+(K3607*(1-0.0002)*0.26))</f>
        <v>0</v>
      </c>
      <c r="M3607" s="107">
        <f t="shared" si="103"/>
        <v>0</v>
      </c>
      <c r="N3607" s="108" t="s">
        <v>718</v>
      </c>
    </row>
    <row r="3608" spans="2:14" ht="23.25" customHeight="1">
      <c r="B3608" s="103" t="s">
        <v>192</v>
      </c>
      <c r="C3608" s="119" t="s">
        <v>726</v>
      </c>
      <c r="D3608" s="118" t="s">
        <v>411</v>
      </c>
      <c r="E3608" s="104">
        <v>46080</v>
      </c>
      <c r="F3608" s="105">
        <v>46083</v>
      </c>
      <c r="G3608" s="105">
        <v>46086</v>
      </c>
      <c r="H3608" s="170"/>
      <c r="I3608" s="106"/>
      <c r="J3608" s="107"/>
      <c r="K3608" s="107"/>
      <c r="L3608" s="107">
        <f>+K3608-((K3608*0.0002*0.125)+(K3608*(1-0.0002)*0.26))</f>
        <v>0</v>
      </c>
      <c r="M3608" s="107">
        <f t="shared" si="103"/>
        <v>0</v>
      </c>
      <c r="N3608" s="108" t="s">
        <v>718</v>
      </c>
    </row>
    <row r="3609" spans="2:14" ht="23.25" customHeight="1">
      <c r="B3609" s="103" t="s">
        <v>311</v>
      </c>
      <c r="C3609" s="121" t="s">
        <v>727</v>
      </c>
      <c r="D3609" s="103" t="s">
        <v>411</v>
      </c>
      <c r="E3609" s="104">
        <v>46080</v>
      </c>
      <c r="F3609" s="105">
        <v>46083</v>
      </c>
      <c r="G3609" s="105">
        <v>46086</v>
      </c>
      <c r="H3609" s="170"/>
      <c r="I3609" s="106"/>
      <c r="J3609" s="107"/>
      <c r="K3609" s="107"/>
      <c r="L3609" s="107">
        <f>+K3609-((K3609*0.0001*0.125)+(K3609*(1-0.0001)*0.26))</f>
        <v>0</v>
      </c>
      <c r="M3609" s="107">
        <f t="shared" si="103"/>
        <v>0</v>
      </c>
      <c r="N3609" s="108" t="s">
        <v>718</v>
      </c>
    </row>
    <row r="3610" spans="2:14" ht="23.25" customHeight="1">
      <c r="B3610" s="103" t="s">
        <v>189</v>
      </c>
      <c r="C3610" s="122" t="s">
        <v>728</v>
      </c>
      <c r="D3610" s="103" t="s">
        <v>411</v>
      </c>
      <c r="E3610" s="104">
        <v>46080</v>
      </c>
      <c r="F3610" s="105">
        <v>46083</v>
      </c>
      <c r="G3610" s="105">
        <v>46086</v>
      </c>
      <c r="H3610" s="170"/>
      <c r="I3610" s="106"/>
      <c r="J3610" s="107"/>
      <c r="K3610" s="107"/>
      <c r="L3610" s="107">
        <f>+K3610-((K3610*0.0001*0.125)+(K3610*(1-0.0001)*0.26))</f>
        <v>0</v>
      </c>
      <c r="M3610" s="107">
        <f t="shared" si="103"/>
        <v>0</v>
      </c>
      <c r="N3610" s="108" t="s">
        <v>718</v>
      </c>
    </row>
    <row r="3611" spans="2:14" ht="23.25" customHeight="1">
      <c r="B3611" s="103" t="s">
        <v>197</v>
      </c>
      <c r="C3611" s="119" t="s">
        <v>729</v>
      </c>
      <c r="D3611" s="118" t="s">
        <v>411</v>
      </c>
      <c r="E3611" s="104">
        <v>46080</v>
      </c>
      <c r="F3611" s="105">
        <v>46083</v>
      </c>
      <c r="G3611" s="105">
        <v>46086</v>
      </c>
      <c r="H3611" s="170"/>
      <c r="I3611" s="106"/>
      <c r="J3611" s="107"/>
      <c r="K3611" s="107"/>
      <c r="L3611" s="107">
        <f>+K3611-((K3611*0.0001*0.125)+(K3611*(1-0.0001)*0.26))</f>
        <v>0</v>
      </c>
      <c r="M3611" s="107">
        <f t="shared" si="103"/>
        <v>0</v>
      </c>
      <c r="N3611" s="108" t="s">
        <v>718</v>
      </c>
    </row>
    <row r="3612" spans="2:14" ht="23.25" customHeight="1">
      <c r="B3612" s="103" t="s">
        <v>308</v>
      </c>
      <c r="C3612" s="121" t="s">
        <v>730</v>
      </c>
      <c r="D3612" s="103" t="s">
        <v>411</v>
      </c>
      <c r="E3612" s="104">
        <v>46080</v>
      </c>
      <c r="F3612" s="105">
        <v>46083</v>
      </c>
      <c r="G3612" s="105">
        <v>46086</v>
      </c>
      <c r="H3612" s="170"/>
      <c r="I3612" s="106"/>
      <c r="J3612" s="107"/>
      <c r="K3612" s="107"/>
      <c r="L3612" s="107">
        <f>+K3612-((K3612*0.4566*0.125)+(K3612*(1-0.4566)*0.26))</f>
        <v>0</v>
      </c>
      <c r="M3612" s="107">
        <f t="shared" si="103"/>
        <v>0</v>
      </c>
      <c r="N3612" s="108" t="s">
        <v>718</v>
      </c>
    </row>
    <row r="3613" spans="2:14" ht="23.25" customHeight="1">
      <c r="B3613" s="103" t="s">
        <v>186</v>
      </c>
      <c r="C3613" s="122" t="s">
        <v>731</v>
      </c>
      <c r="D3613" s="103" t="s">
        <v>411</v>
      </c>
      <c r="E3613" s="104">
        <v>46080</v>
      </c>
      <c r="F3613" s="105">
        <v>46083</v>
      </c>
      <c r="G3613" s="105">
        <v>46086</v>
      </c>
      <c r="H3613" s="170"/>
      <c r="I3613" s="106"/>
      <c r="J3613" s="107"/>
      <c r="K3613" s="107"/>
      <c r="L3613" s="107">
        <f>+K3613-((K3613*0.4566*0.125)+(K3613*(1-0.4566)*0.26))</f>
        <v>0</v>
      </c>
      <c r="M3613" s="107">
        <f t="shared" si="103"/>
        <v>0</v>
      </c>
      <c r="N3613" s="108" t="s">
        <v>718</v>
      </c>
    </row>
    <row r="3614" spans="2:14" ht="23.25" customHeight="1">
      <c r="B3614" s="103" t="s">
        <v>194</v>
      </c>
      <c r="C3614" s="119" t="s">
        <v>732</v>
      </c>
      <c r="D3614" s="118" t="s">
        <v>411</v>
      </c>
      <c r="E3614" s="104">
        <v>46080</v>
      </c>
      <c r="F3614" s="105">
        <v>46083</v>
      </c>
      <c r="G3614" s="105">
        <v>46086</v>
      </c>
      <c r="H3614" s="120"/>
      <c r="I3614" s="106"/>
      <c r="J3614" s="107"/>
      <c r="K3614" s="107"/>
      <c r="L3614" s="107">
        <f>+K3614-((K3614*0.4566*0.125)+(K3614*(1-0.4566)*0.26))</f>
        <v>0</v>
      </c>
      <c r="M3614" s="107">
        <f t="shared" si="103"/>
        <v>0</v>
      </c>
      <c r="N3614" s="108" t="s">
        <v>718</v>
      </c>
    </row>
    <row r="3615" spans="2:14" ht="23.25" customHeight="1">
      <c r="B3615" s="103" t="s">
        <v>307</v>
      </c>
      <c r="C3615" s="121" t="s">
        <v>983</v>
      </c>
      <c r="D3615" s="103" t="s">
        <v>411</v>
      </c>
      <c r="E3615" s="104">
        <v>46080</v>
      </c>
      <c r="F3615" s="105">
        <v>46083</v>
      </c>
      <c r="G3615" s="105">
        <v>46086</v>
      </c>
      <c r="H3615" s="120"/>
      <c r="I3615" s="106"/>
      <c r="J3615" s="107"/>
      <c r="K3615" s="107"/>
      <c r="L3615" s="107">
        <f>+K3615-((K3615*0.6855*0.125)+(K3615*(1-0.6855)*0.26))</f>
        <v>0</v>
      </c>
      <c r="M3615" s="107">
        <f t="shared" si="103"/>
        <v>0</v>
      </c>
      <c r="N3615" s="108" t="s">
        <v>718</v>
      </c>
    </row>
    <row r="3616" spans="2:14" ht="23.25" customHeight="1">
      <c r="B3616" s="103" t="s">
        <v>185</v>
      </c>
      <c r="C3616" s="122" t="s">
        <v>985</v>
      </c>
      <c r="D3616" s="103" t="s">
        <v>411</v>
      </c>
      <c r="E3616" s="104">
        <v>46080</v>
      </c>
      <c r="F3616" s="105">
        <v>46083</v>
      </c>
      <c r="G3616" s="105">
        <v>46086</v>
      </c>
      <c r="H3616" s="120"/>
      <c r="I3616" s="106"/>
      <c r="J3616" s="107"/>
      <c r="K3616" s="107"/>
      <c r="L3616" s="107">
        <f>+K3616-((K3616*0.6855*0.125)+(K3616*(1-0.6855)*0.26))</f>
        <v>0</v>
      </c>
      <c r="M3616" s="107">
        <f t="shared" si="103"/>
        <v>0</v>
      </c>
      <c r="N3616" s="108" t="s">
        <v>718</v>
      </c>
    </row>
    <row r="3617" spans="2:14" ht="23.25" customHeight="1">
      <c r="B3617" s="103" t="s">
        <v>193</v>
      </c>
      <c r="C3617" s="119" t="s">
        <v>984</v>
      </c>
      <c r="D3617" s="118" t="s">
        <v>411</v>
      </c>
      <c r="E3617" s="104">
        <v>46080</v>
      </c>
      <c r="F3617" s="105">
        <v>46083</v>
      </c>
      <c r="G3617" s="105">
        <v>46086</v>
      </c>
      <c r="H3617" s="170"/>
      <c r="I3617" s="106"/>
      <c r="J3617" s="107"/>
      <c r="K3617" s="107"/>
      <c r="L3617" s="107">
        <f>+K3617-((K3617*0.6855*0.125)+(K3617*(1-0.6855)*0.26))</f>
        <v>0</v>
      </c>
      <c r="M3617" s="107">
        <f t="shared" si="103"/>
        <v>0</v>
      </c>
      <c r="N3617" s="108" t="s">
        <v>718</v>
      </c>
    </row>
    <row r="3618" spans="2:14" ht="23.25" customHeight="1">
      <c r="B3618" s="103" t="s">
        <v>309</v>
      </c>
      <c r="C3618" s="121" t="s">
        <v>736</v>
      </c>
      <c r="D3618" s="103" t="s">
        <v>411</v>
      </c>
      <c r="E3618" s="104">
        <v>46080</v>
      </c>
      <c r="F3618" s="105">
        <v>46083</v>
      </c>
      <c r="G3618" s="105">
        <v>46086</v>
      </c>
      <c r="H3618" s="170"/>
      <c r="I3618" s="106"/>
      <c r="J3618" s="107"/>
      <c r="K3618" s="107"/>
      <c r="L3618" s="107">
        <f>+K3618-((K3618*0.0269*0.125)+(K3618*(1-0.0269)*0.26))</f>
        <v>0</v>
      </c>
      <c r="M3618" s="107">
        <f t="shared" si="103"/>
        <v>0</v>
      </c>
      <c r="N3618" s="108" t="s">
        <v>718</v>
      </c>
    </row>
    <row r="3619" spans="2:14" ht="23.25" customHeight="1">
      <c r="B3619" s="103" t="s">
        <v>187</v>
      </c>
      <c r="C3619" s="122" t="s">
        <v>737</v>
      </c>
      <c r="D3619" s="103" t="s">
        <v>411</v>
      </c>
      <c r="E3619" s="104">
        <v>46080</v>
      </c>
      <c r="F3619" s="105">
        <v>46083</v>
      </c>
      <c r="G3619" s="105">
        <v>46086</v>
      </c>
      <c r="H3619" s="170"/>
      <c r="I3619" s="106"/>
      <c r="J3619" s="107"/>
      <c r="K3619" s="107"/>
      <c r="L3619" s="107">
        <f>+K3619-((K3619*0.0269*0.125)+(K3619*(1-0.0269)*0.26))</f>
        <v>0</v>
      </c>
      <c r="M3619" s="107">
        <f t="shared" si="103"/>
        <v>0</v>
      </c>
      <c r="N3619" s="108" t="s">
        <v>718</v>
      </c>
    </row>
    <row r="3620" spans="2:14" ht="23.25" customHeight="1">
      <c r="B3620" s="103" t="s">
        <v>195</v>
      </c>
      <c r="C3620" s="119" t="s">
        <v>738</v>
      </c>
      <c r="D3620" s="118" t="s">
        <v>411</v>
      </c>
      <c r="E3620" s="104">
        <v>46080</v>
      </c>
      <c r="F3620" s="105">
        <v>46083</v>
      </c>
      <c r="G3620" s="105">
        <v>46086</v>
      </c>
      <c r="H3620" s="120"/>
      <c r="I3620" s="106"/>
      <c r="J3620" s="107"/>
      <c r="K3620" s="107"/>
      <c r="L3620" s="107">
        <f>+K3620-((K3620*0.0269*0.125)+(K3620*(1-0.0269)*0.26))</f>
        <v>0</v>
      </c>
      <c r="M3620" s="107">
        <f t="shared" si="103"/>
        <v>0</v>
      </c>
      <c r="N3620" s="108" t="s">
        <v>718</v>
      </c>
    </row>
    <row r="3621" spans="2:14" ht="23.25" customHeight="1">
      <c r="B3621" s="103" t="s">
        <v>312</v>
      </c>
      <c r="C3621" s="121" t="s">
        <v>739</v>
      </c>
      <c r="D3621" s="103" t="s">
        <v>411</v>
      </c>
      <c r="E3621" s="104">
        <v>46080</v>
      </c>
      <c r="F3621" s="105">
        <v>46083</v>
      </c>
      <c r="G3621" s="105">
        <v>46086</v>
      </c>
      <c r="H3621" s="120"/>
      <c r="I3621" s="106"/>
      <c r="J3621" s="107"/>
      <c r="K3621" s="107"/>
      <c r="L3621" s="107">
        <f>+K3621-((K3621*0.0017*0.125)+(K3621*(1-0.0017)*0.26))</f>
        <v>0</v>
      </c>
      <c r="M3621" s="107">
        <f t="shared" si="103"/>
        <v>0</v>
      </c>
      <c r="N3621" s="108" t="s">
        <v>718</v>
      </c>
    </row>
    <row r="3622" spans="2:14" ht="23.25" customHeight="1">
      <c r="B3622" s="103" t="s">
        <v>190</v>
      </c>
      <c r="C3622" s="122" t="s">
        <v>740</v>
      </c>
      <c r="D3622" s="103" t="s">
        <v>411</v>
      </c>
      <c r="E3622" s="104">
        <v>46080</v>
      </c>
      <c r="F3622" s="105">
        <v>46083</v>
      </c>
      <c r="G3622" s="105">
        <v>46086</v>
      </c>
      <c r="H3622" s="120"/>
      <c r="I3622" s="106"/>
      <c r="J3622" s="107"/>
      <c r="K3622" s="107"/>
      <c r="L3622" s="107">
        <f>+K3622-((K3622*0.0017*0.125)+(K3622*(1-0.0017)*0.26))</f>
        <v>0</v>
      </c>
      <c r="M3622" s="107">
        <f t="shared" si="103"/>
        <v>0</v>
      </c>
      <c r="N3622" s="108" t="s">
        <v>718</v>
      </c>
    </row>
    <row r="3623" spans="2:14" ht="23.25" customHeight="1">
      <c r="B3623" s="103" t="s">
        <v>198</v>
      </c>
      <c r="C3623" s="119" t="s">
        <v>741</v>
      </c>
      <c r="D3623" s="118" t="s">
        <v>411</v>
      </c>
      <c r="E3623" s="104">
        <v>46080</v>
      </c>
      <c r="F3623" s="105">
        <v>46083</v>
      </c>
      <c r="G3623" s="105">
        <v>46086</v>
      </c>
      <c r="H3623" s="120"/>
      <c r="I3623" s="106"/>
      <c r="J3623" s="107"/>
      <c r="K3623" s="107"/>
      <c r="L3623" s="107">
        <f>+K3623-((K3623*0.0017*0.125)+(K3623*(1-0.0017)*0.26))</f>
        <v>0</v>
      </c>
      <c r="M3623" s="107">
        <f t="shared" si="103"/>
        <v>0</v>
      </c>
      <c r="N3623" s="108" t="s">
        <v>718</v>
      </c>
    </row>
    <row r="3624" spans="2:14" ht="23.25" customHeight="1">
      <c r="B3624" s="103" t="s">
        <v>313</v>
      </c>
      <c r="C3624" s="121" t="s">
        <v>884</v>
      </c>
      <c r="D3624" s="103" t="s">
        <v>411</v>
      </c>
      <c r="E3624" s="104">
        <v>46080</v>
      </c>
      <c r="F3624" s="105">
        <v>46083</v>
      </c>
      <c r="G3624" s="105">
        <v>46086</v>
      </c>
      <c r="H3624" s="174"/>
      <c r="I3624" s="106"/>
      <c r="J3624" s="107"/>
      <c r="K3624" s="107"/>
      <c r="L3624" s="107">
        <f>+K3624-((K3624*0.2804*0.125)+(K3624*(1-0.2804)*0.26))</f>
        <v>0</v>
      </c>
      <c r="M3624" s="107">
        <f t="shared" si="103"/>
        <v>0</v>
      </c>
      <c r="N3624" s="108" t="s">
        <v>718</v>
      </c>
    </row>
    <row r="3625" spans="2:14" ht="23.25" customHeight="1">
      <c r="B3625" s="103" t="s">
        <v>174</v>
      </c>
      <c r="C3625" s="119" t="s">
        <v>382</v>
      </c>
      <c r="D3625" s="118" t="s">
        <v>410</v>
      </c>
      <c r="E3625" s="104">
        <v>46111</v>
      </c>
      <c r="F3625" s="105">
        <v>46112</v>
      </c>
      <c r="G3625" s="105">
        <v>46115</v>
      </c>
      <c r="H3625" s="120"/>
      <c r="I3625" s="107"/>
      <c r="J3625" s="107"/>
      <c r="K3625" s="107"/>
      <c r="L3625" s="107">
        <f>+K3625-((K3625*0.0226*0.125)+(K3625*(1-0.0226)*0.26))</f>
        <v>0</v>
      </c>
      <c r="M3625" s="107">
        <f t="shared" si="103"/>
        <v>0</v>
      </c>
      <c r="N3625" s="108" t="s">
        <v>247</v>
      </c>
    </row>
    <row r="3626" spans="2:14" ht="23.25" customHeight="1">
      <c r="B3626" s="103" t="s">
        <v>176</v>
      </c>
      <c r="C3626" s="119" t="s">
        <v>877</v>
      </c>
      <c r="D3626" s="118" t="s">
        <v>410</v>
      </c>
      <c r="E3626" s="104">
        <v>46111</v>
      </c>
      <c r="F3626" s="105">
        <v>46112</v>
      </c>
      <c r="G3626" s="105">
        <v>46115</v>
      </c>
      <c r="H3626" s="120"/>
      <c r="I3626" s="107"/>
      <c r="J3626" s="107"/>
      <c r="K3626" s="107"/>
      <c r="L3626" s="107">
        <f>+K3626-((K3626*0.1741*0.125)+(K3626*(1-0.1741)*0.26))</f>
        <v>0</v>
      </c>
      <c r="M3626" s="107">
        <f t="shared" si="103"/>
        <v>0</v>
      </c>
      <c r="N3626" s="108" t="s">
        <v>247</v>
      </c>
    </row>
    <row r="3627" spans="2:14" ht="23.25" customHeight="1">
      <c r="B3627" s="103" t="s">
        <v>175</v>
      </c>
      <c r="C3627" s="119" t="s">
        <v>465</v>
      </c>
      <c r="D3627" s="118" t="s">
        <v>410</v>
      </c>
      <c r="E3627" s="104">
        <v>46111</v>
      </c>
      <c r="F3627" s="105">
        <v>46112</v>
      </c>
      <c r="G3627" s="105">
        <v>46115</v>
      </c>
      <c r="H3627" s="120"/>
      <c r="I3627" s="107"/>
      <c r="J3627" s="107"/>
      <c r="K3627" s="107"/>
      <c r="L3627" s="107">
        <f>+K3627-((K3627*0.042*0.125)+(K3627*(1-0.042)*0.26))</f>
        <v>0</v>
      </c>
      <c r="M3627" s="107">
        <f t="shared" si="103"/>
        <v>0</v>
      </c>
      <c r="N3627" s="108" t="s">
        <v>247</v>
      </c>
    </row>
    <row r="3628" spans="2:14" ht="23.25" customHeight="1">
      <c r="B3628" s="103" t="s">
        <v>310</v>
      </c>
      <c r="C3628" s="121" t="s">
        <v>719</v>
      </c>
      <c r="D3628" s="103" t="s">
        <v>411</v>
      </c>
      <c r="E3628" s="104">
        <v>46112</v>
      </c>
      <c r="F3628" s="105">
        <v>46113</v>
      </c>
      <c r="G3628" s="105">
        <v>46119</v>
      </c>
      <c r="H3628" s="120"/>
      <c r="I3628" s="106"/>
      <c r="J3628" s="107"/>
      <c r="K3628" s="107"/>
      <c r="L3628" s="107">
        <f>+K3628-((K3628*0.0611*0.125)+(K3628*(1-0.0611)*0.26))</f>
        <v>0</v>
      </c>
      <c r="M3628" s="107">
        <f t="shared" si="103"/>
        <v>0</v>
      </c>
      <c r="N3628" s="108" t="s">
        <v>718</v>
      </c>
    </row>
    <row r="3629" spans="2:14" ht="23.25" customHeight="1">
      <c r="B3629" s="103" t="s">
        <v>188</v>
      </c>
      <c r="C3629" s="122" t="s">
        <v>720</v>
      </c>
      <c r="D3629" s="103" t="s">
        <v>411</v>
      </c>
      <c r="E3629" s="104">
        <v>46112</v>
      </c>
      <c r="F3629" s="105">
        <v>46113</v>
      </c>
      <c r="G3629" s="105">
        <v>46119</v>
      </c>
      <c r="H3629" s="120"/>
      <c r="I3629" s="106"/>
      <c r="J3629" s="107"/>
      <c r="K3629" s="107"/>
      <c r="L3629" s="107">
        <f>+K3629-((K3629*0.0611*0.125)+(K3629*(1-0.0611)*0.26))</f>
        <v>0</v>
      </c>
      <c r="M3629" s="107">
        <f t="shared" si="103"/>
        <v>0</v>
      </c>
      <c r="N3629" s="108" t="s">
        <v>718</v>
      </c>
    </row>
    <row r="3630" spans="2:14" ht="23.25" customHeight="1">
      <c r="B3630" s="103" t="s">
        <v>196</v>
      </c>
      <c r="C3630" s="119" t="s">
        <v>721</v>
      </c>
      <c r="D3630" s="118" t="s">
        <v>411</v>
      </c>
      <c r="E3630" s="104">
        <v>46112</v>
      </c>
      <c r="F3630" s="105">
        <v>46113</v>
      </c>
      <c r="G3630" s="105">
        <v>46119</v>
      </c>
      <c r="H3630" s="120"/>
      <c r="I3630" s="106"/>
      <c r="J3630" s="107"/>
      <c r="K3630" s="107"/>
      <c r="L3630" s="107">
        <f>+K3630-((K3630*0.0611*0.125)+(K3630*(1-0.0611)*0.26))</f>
        <v>0</v>
      </c>
      <c r="M3630" s="107">
        <f t="shared" si="103"/>
        <v>0</v>
      </c>
      <c r="N3630" s="108" t="s">
        <v>718</v>
      </c>
    </row>
    <row r="3631" spans="2:14" ht="23.25" customHeight="1">
      <c r="B3631" s="103" t="s">
        <v>191</v>
      </c>
      <c r="C3631" s="122" t="s">
        <v>722</v>
      </c>
      <c r="D3631" s="103" t="s">
        <v>411</v>
      </c>
      <c r="E3631" s="104">
        <v>46112</v>
      </c>
      <c r="F3631" s="105">
        <v>46113</v>
      </c>
      <c r="G3631" s="105">
        <v>46119</v>
      </c>
      <c r="H3631" s="120"/>
      <c r="I3631" s="106"/>
      <c r="J3631" s="107"/>
      <c r="K3631" s="107"/>
      <c r="L3631" s="107">
        <f>+K3631-((K3631*0.8427*0.125)+(K3631*(1-0.8427)*0.26))</f>
        <v>0</v>
      </c>
      <c r="M3631" s="107">
        <f t="shared" si="103"/>
        <v>0</v>
      </c>
      <c r="N3631" s="108" t="s">
        <v>718</v>
      </c>
    </row>
    <row r="3632" spans="2:14" ht="23.25" customHeight="1">
      <c r="B3632" s="103" t="s">
        <v>199</v>
      </c>
      <c r="C3632" s="119" t="s">
        <v>723</v>
      </c>
      <c r="D3632" s="118" t="s">
        <v>411</v>
      </c>
      <c r="E3632" s="104">
        <v>46112</v>
      </c>
      <c r="F3632" s="105">
        <v>46113</v>
      </c>
      <c r="G3632" s="105">
        <v>46119</v>
      </c>
      <c r="H3632" s="170"/>
      <c r="I3632" s="106"/>
      <c r="J3632" s="107"/>
      <c r="K3632" s="107"/>
      <c r="L3632" s="107">
        <f>+K3632-((K3632*0.8427*0.125)+(K3632*(1-0.8427)*0.26))</f>
        <v>0</v>
      </c>
      <c r="M3632" s="107">
        <f t="shared" si="103"/>
        <v>0</v>
      </c>
      <c r="N3632" s="108" t="s">
        <v>718</v>
      </c>
    </row>
    <row r="3633" spans="2:14" ht="23.25" customHeight="1">
      <c r="B3633" s="103" t="s">
        <v>306</v>
      </c>
      <c r="C3633" s="121" t="s">
        <v>724</v>
      </c>
      <c r="D3633" s="103" t="s">
        <v>411</v>
      </c>
      <c r="E3633" s="104">
        <v>46112</v>
      </c>
      <c r="F3633" s="105">
        <v>46113</v>
      </c>
      <c r="G3633" s="105">
        <v>46119</v>
      </c>
      <c r="H3633" s="170"/>
      <c r="I3633" s="106"/>
      <c r="J3633" s="107"/>
      <c r="K3633" s="107"/>
      <c r="L3633" s="107">
        <f>+K3633-((K3633*0.0002*0.125)+(K3633*(1-0.0002)*0.26))</f>
        <v>0</v>
      </c>
      <c r="M3633" s="107">
        <f t="shared" si="103"/>
        <v>0</v>
      </c>
      <c r="N3633" s="108" t="s">
        <v>718</v>
      </c>
    </row>
    <row r="3634" spans="2:14" ht="23.25" customHeight="1">
      <c r="B3634" s="103" t="s">
        <v>184</v>
      </c>
      <c r="C3634" s="122" t="s">
        <v>725</v>
      </c>
      <c r="D3634" s="103" t="s">
        <v>411</v>
      </c>
      <c r="E3634" s="104">
        <v>46112</v>
      </c>
      <c r="F3634" s="105">
        <v>46113</v>
      </c>
      <c r="G3634" s="105">
        <v>46119</v>
      </c>
      <c r="H3634" s="170"/>
      <c r="I3634" s="106"/>
      <c r="J3634" s="107"/>
      <c r="K3634" s="107"/>
      <c r="L3634" s="107">
        <f>+K3634-((K3634*0.0002*0.125)+(K3634*(1-0.0002)*0.26))</f>
        <v>0</v>
      </c>
      <c r="M3634" s="107">
        <f t="shared" si="103"/>
        <v>0</v>
      </c>
      <c r="N3634" s="108" t="s">
        <v>718</v>
      </c>
    </row>
    <row r="3635" spans="2:14" ht="23.25" customHeight="1">
      <c r="B3635" s="103" t="s">
        <v>192</v>
      </c>
      <c r="C3635" s="119" t="s">
        <v>726</v>
      </c>
      <c r="D3635" s="118" t="s">
        <v>411</v>
      </c>
      <c r="E3635" s="104">
        <v>46112</v>
      </c>
      <c r="F3635" s="105">
        <v>46113</v>
      </c>
      <c r="G3635" s="105">
        <v>46119</v>
      </c>
      <c r="H3635" s="170"/>
      <c r="I3635" s="106"/>
      <c r="J3635" s="107"/>
      <c r="K3635" s="107"/>
      <c r="L3635" s="107">
        <f>+K3635-((K3635*0.0002*0.125)+(K3635*(1-0.0002)*0.26))</f>
        <v>0</v>
      </c>
      <c r="M3635" s="107">
        <f t="shared" si="103"/>
        <v>0</v>
      </c>
      <c r="N3635" s="108" t="s">
        <v>718</v>
      </c>
    </row>
    <row r="3636" spans="2:14" ht="23.25" customHeight="1">
      <c r="B3636" s="103" t="s">
        <v>311</v>
      </c>
      <c r="C3636" s="121" t="s">
        <v>727</v>
      </c>
      <c r="D3636" s="103" t="s">
        <v>411</v>
      </c>
      <c r="E3636" s="104">
        <v>46112</v>
      </c>
      <c r="F3636" s="105">
        <v>46113</v>
      </c>
      <c r="G3636" s="105">
        <v>46119</v>
      </c>
      <c r="H3636" s="170"/>
      <c r="I3636" s="106"/>
      <c r="J3636" s="107"/>
      <c r="K3636" s="107"/>
      <c r="L3636" s="107">
        <f>+K3636-((K3636*0.0001*0.125)+(K3636*(1-0.0001)*0.26))</f>
        <v>0</v>
      </c>
      <c r="M3636" s="107">
        <f t="shared" si="103"/>
        <v>0</v>
      </c>
      <c r="N3636" s="108" t="s">
        <v>718</v>
      </c>
    </row>
    <row r="3637" spans="2:14" ht="23.25" customHeight="1">
      <c r="B3637" s="103" t="s">
        <v>189</v>
      </c>
      <c r="C3637" s="122" t="s">
        <v>728</v>
      </c>
      <c r="D3637" s="103" t="s">
        <v>411</v>
      </c>
      <c r="E3637" s="104">
        <v>46112</v>
      </c>
      <c r="F3637" s="105">
        <v>46113</v>
      </c>
      <c r="G3637" s="105">
        <v>46119</v>
      </c>
      <c r="H3637" s="170"/>
      <c r="I3637" s="106"/>
      <c r="J3637" s="107"/>
      <c r="K3637" s="107"/>
      <c r="L3637" s="107">
        <f>+K3637-((K3637*0.0001*0.125)+(K3637*(1-0.0001)*0.26))</f>
        <v>0</v>
      </c>
      <c r="M3637" s="107">
        <f t="shared" si="103"/>
        <v>0</v>
      </c>
      <c r="N3637" s="108" t="s">
        <v>718</v>
      </c>
    </row>
    <row r="3638" spans="2:14" ht="23.25" customHeight="1">
      <c r="B3638" s="103" t="s">
        <v>197</v>
      </c>
      <c r="C3638" s="119" t="s">
        <v>729</v>
      </c>
      <c r="D3638" s="118" t="s">
        <v>411</v>
      </c>
      <c r="E3638" s="104">
        <v>46112</v>
      </c>
      <c r="F3638" s="105">
        <v>46113</v>
      </c>
      <c r="G3638" s="105">
        <v>46119</v>
      </c>
      <c r="H3638" s="120"/>
      <c r="I3638" s="106"/>
      <c r="J3638" s="107"/>
      <c r="K3638" s="107"/>
      <c r="L3638" s="107">
        <f>+K3638-((K3638*0.0001*0.125)+(K3638*(1-0.0001)*0.26))</f>
        <v>0</v>
      </c>
      <c r="M3638" s="107">
        <f t="shared" si="103"/>
        <v>0</v>
      </c>
      <c r="N3638" s="108" t="s">
        <v>718</v>
      </c>
    </row>
    <row r="3639" spans="2:14" ht="23.25" customHeight="1">
      <c r="B3639" s="103" t="s">
        <v>308</v>
      </c>
      <c r="C3639" s="121" t="s">
        <v>730</v>
      </c>
      <c r="D3639" s="103" t="s">
        <v>411</v>
      </c>
      <c r="E3639" s="104">
        <v>46112</v>
      </c>
      <c r="F3639" s="105">
        <v>46113</v>
      </c>
      <c r="G3639" s="105">
        <v>46119</v>
      </c>
      <c r="H3639" s="120"/>
      <c r="I3639" s="106"/>
      <c r="J3639" s="107"/>
      <c r="K3639" s="107"/>
      <c r="L3639" s="107">
        <f>+K3639-((K3639*0.4566*0.125)+(K3639*(1-0.4566)*0.26))</f>
        <v>0</v>
      </c>
      <c r="M3639" s="107">
        <f t="shared" si="103"/>
        <v>0</v>
      </c>
      <c r="N3639" s="108" t="s">
        <v>718</v>
      </c>
    </row>
    <row r="3640" spans="2:14" ht="23.25" customHeight="1">
      <c r="B3640" s="103" t="s">
        <v>186</v>
      </c>
      <c r="C3640" s="122" t="s">
        <v>731</v>
      </c>
      <c r="D3640" s="103" t="s">
        <v>411</v>
      </c>
      <c r="E3640" s="104">
        <v>46112</v>
      </c>
      <c r="F3640" s="105">
        <v>46113</v>
      </c>
      <c r="G3640" s="105">
        <v>46119</v>
      </c>
      <c r="H3640" s="120"/>
      <c r="I3640" s="106"/>
      <c r="J3640" s="107"/>
      <c r="K3640" s="107"/>
      <c r="L3640" s="107">
        <f>+K3640-((K3640*0.4566*0.125)+(K3640*(1-0.4566)*0.26))</f>
        <v>0</v>
      </c>
      <c r="M3640" s="107">
        <f t="shared" si="103"/>
        <v>0</v>
      </c>
      <c r="N3640" s="108" t="s">
        <v>718</v>
      </c>
    </row>
    <row r="3641" spans="2:14" ht="23.25" customHeight="1">
      <c r="B3641" s="103" t="s">
        <v>194</v>
      </c>
      <c r="C3641" s="119" t="s">
        <v>732</v>
      </c>
      <c r="D3641" s="118" t="s">
        <v>411</v>
      </c>
      <c r="E3641" s="104">
        <v>46112</v>
      </c>
      <c r="F3641" s="105">
        <v>46113</v>
      </c>
      <c r="G3641" s="105">
        <v>46119</v>
      </c>
      <c r="H3641" s="170"/>
      <c r="I3641" s="106"/>
      <c r="J3641" s="107"/>
      <c r="K3641" s="107"/>
      <c r="L3641" s="107">
        <f>+K3641-((K3641*0.4566*0.125)+(K3641*(1-0.4566)*0.26))</f>
        <v>0</v>
      </c>
      <c r="M3641" s="107">
        <f t="shared" ref="M3641:M3651" si="104">J3641+L3641</f>
        <v>0</v>
      </c>
      <c r="N3641" s="108" t="s">
        <v>718</v>
      </c>
    </row>
    <row r="3642" spans="2:14" ht="23.25" customHeight="1">
      <c r="B3642" s="103" t="s">
        <v>307</v>
      </c>
      <c r="C3642" s="121" t="s">
        <v>983</v>
      </c>
      <c r="D3642" s="103" t="s">
        <v>411</v>
      </c>
      <c r="E3642" s="104">
        <v>46112</v>
      </c>
      <c r="F3642" s="105">
        <v>46113</v>
      </c>
      <c r="G3642" s="105">
        <v>46119</v>
      </c>
      <c r="H3642" s="170"/>
      <c r="I3642" s="106"/>
      <c r="J3642" s="107"/>
      <c r="K3642" s="107"/>
      <c r="L3642" s="107">
        <f>+K3642-((K3642*0.6855*0.125)+(K3642*(1-0.6855)*0.26))</f>
        <v>0</v>
      </c>
      <c r="M3642" s="107">
        <f t="shared" si="104"/>
        <v>0</v>
      </c>
      <c r="N3642" s="108" t="s">
        <v>718</v>
      </c>
    </row>
    <row r="3643" spans="2:14" ht="23.25" customHeight="1">
      <c r="B3643" s="103" t="s">
        <v>185</v>
      </c>
      <c r="C3643" s="122" t="s">
        <v>985</v>
      </c>
      <c r="D3643" s="103" t="s">
        <v>411</v>
      </c>
      <c r="E3643" s="104">
        <v>46112</v>
      </c>
      <c r="F3643" s="105">
        <v>46113</v>
      </c>
      <c r="G3643" s="105">
        <v>46119</v>
      </c>
      <c r="H3643" s="170"/>
      <c r="I3643" s="106"/>
      <c r="J3643" s="107"/>
      <c r="K3643" s="107"/>
      <c r="L3643" s="107">
        <f>+K3643-((K3643*0.6855*0.125)+(K3643*(1-0.6855)*0.26))</f>
        <v>0</v>
      </c>
      <c r="M3643" s="107">
        <f t="shared" si="104"/>
        <v>0</v>
      </c>
      <c r="N3643" s="108" t="s">
        <v>718</v>
      </c>
    </row>
    <row r="3644" spans="2:14" ht="23.25" customHeight="1">
      <c r="B3644" s="103" t="s">
        <v>193</v>
      </c>
      <c r="C3644" s="119" t="s">
        <v>984</v>
      </c>
      <c r="D3644" s="118" t="s">
        <v>411</v>
      </c>
      <c r="E3644" s="104">
        <v>46112</v>
      </c>
      <c r="F3644" s="105">
        <v>46113</v>
      </c>
      <c r="G3644" s="105">
        <v>46119</v>
      </c>
      <c r="H3644" s="120"/>
      <c r="I3644" s="106"/>
      <c r="J3644" s="107"/>
      <c r="K3644" s="107"/>
      <c r="L3644" s="107">
        <f>+K3644-((K3644*0.6855*0.125)+(K3644*(1-0.6855)*0.26))</f>
        <v>0</v>
      </c>
      <c r="M3644" s="107">
        <f t="shared" si="104"/>
        <v>0</v>
      </c>
      <c r="N3644" s="108" t="s">
        <v>718</v>
      </c>
    </row>
    <row r="3645" spans="2:14" ht="23.25" customHeight="1">
      <c r="B3645" s="103" t="s">
        <v>309</v>
      </c>
      <c r="C3645" s="121" t="s">
        <v>736</v>
      </c>
      <c r="D3645" s="103" t="s">
        <v>411</v>
      </c>
      <c r="E3645" s="104">
        <v>46112</v>
      </c>
      <c r="F3645" s="105">
        <v>46113</v>
      </c>
      <c r="G3645" s="105">
        <v>46119</v>
      </c>
      <c r="H3645" s="120"/>
      <c r="I3645" s="106"/>
      <c r="J3645" s="107"/>
      <c r="K3645" s="107"/>
      <c r="L3645" s="107">
        <f>+K3645-((K3645*0.0269*0.125)+(K3645*(1-0.0269)*0.26))</f>
        <v>0</v>
      </c>
      <c r="M3645" s="107">
        <f t="shared" si="104"/>
        <v>0</v>
      </c>
      <c r="N3645" s="108" t="s">
        <v>718</v>
      </c>
    </row>
    <row r="3646" spans="2:14" ht="23.25" customHeight="1">
      <c r="B3646" s="103" t="s">
        <v>187</v>
      </c>
      <c r="C3646" s="122" t="s">
        <v>737</v>
      </c>
      <c r="D3646" s="103" t="s">
        <v>411</v>
      </c>
      <c r="E3646" s="104">
        <v>46112</v>
      </c>
      <c r="F3646" s="105">
        <v>46113</v>
      </c>
      <c r="G3646" s="105">
        <v>46119</v>
      </c>
      <c r="H3646" s="120"/>
      <c r="I3646" s="106"/>
      <c r="J3646" s="107"/>
      <c r="K3646" s="107"/>
      <c r="L3646" s="107">
        <f>+K3646-((K3646*0.0269*0.125)+(K3646*(1-0.0269)*0.26))</f>
        <v>0</v>
      </c>
      <c r="M3646" s="107">
        <f t="shared" si="104"/>
        <v>0</v>
      </c>
      <c r="N3646" s="108" t="s">
        <v>718</v>
      </c>
    </row>
    <row r="3647" spans="2:14" ht="23.25" customHeight="1">
      <c r="B3647" s="103" t="s">
        <v>195</v>
      </c>
      <c r="C3647" s="119" t="s">
        <v>738</v>
      </c>
      <c r="D3647" s="118" t="s">
        <v>411</v>
      </c>
      <c r="E3647" s="104">
        <v>46112</v>
      </c>
      <c r="F3647" s="105">
        <v>46113</v>
      </c>
      <c r="G3647" s="105">
        <v>46119</v>
      </c>
      <c r="H3647" s="120"/>
      <c r="I3647" s="106"/>
      <c r="J3647" s="107"/>
      <c r="K3647" s="107"/>
      <c r="L3647" s="107">
        <f>+K3647-((K3647*0.0269*0.125)+(K3647*(1-0.0269)*0.26))</f>
        <v>0</v>
      </c>
      <c r="M3647" s="107">
        <f t="shared" si="104"/>
        <v>0</v>
      </c>
      <c r="N3647" s="108" t="s">
        <v>718</v>
      </c>
    </row>
    <row r="3648" spans="2:14" ht="23.25" customHeight="1">
      <c r="B3648" s="103" t="s">
        <v>312</v>
      </c>
      <c r="C3648" s="121" t="s">
        <v>739</v>
      </c>
      <c r="D3648" s="103" t="s">
        <v>411</v>
      </c>
      <c r="E3648" s="104">
        <v>46112</v>
      </c>
      <c r="F3648" s="105">
        <v>46113</v>
      </c>
      <c r="G3648" s="105">
        <v>46119</v>
      </c>
      <c r="H3648" s="120"/>
      <c r="I3648" s="106"/>
      <c r="J3648" s="107"/>
      <c r="K3648" s="107"/>
      <c r="L3648" s="107">
        <f>+K3648-((K3648*0.0017*0.125)+(K3648*(1-0.0017)*0.26))</f>
        <v>0</v>
      </c>
      <c r="M3648" s="107">
        <f t="shared" si="104"/>
        <v>0</v>
      </c>
      <c r="N3648" s="108" t="s">
        <v>718</v>
      </c>
    </row>
    <row r="3649" spans="2:14" ht="23.25" customHeight="1">
      <c r="B3649" s="103" t="s">
        <v>190</v>
      </c>
      <c r="C3649" s="122" t="s">
        <v>740</v>
      </c>
      <c r="D3649" s="103" t="s">
        <v>411</v>
      </c>
      <c r="E3649" s="104">
        <v>46112</v>
      </c>
      <c r="F3649" s="105">
        <v>46113</v>
      </c>
      <c r="G3649" s="105">
        <v>46119</v>
      </c>
      <c r="H3649" s="120"/>
      <c r="I3649" s="106"/>
      <c r="J3649" s="107"/>
      <c r="K3649" s="107"/>
      <c r="L3649" s="107">
        <f>+K3649-((K3649*0.0017*0.125)+(K3649*(1-0.0017)*0.26))</f>
        <v>0</v>
      </c>
      <c r="M3649" s="107">
        <f t="shared" si="104"/>
        <v>0</v>
      </c>
      <c r="N3649" s="108" t="s">
        <v>718</v>
      </c>
    </row>
    <row r="3650" spans="2:14" ht="23.25" customHeight="1">
      <c r="B3650" s="103" t="s">
        <v>198</v>
      </c>
      <c r="C3650" s="119" t="s">
        <v>741</v>
      </c>
      <c r="D3650" s="118" t="s">
        <v>411</v>
      </c>
      <c r="E3650" s="104">
        <v>46112</v>
      </c>
      <c r="F3650" s="105">
        <v>46113</v>
      </c>
      <c r="G3650" s="105">
        <v>46119</v>
      </c>
      <c r="H3650" s="120"/>
      <c r="I3650" s="106"/>
      <c r="J3650" s="107"/>
      <c r="K3650" s="107"/>
      <c r="L3650" s="107">
        <f>+K3650-((K3650*0.0017*0.125)+(K3650*(1-0.0017)*0.26))</f>
        <v>0</v>
      </c>
      <c r="M3650" s="107">
        <f t="shared" si="104"/>
        <v>0</v>
      </c>
      <c r="N3650" s="108" t="s">
        <v>718</v>
      </c>
    </row>
    <row r="3651" spans="2:14" ht="23.25" customHeight="1">
      <c r="B3651" s="103" t="s">
        <v>313</v>
      </c>
      <c r="C3651" s="121" t="s">
        <v>884</v>
      </c>
      <c r="D3651" s="103" t="s">
        <v>411</v>
      </c>
      <c r="E3651" s="104">
        <v>46112</v>
      </c>
      <c r="F3651" s="105">
        <v>46113</v>
      </c>
      <c r="G3651" s="105">
        <v>46119</v>
      </c>
      <c r="H3651" s="174"/>
      <c r="I3651" s="106"/>
      <c r="J3651" s="107"/>
      <c r="K3651" s="107"/>
      <c r="L3651" s="107">
        <f>+K3651-((K3651*0.2804*0.125)+(K3651*(1-0.2804)*0.26))</f>
        <v>0</v>
      </c>
      <c r="M3651" s="107">
        <f t="shared" si="104"/>
        <v>0</v>
      </c>
      <c r="N3651" s="108" t="s">
        <v>718</v>
      </c>
    </row>
    <row r="3652" spans="2:14" ht="23.25" customHeight="1">
      <c r="B3652" s="103" t="s">
        <v>298</v>
      </c>
      <c r="C3652" s="121" t="s">
        <v>403</v>
      </c>
      <c r="D3652" s="103" t="s">
        <v>410</v>
      </c>
      <c r="E3652" s="104">
        <v>46112</v>
      </c>
      <c r="F3652" s="105">
        <v>46113</v>
      </c>
      <c r="G3652" s="105">
        <v>46119</v>
      </c>
      <c r="H3652" s="120"/>
      <c r="I3652" s="107"/>
      <c r="J3652" s="107"/>
      <c r="K3652" s="107"/>
      <c r="L3652" s="107">
        <f>+K3652-((K3652*0.5114*0.125)+(K3652*(1-0.5114)*0.26))</f>
        <v>0</v>
      </c>
      <c r="M3652" s="107">
        <v>0</v>
      </c>
      <c r="N3652" s="108" t="s">
        <v>248</v>
      </c>
    </row>
    <row r="3653" spans="2:14" ht="23.25" customHeight="1">
      <c r="B3653" s="103" t="s">
        <v>181</v>
      </c>
      <c r="C3653" s="122" t="s">
        <v>335</v>
      </c>
      <c r="D3653" s="103" t="s">
        <v>410</v>
      </c>
      <c r="E3653" s="104">
        <v>46112</v>
      </c>
      <c r="F3653" s="105">
        <v>46113</v>
      </c>
      <c r="G3653" s="105">
        <v>46119</v>
      </c>
      <c r="H3653" s="120"/>
      <c r="I3653" s="107"/>
      <c r="J3653" s="107"/>
      <c r="K3653" s="107"/>
      <c r="L3653" s="107">
        <f>+K3653-((K3653*0.5114*0.125)+(K3653*(1-0.5114)*0.26))</f>
        <v>0</v>
      </c>
      <c r="M3653" s="107">
        <v>0</v>
      </c>
      <c r="N3653" s="108" t="s">
        <v>248</v>
      </c>
    </row>
    <row r="3654" spans="2:14" ht="23.25" customHeight="1">
      <c r="B3654" s="103" t="s">
        <v>201</v>
      </c>
      <c r="C3654" s="119" t="s">
        <v>336</v>
      </c>
      <c r="D3654" s="103" t="s">
        <v>410</v>
      </c>
      <c r="E3654" s="104">
        <v>46112</v>
      </c>
      <c r="F3654" s="105">
        <v>46113</v>
      </c>
      <c r="G3654" s="105">
        <v>46119</v>
      </c>
      <c r="H3654" s="120"/>
      <c r="I3654" s="107"/>
      <c r="J3654" s="107"/>
      <c r="K3654" s="107"/>
      <c r="L3654" s="107">
        <f>+K3654-((K3654*0.5114*0.125)+(K3654*(1-0.5114)*0.26))</f>
        <v>0</v>
      </c>
      <c r="M3654" s="107">
        <v>0</v>
      </c>
      <c r="N3654" s="108" t="s">
        <v>248</v>
      </c>
    </row>
    <row r="3655" spans="2:14" ht="23.25" customHeight="1">
      <c r="B3655" s="103" t="s">
        <v>138</v>
      </c>
      <c r="C3655" s="121" t="s">
        <v>337</v>
      </c>
      <c r="D3655" s="103" t="s">
        <v>410</v>
      </c>
      <c r="E3655" s="104">
        <v>46112</v>
      </c>
      <c r="F3655" s="105">
        <v>46113</v>
      </c>
      <c r="G3655" s="105">
        <v>46119</v>
      </c>
      <c r="H3655" s="120"/>
      <c r="I3655" s="107"/>
      <c r="J3655" s="107"/>
      <c r="K3655" s="107"/>
      <c r="L3655" s="107">
        <f>+K3655-((K3655*0.4127*0.125)+(K3655*(1-0.4127)*0.26))</f>
        <v>0</v>
      </c>
      <c r="M3655" s="107">
        <v>0</v>
      </c>
      <c r="N3655" s="108" t="s">
        <v>248</v>
      </c>
    </row>
    <row r="3656" spans="2:14" ht="23.25" customHeight="1">
      <c r="B3656" s="103" t="s">
        <v>160</v>
      </c>
      <c r="C3656" s="122" t="s">
        <v>338</v>
      </c>
      <c r="D3656" s="103" t="s">
        <v>410</v>
      </c>
      <c r="E3656" s="104">
        <v>46112</v>
      </c>
      <c r="F3656" s="105">
        <v>46113</v>
      </c>
      <c r="G3656" s="105">
        <v>46119</v>
      </c>
      <c r="H3656" s="170"/>
      <c r="I3656" s="107"/>
      <c r="J3656" s="107"/>
      <c r="K3656" s="107"/>
      <c r="L3656" s="107">
        <f>+K3656-((K3656*0.4127*0.125)+(K3656*(1-0.4127)*0.26))</f>
        <v>0</v>
      </c>
      <c r="M3656" s="107">
        <v>0</v>
      </c>
      <c r="N3656" s="108" t="s">
        <v>248</v>
      </c>
    </row>
    <row r="3657" spans="2:14" ht="23.25" customHeight="1">
      <c r="B3657" s="103" t="s">
        <v>300</v>
      </c>
      <c r="C3657" s="121" t="s">
        <v>404</v>
      </c>
      <c r="D3657" s="103" t="s">
        <v>410</v>
      </c>
      <c r="E3657" s="104">
        <v>46112</v>
      </c>
      <c r="F3657" s="105">
        <v>46113</v>
      </c>
      <c r="G3657" s="105">
        <v>46119</v>
      </c>
      <c r="H3657" s="170"/>
      <c r="I3657" s="107"/>
      <c r="J3657" s="107"/>
      <c r="K3657" s="107"/>
      <c r="L3657" s="107">
        <f>+K3657-((K3657*0.4127*0.125)+(K3657*(1-0.4127)*0.26))</f>
        <v>0</v>
      </c>
      <c r="M3657" s="107">
        <v>0</v>
      </c>
      <c r="N3657" s="108" t="s">
        <v>248</v>
      </c>
    </row>
    <row r="3658" spans="2:14" ht="23.25" customHeight="1">
      <c r="B3658" s="103" t="s">
        <v>142</v>
      </c>
      <c r="C3658" s="121" t="s">
        <v>341</v>
      </c>
      <c r="D3658" s="103" t="s">
        <v>410</v>
      </c>
      <c r="E3658" s="104">
        <v>46112</v>
      </c>
      <c r="F3658" s="105">
        <v>46113</v>
      </c>
      <c r="G3658" s="105">
        <v>46119</v>
      </c>
      <c r="H3658" s="170"/>
      <c r="I3658" s="107"/>
      <c r="J3658" s="107"/>
      <c r="K3658" s="107"/>
      <c r="L3658" s="107">
        <f>+K3658-((K3658*0.0273*0.125)+(K3658*(1-0.0273)*0.26))</f>
        <v>0</v>
      </c>
      <c r="M3658" s="107">
        <v>0</v>
      </c>
      <c r="N3658" s="108" t="s">
        <v>248</v>
      </c>
    </row>
    <row r="3659" spans="2:14" ht="23.25" customHeight="1">
      <c r="B3659" s="103" t="s">
        <v>159</v>
      </c>
      <c r="C3659" s="122" t="s">
        <v>342</v>
      </c>
      <c r="D3659" s="103" t="s">
        <v>410</v>
      </c>
      <c r="E3659" s="104">
        <v>46112</v>
      </c>
      <c r="F3659" s="105">
        <v>46113</v>
      </c>
      <c r="G3659" s="105">
        <v>46119</v>
      </c>
      <c r="H3659" s="170"/>
      <c r="I3659" s="107"/>
      <c r="J3659" s="107"/>
      <c r="K3659" s="107"/>
      <c r="L3659" s="107">
        <f>+K3659-((K3659*0.0273*0.125)+(K3659*(1-0.0273)*0.26))</f>
        <v>0</v>
      </c>
      <c r="M3659" s="107">
        <v>0</v>
      </c>
      <c r="N3659" s="108" t="s">
        <v>248</v>
      </c>
    </row>
    <row r="3660" spans="2:14" ht="23.25" customHeight="1">
      <c r="B3660" s="103" t="s">
        <v>507</v>
      </c>
      <c r="C3660" s="122" t="s">
        <v>508</v>
      </c>
      <c r="D3660" s="103" t="s">
        <v>410</v>
      </c>
      <c r="E3660" s="104">
        <v>46112</v>
      </c>
      <c r="F3660" s="105">
        <v>46113</v>
      </c>
      <c r="G3660" s="105">
        <v>46119</v>
      </c>
      <c r="H3660" s="170"/>
      <c r="I3660" s="107"/>
      <c r="J3660" s="107"/>
      <c r="K3660" s="107"/>
      <c r="L3660" s="107">
        <f>+K3660-((K3660*0.0273*0.125)+(K3660*(1-0.0273)*0.26))</f>
        <v>0</v>
      </c>
      <c r="M3660" s="107">
        <v>0</v>
      </c>
      <c r="N3660" s="118" t="s">
        <v>248</v>
      </c>
    </row>
    <row r="3661" spans="2:14" ht="23.25" customHeight="1">
      <c r="B3661" s="103" t="s">
        <v>139</v>
      </c>
      <c r="C3661" s="121" t="s">
        <v>344</v>
      </c>
      <c r="D3661" s="103" t="s">
        <v>410</v>
      </c>
      <c r="E3661" s="104">
        <v>46112</v>
      </c>
      <c r="F3661" s="105">
        <v>46113</v>
      </c>
      <c r="G3661" s="105">
        <v>46119</v>
      </c>
      <c r="H3661" s="170"/>
      <c r="I3661" s="107"/>
      <c r="J3661" s="107"/>
      <c r="K3661" s="107"/>
      <c r="L3661" s="107">
        <f>+K3661-((K3661*0.8427*0.125)+(K3661*(1-0.8427)*0.26))</f>
        <v>0</v>
      </c>
      <c r="M3661" s="107">
        <v>0</v>
      </c>
      <c r="N3661" s="108" t="s">
        <v>248</v>
      </c>
    </row>
    <row r="3662" spans="2:14" ht="23.25" customHeight="1">
      <c r="B3662" s="103" t="s">
        <v>161</v>
      </c>
      <c r="C3662" s="122" t="s">
        <v>345</v>
      </c>
      <c r="D3662" s="103" t="s">
        <v>410</v>
      </c>
      <c r="E3662" s="104">
        <v>46112</v>
      </c>
      <c r="F3662" s="105">
        <v>46113</v>
      </c>
      <c r="G3662" s="105">
        <v>46119</v>
      </c>
      <c r="H3662" s="120"/>
      <c r="I3662" s="107"/>
      <c r="J3662" s="107"/>
      <c r="K3662" s="107"/>
      <c r="L3662" s="107">
        <f>+K3662-((K3662*0.8427*0.125)+(K3662*(1-0.8427)*0.26))</f>
        <v>0</v>
      </c>
      <c r="M3662" s="107">
        <v>0</v>
      </c>
      <c r="N3662" s="108" t="s">
        <v>248</v>
      </c>
    </row>
    <row r="3663" spans="2:14" ht="23.25" customHeight="1">
      <c r="B3663" s="103" t="s">
        <v>141</v>
      </c>
      <c r="C3663" s="121" t="s">
        <v>348</v>
      </c>
      <c r="D3663" s="103" t="s">
        <v>410</v>
      </c>
      <c r="E3663" s="104">
        <v>46112</v>
      </c>
      <c r="F3663" s="105">
        <v>46113</v>
      </c>
      <c r="G3663" s="105">
        <v>46119</v>
      </c>
      <c r="H3663" s="120"/>
      <c r="I3663" s="107"/>
      <c r="J3663" s="107"/>
      <c r="K3663" s="107"/>
      <c r="L3663" s="107">
        <f>+K3663-((K3663*0.0952*0.125)+(K3663*(1-0.0952)*0.26))</f>
        <v>0</v>
      </c>
      <c r="M3663" s="107">
        <v>0</v>
      </c>
      <c r="N3663" s="108" t="s">
        <v>248</v>
      </c>
    </row>
    <row r="3664" spans="2:14" ht="23.25" customHeight="1">
      <c r="B3664" s="103" t="s">
        <v>140</v>
      </c>
      <c r="C3664" s="121" t="s">
        <v>349</v>
      </c>
      <c r="D3664" s="103" t="s">
        <v>410</v>
      </c>
      <c r="E3664" s="104">
        <v>46112</v>
      </c>
      <c r="F3664" s="105">
        <v>46113</v>
      </c>
      <c r="G3664" s="105">
        <v>46119</v>
      </c>
      <c r="H3664" s="120"/>
      <c r="I3664" s="107"/>
      <c r="J3664" s="107"/>
      <c r="K3664" s="107"/>
      <c r="L3664" s="107">
        <f>+K3664-((K3664*0.0952*0.125)+(K3664*(1-0.0952)*0.26))</f>
        <v>0</v>
      </c>
      <c r="M3664" s="107">
        <v>0</v>
      </c>
      <c r="N3664" s="108" t="s">
        <v>248</v>
      </c>
    </row>
    <row r="3665" spans="2:14" ht="23.25" customHeight="1">
      <c r="B3665" s="103" t="s">
        <v>162</v>
      </c>
      <c r="C3665" s="122" t="s">
        <v>350</v>
      </c>
      <c r="D3665" s="103" t="s">
        <v>410</v>
      </c>
      <c r="E3665" s="104">
        <v>46112</v>
      </c>
      <c r="F3665" s="105">
        <v>46113</v>
      </c>
      <c r="G3665" s="105">
        <v>46119</v>
      </c>
      <c r="H3665" s="170"/>
      <c r="I3665" s="107"/>
      <c r="J3665" s="107"/>
      <c r="K3665" s="107"/>
      <c r="L3665" s="107">
        <f>+K3665-((K3665*0.0952*0.125)+(K3665*(1-0.0952)*0.26))</f>
        <v>0</v>
      </c>
      <c r="M3665" s="107">
        <v>0</v>
      </c>
      <c r="N3665" s="108" t="s">
        <v>248</v>
      </c>
    </row>
    <row r="3666" spans="2:14" ht="23.25" customHeight="1">
      <c r="B3666" s="103" t="s">
        <v>302</v>
      </c>
      <c r="C3666" s="121" t="s">
        <v>405</v>
      </c>
      <c r="D3666" s="103" t="s">
        <v>410</v>
      </c>
      <c r="E3666" s="104">
        <v>46112</v>
      </c>
      <c r="F3666" s="105">
        <v>46113</v>
      </c>
      <c r="G3666" s="105">
        <v>46119</v>
      </c>
      <c r="H3666" s="170"/>
      <c r="I3666" s="107"/>
      <c r="J3666" s="107"/>
      <c r="K3666" s="107"/>
      <c r="L3666" s="107">
        <f>+K3666-((K3666*0.0952*0.125)+(K3666*(1-0.0952)*0.26))</f>
        <v>0</v>
      </c>
      <c r="M3666" s="107">
        <v>0</v>
      </c>
      <c r="N3666" s="108" t="s">
        <v>248</v>
      </c>
    </row>
    <row r="3667" spans="2:14" ht="23.25" customHeight="1">
      <c r="B3667" s="103" t="s">
        <v>303</v>
      </c>
      <c r="C3667" s="121" t="s">
        <v>406</v>
      </c>
      <c r="D3667" s="103" t="s">
        <v>410</v>
      </c>
      <c r="E3667" s="104">
        <v>46112</v>
      </c>
      <c r="F3667" s="105">
        <v>46113</v>
      </c>
      <c r="G3667" s="105">
        <v>46119</v>
      </c>
      <c r="H3667" s="170"/>
      <c r="I3667" s="107"/>
      <c r="J3667" s="107"/>
      <c r="K3667" s="107"/>
      <c r="L3667" s="107">
        <f>+K3667-((K3667*0.0952*0.125)+(K3667*(1-0.0952)*0.26))</f>
        <v>0</v>
      </c>
      <c r="M3667" s="107">
        <v>0</v>
      </c>
      <c r="N3667" s="108" t="s">
        <v>248</v>
      </c>
    </row>
    <row r="3668" spans="2:14" ht="23.25" customHeight="1">
      <c r="B3668" s="103" t="s">
        <v>143</v>
      </c>
      <c r="C3668" s="121" t="s">
        <v>351</v>
      </c>
      <c r="D3668" s="103" t="s">
        <v>410</v>
      </c>
      <c r="E3668" s="104">
        <v>46112</v>
      </c>
      <c r="F3668" s="105">
        <v>46113</v>
      </c>
      <c r="G3668" s="105">
        <v>46119</v>
      </c>
      <c r="H3668" s="120"/>
      <c r="I3668" s="107"/>
      <c r="J3668" s="107"/>
      <c r="K3668" s="107"/>
      <c r="L3668" s="107">
        <f>+K3668-((K3668*0.3656*0.125)+(K3668*(1-0.3656)*0.26))</f>
        <v>0</v>
      </c>
      <c r="M3668" s="107">
        <v>0</v>
      </c>
      <c r="N3668" s="108" t="s">
        <v>248</v>
      </c>
    </row>
    <row r="3669" spans="2:14" ht="23.25" customHeight="1">
      <c r="B3669" s="103" t="s">
        <v>145</v>
      </c>
      <c r="C3669" s="121" t="s">
        <v>974</v>
      </c>
      <c r="D3669" s="103" t="s">
        <v>410</v>
      </c>
      <c r="E3669" s="104">
        <v>46112</v>
      </c>
      <c r="F3669" s="105">
        <v>46113</v>
      </c>
      <c r="G3669" s="105">
        <v>46119</v>
      </c>
      <c r="H3669" s="120"/>
      <c r="I3669" s="107"/>
      <c r="J3669" s="107"/>
      <c r="K3669" s="107"/>
      <c r="L3669" s="107">
        <f>+K3669-((K3669*0.0257*0.125)+(K3669*(1-0.0257)*0.26))</f>
        <v>0</v>
      </c>
      <c r="M3669" s="107">
        <v>0</v>
      </c>
      <c r="N3669" s="108" t="s">
        <v>248</v>
      </c>
    </row>
    <row r="3670" spans="2:14" ht="23.25" customHeight="1">
      <c r="B3670" s="103" t="s">
        <v>144</v>
      </c>
      <c r="C3670" s="121" t="s">
        <v>973</v>
      </c>
      <c r="D3670" s="103" t="s">
        <v>410</v>
      </c>
      <c r="E3670" s="104">
        <v>46112</v>
      </c>
      <c r="F3670" s="105">
        <v>46113</v>
      </c>
      <c r="G3670" s="105">
        <v>46119</v>
      </c>
      <c r="H3670" s="120"/>
      <c r="I3670" s="107"/>
      <c r="J3670" s="107"/>
      <c r="K3670" s="107"/>
      <c r="L3670" s="107">
        <f>+K3670-((K3670*0.8783*0.125)+(K3670*(1-0.8783)*0.26))</f>
        <v>0</v>
      </c>
      <c r="M3670" s="107">
        <v>0</v>
      </c>
      <c r="N3670" s="108" t="s">
        <v>248</v>
      </c>
    </row>
    <row r="3671" spans="2:14" ht="23.25" customHeight="1">
      <c r="B3671" s="103" t="s">
        <v>148</v>
      </c>
      <c r="C3671" s="121" t="s">
        <v>362</v>
      </c>
      <c r="D3671" s="103" t="s">
        <v>410</v>
      </c>
      <c r="E3671" s="104">
        <v>46112</v>
      </c>
      <c r="F3671" s="105">
        <v>46113</v>
      </c>
      <c r="G3671" s="105">
        <v>46119</v>
      </c>
      <c r="H3671" s="120"/>
      <c r="I3671" s="107"/>
      <c r="J3671" s="107"/>
      <c r="K3671" s="107"/>
      <c r="L3671" s="107">
        <f>+K3671-((K3671*0.4566*0.125)+(K3671*(1-0.4566)*0.26))</f>
        <v>0</v>
      </c>
      <c r="M3671" s="107">
        <v>0</v>
      </c>
      <c r="N3671" s="108" t="s">
        <v>248</v>
      </c>
    </row>
    <row r="3672" spans="2:14" ht="23.25" customHeight="1">
      <c r="B3672" s="103" t="s">
        <v>200</v>
      </c>
      <c r="C3672" s="119" t="s">
        <v>365</v>
      </c>
      <c r="D3672" s="103" t="s">
        <v>410</v>
      </c>
      <c r="E3672" s="104">
        <v>46112</v>
      </c>
      <c r="F3672" s="105">
        <v>46113</v>
      </c>
      <c r="G3672" s="105">
        <v>46119</v>
      </c>
      <c r="H3672" s="120"/>
      <c r="I3672" s="107"/>
      <c r="J3672" s="107"/>
      <c r="K3672" s="107"/>
      <c r="L3672" s="107">
        <f>+K3672-((K3672*0.4566*0.125)+(K3672*(1-0.4566)*0.26))</f>
        <v>0</v>
      </c>
      <c r="M3672" s="107">
        <v>0</v>
      </c>
      <c r="N3672" s="108" t="s">
        <v>248</v>
      </c>
    </row>
    <row r="3673" spans="2:14" ht="23.25" customHeight="1">
      <c r="B3673" s="103" t="s">
        <v>173</v>
      </c>
      <c r="C3673" s="119" t="s">
        <v>372</v>
      </c>
      <c r="D3673" s="103" t="s">
        <v>410</v>
      </c>
      <c r="E3673" s="104">
        <v>46112</v>
      </c>
      <c r="F3673" s="105">
        <v>46113</v>
      </c>
      <c r="G3673" s="105">
        <v>46119</v>
      </c>
      <c r="H3673" s="120"/>
      <c r="I3673" s="107"/>
      <c r="J3673" s="107"/>
      <c r="K3673" s="107"/>
      <c r="L3673" s="107">
        <f>+K3673-((K3673*0.3544*0.125)+(K3673*(1-0.3544)*0.26))</f>
        <v>0</v>
      </c>
      <c r="M3673" s="107">
        <v>0</v>
      </c>
      <c r="N3673" s="108" t="s">
        <v>248</v>
      </c>
    </row>
    <row r="3674" spans="2:14" ht="23.25" customHeight="1">
      <c r="B3674" s="103" t="s">
        <v>150</v>
      </c>
      <c r="C3674" s="121" t="s">
        <v>377</v>
      </c>
      <c r="D3674" s="103" t="s">
        <v>410</v>
      </c>
      <c r="E3674" s="104">
        <v>46112</v>
      </c>
      <c r="F3674" s="105">
        <v>46113</v>
      </c>
      <c r="G3674" s="105">
        <v>46119</v>
      </c>
      <c r="H3674" s="120"/>
      <c r="I3674" s="107"/>
      <c r="J3674" s="107"/>
      <c r="K3674" s="107"/>
      <c r="L3674" s="107">
        <f>+K3674-((K3674*0.0468*0.125)+(K3674*(1-0.0468)*0.26))</f>
        <v>0</v>
      </c>
      <c r="M3674" s="107">
        <v>0</v>
      </c>
      <c r="N3674" s="108" t="s">
        <v>248</v>
      </c>
    </row>
    <row r="3675" spans="2:14" ht="23.25" customHeight="1">
      <c r="B3675" s="103" t="s">
        <v>510</v>
      </c>
      <c r="C3675" s="121" t="s">
        <v>509</v>
      </c>
      <c r="D3675" s="103" t="s">
        <v>410</v>
      </c>
      <c r="E3675" s="104">
        <v>46112</v>
      </c>
      <c r="F3675" s="105">
        <v>46113</v>
      </c>
      <c r="G3675" s="105">
        <v>46119</v>
      </c>
      <c r="H3675" s="120"/>
      <c r="I3675" s="107"/>
      <c r="J3675" s="107"/>
      <c r="K3675" s="107"/>
      <c r="L3675" s="107">
        <f>+K3675-((K3675*0.0468*0.125)+(K3675*(1-0.0468)*0.26))</f>
        <v>0</v>
      </c>
      <c r="M3675" s="107">
        <v>0</v>
      </c>
      <c r="N3675" s="108" t="s">
        <v>248</v>
      </c>
    </row>
    <row r="3676" spans="2:14" ht="23.25" customHeight="1">
      <c r="B3676" s="103" t="s">
        <v>441</v>
      </c>
      <c r="C3676" s="121" t="s">
        <v>978</v>
      </c>
      <c r="D3676" s="103" t="s">
        <v>410</v>
      </c>
      <c r="E3676" s="104">
        <v>46112</v>
      </c>
      <c r="F3676" s="105">
        <v>46113</v>
      </c>
      <c r="G3676" s="105">
        <v>46119</v>
      </c>
      <c r="H3676" s="120"/>
      <c r="I3676" s="107"/>
      <c r="J3676" s="107"/>
      <c r="K3676" s="107"/>
      <c r="L3676" s="107">
        <f>+K3676-((K3676*0.2216*0.125)+(K3676*(1-0.2216)*0.26))</f>
        <v>0</v>
      </c>
      <c r="M3676" s="107">
        <v>0</v>
      </c>
      <c r="N3676" s="108" t="s">
        <v>248</v>
      </c>
    </row>
    <row r="3677" spans="2:14" ht="23.25" customHeight="1">
      <c r="B3677" s="103" t="s">
        <v>440</v>
      </c>
      <c r="C3677" s="121" t="s">
        <v>977</v>
      </c>
      <c r="D3677" s="103" t="s">
        <v>410</v>
      </c>
      <c r="E3677" s="104">
        <v>46112</v>
      </c>
      <c r="F3677" s="105">
        <v>46113</v>
      </c>
      <c r="G3677" s="105">
        <v>46119</v>
      </c>
      <c r="H3677" s="120"/>
      <c r="I3677" s="107"/>
      <c r="J3677" s="107"/>
      <c r="K3677" s="107"/>
      <c r="L3677" s="107">
        <f>+K3677-((K3677*0.2216*0.125)+(K3677*(1-0.2216)*0.26))</f>
        <v>0</v>
      </c>
      <c r="M3677" s="107">
        <v>0</v>
      </c>
      <c r="N3677" s="108" t="s">
        <v>248</v>
      </c>
    </row>
    <row r="3678" spans="2:14" ht="23.25" customHeight="1">
      <c r="B3678" s="103" t="s">
        <v>299</v>
      </c>
      <c r="C3678" s="121" t="s">
        <v>517</v>
      </c>
      <c r="D3678" s="103" t="s">
        <v>410</v>
      </c>
      <c r="E3678" s="104">
        <v>46112</v>
      </c>
      <c r="F3678" s="105">
        <v>46113</v>
      </c>
      <c r="G3678" s="105">
        <v>46119</v>
      </c>
      <c r="H3678" s="120"/>
      <c r="I3678" s="107"/>
      <c r="J3678" s="107"/>
      <c r="K3678" s="107"/>
      <c r="L3678" s="107">
        <f>+K3678-((K3678*0.2852*0.125)+(K3678*(1-0.2852)*0.26))</f>
        <v>0</v>
      </c>
      <c r="M3678" s="107">
        <v>0</v>
      </c>
      <c r="N3678" s="108" t="s">
        <v>248</v>
      </c>
    </row>
    <row r="3679" spans="2:14" ht="23.25" customHeight="1">
      <c r="B3679" s="103" t="s">
        <v>182</v>
      </c>
      <c r="C3679" s="122" t="s">
        <v>477</v>
      </c>
      <c r="D3679" s="103" t="s">
        <v>410</v>
      </c>
      <c r="E3679" s="104">
        <v>46112</v>
      </c>
      <c r="F3679" s="105">
        <v>46113</v>
      </c>
      <c r="G3679" s="105">
        <v>46119</v>
      </c>
      <c r="H3679" s="120"/>
      <c r="I3679" s="107"/>
      <c r="J3679" s="107"/>
      <c r="K3679" s="107"/>
      <c r="L3679" s="107">
        <f>+K3679-((K3679*0.2852*0.125)+(K3679*(1-0.2852)*0.26))</f>
        <v>0</v>
      </c>
      <c r="M3679" s="107">
        <v>0</v>
      </c>
      <c r="N3679" s="108" t="s">
        <v>248</v>
      </c>
    </row>
    <row r="3680" spans="2:14" ht="23.25" customHeight="1">
      <c r="B3680" s="103" t="s">
        <v>202</v>
      </c>
      <c r="C3680" s="119" t="s">
        <v>478</v>
      </c>
      <c r="D3680" s="103" t="s">
        <v>410</v>
      </c>
      <c r="E3680" s="104">
        <v>46112</v>
      </c>
      <c r="F3680" s="105">
        <v>46113</v>
      </c>
      <c r="G3680" s="105">
        <v>46119</v>
      </c>
      <c r="H3680" s="170"/>
      <c r="I3680" s="107"/>
      <c r="J3680" s="107"/>
      <c r="K3680" s="107"/>
      <c r="L3680" s="107">
        <f>+K3680-((K3680*0.2852*0.125)+(K3680*(1-0.2852)*0.26))</f>
        <v>0</v>
      </c>
      <c r="M3680" s="107">
        <v>0</v>
      </c>
      <c r="N3680" s="108" t="s">
        <v>248</v>
      </c>
    </row>
    <row r="3681" spans="2:14" ht="23.25" customHeight="1">
      <c r="B3681" s="103" t="s">
        <v>146</v>
      </c>
      <c r="C3681" s="121" t="s">
        <v>380</v>
      </c>
      <c r="D3681" s="103" t="s">
        <v>410</v>
      </c>
      <c r="E3681" s="104">
        <v>46112</v>
      </c>
      <c r="F3681" s="105">
        <v>46113</v>
      </c>
      <c r="G3681" s="105">
        <v>46119</v>
      </c>
      <c r="H3681" s="170"/>
      <c r="I3681" s="107"/>
      <c r="J3681" s="107"/>
      <c r="K3681" s="107"/>
      <c r="L3681" s="107">
        <f>+K3681-((K3681*0.0226*0.125)+(K3681*(1-0.0226)*0.26))</f>
        <v>0</v>
      </c>
      <c r="M3681" s="107">
        <v>0</v>
      </c>
      <c r="N3681" s="108" t="s">
        <v>248</v>
      </c>
    </row>
    <row r="3682" spans="2:14" ht="23.25" customHeight="1">
      <c r="B3682" s="103" t="s">
        <v>163</v>
      </c>
      <c r="C3682" s="122" t="s">
        <v>381</v>
      </c>
      <c r="D3682" s="103" t="s">
        <v>410</v>
      </c>
      <c r="E3682" s="104">
        <v>46112</v>
      </c>
      <c r="F3682" s="105">
        <v>46113</v>
      </c>
      <c r="G3682" s="105">
        <v>46119</v>
      </c>
      <c r="H3682" s="170"/>
      <c r="I3682" s="107"/>
      <c r="J3682" s="107"/>
      <c r="K3682" s="107"/>
      <c r="L3682" s="107">
        <f>+K3682-((K3682*0.0226*0.125)+(K3682*(1-0.0226)*0.26))</f>
        <v>0</v>
      </c>
      <c r="M3682" s="107">
        <v>0</v>
      </c>
      <c r="N3682" s="108" t="s">
        <v>248</v>
      </c>
    </row>
    <row r="3683" spans="2:14" ht="23.25" customHeight="1">
      <c r="B3683" s="103" t="s">
        <v>151</v>
      </c>
      <c r="C3683" s="121" t="s">
        <v>383</v>
      </c>
      <c r="D3683" s="103" t="s">
        <v>410</v>
      </c>
      <c r="E3683" s="104">
        <v>46112</v>
      </c>
      <c r="F3683" s="105">
        <v>46113</v>
      </c>
      <c r="G3683" s="105">
        <v>46119</v>
      </c>
      <c r="H3683" s="170"/>
      <c r="I3683" s="107"/>
      <c r="J3683" s="107"/>
      <c r="K3683" s="107"/>
      <c r="L3683" s="107">
        <f>+K3683-((K3683*0.0292*0.125)+(K3683*(1-0.0292)*0.26))</f>
        <v>0</v>
      </c>
      <c r="M3683" s="107">
        <v>0</v>
      </c>
      <c r="N3683" s="108" t="s">
        <v>248</v>
      </c>
    </row>
    <row r="3684" spans="2:14" ht="23.25" customHeight="1">
      <c r="B3684" s="103" t="s">
        <v>166</v>
      </c>
      <c r="C3684" s="122" t="s">
        <v>384</v>
      </c>
      <c r="D3684" s="103" t="s">
        <v>410</v>
      </c>
      <c r="E3684" s="104">
        <v>46112</v>
      </c>
      <c r="F3684" s="105">
        <v>46113</v>
      </c>
      <c r="G3684" s="105">
        <v>46119</v>
      </c>
      <c r="H3684" s="170"/>
      <c r="I3684" s="107"/>
      <c r="J3684" s="107"/>
      <c r="K3684" s="107"/>
      <c r="L3684" s="107">
        <f>+K3684-((K3684*0.0292*0.125)+(K3684*(1-0.0292)*0.26))</f>
        <v>0</v>
      </c>
      <c r="M3684" s="107">
        <v>0</v>
      </c>
      <c r="N3684" s="108" t="s">
        <v>248</v>
      </c>
    </row>
    <row r="3685" spans="2:14" ht="23.25" customHeight="1">
      <c r="B3685" s="103" t="s">
        <v>149</v>
      </c>
      <c r="C3685" s="121" t="s">
        <v>386</v>
      </c>
      <c r="D3685" s="103" t="s">
        <v>410</v>
      </c>
      <c r="E3685" s="104">
        <v>46112</v>
      </c>
      <c r="F3685" s="105">
        <v>46113</v>
      </c>
      <c r="G3685" s="105">
        <v>46119</v>
      </c>
      <c r="H3685" s="170"/>
      <c r="I3685" s="107"/>
      <c r="J3685" s="107"/>
      <c r="K3685" s="107"/>
      <c r="L3685" s="107">
        <f>+K3685-((K3685*0.0369*0.125)+(K3685*(1-0.0369)*0.26))</f>
        <v>0</v>
      </c>
      <c r="M3685" s="107">
        <v>0</v>
      </c>
      <c r="N3685" s="108" t="s">
        <v>248</v>
      </c>
    </row>
    <row r="3686" spans="2:14" ht="23.25" customHeight="1">
      <c r="B3686" s="103" t="s">
        <v>165</v>
      </c>
      <c r="C3686" s="122" t="s">
        <v>387</v>
      </c>
      <c r="D3686" s="103" t="s">
        <v>410</v>
      </c>
      <c r="E3686" s="104">
        <v>46112</v>
      </c>
      <c r="F3686" s="105">
        <v>46113</v>
      </c>
      <c r="G3686" s="105">
        <v>46119</v>
      </c>
      <c r="H3686" s="120"/>
      <c r="I3686" s="107"/>
      <c r="J3686" s="107"/>
      <c r="K3686" s="107"/>
      <c r="L3686" s="107">
        <f>+K3686-((K3686*0.0369*0.125)+(K3686*(1-0.0369)*0.26))</f>
        <v>0</v>
      </c>
      <c r="M3686" s="107">
        <v>0</v>
      </c>
      <c r="N3686" s="108" t="s">
        <v>248</v>
      </c>
    </row>
    <row r="3687" spans="2:14" ht="23.25" customHeight="1">
      <c r="B3687" s="103" t="s">
        <v>153</v>
      </c>
      <c r="C3687" s="121" t="s">
        <v>873</v>
      </c>
      <c r="D3687" s="103" t="s">
        <v>410</v>
      </c>
      <c r="E3687" s="104">
        <v>46112</v>
      </c>
      <c r="F3687" s="105">
        <v>46113</v>
      </c>
      <c r="G3687" s="105">
        <v>46119</v>
      </c>
      <c r="H3687" s="174"/>
      <c r="I3687" s="107"/>
      <c r="J3687" s="107"/>
      <c r="K3687" s="107"/>
      <c r="L3687" s="107">
        <f>+K3687-((K3687*0.1741*0.125)+(K3687*(1-0.1741)*0.26))</f>
        <v>0</v>
      </c>
      <c r="M3687" s="107">
        <v>0</v>
      </c>
      <c r="N3687" s="108" t="s">
        <v>248</v>
      </c>
    </row>
    <row r="3688" spans="2:14" ht="23.25" customHeight="1">
      <c r="B3688" s="103" t="s">
        <v>152</v>
      </c>
      <c r="C3688" s="121" t="s">
        <v>874</v>
      </c>
      <c r="D3688" s="103" t="s">
        <v>410</v>
      </c>
      <c r="E3688" s="104">
        <v>46112</v>
      </c>
      <c r="F3688" s="105">
        <v>46113</v>
      </c>
      <c r="G3688" s="105">
        <v>46119</v>
      </c>
      <c r="H3688" s="174"/>
      <c r="I3688" s="107"/>
      <c r="J3688" s="107"/>
      <c r="K3688" s="107"/>
      <c r="L3688" s="107">
        <f>+K3688-((K3688*0.1741*0.125)+(K3688*(1-0.1741)*0.26))</f>
        <v>0</v>
      </c>
      <c r="M3688" s="107">
        <v>0</v>
      </c>
      <c r="N3688" s="108" t="s">
        <v>248</v>
      </c>
    </row>
    <row r="3689" spans="2:14" ht="23.25" customHeight="1">
      <c r="B3689" s="103" t="s">
        <v>167</v>
      </c>
      <c r="C3689" s="122" t="s">
        <v>875</v>
      </c>
      <c r="D3689" s="103" t="s">
        <v>410</v>
      </c>
      <c r="E3689" s="104">
        <v>46112</v>
      </c>
      <c r="F3689" s="105">
        <v>46113</v>
      </c>
      <c r="G3689" s="105">
        <v>46119</v>
      </c>
      <c r="H3689" s="183"/>
      <c r="I3689" s="107"/>
      <c r="J3689" s="107"/>
      <c r="K3689" s="107"/>
      <c r="L3689" s="107">
        <f>+K3689-((K3689*0.1741*0.125)+(K3689*(1-0.1741)*0.26))</f>
        <v>0</v>
      </c>
      <c r="M3689" s="107">
        <v>0</v>
      </c>
      <c r="N3689" s="108" t="s">
        <v>248</v>
      </c>
    </row>
    <row r="3690" spans="2:14" ht="23.25" customHeight="1">
      <c r="B3690" s="103" t="s">
        <v>301</v>
      </c>
      <c r="C3690" s="121" t="s">
        <v>876</v>
      </c>
      <c r="D3690" s="103" t="s">
        <v>410</v>
      </c>
      <c r="E3690" s="104">
        <v>46112</v>
      </c>
      <c r="F3690" s="105">
        <v>46113</v>
      </c>
      <c r="G3690" s="105">
        <v>46119</v>
      </c>
      <c r="H3690" s="183"/>
      <c r="I3690" s="107"/>
      <c r="J3690" s="107"/>
      <c r="K3690" s="107"/>
      <c r="L3690" s="107">
        <f>+K3690-((K3690*0.1741*0.125)+(K3690*(1-0.1741)*0.26))</f>
        <v>0</v>
      </c>
      <c r="M3690" s="107">
        <v>0</v>
      </c>
      <c r="N3690" s="108" t="s">
        <v>248</v>
      </c>
    </row>
    <row r="3691" spans="2:14" ht="23.25" customHeight="1">
      <c r="B3691" s="103" t="s">
        <v>304</v>
      </c>
      <c r="C3691" s="121" t="s">
        <v>885</v>
      </c>
      <c r="D3691" s="103" t="s">
        <v>410</v>
      </c>
      <c r="E3691" s="104">
        <v>46112</v>
      </c>
      <c r="F3691" s="105">
        <v>46113</v>
      </c>
      <c r="G3691" s="105">
        <v>46119</v>
      </c>
      <c r="H3691" s="183"/>
      <c r="I3691" s="107"/>
      <c r="J3691" s="107"/>
      <c r="K3691" s="107"/>
      <c r="L3691" s="107">
        <f>+K3691-((K3691*0.2804*0.125)+(K3691*(1-0.2804)*0.26))</f>
        <v>0</v>
      </c>
      <c r="M3691" s="107">
        <v>0</v>
      </c>
      <c r="N3691" s="108" t="s">
        <v>248</v>
      </c>
    </row>
    <row r="3692" spans="2:14" ht="23.25" customHeight="1">
      <c r="B3692" s="103" t="s">
        <v>183</v>
      </c>
      <c r="C3692" s="122" t="s">
        <v>886</v>
      </c>
      <c r="D3692" s="103" t="s">
        <v>410</v>
      </c>
      <c r="E3692" s="104">
        <v>46112</v>
      </c>
      <c r="F3692" s="105">
        <v>46113</v>
      </c>
      <c r="G3692" s="105">
        <v>46119</v>
      </c>
      <c r="H3692" s="174"/>
      <c r="I3692" s="107"/>
      <c r="J3692" s="107"/>
      <c r="K3692" s="107"/>
      <c r="L3692" s="107">
        <f>+K3692-((K3692*0.2804*0.125)+(K3692*(1-0.2804)*0.26))</f>
        <v>0</v>
      </c>
      <c r="M3692" s="107">
        <v>0</v>
      </c>
      <c r="N3692" s="108" t="s">
        <v>248</v>
      </c>
    </row>
    <row r="3693" spans="2:14" ht="23.25" customHeight="1">
      <c r="B3693" s="103" t="s">
        <v>305</v>
      </c>
      <c r="C3693" s="121" t="s">
        <v>887</v>
      </c>
      <c r="D3693" s="103" t="s">
        <v>410</v>
      </c>
      <c r="E3693" s="104">
        <v>46112</v>
      </c>
      <c r="F3693" s="105">
        <v>46113</v>
      </c>
      <c r="G3693" s="105">
        <v>46119</v>
      </c>
      <c r="H3693" s="174"/>
      <c r="I3693" s="107"/>
      <c r="J3693" s="107"/>
      <c r="K3693" s="107"/>
      <c r="L3693" s="107">
        <f>+K3693-((K3693*0.2804*0.125)+(K3693*(1-0.2804)*0.26))</f>
        <v>0</v>
      </c>
      <c r="M3693" s="107">
        <v>0</v>
      </c>
      <c r="N3693" s="108" t="s">
        <v>248</v>
      </c>
    </row>
    <row r="3694" spans="2:14" ht="23.25" customHeight="1">
      <c r="B3694" s="103" t="s">
        <v>147</v>
      </c>
      <c r="C3694" s="121" t="s">
        <v>466</v>
      </c>
      <c r="D3694" s="103" t="s">
        <v>410</v>
      </c>
      <c r="E3694" s="104">
        <v>46112</v>
      </c>
      <c r="F3694" s="105">
        <v>46113</v>
      </c>
      <c r="G3694" s="105">
        <v>46119</v>
      </c>
      <c r="H3694" s="120"/>
      <c r="I3694" s="107"/>
      <c r="J3694" s="107"/>
      <c r="K3694" s="107"/>
      <c r="L3694" s="107">
        <f>+K3694-((K3694*0.042*0.125)+(K3694*(1-0.042)*0.26))</f>
        <v>0</v>
      </c>
      <c r="M3694" s="107">
        <v>0</v>
      </c>
      <c r="N3694" s="108" t="s">
        <v>248</v>
      </c>
    </row>
    <row r="3695" spans="2:14" ht="23.25" customHeight="1">
      <c r="B3695" s="103" t="s">
        <v>164</v>
      </c>
      <c r="C3695" s="122" t="s">
        <v>467</v>
      </c>
      <c r="D3695" s="103" t="s">
        <v>410</v>
      </c>
      <c r="E3695" s="104">
        <v>46112</v>
      </c>
      <c r="F3695" s="105">
        <v>46113</v>
      </c>
      <c r="G3695" s="105">
        <v>46119</v>
      </c>
      <c r="H3695" s="120"/>
      <c r="I3695" s="107"/>
      <c r="J3695" s="107"/>
      <c r="K3695" s="107"/>
      <c r="L3695" s="107">
        <f>+K3695-((K3695*0.042*0.125)+(K3695*(1-0.042)*0.26))</f>
        <v>0</v>
      </c>
      <c r="M3695" s="107">
        <v>0</v>
      </c>
      <c r="N3695" s="108" t="s">
        <v>248</v>
      </c>
    </row>
    <row r="3696" spans="2:14" ht="23.25" customHeight="1">
      <c r="B3696" s="103" t="s">
        <v>1006</v>
      </c>
      <c r="C3696" s="122" t="s">
        <v>1014</v>
      </c>
      <c r="D3696" s="103" t="s">
        <v>410</v>
      </c>
      <c r="E3696" s="104">
        <v>46112</v>
      </c>
      <c r="F3696" s="105">
        <v>46113</v>
      </c>
      <c r="G3696" s="105">
        <v>46119</v>
      </c>
      <c r="H3696" s="120"/>
      <c r="I3696" s="107"/>
      <c r="J3696" s="107"/>
      <c r="K3696" s="107"/>
      <c r="L3696" s="107">
        <f t="shared" ref="L3696:L3701" si="105">+K3696-((K3696*0.000001*0.125)+(K3696*(1-0.000001)*0.26))</f>
        <v>0</v>
      </c>
      <c r="M3696" s="107">
        <v>0</v>
      </c>
      <c r="N3696" s="108" t="s">
        <v>248</v>
      </c>
    </row>
    <row r="3697" spans="2:14" ht="23.25" customHeight="1">
      <c r="B3697" s="103" t="s">
        <v>1007</v>
      </c>
      <c r="C3697" s="122" t="s">
        <v>1015</v>
      </c>
      <c r="D3697" s="103" t="s">
        <v>410</v>
      </c>
      <c r="E3697" s="104">
        <v>46112</v>
      </c>
      <c r="F3697" s="105">
        <v>46113</v>
      </c>
      <c r="G3697" s="105">
        <v>46119</v>
      </c>
      <c r="H3697" s="120"/>
      <c r="I3697" s="107"/>
      <c r="J3697" s="107"/>
      <c r="K3697" s="107"/>
      <c r="L3697" s="107">
        <f t="shared" si="105"/>
        <v>0</v>
      </c>
      <c r="M3697" s="107">
        <v>0</v>
      </c>
      <c r="N3697" s="108" t="s">
        <v>248</v>
      </c>
    </row>
    <row r="3698" spans="2:14" ht="23.25" customHeight="1">
      <c r="B3698" s="103" t="s">
        <v>1008</v>
      </c>
      <c r="C3698" s="122" t="s">
        <v>1016</v>
      </c>
      <c r="D3698" s="103" t="s">
        <v>410</v>
      </c>
      <c r="E3698" s="104">
        <v>46112</v>
      </c>
      <c r="F3698" s="105">
        <v>46113</v>
      </c>
      <c r="G3698" s="105">
        <v>46119</v>
      </c>
      <c r="H3698" s="120"/>
      <c r="I3698" s="107"/>
      <c r="J3698" s="107"/>
      <c r="K3698" s="107"/>
      <c r="L3698" s="107">
        <f t="shared" si="105"/>
        <v>0</v>
      </c>
      <c r="M3698" s="107">
        <v>0</v>
      </c>
      <c r="N3698" s="108" t="s">
        <v>248</v>
      </c>
    </row>
    <row r="3699" spans="2:14" ht="23.25" customHeight="1">
      <c r="B3699" s="103" t="s">
        <v>1009</v>
      </c>
      <c r="C3699" s="122" t="s">
        <v>1017</v>
      </c>
      <c r="D3699" s="103" t="s">
        <v>410</v>
      </c>
      <c r="E3699" s="104">
        <v>46112</v>
      </c>
      <c r="F3699" s="105">
        <v>46113</v>
      </c>
      <c r="G3699" s="105">
        <v>46119</v>
      </c>
      <c r="H3699" s="120"/>
      <c r="I3699" s="107"/>
      <c r="J3699" s="107"/>
      <c r="K3699" s="107"/>
      <c r="L3699" s="107">
        <f t="shared" si="105"/>
        <v>0</v>
      </c>
      <c r="M3699" s="107">
        <v>0</v>
      </c>
      <c r="N3699" s="108" t="s">
        <v>248</v>
      </c>
    </row>
    <row r="3700" spans="2:14" ht="23.25" customHeight="1">
      <c r="B3700" s="103" t="s">
        <v>1010</v>
      </c>
      <c r="C3700" s="122" t="s">
        <v>1018</v>
      </c>
      <c r="D3700" s="103" t="s">
        <v>410</v>
      </c>
      <c r="E3700" s="104">
        <v>46112</v>
      </c>
      <c r="F3700" s="105">
        <v>46113</v>
      </c>
      <c r="G3700" s="105">
        <v>46119</v>
      </c>
      <c r="H3700" s="120"/>
      <c r="I3700" s="107"/>
      <c r="J3700" s="107"/>
      <c r="K3700" s="107"/>
      <c r="L3700" s="107">
        <f t="shared" si="105"/>
        <v>0</v>
      </c>
      <c r="M3700" s="107">
        <v>0</v>
      </c>
      <c r="N3700" s="108" t="s">
        <v>248</v>
      </c>
    </row>
    <row r="3701" spans="2:14" ht="23.25" customHeight="1">
      <c r="B3701" s="103" t="s">
        <v>1011</v>
      </c>
      <c r="C3701" s="122" t="s">
        <v>1019</v>
      </c>
      <c r="D3701" s="103" t="s">
        <v>410</v>
      </c>
      <c r="E3701" s="104">
        <v>46112</v>
      </c>
      <c r="F3701" s="105">
        <v>46113</v>
      </c>
      <c r="G3701" s="105">
        <v>46119</v>
      </c>
      <c r="H3701" s="120"/>
      <c r="I3701" s="107"/>
      <c r="J3701" s="107"/>
      <c r="K3701" s="107"/>
      <c r="L3701" s="107">
        <f t="shared" si="105"/>
        <v>0</v>
      </c>
      <c r="M3701" s="107">
        <v>0</v>
      </c>
      <c r="N3701" s="108" t="s">
        <v>248</v>
      </c>
    </row>
    <row r="3702" spans="2:14" ht="23.25" customHeight="1">
      <c r="B3702" s="109" t="s">
        <v>132</v>
      </c>
      <c r="C3702" s="110" t="s">
        <v>358</v>
      </c>
      <c r="D3702" s="109" t="s">
        <v>410</v>
      </c>
      <c r="E3702" s="116">
        <v>46136</v>
      </c>
      <c r="F3702" s="116">
        <v>46139</v>
      </c>
      <c r="G3702" s="116">
        <v>46142</v>
      </c>
      <c r="H3702" s="112"/>
      <c r="I3702" s="113"/>
      <c r="J3702" s="113"/>
      <c r="K3702" s="113"/>
      <c r="L3702" s="107">
        <f>+K3702-((K3702*0.2741*0.125)+(K3702*(1-0.2741)*0.26))</f>
        <v>0</v>
      </c>
      <c r="M3702" s="114">
        <f t="shared" ref="M3702:M3733" si="106">J3702+L3702</f>
        <v>0</v>
      </c>
      <c r="N3702" s="109" t="s">
        <v>249</v>
      </c>
    </row>
    <row r="3703" spans="2:14" ht="23.25" customHeight="1">
      <c r="B3703" s="109" t="s">
        <v>227</v>
      </c>
      <c r="C3703" s="110" t="s">
        <v>359</v>
      </c>
      <c r="D3703" s="109" t="s">
        <v>410</v>
      </c>
      <c r="E3703" s="116">
        <v>46136</v>
      </c>
      <c r="F3703" s="116">
        <v>46139</v>
      </c>
      <c r="G3703" s="116">
        <v>46142</v>
      </c>
      <c r="H3703" s="112"/>
      <c r="I3703" s="113"/>
      <c r="J3703" s="113"/>
      <c r="K3703" s="113"/>
      <c r="L3703" s="107">
        <f>+K3703-((K3703*0.2741*0.125)+(K3703*(1-0.2741)*0.26))</f>
        <v>0</v>
      </c>
      <c r="M3703" s="114">
        <f t="shared" si="106"/>
        <v>0</v>
      </c>
      <c r="N3703" s="109" t="s">
        <v>249</v>
      </c>
    </row>
    <row r="3704" spans="2:14" ht="23.25" customHeight="1">
      <c r="B3704" s="109" t="s">
        <v>133</v>
      </c>
      <c r="C3704" s="110" t="s">
        <v>979</v>
      </c>
      <c r="D3704" s="109" t="s">
        <v>410</v>
      </c>
      <c r="E3704" s="116">
        <v>46136</v>
      </c>
      <c r="F3704" s="116">
        <v>46139</v>
      </c>
      <c r="G3704" s="116">
        <v>46142</v>
      </c>
      <c r="H3704" s="182"/>
      <c r="I3704" s="113"/>
      <c r="J3704" s="113"/>
      <c r="K3704" s="113"/>
      <c r="L3704" s="107">
        <f>+K3704-((K3704*0.002*0.125)+(K3704*(1-0.002)*0.26))</f>
        <v>0</v>
      </c>
      <c r="M3704" s="114">
        <f t="shared" si="106"/>
        <v>0</v>
      </c>
      <c r="N3704" s="109" t="s">
        <v>249</v>
      </c>
    </row>
    <row r="3705" spans="2:14" ht="23.25" customHeight="1">
      <c r="B3705" s="109" t="s">
        <v>134</v>
      </c>
      <c r="C3705" s="110" t="s">
        <v>374</v>
      </c>
      <c r="D3705" s="109" t="s">
        <v>410</v>
      </c>
      <c r="E3705" s="116">
        <v>46136</v>
      </c>
      <c r="F3705" s="116">
        <v>46139</v>
      </c>
      <c r="G3705" s="116">
        <v>46142</v>
      </c>
      <c r="H3705" s="182"/>
      <c r="I3705" s="113"/>
      <c r="J3705" s="113"/>
      <c r="K3705" s="113"/>
      <c r="L3705" s="107">
        <f>+K3705-((K3705*0.3662*0.125)+(K3705*(1-0.3662)*0.26))</f>
        <v>0</v>
      </c>
      <c r="M3705" s="114">
        <f t="shared" si="106"/>
        <v>0</v>
      </c>
      <c r="N3705" s="109" t="s">
        <v>249</v>
      </c>
    </row>
    <row r="3706" spans="2:14" ht="23.25" customHeight="1">
      <c r="B3706" s="109" t="s">
        <v>168</v>
      </c>
      <c r="C3706" s="110" t="s">
        <v>376</v>
      </c>
      <c r="D3706" s="109" t="s">
        <v>410</v>
      </c>
      <c r="E3706" s="116">
        <v>46136</v>
      </c>
      <c r="F3706" s="116">
        <v>46139</v>
      </c>
      <c r="G3706" s="116">
        <v>46142</v>
      </c>
      <c r="H3706" s="182"/>
      <c r="I3706" s="113"/>
      <c r="J3706" s="113"/>
      <c r="K3706" s="113"/>
      <c r="L3706" s="107">
        <f>+K3706-((K3706*0.3662*0.125)+(K3706*(1-0.3662)*0.26))</f>
        <v>0</v>
      </c>
      <c r="M3706" s="114">
        <f t="shared" si="106"/>
        <v>0</v>
      </c>
      <c r="N3706" s="109" t="s">
        <v>249</v>
      </c>
    </row>
    <row r="3707" spans="2:14" ht="23.25" customHeight="1">
      <c r="B3707" s="109" t="s">
        <v>136</v>
      </c>
      <c r="C3707" s="110" t="s">
        <v>867</v>
      </c>
      <c r="D3707" s="109" t="s">
        <v>410</v>
      </c>
      <c r="E3707" s="116">
        <v>46136</v>
      </c>
      <c r="F3707" s="116">
        <v>46139</v>
      </c>
      <c r="G3707" s="116">
        <v>46142</v>
      </c>
      <c r="H3707" s="182"/>
      <c r="I3707" s="113"/>
      <c r="J3707" s="113"/>
      <c r="K3707" s="113"/>
      <c r="L3707" s="107">
        <f t="shared" ref="L3707:L3712" si="107">+K3707-((K3707*0.0469*0.125)+(K3707*(1-0.0469)*0.26))</f>
        <v>0</v>
      </c>
      <c r="M3707" s="114">
        <f t="shared" si="106"/>
        <v>0</v>
      </c>
      <c r="N3707" s="109" t="s">
        <v>249</v>
      </c>
    </row>
    <row r="3708" spans="2:14" ht="23.25" customHeight="1">
      <c r="B3708" s="109" t="s">
        <v>137</v>
      </c>
      <c r="C3708" s="110" t="s">
        <v>868</v>
      </c>
      <c r="D3708" s="109" t="s">
        <v>410</v>
      </c>
      <c r="E3708" s="116">
        <v>46136</v>
      </c>
      <c r="F3708" s="116">
        <v>46139</v>
      </c>
      <c r="G3708" s="116">
        <v>46142</v>
      </c>
      <c r="H3708" s="182"/>
      <c r="I3708" s="113"/>
      <c r="J3708" s="113"/>
      <c r="K3708" s="113"/>
      <c r="L3708" s="107">
        <f t="shared" si="107"/>
        <v>0</v>
      </c>
      <c r="M3708" s="114">
        <f t="shared" si="106"/>
        <v>0</v>
      </c>
      <c r="N3708" s="109" t="s">
        <v>249</v>
      </c>
    </row>
    <row r="3709" spans="2:14" ht="23.25" customHeight="1">
      <c r="B3709" s="109" t="s">
        <v>135</v>
      </c>
      <c r="C3709" s="110" t="s">
        <v>869</v>
      </c>
      <c r="D3709" s="109" t="s">
        <v>410</v>
      </c>
      <c r="E3709" s="116">
        <v>46136</v>
      </c>
      <c r="F3709" s="116">
        <v>46139</v>
      </c>
      <c r="G3709" s="116">
        <v>46142</v>
      </c>
      <c r="H3709" s="182"/>
      <c r="I3709" s="113"/>
      <c r="J3709" s="113"/>
      <c r="K3709" s="113"/>
      <c r="L3709" s="107">
        <f t="shared" si="107"/>
        <v>0</v>
      </c>
      <c r="M3709" s="114">
        <f t="shared" si="106"/>
        <v>0</v>
      </c>
      <c r="N3709" s="109" t="s">
        <v>249</v>
      </c>
    </row>
    <row r="3710" spans="2:14" ht="23.25" customHeight="1">
      <c r="B3710" s="109" t="s">
        <v>170</v>
      </c>
      <c r="C3710" s="110" t="s">
        <v>870</v>
      </c>
      <c r="D3710" s="109" t="s">
        <v>410</v>
      </c>
      <c r="E3710" s="116">
        <v>46136</v>
      </c>
      <c r="F3710" s="116">
        <v>46139</v>
      </c>
      <c r="G3710" s="116">
        <v>46142</v>
      </c>
      <c r="H3710" s="112"/>
      <c r="I3710" s="113"/>
      <c r="J3710" s="113"/>
      <c r="K3710" s="113"/>
      <c r="L3710" s="107">
        <f t="shared" si="107"/>
        <v>0</v>
      </c>
      <c r="M3710" s="114">
        <f t="shared" si="106"/>
        <v>0</v>
      </c>
      <c r="N3710" s="109" t="s">
        <v>249</v>
      </c>
    </row>
    <row r="3711" spans="2:14" ht="23.25" customHeight="1">
      <c r="B3711" s="109" t="s">
        <v>171</v>
      </c>
      <c r="C3711" s="110" t="s">
        <v>871</v>
      </c>
      <c r="D3711" s="109" t="s">
        <v>410</v>
      </c>
      <c r="E3711" s="116">
        <v>46136</v>
      </c>
      <c r="F3711" s="116">
        <v>46139</v>
      </c>
      <c r="G3711" s="116">
        <v>46142</v>
      </c>
      <c r="H3711" s="112"/>
      <c r="I3711" s="113"/>
      <c r="J3711" s="113"/>
      <c r="K3711" s="113"/>
      <c r="L3711" s="107">
        <f t="shared" si="107"/>
        <v>0</v>
      </c>
      <c r="M3711" s="114">
        <f t="shared" si="106"/>
        <v>0</v>
      </c>
      <c r="N3711" s="109" t="s">
        <v>249</v>
      </c>
    </row>
    <row r="3712" spans="2:14" ht="23.25" customHeight="1">
      <c r="B3712" s="109" t="s">
        <v>172</v>
      </c>
      <c r="C3712" s="110" t="s">
        <v>872</v>
      </c>
      <c r="D3712" s="109" t="s">
        <v>410</v>
      </c>
      <c r="E3712" s="116">
        <v>46136</v>
      </c>
      <c r="F3712" s="116">
        <v>46139</v>
      </c>
      <c r="G3712" s="116">
        <v>46142</v>
      </c>
      <c r="H3712" s="112"/>
      <c r="I3712" s="113"/>
      <c r="J3712" s="113"/>
      <c r="K3712" s="113"/>
      <c r="L3712" s="107">
        <f t="shared" si="107"/>
        <v>0</v>
      </c>
      <c r="M3712" s="114">
        <f t="shared" si="106"/>
        <v>0</v>
      </c>
      <c r="N3712" s="109" t="s">
        <v>249</v>
      </c>
    </row>
    <row r="3713" spans="2:14" ht="23.25" customHeight="1">
      <c r="B3713" s="109" t="s">
        <v>169</v>
      </c>
      <c r="C3713" s="110" t="s">
        <v>400</v>
      </c>
      <c r="D3713" s="109" t="s">
        <v>410</v>
      </c>
      <c r="E3713" s="116">
        <v>46136</v>
      </c>
      <c r="F3713" s="116">
        <v>46139</v>
      </c>
      <c r="G3713" s="116">
        <v>46142</v>
      </c>
      <c r="H3713" s="182"/>
      <c r="I3713" s="113"/>
      <c r="J3713" s="113"/>
      <c r="K3713" s="113"/>
      <c r="L3713" s="107">
        <f>+K3713-((K3713*0.1483*0.125)+(K3713*(1-0.1483)*0.26))</f>
        <v>0</v>
      </c>
      <c r="M3713" s="114">
        <f t="shared" si="106"/>
        <v>0</v>
      </c>
      <c r="N3713" s="109" t="s">
        <v>249</v>
      </c>
    </row>
    <row r="3714" spans="2:14" ht="23.25" customHeight="1">
      <c r="B3714" s="103" t="s">
        <v>310</v>
      </c>
      <c r="C3714" s="121" t="s">
        <v>719</v>
      </c>
      <c r="D3714" s="103" t="s">
        <v>411</v>
      </c>
      <c r="E3714" s="104">
        <v>46142</v>
      </c>
      <c r="F3714" s="105">
        <v>46146</v>
      </c>
      <c r="G3714" s="105">
        <v>46149</v>
      </c>
      <c r="H3714" s="170"/>
      <c r="I3714" s="106"/>
      <c r="J3714" s="107"/>
      <c r="K3714" s="107"/>
      <c r="L3714" s="107">
        <f>+K3714-((K3714*0.0611*0.125)+(K3714*(1-0.0611)*0.26))</f>
        <v>0</v>
      </c>
      <c r="M3714" s="107">
        <f t="shared" si="106"/>
        <v>0</v>
      </c>
      <c r="N3714" s="108" t="s">
        <v>718</v>
      </c>
    </row>
    <row r="3715" spans="2:14" ht="23.25" customHeight="1">
      <c r="B3715" s="103" t="s">
        <v>188</v>
      </c>
      <c r="C3715" s="122" t="s">
        <v>720</v>
      </c>
      <c r="D3715" s="103" t="s">
        <v>411</v>
      </c>
      <c r="E3715" s="104">
        <v>46142</v>
      </c>
      <c r="F3715" s="105">
        <v>46146</v>
      </c>
      <c r="G3715" s="105">
        <v>46149</v>
      </c>
      <c r="H3715" s="170"/>
      <c r="I3715" s="106"/>
      <c r="J3715" s="107"/>
      <c r="K3715" s="107"/>
      <c r="L3715" s="107">
        <f>+K3715-((K3715*0.0611*0.125)+(K3715*(1-0.0611)*0.26))</f>
        <v>0</v>
      </c>
      <c r="M3715" s="107">
        <f t="shared" si="106"/>
        <v>0</v>
      </c>
      <c r="N3715" s="108" t="s">
        <v>718</v>
      </c>
    </row>
    <row r="3716" spans="2:14" ht="23.25" customHeight="1">
      <c r="B3716" s="103" t="s">
        <v>196</v>
      </c>
      <c r="C3716" s="119" t="s">
        <v>721</v>
      </c>
      <c r="D3716" s="118" t="s">
        <v>411</v>
      </c>
      <c r="E3716" s="104">
        <v>46142</v>
      </c>
      <c r="F3716" s="105">
        <v>46146</v>
      </c>
      <c r="G3716" s="105">
        <v>46149</v>
      </c>
      <c r="H3716" s="120"/>
      <c r="I3716" s="106"/>
      <c r="J3716" s="107"/>
      <c r="K3716" s="107"/>
      <c r="L3716" s="107">
        <f>+K3716-((K3716*0.0611*0.125)+(K3716*(1-0.0611)*0.26))</f>
        <v>0</v>
      </c>
      <c r="M3716" s="107">
        <f t="shared" si="106"/>
        <v>0</v>
      </c>
      <c r="N3716" s="108" t="s">
        <v>718</v>
      </c>
    </row>
    <row r="3717" spans="2:14" ht="23.25" customHeight="1">
      <c r="B3717" s="103" t="s">
        <v>191</v>
      </c>
      <c r="C3717" s="122" t="s">
        <v>722</v>
      </c>
      <c r="D3717" s="103" t="s">
        <v>411</v>
      </c>
      <c r="E3717" s="104">
        <v>46142</v>
      </c>
      <c r="F3717" s="105">
        <v>46146</v>
      </c>
      <c r="G3717" s="105">
        <v>46149</v>
      </c>
      <c r="H3717" s="120"/>
      <c r="I3717" s="106"/>
      <c r="J3717" s="107"/>
      <c r="K3717" s="107"/>
      <c r="L3717" s="107">
        <f>+K3717-((K3717*0.8427*0.125)+(K3717*(1-0.8427)*0.26))</f>
        <v>0</v>
      </c>
      <c r="M3717" s="107">
        <f t="shared" si="106"/>
        <v>0</v>
      </c>
      <c r="N3717" s="108" t="s">
        <v>718</v>
      </c>
    </row>
    <row r="3718" spans="2:14" ht="23.25" customHeight="1">
      <c r="B3718" s="103" t="s">
        <v>199</v>
      </c>
      <c r="C3718" s="119" t="s">
        <v>723</v>
      </c>
      <c r="D3718" s="118" t="s">
        <v>411</v>
      </c>
      <c r="E3718" s="104">
        <v>46142</v>
      </c>
      <c r="F3718" s="105">
        <v>46146</v>
      </c>
      <c r="G3718" s="105">
        <v>46149</v>
      </c>
      <c r="H3718" s="120"/>
      <c r="I3718" s="106"/>
      <c r="J3718" s="107"/>
      <c r="K3718" s="107"/>
      <c r="L3718" s="107">
        <f>+K3718-((K3718*0.8427*0.125)+(K3718*(1-0.8427)*0.26))</f>
        <v>0</v>
      </c>
      <c r="M3718" s="107">
        <f t="shared" si="106"/>
        <v>0</v>
      </c>
      <c r="N3718" s="108" t="s">
        <v>718</v>
      </c>
    </row>
    <row r="3719" spans="2:14" ht="23.25" customHeight="1">
      <c r="B3719" s="103" t="s">
        <v>306</v>
      </c>
      <c r="C3719" s="121" t="s">
        <v>724</v>
      </c>
      <c r="D3719" s="103" t="s">
        <v>411</v>
      </c>
      <c r="E3719" s="104">
        <v>46142</v>
      </c>
      <c r="F3719" s="105">
        <v>46146</v>
      </c>
      <c r="G3719" s="105">
        <v>46149</v>
      </c>
      <c r="H3719" s="120"/>
      <c r="I3719" s="106"/>
      <c r="J3719" s="107"/>
      <c r="K3719" s="107"/>
      <c r="L3719" s="107">
        <f>+K3719-((K3719*0.0002*0.125)+(K3719*(1-0.0002)*0.26))</f>
        <v>0</v>
      </c>
      <c r="M3719" s="107">
        <f t="shared" si="106"/>
        <v>0</v>
      </c>
      <c r="N3719" s="108" t="s">
        <v>718</v>
      </c>
    </row>
    <row r="3720" spans="2:14" ht="23.25" customHeight="1">
      <c r="B3720" s="103" t="s">
        <v>184</v>
      </c>
      <c r="C3720" s="122" t="s">
        <v>725</v>
      </c>
      <c r="D3720" s="103" t="s">
        <v>411</v>
      </c>
      <c r="E3720" s="104">
        <v>46142</v>
      </c>
      <c r="F3720" s="105">
        <v>46146</v>
      </c>
      <c r="G3720" s="105">
        <v>46149</v>
      </c>
      <c r="H3720" s="120"/>
      <c r="I3720" s="106"/>
      <c r="J3720" s="107"/>
      <c r="K3720" s="107"/>
      <c r="L3720" s="107">
        <f>+K3720-((K3720*0.0002*0.125)+(K3720*(1-0.0002)*0.26))</f>
        <v>0</v>
      </c>
      <c r="M3720" s="107">
        <f t="shared" si="106"/>
        <v>0</v>
      </c>
      <c r="N3720" s="108" t="s">
        <v>718</v>
      </c>
    </row>
    <row r="3721" spans="2:14" ht="23.25" customHeight="1">
      <c r="B3721" s="103" t="s">
        <v>192</v>
      </c>
      <c r="C3721" s="119" t="s">
        <v>726</v>
      </c>
      <c r="D3721" s="118" t="s">
        <v>411</v>
      </c>
      <c r="E3721" s="104">
        <v>46142</v>
      </c>
      <c r="F3721" s="105">
        <v>46146</v>
      </c>
      <c r="G3721" s="105">
        <v>46149</v>
      </c>
      <c r="H3721" s="120"/>
      <c r="I3721" s="106"/>
      <c r="J3721" s="107"/>
      <c r="K3721" s="107"/>
      <c r="L3721" s="107">
        <f>+K3721-((K3721*0.0002*0.125)+(K3721*(1-0.0002)*0.26))</f>
        <v>0</v>
      </c>
      <c r="M3721" s="107">
        <f t="shared" si="106"/>
        <v>0</v>
      </c>
      <c r="N3721" s="108" t="s">
        <v>718</v>
      </c>
    </row>
    <row r="3722" spans="2:14" ht="23.25" customHeight="1">
      <c r="B3722" s="103" t="s">
        <v>311</v>
      </c>
      <c r="C3722" s="121" t="s">
        <v>727</v>
      </c>
      <c r="D3722" s="103" t="s">
        <v>411</v>
      </c>
      <c r="E3722" s="104">
        <v>46142</v>
      </c>
      <c r="F3722" s="105">
        <v>46146</v>
      </c>
      <c r="G3722" s="105">
        <v>46149</v>
      </c>
      <c r="H3722" s="120"/>
      <c r="I3722" s="106"/>
      <c r="J3722" s="107"/>
      <c r="K3722" s="107"/>
      <c r="L3722" s="107">
        <f>+K3722-((K3722*0.0001*0.125)+(K3722*(1-0.0001)*0.26))</f>
        <v>0</v>
      </c>
      <c r="M3722" s="107">
        <f t="shared" si="106"/>
        <v>0</v>
      </c>
      <c r="N3722" s="108" t="s">
        <v>718</v>
      </c>
    </row>
    <row r="3723" spans="2:14" ht="23.25" customHeight="1">
      <c r="B3723" s="103" t="s">
        <v>189</v>
      </c>
      <c r="C3723" s="122" t="s">
        <v>728</v>
      </c>
      <c r="D3723" s="103" t="s">
        <v>411</v>
      </c>
      <c r="E3723" s="104">
        <v>46142</v>
      </c>
      <c r="F3723" s="105">
        <v>46146</v>
      </c>
      <c r="G3723" s="105">
        <v>46149</v>
      </c>
      <c r="H3723" s="120"/>
      <c r="I3723" s="106"/>
      <c r="J3723" s="107"/>
      <c r="K3723" s="107"/>
      <c r="L3723" s="107">
        <f>+K3723-((K3723*0.0001*0.125)+(K3723*(1-0.0001)*0.26))</f>
        <v>0</v>
      </c>
      <c r="M3723" s="107">
        <f t="shared" si="106"/>
        <v>0</v>
      </c>
      <c r="N3723" s="108" t="s">
        <v>718</v>
      </c>
    </row>
    <row r="3724" spans="2:14" ht="23.25" customHeight="1">
      <c r="B3724" s="103" t="s">
        <v>197</v>
      </c>
      <c r="C3724" s="119" t="s">
        <v>729</v>
      </c>
      <c r="D3724" s="118" t="s">
        <v>411</v>
      </c>
      <c r="E3724" s="104">
        <v>46142</v>
      </c>
      <c r="F3724" s="105">
        <v>46146</v>
      </c>
      <c r="G3724" s="105">
        <v>46149</v>
      </c>
      <c r="H3724" s="120"/>
      <c r="I3724" s="106"/>
      <c r="J3724" s="107"/>
      <c r="K3724" s="107"/>
      <c r="L3724" s="107">
        <f>+K3724-((K3724*0.0001*0.125)+(K3724*(1-0.0001)*0.26))</f>
        <v>0</v>
      </c>
      <c r="M3724" s="107">
        <f t="shared" si="106"/>
        <v>0</v>
      </c>
      <c r="N3724" s="108" t="s">
        <v>718</v>
      </c>
    </row>
    <row r="3725" spans="2:14" ht="23.25" customHeight="1">
      <c r="B3725" s="103" t="s">
        <v>308</v>
      </c>
      <c r="C3725" s="121" t="s">
        <v>730</v>
      </c>
      <c r="D3725" s="103" t="s">
        <v>411</v>
      </c>
      <c r="E3725" s="104">
        <v>46142</v>
      </c>
      <c r="F3725" s="105">
        <v>46146</v>
      </c>
      <c r="G3725" s="105">
        <v>46149</v>
      </c>
      <c r="H3725" s="120"/>
      <c r="I3725" s="106"/>
      <c r="J3725" s="107"/>
      <c r="K3725" s="107"/>
      <c r="L3725" s="107">
        <f>+K3725-((K3725*0.4566*0.125)+(K3725*(1-0.4566)*0.26))</f>
        <v>0</v>
      </c>
      <c r="M3725" s="107">
        <f t="shared" si="106"/>
        <v>0</v>
      </c>
      <c r="N3725" s="108" t="s">
        <v>718</v>
      </c>
    </row>
    <row r="3726" spans="2:14" ht="23.25" customHeight="1">
      <c r="B3726" s="103" t="s">
        <v>186</v>
      </c>
      <c r="C3726" s="122" t="s">
        <v>731</v>
      </c>
      <c r="D3726" s="103" t="s">
        <v>411</v>
      </c>
      <c r="E3726" s="104">
        <v>46142</v>
      </c>
      <c r="F3726" s="105">
        <v>46146</v>
      </c>
      <c r="G3726" s="105">
        <v>46149</v>
      </c>
      <c r="H3726" s="120"/>
      <c r="I3726" s="106"/>
      <c r="J3726" s="107"/>
      <c r="K3726" s="107"/>
      <c r="L3726" s="107">
        <f>+K3726-((K3726*0.4566*0.125)+(K3726*(1-0.4566)*0.26))</f>
        <v>0</v>
      </c>
      <c r="M3726" s="107">
        <f t="shared" si="106"/>
        <v>0</v>
      </c>
      <c r="N3726" s="108" t="s">
        <v>718</v>
      </c>
    </row>
    <row r="3727" spans="2:14" ht="23.25" customHeight="1">
      <c r="B3727" s="103" t="s">
        <v>194</v>
      </c>
      <c r="C3727" s="119" t="s">
        <v>732</v>
      </c>
      <c r="D3727" s="118" t="s">
        <v>411</v>
      </c>
      <c r="E3727" s="104">
        <v>46142</v>
      </c>
      <c r="F3727" s="105">
        <v>46146</v>
      </c>
      <c r="G3727" s="105">
        <v>46149</v>
      </c>
      <c r="H3727" s="120"/>
      <c r="I3727" s="106"/>
      <c r="J3727" s="107"/>
      <c r="K3727" s="107"/>
      <c r="L3727" s="107">
        <f>+K3727-((K3727*0.4566*0.125)+(K3727*(1-0.4566)*0.26))</f>
        <v>0</v>
      </c>
      <c r="M3727" s="107">
        <f t="shared" si="106"/>
        <v>0</v>
      </c>
      <c r="N3727" s="108" t="s">
        <v>718</v>
      </c>
    </row>
    <row r="3728" spans="2:14" ht="23.25" customHeight="1">
      <c r="B3728" s="103" t="s">
        <v>307</v>
      </c>
      <c r="C3728" s="121" t="s">
        <v>983</v>
      </c>
      <c r="D3728" s="103" t="s">
        <v>411</v>
      </c>
      <c r="E3728" s="104">
        <v>46142</v>
      </c>
      <c r="F3728" s="105">
        <v>46146</v>
      </c>
      <c r="G3728" s="105">
        <v>46149</v>
      </c>
      <c r="H3728" s="170"/>
      <c r="I3728" s="106"/>
      <c r="J3728" s="107"/>
      <c r="K3728" s="107"/>
      <c r="L3728" s="107">
        <f>+K3728-((K3728*0.6855*0.125)+(K3728*(1-0.6855)*0.26))</f>
        <v>0</v>
      </c>
      <c r="M3728" s="107">
        <f t="shared" si="106"/>
        <v>0</v>
      </c>
      <c r="N3728" s="108" t="s">
        <v>718</v>
      </c>
    </row>
    <row r="3729" spans="2:14" ht="23.25" customHeight="1">
      <c r="B3729" s="103" t="s">
        <v>185</v>
      </c>
      <c r="C3729" s="122" t="s">
        <v>985</v>
      </c>
      <c r="D3729" s="103" t="s">
        <v>411</v>
      </c>
      <c r="E3729" s="104">
        <v>46142</v>
      </c>
      <c r="F3729" s="105">
        <v>46146</v>
      </c>
      <c r="G3729" s="105">
        <v>46149</v>
      </c>
      <c r="H3729" s="170"/>
      <c r="I3729" s="106"/>
      <c r="J3729" s="107"/>
      <c r="K3729" s="107"/>
      <c r="L3729" s="107">
        <f>+K3729-((K3729*0.6855*0.125)+(K3729*(1-0.6855)*0.26))</f>
        <v>0</v>
      </c>
      <c r="M3729" s="107">
        <f t="shared" si="106"/>
        <v>0</v>
      </c>
      <c r="N3729" s="108" t="s">
        <v>718</v>
      </c>
    </row>
    <row r="3730" spans="2:14" ht="23.25" customHeight="1">
      <c r="B3730" s="103" t="s">
        <v>193</v>
      </c>
      <c r="C3730" s="119" t="s">
        <v>984</v>
      </c>
      <c r="D3730" s="118" t="s">
        <v>411</v>
      </c>
      <c r="E3730" s="104">
        <v>46142</v>
      </c>
      <c r="F3730" s="105">
        <v>46146</v>
      </c>
      <c r="G3730" s="105">
        <v>46149</v>
      </c>
      <c r="H3730" s="170"/>
      <c r="I3730" s="106"/>
      <c r="J3730" s="107"/>
      <c r="K3730" s="107"/>
      <c r="L3730" s="107">
        <f>+K3730-((K3730*0.6855*0.125)+(K3730*(1-0.6855)*0.26))</f>
        <v>0</v>
      </c>
      <c r="M3730" s="107">
        <f t="shared" si="106"/>
        <v>0</v>
      </c>
      <c r="N3730" s="108" t="s">
        <v>718</v>
      </c>
    </row>
    <row r="3731" spans="2:14" ht="23.25" customHeight="1">
      <c r="B3731" s="103" t="s">
        <v>309</v>
      </c>
      <c r="C3731" s="121" t="s">
        <v>736</v>
      </c>
      <c r="D3731" s="103" t="s">
        <v>411</v>
      </c>
      <c r="E3731" s="104">
        <v>46142</v>
      </c>
      <c r="F3731" s="105">
        <v>46146</v>
      </c>
      <c r="G3731" s="105">
        <v>46149</v>
      </c>
      <c r="H3731" s="170"/>
      <c r="I3731" s="106"/>
      <c r="J3731" s="107"/>
      <c r="K3731" s="107"/>
      <c r="L3731" s="107">
        <f>+K3731-((K3731*0.0269*0.125)+(K3731*(1-0.0269)*0.26))</f>
        <v>0</v>
      </c>
      <c r="M3731" s="107">
        <f t="shared" si="106"/>
        <v>0</v>
      </c>
      <c r="N3731" s="108" t="s">
        <v>718</v>
      </c>
    </row>
    <row r="3732" spans="2:14" ht="23.25" customHeight="1">
      <c r="B3732" s="103" t="s">
        <v>187</v>
      </c>
      <c r="C3732" s="122" t="s">
        <v>737</v>
      </c>
      <c r="D3732" s="103" t="s">
        <v>411</v>
      </c>
      <c r="E3732" s="104">
        <v>46142</v>
      </c>
      <c r="F3732" s="105">
        <v>46146</v>
      </c>
      <c r="G3732" s="105">
        <v>46149</v>
      </c>
      <c r="H3732" s="170"/>
      <c r="I3732" s="106"/>
      <c r="J3732" s="107"/>
      <c r="K3732" s="107"/>
      <c r="L3732" s="107">
        <f>+K3732-((K3732*0.0269*0.125)+(K3732*(1-0.0269)*0.26))</f>
        <v>0</v>
      </c>
      <c r="M3732" s="107">
        <f t="shared" si="106"/>
        <v>0</v>
      </c>
      <c r="N3732" s="108" t="s">
        <v>718</v>
      </c>
    </row>
    <row r="3733" spans="2:14" ht="23.25" customHeight="1">
      <c r="B3733" s="103" t="s">
        <v>195</v>
      </c>
      <c r="C3733" s="119" t="s">
        <v>738</v>
      </c>
      <c r="D3733" s="118" t="s">
        <v>411</v>
      </c>
      <c r="E3733" s="104">
        <v>46142</v>
      </c>
      <c r="F3733" s="105">
        <v>46146</v>
      </c>
      <c r="G3733" s="105">
        <v>46149</v>
      </c>
      <c r="H3733" s="170"/>
      <c r="I3733" s="106"/>
      <c r="J3733" s="107"/>
      <c r="K3733" s="107"/>
      <c r="L3733" s="107">
        <f>+K3733-((K3733*0.0269*0.125)+(K3733*(1-0.0269)*0.26))</f>
        <v>0</v>
      </c>
      <c r="M3733" s="107">
        <f t="shared" si="106"/>
        <v>0</v>
      </c>
      <c r="N3733" s="108" t="s">
        <v>718</v>
      </c>
    </row>
    <row r="3734" spans="2:14" ht="23.25" customHeight="1">
      <c r="B3734" s="103" t="s">
        <v>312</v>
      </c>
      <c r="C3734" s="121" t="s">
        <v>739</v>
      </c>
      <c r="D3734" s="103" t="s">
        <v>411</v>
      </c>
      <c r="E3734" s="104">
        <v>46142</v>
      </c>
      <c r="F3734" s="105">
        <v>46146</v>
      </c>
      <c r="G3734" s="105">
        <v>46149</v>
      </c>
      <c r="H3734" s="120"/>
      <c r="I3734" s="106"/>
      <c r="J3734" s="107"/>
      <c r="K3734" s="107"/>
      <c r="L3734" s="107">
        <f>+K3734-((K3734*0.0017*0.125)+(K3734*(1-0.0017)*0.26))</f>
        <v>0</v>
      </c>
      <c r="M3734" s="107">
        <f t="shared" ref="M3734:M3765" si="108">J3734+L3734</f>
        <v>0</v>
      </c>
      <c r="N3734" s="108" t="s">
        <v>718</v>
      </c>
    </row>
    <row r="3735" spans="2:14" ht="23.25" customHeight="1">
      <c r="B3735" s="103" t="s">
        <v>190</v>
      </c>
      <c r="C3735" s="122" t="s">
        <v>740</v>
      </c>
      <c r="D3735" s="103" t="s">
        <v>411</v>
      </c>
      <c r="E3735" s="104">
        <v>46142</v>
      </c>
      <c r="F3735" s="105">
        <v>46146</v>
      </c>
      <c r="G3735" s="105">
        <v>46149</v>
      </c>
      <c r="H3735" s="120"/>
      <c r="I3735" s="106"/>
      <c r="J3735" s="107"/>
      <c r="K3735" s="107"/>
      <c r="L3735" s="107">
        <f>+K3735-((K3735*0.0017*0.125)+(K3735*(1-0.0017)*0.26))</f>
        <v>0</v>
      </c>
      <c r="M3735" s="107">
        <f t="shared" si="108"/>
        <v>0</v>
      </c>
      <c r="N3735" s="108" t="s">
        <v>718</v>
      </c>
    </row>
    <row r="3736" spans="2:14" ht="23.25" customHeight="1">
      <c r="B3736" s="103" t="s">
        <v>198</v>
      </c>
      <c r="C3736" s="119" t="s">
        <v>741</v>
      </c>
      <c r="D3736" s="118" t="s">
        <v>411</v>
      </c>
      <c r="E3736" s="104">
        <v>46142</v>
      </c>
      <c r="F3736" s="105">
        <v>46146</v>
      </c>
      <c r="G3736" s="105">
        <v>46149</v>
      </c>
      <c r="H3736" s="120"/>
      <c r="I3736" s="106"/>
      <c r="J3736" s="107"/>
      <c r="K3736" s="107"/>
      <c r="L3736" s="107">
        <f>+K3736-((K3736*0.0017*0.125)+(K3736*(1-0.0017)*0.26))</f>
        <v>0</v>
      </c>
      <c r="M3736" s="107">
        <f t="shared" si="108"/>
        <v>0</v>
      </c>
      <c r="N3736" s="108" t="s">
        <v>718</v>
      </c>
    </row>
    <row r="3737" spans="2:14" ht="23.25" customHeight="1">
      <c r="B3737" s="103" t="s">
        <v>313</v>
      </c>
      <c r="C3737" s="121" t="s">
        <v>884</v>
      </c>
      <c r="D3737" s="103" t="s">
        <v>411</v>
      </c>
      <c r="E3737" s="104">
        <v>46142</v>
      </c>
      <c r="F3737" s="105">
        <v>46146</v>
      </c>
      <c r="G3737" s="105">
        <v>46149</v>
      </c>
      <c r="H3737" s="183"/>
      <c r="I3737" s="106"/>
      <c r="J3737" s="107"/>
      <c r="K3737" s="107"/>
      <c r="L3737" s="107">
        <f>+K3737-((K3737*0.2804*0.125)+(K3737*(1-0.2804)*0.26))</f>
        <v>0</v>
      </c>
      <c r="M3737" s="107">
        <f t="shared" si="108"/>
        <v>0</v>
      </c>
      <c r="N3737" s="108" t="s">
        <v>718</v>
      </c>
    </row>
    <row r="3738" spans="2:14" ht="23.25" customHeight="1">
      <c r="B3738" s="103" t="s">
        <v>310</v>
      </c>
      <c r="C3738" s="121" t="s">
        <v>719</v>
      </c>
      <c r="D3738" s="103" t="s">
        <v>411</v>
      </c>
      <c r="E3738" s="104">
        <v>46171</v>
      </c>
      <c r="F3738" s="105">
        <v>46174</v>
      </c>
      <c r="G3738" s="105">
        <v>46177</v>
      </c>
      <c r="H3738" s="170"/>
      <c r="I3738" s="106"/>
      <c r="J3738" s="107"/>
      <c r="K3738" s="107"/>
      <c r="L3738" s="107">
        <f>+K3738-((K3738*0.0611*0.125)+(K3738*(1-0.0611)*0.26))</f>
        <v>0</v>
      </c>
      <c r="M3738" s="107">
        <f t="shared" si="108"/>
        <v>0</v>
      </c>
      <c r="N3738" s="108" t="s">
        <v>718</v>
      </c>
    </row>
    <row r="3739" spans="2:14" ht="23.25" customHeight="1">
      <c r="B3739" s="103" t="s">
        <v>188</v>
      </c>
      <c r="C3739" s="122" t="s">
        <v>720</v>
      </c>
      <c r="D3739" s="103" t="s">
        <v>411</v>
      </c>
      <c r="E3739" s="104">
        <v>46171</v>
      </c>
      <c r="F3739" s="105">
        <v>46174</v>
      </c>
      <c r="G3739" s="105">
        <v>46177</v>
      </c>
      <c r="H3739" s="170"/>
      <c r="I3739" s="106"/>
      <c r="J3739" s="107"/>
      <c r="K3739" s="107"/>
      <c r="L3739" s="107">
        <f>+K3739-((K3739*0.0611*0.125)+(K3739*(1-0.0611)*0.26))</f>
        <v>0</v>
      </c>
      <c r="M3739" s="107">
        <f t="shared" si="108"/>
        <v>0</v>
      </c>
      <c r="N3739" s="108" t="s">
        <v>718</v>
      </c>
    </row>
    <row r="3740" spans="2:14" ht="23.25" customHeight="1">
      <c r="B3740" s="103" t="s">
        <v>196</v>
      </c>
      <c r="C3740" s="119" t="s">
        <v>721</v>
      </c>
      <c r="D3740" s="118" t="s">
        <v>411</v>
      </c>
      <c r="E3740" s="104">
        <v>46171</v>
      </c>
      <c r="F3740" s="105">
        <v>46174</v>
      </c>
      <c r="G3740" s="105">
        <v>46177</v>
      </c>
      <c r="H3740" s="120"/>
      <c r="I3740" s="106"/>
      <c r="J3740" s="107"/>
      <c r="K3740" s="107"/>
      <c r="L3740" s="107">
        <f>+K3740-((K3740*0.0611*0.125)+(K3740*(1-0.0611)*0.26))</f>
        <v>0</v>
      </c>
      <c r="M3740" s="107">
        <f t="shared" si="108"/>
        <v>0</v>
      </c>
      <c r="N3740" s="108" t="s">
        <v>718</v>
      </c>
    </row>
    <row r="3741" spans="2:14" ht="23.25" customHeight="1">
      <c r="B3741" s="103" t="s">
        <v>191</v>
      </c>
      <c r="C3741" s="122" t="s">
        <v>722</v>
      </c>
      <c r="D3741" s="103" t="s">
        <v>411</v>
      </c>
      <c r="E3741" s="104">
        <v>46171</v>
      </c>
      <c r="F3741" s="105">
        <v>46174</v>
      </c>
      <c r="G3741" s="105">
        <v>46177</v>
      </c>
      <c r="H3741" s="120"/>
      <c r="I3741" s="106"/>
      <c r="J3741" s="107"/>
      <c r="K3741" s="107"/>
      <c r="L3741" s="107">
        <f>+K3741-((K3741*0.8427*0.125)+(K3741*(1-0.8427)*0.26))</f>
        <v>0</v>
      </c>
      <c r="M3741" s="107">
        <f t="shared" si="108"/>
        <v>0</v>
      </c>
      <c r="N3741" s="108" t="s">
        <v>718</v>
      </c>
    </row>
    <row r="3742" spans="2:14" ht="23.25" customHeight="1">
      <c r="B3742" s="103" t="s">
        <v>199</v>
      </c>
      <c r="C3742" s="119" t="s">
        <v>723</v>
      </c>
      <c r="D3742" s="118" t="s">
        <v>411</v>
      </c>
      <c r="E3742" s="104">
        <v>46171</v>
      </c>
      <c r="F3742" s="105">
        <v>46174</v>
      </c>
      <c r="G3742" s="105">
        <v>46177</v>
      </c>
      <c r="H3742" s="120"/>
      <c r="I3742" s="106"/>
      <c r="J3742" s="107"/>
      <c r="K3742" s="107"/>
      <c r="L3742" s="107">
        <f>+K3742-((K3742*0.8427*0.125)+(K3742*(1-0.8427)*0.26))</f>
        <v>0</v>
      </c>
      <c r="M3742" s="107">
        <f t="shared" si="108"/>
        <v>0</v>
      </c>
      <c r="N3742" s="108" t="s">
        <v>718</v>
      </c>
    </row>
    <row r="3743" spans="2:14" ht="23.25" customHeight="1">
      <c r="B3743" s="103" t="s">
        <v>306</v>
      </c>
      <c r="C3743" s="121" t="s">
        <v>724</v>
      </c>
      <c r="D3743" s="103" t="s">
        <v>411</v>
      </c>
      <c r="E3743" s="104">
        <v>46171</v>
      </c>
      <c r="F3743" s="105">
        <v>46174</v>
      </c>
      <c r="G3743" s="105">
        <v>46177</v>
      </c>
      <c r="H3743" s="120"/>
      <c r="I3743" s="106"/>
      <c r="J3743" s="107"/>
      <c r="K3743" s="107"/>
      <c r="L3743" s="107">
        <f>+K3743-((K3743*0.0002*0.125)+(K3743*(1-0.0002)*0.26))</f>
        <v>0</v>
      </c>
      <c r="M3743" s="107">
        <f t="shared" si="108"/>
        <v>0</v>
      </c>
      <c r="N3743" s="108" t="s">
        <v>718</v>
      </c>
    </row>
    <row r="3744" spans="2:14" ht="23.25" customHeight="1">
      <c r="B3744" s="103" t="s">
        <v>184</v>
      </c>
      <c r="C3744" s="122" t="s">
        <v>725</v>
      </c>
      <c r="D3744" s="103" t="s">
        <v>411</v>
      </c>
      <c r="E3744" s="104">
        <v>46171</v>
      </c>
      <c r="F3744" s="105">
        <v>46174</v>
      </c>
      <c r="G3744" s="105">
        <v>46177</v>
      </c>
      <c r="H3744" s="120"/>
      <c r="I3744" s="106"/>
      <c r="J3744" s="107"/>
      <c r="K3744" s="107"/>
      <c r="L3744" s="107">
        <f>+K3744-((K3744*0.0002*0.125)+(K3744*(1-0.0002)*0.26))</f>
        <v>0</v>
      </c>
      <c r="M3744" s="107">
        <f t="shared" si="108"/>
        <v>0</v>
      </c>
      <c r="N3744" s="108" t="s">
        <v>718</v>
      </c>
    </row>
    <row r="3745" spans="2:14" ht="23.25" customHeight="1">
      <c r="B3745" s="103" t="s">
        <v>192</v>
      </c>
      <c r="C3745" s="119" t="s">
        <v>726</v>
      </c>
      <c r="D3745" s="118" t="s">
        <v>411</v>
      </c>
      <c r="E3745" s="104">
        <v>46171</v>
      </c>
      <c r="F3745" s="105">
        <v>46174</v>
      </c>
      <c r="G3745" s="105">
        <v>46177</v>
      </c>
      <c r="H3745" s="120"/>
      <c r="I3745" s="106"/>
      <c r="J3745" s="107"/>
      <c r="K3745" s="107"/>
      <c r="L3745" s="107">
        <f>+K3745-((K3745*0.0002*0.125)+(K3745*(1-0.0002)*0.26))</f>
        <v>0</v>
      </c>
      <c r="M3745" s="107">
        <f t="shared" si="108"/>
        <v>0</v>
      </c>
      <c r="N3745" s="108" t="s">
        <v>718</v>
      </c>
    </row>
    <row r="3746" spans="2:14" ht="23.25" customHeight="1">
      <c r="B3746" s="103" t="s">
        <v>311</v>
      </c>
      <c r="C3746" s="121" t="s">
        <v>727</v>
      </c>
      <c r="D3746" s="103" t="s">
        <v>411</v>
      </c>
      <c r="E3746" s="104">
        <v>46171</v>
      </c>
      <c r="F3746" s="105">
        <v>46174</v>
      </c>
      <c r="G3746" s="105">
        <v>46177</v>
      </c>
      <c r="H3746" s="120"/>
      <c r="I3746" s="106"/>
      <c r="J3746" s="107"/>
      <c r="K3746" s="107"/>
      <c r="L3746" s="107">
        <f>+K3746-((K3746*0.0001*0.125)+(K3746*(1-0.0001)*0.26))</f>
        <v>0</v>
      </c>
      <c r="M3746" s="107">
        <f t="shared" si="108"/>
        <v>0</v>
      </c>
      <c r="N3746" s="108" t="s">
        <v>718</v>
      </c>
    </row>
    <row r="3747" spans="2:14" ht="23.25" customHeight="1">
      <c r="B3747" s="103" t="s">
        <v>189</v>
      </c>
      <c r="C3747" s="122" t="s">
        <v>728</v>
      </c>
      <c r="D3747" s="103" t="s">
        <v>411</v>
      </c>
      <c r="E3747" s="104">
        <v>46171</v>
      </c>
      <c r="F3747" s="105">
        <v>46174</v>
      </c>
      <c r="G3747" s="105">
        <v>46177</v>
      </c>
      <c r="H3747" s="120"/>
      <c r="I3747" s="106"/>
      <c r="J3747" s="107"/>
      <c r="K3747" s="107"/>
      <c r="L3747" s="107">
        <f>+K3747-((K3747*0.0001*0.125)+(K3747*(1-0.0001)*0.26))</f>
        <v>0</v>
      </c>
      <c r="M3747" s="107">
        <f t="shared" si="108"/>
        <v>0</v>
      </c>
      <c r="N3747" s="108" t="s">
        <v>718</v>
      </c>
    </row>
    <row r="3748" spans="2:14" ht="23.25" customHeight="1">
      <c r="B3748" s="103" t="s">
        <v>197</v>
      </c>
      <c r="C3748" s="119" t="s">
        <v>729</v>
      </c>
      <c r="D3748" s="118" t="s">
        <v>411</v>
      </c>
      <c r="E3748" s="104">
        <v>46171</v>
      </c>
      <c r="F3748" s="105">
        <v>46174</v>
      </c>
      <c r="G3748" s="105">
        <v>46177</v>
      </c>
      <c r="H3748" s="120"/>
      <c r="I3748" s="106"/>
      <c r="J3748" s="107"/>
      <c r="K3748" s="107"/>
      <c r="L3748" s="107">
        <f>+K3748-((K3748*0.0001*0.125)+(K3748*(1-0.0001)*0.26))</f>
        <v>0</v>
      </c>
      <c r="M3748" s="107">
        <f t="shared" si="108"/>
        <v>0</v>
      </c>
      <c r="N3748" s="108" t="s">
        <v>718</v>
      </c>
    </row>
    <row r="3749" spans="2:14" ht="23.25" customHeight="1">
      <c r="B3749" s="103" t="s">
        <v>308</v>
      </c>
      <c r="C3749" s="121" t="s">
        <v>730</v>
      </c>
      <c r="D3749" s="103" t="s">
        <v>411</v>
      </c>
      <c r="E3749" s="104">
        <v>46171</v>
      </c>
      <c r="F3749" s="105">
        <v>46174</v>
      </c>
      <c r="G3749" s="105">
        <v>46177</v>
      </c>
      <c r="H3749" s="120"/>
      <c r="I3749" s="106"/>
      <c r="J3749" s="107"/>
      <c r="K3749" s="107"/>
      <c r="L3749" s="107">
        <f>+K3749-((K3749*0.4566*0.125)+(K3749*(1-0.4566)*0.26))</f>
        <v>0</v>
      </c>
      <c r="M3749" s="107">
        <f t="shared" si="108"/>
        <v>0</v>
      </c>
      <c r="N3749" s="108" t="s">
        <v>718</v>
      </c>
    </row>
    <row r="3750" spans="2:14" ht="23.25" customHeight="1">
      <c r="B3750" s="103" t="s">
        <v>186</v>
      </c>
      <c r="C3750" s="122" t="s">
        <v>731</v>
      </c>
      <c r="D3750" s="103" t="s">
        <v>411</v>
      </c>
      <c r="E3750" s="104">
        <v>46171</v>
      </c>
      <c r="F3750" s="105">
        <v>46174</v>
      </c>
      <c r="G3750" s="105">
        <v>46177</v>
      </c>
      <c r="H3750" s="120"/>
      <c r="I3750" s="106"/>
      <c r="J3750" s="107"/>
      <c r="K3750" s="107"/>
      <c r="L3750" s="107">
        <f>+K3750-((K3750*0.4566*0.125)+(K3750*(1-0.4566)*0.26))</f>
        <v>0</v>
      </c>
      <c r="M3750" s="107">
        <f t="shared" si="108"/>
        <v>0</v>
      </c>
      <c r="N3750" s="108" t="s">
        <v>718</v>
      </c>
    </row>
    <row r="3751" spans="2:14" ht="23.25" customHeight="1">
      <c r="B3751" s="103" t="s">
        <v>194</v>
      </c>
      <c r="C3751" s="119" t="s">
        <v>732</v>
      </c>
      <c r="D3751" s="118" t="s">
        <v>411</v>
      </c>
      <c r="E3751" s="104">
        <v>46171</v>
      </c>
      <c r="F3751" s="105">
        <v>46174</v>
      </c>
      <c r="G3751" s="105">
        <v>46177</v>
      </c>
      <c r="H3751" s="120"/>
      <c r="I3751" s="106"/>
      <c r="J3751" s="107"/>
      <c r="K3751" s="107"/>
      <c r="L3751" s="107">
        <f>+K3751-((K3751*0.4566*0.125)+(K3751*(1-0.4566)*0.26))</f>
        <v>0</v>
      </c>
      <c r="M3751" s="107">
        <f t="shared" si="108"/>
        <v>0</v>
      </c>
      <c r="N3751" s="108" t="s">
        <v>718</v>
      </c>
    </row>
    <row r="3752" spans="2:14" ht="23.25" customHeight="1">
      <c r="B3752" s="103" t="s">
        <v>307</v>
      </c>
      <c r="C3752" s="121" t="s">
        <v>983</v>
      </c>
      <c r="D3752" s="103" t="s">
        <v>411</v>
      </c>
      <c r="E3752" s="104">
        <v>46171</v>
      </c>
      <c r="F3752" s="105">
        <v>46174</v>
      </c>
      <c r="G3752" s="105">
        <v>46177</v>
      </c>
      <c r="H3752" s="170"/>
      <c r="I3752" s="106"/>
      <c r="J3752" s="107"/>
      <c r="K3752" s="107"/>
      <c r="L3752" s="107">
        <f>+K3752-((K3752*0.6855*0.125)+(K3752*(1-0.6855)*0.26))</f>
        <v>0</v>
      </c>
      <c r="M3752" s="107">
        <f t="shared" si="108"/>
        <v>0</v>
      </c>
      <c r="N3752" s="108" t="s">
        <v>718</v>
      </c>
    </row>
    <row r="3753" spans="2:14" ht="23.25" customHeight="1">
      <c r="B3753" s="103" t="s">
        <v>185</v>
      </c>
      <c r="C3753" s="122" t="s">
        <v>985</v>
      </c>
      <c r="D3753" s="103" t="s">
        <v>411</v>
      </c>
      <c r="E3753" s="104">
        <v>46171</v>
      </c>
      <c r="F3753" s="105">
        <v>46174</v>
      </c>
      <c r="G3753" s="105">
        <v>46177</v>
      </c>
      <c r="H3753" s="170"/>
      <c r="I3753" s="106"/>
      <c r="J3753" s="107"/>
      <c r="K3753" s="107"/>
      <c r="L3753" s="107">
        <f>+K3753-((K3753*0.6855*0.125)+(K3753*(1-0.6855)*0.26))</f>
        <v>0</v>
      </c>
      <c r="M3753" s="107">
        <f t="shared" si="108"/>
        <v>0</v>
      </c>
      <c r="N3753" s="108" t="s">
        <v>718</v>
      </c>
    </row>
    <row r="3754" spans="2:14" ht="23.25" customHeight="1">
      <c r="B3754" s="103" t="s">
        <v>193</v>
      </c>
      <c r="C3754" s="119" t="s">
        <v>984</v>
      </c>
      <c r="D3754" s="118" t="s">
        <v>411</v>
      </c>
      <c r="E3754" s="104">
        <v>46171</v>
      </c>
      <c r="F3754" s="105">
        <v>46174</v>
      </c>
      <c r="G3754" s="105">
        <v>46177</v>
      </c>
      <c r="H3754" s="170"/>
      <c r="I3754" s="106"/>
      <c r="J3754" s="107"/>
      <c r="K3754" s="107"/>
      <c r="L3754" s="107">
        <f>+K3754-((K3754*0.6855*0.125)+(K3754*(1-0.6855)*0.26))</f>
        <v>0</v>
      </c>
      <c r="M3754" s="107">
        <f t="shared" si="108"/>
        <v>0</v>
      </c>
      <c r="N3754" s="108" t="s">
        <v>718</v>
      </c>
    </row>
    <row r="3755" spans="2:14" ht="23.25" customHeight="1">
      <c r="B3755" s="103" t="s">
        <v>309</v>
      </c>
      <c r="C3755" s="121" t="s">
        <v>736</v>
      </c>
      <c r="D3755" s="103" t="s">
        <v>411</v>
      </c>
      <c r="E3755" s="104">
        <v>46171</v>
      </c>
      <c r="F3755" s="105">
        <v>46174</v>
      </c>
      <c r="G3755" s="105">
        <v>46177</v>
      </c>
      <c r="H3755" s="170"/>
      <c r="I3755" s="106"/>
      <c r="J3755" s="107"/>
      <c r="K3755" s="107"/>
      <c r="L3755" s="107">
        <f>+K3755-((K3755*0.0269*0.125)+(K3755*(1-0.0269)*0.26))</f>
        <v>0</v>
      </c>
      <c r="M3755" s="107">
        <f t="shared" si="108"/>
        <v>0</v>
      </c>
      <c r="N3755" s="108" t="s">
        <v>718</v>
      </c>
    </row>
    <row r="3756" spans="2:14" ht="23.25" customHeight="1">
      <c r="B3756" s="103" t="s">
        <v>187</v>
      </c>
      <c r="C3756" s="122" t="s">
        <v>737</v>
      </c>
      <c r="D3756" s="103" t="s">
        <v>411</v>
      </c>
      <c r="E3756" s="104">
        <v>46171</v>
      </c>
      <c r="F3756" s="105">
        <v>46174</v>
      </c>
      <c r="G3756" s="105">
        <v>46177</v>
      </c>
      <c r="H3756" s="170"/>
      <c r="I3756" s="106"/>
      <c r="J3756" s="107"/>
      <c r="K3756" s="107"/>
      <c r="L3756" s="107">
        <f>+K3756-((K3756*0.0269*0.125)+(K3756*(1-0.0269)*0.26))</f>
        <v>0</v>
      </c>
      <c r="M3756" s="107">
        <f t="shared" si="108"/>
        <v>0</v>
      </c>
      <c r="N3756" s="108" t="s">
        <v>718</v>
      </c>
    </row>
    <row r="3757" spans="2:14" ht="23.25" customHeight="1">
      <c r="B3757" s="103" t="s">
        <v>195</v>
      </c>
      <c r="C3757" s="119" t="s">
        <v>738</v>
      </c>
      <c r="D3757" s="118" t="s">
        <v>411</v>
      </c>
      <c r="E3757" s="104">
        <v>46171</v>
      </c>
      <c r="F3757" s="105">
        <v>46174</v>
      </c>
      <c r="G3757" s="105">
        <v>46177</v>
      </c>
      <c r="H3757" s="170"/>
      <c r="I3757" s="106"/>
      <c r="J3757" s="107"/>
      <c r="K3757" s="107"/>
      <c r="L3757" s="107">
        <f>+K3757-((K3757*0.0269*0.125)+(K3757*(1-0.0269)*0.26))</f>
        <v>0</v>
      </c>
      <c r="M3757" s="107">
        <f t="shared" si="108"/>
        <v>0</v>
      </c>
      <c r="N3757" s="108" t="s">
        <v>718</v>
      </c>
    </row>
    <row r="3758" spans="2:14" ht="23.25" customHeight="1">
      <c r="B3758" s="103" t="s">
        <v>312</v>
      </c>
      <c r="C3758" s="121" t="s">
        <v>739</v>
      </c>
      <c r="D3758" s="103" t="s">
        <v>411</v>
      </c>
      <c r="E3758" s="104">
        <v>46171</v>
      </c>
      <c r="F3758" s="105">
        <v>46174</v>
      </c>
      <c r="G3758" s="105">
        <v>46177</v>
      </c>
      <c r="H3758" s="120"/>
      <c r="I3758" s="106"/>
      <c r="J3758" s="107"/>
      <c r="K3758" s="107"/>
      <c r="L3758" s="107">
        <f>+K3758-((K3758*0.0017*0.125)+(K3758*(1-0.0017)*0.26))</f>
        <v>0</v>
      </c>
      <c r="M3758" s="107">
        <f t="shared" si="108"/>
        <v>0</v>
      </c>
      <c r="N3758" s="108" t="s">
        <v>718</v>
      </c>
    </row>
    <row r="3759" spans="2:14" ht="23.25" customHeight="1">
      <c r="B3759" s="103" t="s">
        <v>190</v>
      </c>
      <c r="C3759" s="122" t="s">
        <v>740</v>
      </c>
      <c r="D3759" s="103" t="s">
        <v>411</v>
      </c>
      <c r="E3759" s="104">
        <v>46171</v>
      </c>
      <c r="F3759" s="105">
        <v>46174</v>
      </c>
      <c r="G3759" s="105">
        <v>46177</v>
      </c>
      <c r="H3759" s="120"/>
      <c r="I3759" s="106"/>
      <c r="J3759" s="107"/>
      <c r="K3759" s="107"/>
      <c r="L3759" s="107">
        <f>+K3759-((K3759*0.0017*0.125)+(K3759*(1-0.0017)*0.26))</f>
        <v>0</v>
      </c>
      <c r="M3759" s="107">
        <f t="shared" si="108"/>
        <v>0</v>
      </c>
      <c r="N3759" s="108" t="s">
        <v>718</v>
      </c>
    </row>
    <row r="3760" spans="2:14" ht="23.25" customHeight="1">
      <c r="B3760" s="103" t="s">
        <v>198</v>
      </c>
      <c r="C3760" s="119" t="s">
        <v>741</v>
      </c>
      <c r="D3760" s="118" t="s">
        <v>411</v>
      </c>
      <c r="E3760" s="104">
        <v>46171</v>
      </c>
      <c r="F3760" s="105">
        <v>46174</v>
      </c>
      <c r="G3760" s="105">
        <v>46177</v>
      </c>
      <c r="H3760" s="120"/>
      <c r="I3760" s="106"/>
      <c r="J3760" s="107"/>
      <c r="K3760" s="107"/>
      <c r="L3760" s="107">
        <f>+K3760-((K3760*0.0017*0.125)+(K3760*(1-0.0017)*0.26))</f>
        <v>0</v>
      </c>
      <c r="M3760" s="107">
        <f t="shared" si="108"/>
        <v>0</v>
      </c>
      <c r="N3760" s="108" t="s">
        <v>718</v>
      </c>
    </row>
    <row r="3761" spans="2:14" ht="23.25" customHeight="1">
      <c r="B3761" s="103" t="s">
        <v>313</v>
      </c>
      <c r="C3761" s="121" t="s">
        <v>884</v>
      </c>
      <c r="D3761" s="103" t="s">
        <v>411</v>
      </c>
      <c r="E3761" s="104">
        <v>46171</v>
      </c>
      <c r="F3761" s="105">
        <v>46174</v>
      </c>
      <c r="G3761" s="105">
        <v>46177</v>
      </c>
      <c r="H3761" s="183"/>
      <c r="I3761" s="106"/>
      <c r="J3761" s="107"/>
      <c r="K3761" s="107"/>
      <c r="L3761" s="107">
        <f>+K3761-((K3761*0.2804*0.125)+(K3761*(1-0.2804)*0.26))</f>
        <v>0</v>
      </c>
      <c r="M3761" s="107">
        <f t="shared" si="108"/>
        <v>0</v>
      </c>
      <c r="N3761" s="108" t="s">
        <v>718</v>
      </c>
    </row>
    <row r="3762" spans="2:14" ht="23.25" customHeight="1">
      <c r="B3762" s="103" t="s">
        <v>174</v>
      </c>
      <c r="C3762" s="119" t="s">
        <v>382</v>
      </c>
      <c r="D3762" s="118" t="s">
        <v>410</v>
      </c>
      <c r="E3762" s="104">
        <v>46202</v>
      </c>
      <c r="F3762" s="105">
        <v>46203</v>
      </c>
      <c r="G3762" s="105">
        <v>46206</v>
      </c>
      <c r="H3762" s="170"/>
      <c r="I3762" s="107"/>
      <c r="J3762" s="107"/>
      <c r="K3762" s="107"/>
      <c r="L3762" s="107">
        <f>+K3762-((K3762*0.0226*0.125)+(K3762*(1-0.0226)*0.26))</f>
        <v>0</v>
      </c>
      <c r="M3762" s="107">
        <f t="shared" si="108"/>
        <v>0</v>
      </c>
      <c r="N3762" s="108" t="s">
        <v>247</v>
      </c>
    </row>
    <row r="3763" spans="2:14" ht="23.25" customHeight="1">
      <c r="B3763" s="103" t="s">
        <v>176</v>
      </c>
      <c r="C3763" s="119" t="s">
        <v>877</v>
      </c>
      <c r="D3763" s="118" t="s">
        <v>410</v>
      </c>
      <c r="E3763" s="104">
        <v>46202</v>
      </c>
      <c r="F3763" s="105">
        <v>46203</v>
      </c>
      <c r="G3763" s="105">
        <v>46206</v>
      </c>
      <c r="H3763" s="170"/>
      <c r="I3763" s="107"/>
      <c r="J3763" s="107"/>
      <c r="K3763" s="107"/>
      <c r="L3763" s="107">
        <f>+K3763-((K3763*0.1741*0.125)+(K3763*(1-0.1741)*0.26))</f>
        <v>0</v>
      </c>
      <c r="M3763" s="107">
        <f t="shared" si="108"/>
        <v>0</v>
      </c>
      <c r="N3763" s="108" t="s">
        <v>247</v>
      </c>
    </row>
    <row r="3764" spans="2:14" ht="23.25" customHeight="1">
      <c r="B3764" s="103" t="s">
        <v>175</v>
      </c>
      <c r="C3764" s="119" t="s">
        <v>465</v>
      </c>
      <c r="D3764" s="118" t="s">
        <v>410</v>
      </c>
      <c r="E3764" s="104">
        <v>46202</v>
      </c>
      <c r="F3764" s="105">
        <v>46203</v>
      </c>
      <c r="G3764" s="105">
        <v>46206</v>
      </c>
      <c r="H3764" s="120"/>
      <c r="I3764" s="107"/>
      <c r="J3764" s="107"/>
      <c r="K3764" s="107"/>
      <c r="L3764" s="107">
        <f>+K3764-((K3764*0.042*0.125)+(K3764*(1-0.042)*0.26))</f>
        <v>0</v>
      </c>
      <c r="M3764" s="107">
        <f t="shared" si="108"/>
        <v>0</v>
      </c>
      <c r="N3764" s="108" t="s">
        <v>247</v>
      </c>
    </row>
    <row r="3765" spans="2:14" ht="23.25" customHeight="1">
      <c r="B3765" s="103" t="s">
        <v>310</v>
      </c>
      <c r="C3765" s="121" t="s">
        <v>719</v>
      </c>
      <c r="D3765" s="103" t="s">
        <v>411</v>
      </c>
      <c r="E3765" s="104">
        <v>46203</v>
      </c>
      <c r="F3765" s="105">
        <v>46204</v>
      </c>
      <c r="G3765" s="105">
        <v>46209</v>
      </c>
      <c r="H3765" s="120"/>
      <c r="I3765" s="106"/>
      <c r="J3765" s="107"/>
      <c r="K3765" s="107"/>
      <c r="L3765" s="107">
        <f>+K3765-((K3765*0.0611*0.125)+(K3765*(1-0.0611)*0.26))</f>
        <v>0</v>
      </c>
      <c r="M3765" s="107">
        <f t="shared" si="108"/>
        <v>0</v>
      </c>
      <c r="N3765" s="108" t="s">
        <v>718</v>
      </c>
    </row>
    <row r="3766" spans="2:14" ht="23.25" customHeight="1">
      <c r="B3766" s="103" t="s">
        <v>188</v>
      </c>
      <c r="C3766" s="122" t="s">
        <v>720</v>
      </c>
      <c r="D3766" s="103" t="s">
        <v>411</v>
      </c>
      <c r="E3766" s="104">
        <v>46203</v>
      </c>
      <c r="F3766" s="105">
        <v>46204</v>
      </c>
      <c r="G3766" s="105">
        <v>46209</v>
      </c>
      <c r="H3766" s="120"/>
      <c r="I3766" s="106"/>
      <c r="J3766" s="107"/>
      <c r="K3766" s="107"/>
      <c r="L3766" s="107">
        <f>+K3766-((K3766*0.0611*0.125)+(K3766*(1-0.0611)*0.26))</f>
        <v>0</v>
      </c>
      <c r="M3766" s="107">
        <f t="shared" ref="M3766:M3788" si="109">J3766+L3766</f>
        <v>0</v>
      </c>
      <c r="N3766" s="108" t="s">
        <v>718</v>
      </c>
    </row>
    <row r="3767" spans="2:14" ht="23.25" customHeight="1">
      <c r="B3767" s="103" t="s">
        <v>196</v>
      </c>
      <c r="C3767" s="119" t="s">
        <v>721</v>
      </c>
      <c r="D3767" s="118" t="s">
        <v>411</v>
      </c>
      <c r="E3767" s="104">
        <v>46203</v>
      </c>
      <c r="F3767" s="105">
        <v>46204</v>
      </c>
      <c r="G3767" s="105">
        <v>46209</v>
      </c>
      <c r="H3767" s="120"/>
      <c r="I3767" s="106"/>
      <c r="J3767" s="107"/>
      <c r="K3767" s="107"/>
      <c r="L3767" s="107">
        <f>+K3767-((K3767*0.0611*0.125)+(K3767*(1-0.0611)*0.26))</f>
        <v>0</v>
      </c>
      <c r="M3767" s="107">
        <f t="shared" si="109"/>
        <v>0</v>
      </c>
      <c r="N3767" s="108" t="s">
        <v>718</v>
      </c>
    </row>
    <row r="3768" spans="2:14" ht="23.25" customHeight="1">
      <c r="B3768" s="103" t="s">
        <v>191</v>
      </c>
      <c r="C3768" s="122" t="s">
        <v>722</v>
      </c>
      <c r="D3768" s="103" t="s">
        <v>411</v>
      </c>
      <c r="E3768" s="104">
        <v>46203</v>
      </c>
      <c r="F3768" s="105">
        <v>46204</v>
      </c>
      <c r="G3768" s="105">
        <v>46209</v>
      </c>
      <c r="H3768" s="120"/>
      <c r="I3768" s="106"/>
      <c r="J3768" s="107"/>
      <c r="K3768" s="107"/>
      <c r="L3768" s="107">
        <f>+K3768-((K3768*0.8427*0.125)+(K3768*(1-0.8427)*0.26))</f>
        <v>0</v>
      </c>
      <c r="M3768" s="107">
        <f t="shared" si="109"/>
        <v>0</v>
      </c>
      <c r="N3768" s="108" t="s">
        <v>718</v>
      </c>
    </row>
    <row r="3769" spans="2:14" ht="23.25" customHeight="1">
      <c r="B3769" s="103" t="s">
        <v>199</v>
      </c>
      <c r="C3769" s="119" t="s">
        <v>723</v>
      </c>
      <c r="D3769" s="118" t="s">
        <v>411</v>
      </c>
      <c r="E3769" s="104">
        <v>46203</v>
      </c>
      <c r="F3769" s="105">
        <v>46204</v>
      </c>
      <c r="G3769" s="105">
        <v>46209</v>
      </c>
      <c r="H3769" s="120"/>
      <c r="I3769" s="106"/>
      <c r="J3769" s="107"/>
      <c r="K3769" s="107"/>
      <c r="L3769" s="107">
        <f>+K3769-((K3769*0.8427*0.125)+(K3769*(1-0.8427)*0.26))</f>
        <v>0</v>
      </c>
      <c r="M3769" s="107">
        <f t="shared" si="109"/>
        <v>0</v>
      </c>
      <c r="N3769" s="108" t="s">
        <v>718</v>
      </c>
    </row>
    <row r="3770" spans="2:14" ht="23.25" customHeight="1">
      <c r="B3770" s="103" t="s">
        <v>306</v>
      </c>
      <c r="C3770" s="121" t="s">
        <v>724</v>
      </c>
      <c r="D3770" s="103" t="s">
        <v>411</v>
      </c>
      <c r="E3770" s="104">
        <v>46203</v>
      </c>
      <c r="F3770" s="105">
        <v>46204</v>
      </c>
      <c r="G3770" s="105">
        <v>46209</v>
      </c>
      <c r="H3770" s="120"/>
      <c r="I3770" s="106"/>
      <c r="J3770" s="107"/>
      <c r="K3770" s="107"/>
      <c r="L3770" s="107">
        <f>+K3770-((K3770*0.0002*0.125)+(K3770*(1-0.0002)*0.26))</f>
        <v>0</v>
      </c>
      <c r="M3770" s="107">
        <f t="shared" si="109"/>
        <v>0</v>
      </c>
      <c r="N3770" s="108" t="s">
        <v>718</v>
      </c>
    </row>
    <row r="3771" spans="2:14" ht="23.25" customHeight="1">
      <c r="B3771" s="103" t="s">
        <v>184</v>
      </c>
      <c r="C3771" s="122" t="s">
        <v>725</v>
      </c>
      <c r="D3771" s="103" t="s">
        <v>411</v>
      </c>
      <c r="E3771" s="104">
        <v>46203</v>
      </c>
      <c r="F3771" s="105">
        <v>46204</v>
      </c>
      <c r="G3771" s="105">
        <v>46209</v>
      </c>
      <c r="H3771" s="120"/>
      <c r="I3771" s="106"/>
      <c r="J3771" s="107"/>
      <c r="K3771" s="107"/>
      <c r="L3771" s="107">
        <f>+K3771-((K3771*0.0002*0.125)+(K3771*(1-0.0002)*0.26))</f>
        <v>0</v>
      </c>
      <c r="M3771" s="107">
        <f t="shared" si="109"/>
        <v>0</v>
      </c>
      <c r="N3771" s="108" t="s">
        <v>718</v>
      </c>
    </row>
    <row r="3772" spans="2:14" ht="23.25" customHeight="1">
      <c r="B3772" s="103" t="s">
        <v>192</v>
      </c>
      <c r="C3772" s="119" t="s">
        <v>726</v>
      </c>
      <c r="D3772" s="118" t="s">
        <v>411</v>
      </c>
      <c r="E3772" s="104">
        <v>46203</v>
      </c>
      <c r="F3772" s="105">
        <v>46204</v>
      </c>
      <c r="G3772" s="105">
        <v>46209</v>
      </c>
      <c r="H3772" s="120"/>
      <c r="I3772" s="106"/>
      <c r="J3772" s="107"/>
      <c r="K3772" s="107"/>
      <c r="L3772" s="107">
        <f>+K3772-((K3772*0.0002*0.125)+(K3772*(1-0.0002)*0.26))</f>
        <v>0</v>
      </c>
      <c r="M3772" s="107">
        <f t="shared" si="109"/>
        <v>0</v>
      </c>
      <c r="N3772" s="108" t="s">
        <v>718</v>
      </c>
    </row>
    <row r="3773" spans="2:14" ht="23.25" customHeight="1">
      <c r="B3773" s="103" t="s">
        <v>311</v>
      </c>
      <c r="C3773" s="121" t="s">
        <v>727</v>
      </c>
      <c r="D3773" s="103" t="s">
        <v>411</v>
      </c>
      <c r="E3773" s="104">
        <v>46203</v>
      </c>
      <c r="F3773" s="105">
        <v>46204</v>
      </c>
      <c r="G3773" s="105">
        <v>46209</v>
      </c>
      <c r="H3773" s="120"/>
      <c r="I3773" s="106"/>
      <c r="J3773" s="107"/>
      <c r="K3773" s="107"/>
      <c r="L3773" s="107">
        <f>+K3773-((K3773*0.0001*0.125)+(K3773*(1-0.0001)*0.26))</f>
        <v>0</v>
      </c>
      <c r="M3773" s="107">
        <f t="shared" si="109"/>
        <v>0</v>
      </c>
      <c r="N3773" s="108" t="s">
        <v>718</v>
      </c>
    </row>
    <row r="3774" spans="2:14" ht="23.25" customHeight="1">
      <c r="B3774" s="103" t="s">
        <v>189</v>
      </c>
      <c r="C3774" s="122" t="s">
        <v>728</v>
      </c>
      <c r="D3774" s="103" t="s">
        <v>411</v>
      </c>
      <c r="E3774" s="104">
        <v>46203</v>
      </c>
      <c r="F3774" s="105">
        <v>46204</v>
      </c>
      <c r="G3774" s="105">
        <v>46209</v>
      </c>
      <c r="H3774" s="120"/>
      <c r="I3774" s="106"/>
      <c r="J3774" s="107"/>
      <c r="K3774" s="107"/>
      <c r="L3774" s="107">
        <f>+K3774-((K3774*0.0001*0.125)+(K3774*(1-0.0001)*0.26))</f>
        <v>0</v>
      </c>
      <c r="M3774" s="107">
        <f t="shared" si="109"/>
        <v>0</v>
      </c>
      <c r="N3774" s="108" t="s">
        <v>718</v>
      </c>
    </row>
    <row r="3775" spans="2:14" ht="23.25" customHeight="1">
      <c r="B3775" s="103" t="s">
        <v>197</v>
      </c>
      <c r="C3775" s="119" t="s">
        <v>729</v>
      </c>
      <c r="D3775" s="118" t="s">
        <v>411</v>
      </c>
      <c r="E3775" s="104">
        <v>46203</v>
      </c>
      <c r="F3775" s="105">
        <v>46204</v>
      </c>
      <c r="G3775" s="105">
        <v>46209</v>
      </c>
      <c r="H3775" s="120"/>
      <c r="I3775" s="106"/>
      <c r="J3775" s="107"/>
      <c r="K3775" s="107"/>
      <c r="L3775" s="107">
        <f>+K3775-((K3775*0.0001*0.125)+(K3775*(1-0.0001)*0.26))</f>
        <v>0</v>
      </c>
      <c r="M3775" s="107">
        <f t="shared" si="109"/>
        <v>0</v>
      </c>
      <c r="N3775" s="108" t="s">
        <v>718</v>
      </c>
    </row>
    <row r="3776" spans="2:14" ht="23.25" customHeight="1">
      <c r="B3776" s="103" t="s">
        <v>308</v>
      </c>
      <c r="C3776" s="121" t="s">
        <v>730</v>
      </c>
      <c r="D3776" s="103" t="s">
        <v>411</v>
      </c>
      <c r="E3776" s="104">
        <v>46203</v>
      </c>
      <c r="F3776" s="105">
        <v>46204</v>
      </c>
      <c r="G3776" s="105">
        <v>46209</v>
      </c>
      <c r="H3776" s="170"/>
      <c r="I3776" s="106"/>
      <c r="J3776" s="107"/>
      <c r="K3776" s="107"/>
      <c r="L3776" s="107">
        <f>+K3776-((K3776*0.4566*0.125)+(K3776*(1-0.4566)*0.26))</f>
        <v>0</v>
      </c>
      <c r="M3776" s="107">
        <f t="shared" si="109"/>
        <v>0</v>
      </c>
      <c r="N3776" s="108" t="s">
        <v>718</v>
      </c>
    </row>
    <row r="3777" spans="2:14" ht="23.25" customHeight="1">
      <c r="B3777" s="103" t="s">
        <v>186</v>
      </c>
      <c r="C3777" s="122" t="s">
        <v>731</v>
      </c>
      <c r="D3777" s="103" t="s">
        <v>411</v>
      </c>
      <c r="E3777" s="104">
        <v>46203</v>
      </c>
      <c r="F3777" s="105">
        <v>46204</v>
      </c>
      <c r="G3777" s="105">
        <v>46209</v>
      </c>
      <c r="H3777" s="170"/>
      <c r="I3777" s="106"/>
      <c r="J3777" s="107"/>
      <c r="K3777" s="107"/>
      <c r="L3777" s="107">
        <f>+K3777-((K3777*0.4566*0.125)+(K3777*(1-0.4566)*0.26))</f>
        <v>0</v>
      </c>
      <c r="M3777" s="107">
        <f t="shared" si="109"/>
        <v>0</v>
      </c>
      <c r="N3777" s="108" t="s">
        <v>718</v>
      </c>
    </row>
    <row r="3778" spans="2:14" ht="23.25" customHeight="1">
      <c r="B3778" s="103" t="s">
        <v>194</v>
      </c>
      <c r="C3778" s="119" t="s">
        <v>732</v>
      </c>
      <c r="D3778" s="118" t="s">
        <v>411</v>
      </c>
      <c r="E3778" s="104">
        <v>46203</v>
      </c>
      <c r="F3778" s="105">
        <v>46204</v>
      </c>
      <c r="G3778" s="105">
        <v>46209</v>
      </c>
      <c r="H3778" s="170"/>
      <c r="I3778" s="106"/>
      <c r="J3778" s="107"/>
      <c r="K3778" s="107"/>
      <c r="L3778" s="107">
        <f>+K3778-((K3778*0.4566*0.125)+(K3778*(1-0.4566)*0.26))</f>
        <v>0</v>
      </c>
      <c r="M3778" s="107">
        <f t="shared" si="109"/>
        <v>0</v>
      </c>
      <c r="N3778" s="108" t="s">
        <v>718</v>
      </c>
    </row>
    <row r="3779" spans="2:14" ht="23.25" customHeight="1">
      <c r="B3779" s="103" t="s">
        <v>307</v>
      </c>
      <c r="C3779" s="121" t="s">
        <v>983</v>
      </c>
      <c r="D3779" s="103" t="s">
        <v>411</v>
      </c>
      <c r="E3779" s="104">
        <v>46203</v>
      </c>
      <c r="F3779" s="105">
        <v>46204</v>
      </c>
      <c r="G3779" s="105">
        <v>46209</v>
      </c>
      <c r="H3779" s="170"/>
      <c r="I3779" s="106"/>
      <c r="J3779" s="107"/>
      <c r="K3779" s="107"/>
      <c r="L3779" s="107">
        <f>+K3779-((K3779*0.6855*0.125)+(K3779*(1-0.6855)*0.26))</f>
        <v>0</v>
      </c>
      <c r="M3779" s="107">
        <f t="shared" si="109"/>
        <v>0</v>
      </c>
      <c r="N3779" s="108" t="s">
        <v>718</v>
      </c>
    </row>
    <row r="3780" spans="2:14" ht="23.25" customHeight="1">
      <c r="B3780" s="103" t="s">
        <v>185</v>
      </c>
      <c r="C3780" s="122" t="s">
        <v>985</v>
      </c>
      <c r="D3780" s="103" t="s">
        <v>411</v>
      </c>
      <c r="E3780" s="104">
        <v>46203</v>
      </c>
      <c r="F3780" s="105">
        <v>46204</v>
      </c>
      <c r="G3780" s="105">
        <v>46209</v>
      </c>
      <c r="H3780" s="170"/>
      <c r="I3780" s="106"/>
      <c r="J3780" s="107"/>
      <c r="K3780" s="107"/>
      <c r="L3780" s="107">
        <f>+K3780-((K3780*0.6855*0.125)+(K3780*(1-0.6855)*0.26))</f>
        <v>0</v>
      </c>
      <c r="M3780" s="107">
        <f t="shared" si="109"/>
        <v>0</v>
      </c>
      <c r="N3780" s="108" t="s">
        <v>718</v>
      </c>
    </row>
    <row r="3781" spans="2:14" ht="23.25" customHeight="1">
      <c r="B3781" s="103" t="s">
        <v>193</v>
      </c>
      <c r="C3781" s="119" t="s">
        <v>984</v>
      </c>
      <c r="D3781" s="118" t="s">
        <v>411</v>
      </c>
      <c r="E3781" s="104">
        <v>46203</v>
      </c>
      <c r="F3781" s="105">
        <v>46204</v>
      </c>
      <c r="G3781" s="105">
        <v>46209</v>
      </c>
      <c r="H3781" s="170"/>
      <c r="I3781" s="106"/>
      <c r="J3781" s="107"/>
      <c r="K3781" s="107"/>
      <c r="L3781" s="107">
        <f>+K3781-((K3781*0.6855*0.125)+(K3781*(1-0.6855)*0.26))</f>
        <v>0</v>
      </c>
      <c r="M3781" s="107">
        <f t="shared" si="109"/>
        <v>0</v>
      </c>
      <c r="N3781" s="108" t="s">
        <v>718</v>
      </c>
    </row>
    <row r="3782" spans="2:14" ht="23.25" customHeight="1">
      <c r="B3782" s="103" t="s">
        <v>309</v>
      </c>
      <c r="C3782" s="121" t="s">
        <v>736</v>
      </c>
      <c r="D3782" s="103" t="s">
        <v>411</v>
      </c>
      <c r="E3782" s="104">
        <v>46203</v>
      </c>
      <c r="F3782" s="105">
        <v>46204</v>
      </c>
      <c r="G3782" s="105">
        <v>46209</v>
      </c>
      <c r="H3782" s="120"/>
      <c r="I3782" s="106"/>
      <c r="J3782" s="107"/>
      <c r="K3782" s="107"/>
      <c r="L3782" s="107">
        <f>+K3782-((K3782*0.0269*0.125)+(K3782*(1-0.0269)*0.26))</f>
        <v>0</v>
      </c>
      <c r="M3782" s="107">
        <f t="shared" si="109"/>
        <v>0</v>
      </c>
      <c r="N3782" s="108" t="s">
        <v>718</v>
      </c>
    </row>
    <row r="3783" spans="2:14" ht="23.25" customHeight="1">
      <c r="B3783" s="103" t="s">
        <v>187</v>
      </c>
      <c r="C3783" s="122" t="s">
        <v>737</v>
      </c>
      <c r="D3783" s="103" t="s">
        <v>411</v>
      </c>
      <c r="E3783" s="104">
        <v>46203</v>
      </c>
      <c r="F3783" s="105">
        <v>46204</v>
      </c>
      <c r="G3783" s="105">
        <v>46209</v>
      </c>
      <c r="H3783" s="120"/>
      <c r="I3783" s="106"/>
      <c r="J3783" s="107"/>
      <c r="K3783" s="107"/>
      <c r="L3783" s="107">
        <f>+K3783-((K3783*0.0269*0.125)+(K3783*(1-0.0269)*0.26))</f>
        <v>0</v>
      </c>
      <c r="M3783" s="107">
        <f t="shared" si="109"/>
        <v>0</v>
      </c>
      <c r="N3783" s="108" t="s">
        <v>718</v>
      </c>
    </row>
    <row r="3784" spans="2:14" ht="23.25" customHeight="1">
      <c r="B3784" s="103" t="s">
        <v>195</v>
      </c>
      <c r="C3784" s="119" t="s">
        <v>738</v>
      </c>
      <c r="D3784" s="118" t="s">
        <v>411</v>
      </c>
      <c r="E3784" s="104">
        <v>46203</v>
      </c>
      <c r="F3784" s="105">
        <v>46204</v>
      </c>
      <c r="G3784" s="105">
        <v>46209</v>
      </c>
      <c r="H3784" s="120"/>
      <c r="I3784" s="106"/>
      <c r="J3784" s="107"/>
      <c r="K3784" s="107"/>
      <c r="L3784" s="107">
        <f>+K3784-((K3784*0.0269*0.125)+(K3784*(1-0.0269)*0.26))</f>
        <v>0</v>
      </c>
      <c r="M3784" s="107">
        <f t="shared" si="109"/>
        <v>0</v>
      </c>
      <c r="N3784" s="108" t="s">
        <v>718</v>
      </c>
    </row>
    <row r="3785" spans="2:14" ht="23.25" customHeight="1">
      <c r="B3785" s="103" t="s">
        <v>312</v>
      </c>
      <c r="C3785" s="121" t="s">
        <v>739</v>
      </c>
      <c r="D3785" s="103" t="s">
        <v>411</v>
      </c>
      <c r="E3785" s="104">
        <v>46203</v>
      </c>
      <c r="F3785" s="105">
        <v>46204</v>
      </c>
      <c r="G3785" s="105">
        <v>46209</v>
      </c>
      <c r="H3785" s="170"/>
      <c r="I3785" s="106"/>
      <c r="J3785" s="107"/>
      <c r="K3785" s="107"/>
      <c r="L3785" s="107">
        <f>+K3785-((K3785*0.0017*0.125)+(K3785*(1-0.0017)*0.26))</f>
        <v>0</v>
      </c>
      <c r="M3785" s="107">
        <f t="shared" si="109"/>
        <v>0</v>
      </c>
      <c r="N3785" s="108" t="s">
        <v>718</v>
      </c>
    </row>
    <row r="3786" spans="2:14" ht="23.25" customHeight="1">
      <c r="B3786" s="103" t="s">
        <v>190</v>
      </c>
      <c r="C3786" s="122" t="s">
        <v>740</v>
      </c>
      <c r="D3786" s="103" t="s">
        <v>411</v>
      </c>
      <c r="E3786" s="104">
        <v>46203</v>
      </c>
      <c r="F3786" s="105">
        <v>46204</v>
      </c>
      <c r="G3786" s="105">
        <v>46209</v>
      </c>
      <c r="H3786" s="170"/>
      <c r="I3786" s="106"/>
      <c r="J3786" s="107"/>
      <c r="K3786" s="107"/>
      <c r="L3786" s="107">
        <f>+K3786-((K3786*0.0017*0.125)+(K3786*(1-0.0017)*0.26))</f>
        <v>0</v>
      </c>
      <c r="M3786" s="107">
        <f t="shared" si="109"/>
        <v>0</v>
      </c>
      <c r="N3786" s="108" t="s">
        <v>718</v>
      </c>
    </row>
    <row r="3787" spans="2:14" ht="23.25" customHeight="1">
      <c r="B3787" s="103" t="s">
        <v>198</v>
      </c>
      <c r="C3787" s="119" t="s">
        <v>741</v>
      </c>
      <c r="D3787" s="118" t="s">
        <v>411</v>
      </c>
      <c r="E3787" s="104">
        <v>46203</v>
      </c>
      <c r="F3787" s="105">
        <v>46204</v>
      </c>
      <c r="G3787" s="105">
        <v>46209</v>
      </c>
      <c r="H3787" s="170"/>
      <c r="I3787" s="106"/>
      <c r="J3787" s="107"/>
      <c r="K3787" s="107"/>
      <c r="L3787" s="107">
        <f>+K3787-((K3787*0.0017*0.125)+(K3787*(1-0.0017)*0.26))</f>
        <v>0</v>
      </c>
      <c r="M3787" s="107">
        <f t="shared" si="109"/>
        <v>0</v>
      </c>
      <c r="N3787" s="108" t="s">
        <v>718</v>
      </c>
    </row>
    <row r="3788" spans="2:14" ht="23.25" customHeight="1">
      <c r="B3788" s="103" t="s">
        <v>313</v>
      </c>
      <c r="C3788" s="121" t="s">
        <v>884</v>
      </c>
      <c r="D3788" s="103" t="s">
        <v>411</v>
      </c>
      <c r="E3788" s="104">
        <v>46203</v>
      </c>
      <c r="F3788" s="105">
        <v>46204</v>
      </c>
      <c r="G3788" s="105">
        <v>46209</v>
      </c>
      <c r="H3788" s="174"/>
      <c r="I3788" s="106"/>
      <c r="J3788" s="107"/>
      <c r="K3788" s="107"/>
      <c r="L3788" s="107">
        <f>+K3788-((K3788*0.2804*0.125)+(K3788*(1-0.2804)*0.26))</f>
        <v>0</v>
      </c>
      <c r="M3788" s="107">
        <f t="shared" si="109"/>
        <v>0</v>
      </c>
      <c r="N3788" s="108" t="s">
        <v>718</v>
      </c>
    </row>
    <row r="3789" spans="2:14" ht="23.25" customHeight="1">
      <c r="B3789" s="103" t="s">
        <v>298</v>
      </c>
      <c r="C3789" s="121" t="s">
        <v>403</v>
      </c>
      <c r="D3789" s="103" t="s">
        <v>410</v>
      </c>
      <c r="E3789" s="104">
        <v>46203</v>
      </c>
      <c r="F3789" s="105">
        <v>46204</v>
      </c>
      <c r="G3789" s="105">
        <v>46209</v>
      </c>
      <c r="H3789" s="120"/>
      <c r="I3789" s="107"/>
      <c r="J3789" s="107"/>
      <c r="K3789" s="107"/>
      <c r="L3789" s="107">
        <f>+K3789-((K3789*0.5114*0.125)+(K3789*(1-0.5114)*0.26))</f>
        <v>0</v>
      </c>
      <c r="M3789" s="107">
        <v>0</v>
      </c>
      <c r="N3789" s="108" t="s">
        <v>248</v>
      </c>
    </row>
    <row r="3790" spans="2:14" ht="23.25" customHeight="1">
      <c r="B3790" s="103" t="s">
        <v>181</v>
      </c>
      <c r="C3790" s="122" t="s">
        <v>335</v>
      </c>
      <c r="D3790" s="103" t="s">
        <v>410</v>
      </c>
      <c r="E3790" s="104">
        <v>46203</v>
      </c>
      <c r="F3790" s="105">
        <v>46204</v>
      </c>
      <c r="G3790" s="105">
        <v>46209</v>
      </c>
      <c r="H3790" s="120"/>
      <c r="I3790" s="107"/>
      <c r="J3790" s="107"/>
      <c r="K3790" s="107"/>
      <c r="L3790" s="107">
        <f>+K3790-((K3790*0.5114*0.125)+(K3790*(1-0.5114)*0.26))</f>
        <v>0</v>
      </c>
      <c r="M3790" s="107">
        <v>0</v>
      </c>
      <c r="N3790" s="108" t="s">
        <v>248</v>
      </c>
    </row>
    <row r="3791" spans="2:14" ht="23.25" customHeight="1">
      <c r="B3791" s="103" t="s">
        <v>201</v>
      </c>
      <c r="C3791" s="119" t="s">
        <v>336</v>
      </c>
      <c r="D3791" s="103" t="s">
        <v>410</v>
      </c>
      <c r="E3791" s="104">
        <v>46203</v>
      </c>
      <c r="F3791" s="105">
        <v>46204</v>
      </c>
      <c r="G3791" s="105">
        <v>46209</v>
      </c>
      <c r="H3791" s="120"/>
      <c r="I3791" s="107"/>
      <c r="J3791" s="107"/>
      <c r="K3791" s="107"/>
      <c r="L3791" s="107">
        <f>+K3791-((K3791*0.5114*0.125)+(K3791*(1-0.5114)*0.26))</f>
        <v>0</v>
      </c>
      <c r="M3791" s="107">
        <v>0</v>
      </c>
      <c r="N3791" s="108" t="s">
        <v>248</v>
      </c>
    </row>
    <row r="3792" spans="2:14" ht="23.25" customHeight="1">
      <c r="B3792" s="103" t="s">
        <v>138</v>
      </c>
      <c r="C3792" s="121" t="s">
        <v>337</v>
      </c>
      <c r="D3792" s="103" t="s">
        <v>410</v>
      </c>
      <c r="E3792" s="104">
        <v>46203</v>
      </c>
      <c r="F3792" s="105">
        <v>46204</v>
      </c>
      <c r="G3792" s="105">
        <v>46209</v>
      </c>
      <c r="H3792" s="120"/>
      <c r="I3792" s="107"/>
      <c r="J3792" s="107"/>
      <c r="K3792" s="107"/>
      <c r="L3792" s="107">
        <f>+K3792-((K3792*0.4127*0.125)+(K3792*(1-0.4127)*0.26))</f>
        <v>0</v>
      </c>
      <c r="M3792" s="107">
        <v>0</v>
      </c>
      <c r="N3792" s="108" t="s">
        <v>248</v>
      </c>
    </row>
    <row r="3793" spans="2:14" ht="23.25" customHeight="1">
      <c r="B3793" s="103" t="s">
        <v>160</v>
      </c>
      <c r="C3793" s="122" t="s">
        <v>338</v>
      </c>
      <c r="D3793" s="103" t="s">
        <v>410</v>
      </c>
      <c r="E3793" s="104">
        <v>46203</v>
      </c>
      <c r="F3793" s="105">
        <v>46204</v>
      </c>
      <c r="G3793" s="105">
        <v>46209</v>
      </c>
      <c r="H3793" s="120"/>
      <c r="I3793" s="107"/>
      <c r="J3793" s="107"/>
      <c r="K3793" s="107"/>
      <c r="L3793" s="107">
        <f>+K3793-((K3793*0.4127*0.125)+(K3793*(1-0.4127)*0.26))</f>
        <v>0</v>
      </c>
      <c r="M3793" s="107">
        <v>0</v>
      </c>
      <c r="N3793" s="108" t="s">
        <v>248</v>
      </c>
    </row>
    <row r="3794" spans="2:14" ht="23.25" customHeight="1">
      <c r="B3794" s="103" t="s">
        <v>300</v>
      </c>
      <c r="C3794" s="121" t="s">
        <v>404</v>
      </c>
      <c r="D3794" s="103" t="s">
        <v>410</v>
      </c>
      <c r="E3794" s="104">
        <v>46203</v>
      </c>
      <c r="F3794" s="105">
        <v>46204</v>
      </c>
      <c r="G3794" s="105">
        <v>46209</v>
      </c>
      <c r="H3794" s="120"/>
      <c r="I3794" s="107"/>
      <c r="J3794" s="107"/>
      <c r="K3794" s="107"/>
      <c r="L3794" s="107">
        <f>+K3794-((K3794*0.4127*0.125)+(K3794*(1-0.4127)*0.26))</f>
        <v>0</v>
      </c>
      <c r="M3794" s="107">
        <v>0</v>
      </c>
      <c r="N3794" s="108" t="s">
        <v>248</v>
      </c>
    </row>
    <row r="3795" spans="2:14" ht="23.25" customHeight="1">
      <c r="B3795" s="103" t="s">
        <v>142</v>
      </c>
      <c r="C3795" s="121" t="s">
        <v>341</v>
      </c>
      <c r="D3795" s="103" t="s">
        <v>410</v>
      </c>
      <c r="E3795" s="104">
        <v>46203</v>
      </c>
      <c r="F3795" s="105">
        <v>46204</v>
      </c>
      <c r="G3795" s="105">
        <v>46209</v>
      </c>
      <c r="H3795" s="120"/>
      <c r="I3795" s="107"/>
      <c r="J3795" s="107"/>
      <c r="K3795" s="107"/>
      <c r="L3795" s="107">
        <f>+K3795-((K3795*0.0273*0.125)+(K3795*(1-0.0273)*0.26))</f>
        <v>0</v>
      </c>
      <c r="M3795" s="107">
        <v>0</v>
      </c>
      <c r="N3795" s="108" t="s">
        <v>248</v>
      </c>
    </row>
    <row r="3796" spans="2:14" ht="23.25" customHeight="1">
      <c r="B3796" s="103" t="s">
        <v>159</v>
      </c>
      <c r="C3796" s="122" t="s">
        <v>342</v>
      </c>
      <c r="D3796" s="103" t="s">
        <v>410</v>
      </c>
      <c r="E3796" s="104">
        <v>46203</v>
      </c>
      <c r="F3796" s="105">
        <v>46204</v>
      </c>
      <c r="G3796" s="105">
        <v>46209</v>
      </c>
      <c r="H3796" s="120"/>
      <c r="I3796" s="107"/>
      <c r="J3796" s="107"/>
      <c r="K3796" s="107"/>
      <c r="L3796" s="107">
        <f>+K3796-((K3796*0.0273*0.125)+(K3796*(1-0.0273)*0.26))</f>
        <v>0</v>
      </c>
      <c r="M3796" s="107">
        <v>0</v>
      </c>
      <c r="N3796" s="108" t="s">
        <v>248</v>
      </c>
    </row>
    <row r="3797" spans="2:14" ht="23.25" customHeight="1">
      <c r="B3797" s="103" t="s">
        <v>507</v>
      </c>
      <c r="C3797" s="122" t="s">
        <v>508</v>
      </c>
      <c r="D3797" s="103" t="s">
        <v>410</v>
      </c>
      <c r="E3797" s="104">
        <v>46203</v>
      </c>
      <c r="F3797" s="105">
        <v>46204</v>
      </c>
      <c r="G3797" s="105">
        <v>46209</v>
      </c>
      <c r="H3797" s="120"/>
      <c r="I3797" s="107"/>
      <c r="J3797" s="107"/>
      <c r="K3797" s="107"/>
      <c r="L3797" s="107">
        <f>+K3797-((K3797*0.0273*0.125)+(K3797*(1-0.0273)*0.26))</f>
        <v>0</v>
      </c>
      <c r="M3797" s="107">
        <v>0</v>
      </c>
      <c r="N3797" s="118" t="s">
        <v>248</v>
      </c>
    </row>
    <row r="3798" spans="2:14" ht="23.25" customHeight="1">
      <c r="B3798" s="103" t="s">
        <v>139</v>
      </c>
      <c r="C3798" s="121" t="s">
        <v>344</v>
      </c>
      <c r="D3798" s="103" t="s">
        <v>410</v>
      </c>
      <c r="E3798" s="104">
        <v>46203</v>
      </c>
      <c r="F3798" s="105">
        <v>46204</v>
      </c>
      <c r="G3798" s="105">
        <v>46209</v>
      </c>
      <c r="H3798" s="120"/>
      <c r="I3798" s="107"/>
      <c r="J3798" s="107"/>
      <c r="K3798" s="107"/>
      <c r="L3798" s="107">
        <f>+K3798-((K3798*0.8427*0.125)+(K3798*(1-0.8427)*0.26))</f>
        <v>0</v>
      </c>
      <c r="M3798" s="107">
        <v>0</v>
      </c>
      <c r="N3798" s="108" t="s">
        <v>248</v>
      </c>
    </row>
    <row r="3799" spans="2:14" ht="23.25" customHeight="1">
      <c r="B3799" s="103" t="s">
        <v>161</v>
      </c>
      <c r="C3799" s="122" t="s">
        <v>345</v>
      </c>
      <c r="D3799" s="103" t="s">
        <v>410</v>
      </c>
      <c r="E3799" s="104">
        <v>46203</v>
      </c>
      <c r="F3799" s="105">
        <v>46204</v>
      </c>
      <c r="G3799" s="105">
        <v>46209</v>
      </c>
      <c r="H3799" s="120"/>
      <c r="I3799" s="107"/>
      <c r="J3799" s="107"/>
      <c r="K3799" s="107"/>
      <c r="L3799" s="107">
        <f>+K3799-((K3799*0.8427*0.125)+(K3799*(1-0.8427)*0.26))</f>
        <v>0</v>
      </c>
      <c r="M3799" s="107">
        <v>0</v>
      </c>
      <c r="N3799" s="108" t="s">
        <v>248</v>
      </c>
    </row>
    <row r="3800" spans="2:14" ht="23.25" customHeight="1">
      <c r="B3800" s="103" t="s">
        <v>141</v>
      </c>
      <c r="C3800" s="121" t="s">
        <v>348</v>
      </c>
      <c r="D3800" s="103" t="s">
        <v>410</v>
      </c>
      <c r="E3800" s="104">
        <v>46203</v>
      </c>
      <c r="F3800" s="105">
        <v>46204</v>
      </c>
      <c r="G3800" s="105">
        <v>46209</v>
      </c>
      <c r="H3800" s="170"/>
      <c r="I3800" s="107"/>
      <c r="J3800" s="107"/>
      <c r="K3800" s="107"/>
      <c r="L3800" s="107">
        <f>+K3800-((K3800*0.0952*0.125)+(K3800*(1-0.0952)*0.26))</f>
        <v>0</v>
      </c>
      <c r="M3800" s="107">
        <v>0</v>
      </c>
      <c r="N3800" s="108" t="s">
        <v>248</v>
      </c>
    </row>
    <row r="3801" spans="2:14" ht="23.25" customHeight="1">
      <c r="B3801" s="103" t="s">
        <v>140</v>
      </c>
      <c r="C3801" s="121" t="s">
        <v>349</v>
      </c>
      <c r="D3801" s="103" t="s">
        <v>410</v>
      </c>
      <c r="E3801" s="104">
        <v>46203</v>
      </c>
      <c r="F3801" s="105">
        <v>46204</v>
      </c>
      <c r="G3801" s="105">
        <v>46209</v>
      </c>
      <c r="H3801" s="170"/>
      <c r="I3801" s="107"/>
      <c r="J3801" s="107"/>
      <c r="K3801" s="107"/>
      <c r="L3801" s="107">
        <f>+K3801-((K3801*0.0952*0.125)+(K3801*(1-0.0952)*0.26))</f>
        <v>0</v>
      </c>
      <c r="M3801" s="107">
        <v>0</v>
      </c>
      <c r="N3801" s="108" t="s">
        <v>248</v>
      </c>
    </row>
    <row r="3802" spans="2:14" ht="23.25" customHeight="1">
      <c r="B3802" s="103" t="s">
        <v>162</v>
      </c>
      <c r="C3802" s="122" t="s">
        <v>350</v>
      </c>
      <c r="D3802" s="103" t="s">
        <v>410</v>
      </c>
      <c r="E3802" s="104">
        <v>46203</v>
      </c>
      <c r="F3802" s="105">
        <v>46204</v>
      </c>
      <c r="G3802" s="105">
        <v>46209</v>
      </c>
      <c r="H3802" s="170"/>
      <c r="I3802" s="107"/>
      <c r="J3802" s="107"/>
      <c r="K3802" s="107"/>
      <c r="L3802" s="107">
        <f>+K3802-((K3802*0.0952*0.125)+(K3802*(1-0.0952)*0.26))</f>
        <v>0</v>
      </c>
      <c r="M3802" s="107">
        <v>0</v>
      </c>
      <c r="N3802" s="108" t="s">
        <v>248</v>
      </c>
    </row>
    <row r="3803" spans="2:14" ht="23.25" customHeight="1">
      <c r="B3803" s="103" t="s">
        <v>302</v>
      </c>
      <c r="C3803" s="121" t="s">
        <v>405</v>
      </c>
      <c r="D3803" s="103" t="s">
        <v>410</v>
      </c>
      <c r="E3803" s="104">
        <v>46203</v>
      </c>
      <c r="F3803" s="105">
        <v>46204</v>
      </c>
      <c r="G3803" s="105">
        <v>46209</v>
      </c>
      <c r="H3803" s="170"/>
      <c r="I3803" s="107"/>
      <c r="J3803" s="107"/>
      <c r="K3803" s="107"/>
      <c r="L3803" s="107">
        <f>+K3803-((K3803*0.0952*0.125)+(K3803*(1-0.0952)*0.26))</f>
        <v>0</v>
      </c>
      <c r="M3803" s="107">
        <v>0</v>
      </c>
      <c r="N3803" s="108" t="s">
        <v>248</v>
      </c>
    </row>
    <row r="3804" spans="2:14" ht="23.25" customHeight="1">
      <c r="B3804" s="103" t="s">
        <v>303</v>
      </c>
      <c r="C3804" s="121" t="s">
        <v>406</v>
      </c>
      <c r="D3804" s="103" t="s">
        <v>410</v>
      </c>
      <c r="E3804" s="104">
        <v>46203</v>
      </c>
      <c r="F3804" s="105">
        <v>46204</v>
      </c>
      <c r="G3804" s="105">
        <v>46209</v>
      </c>
      <c r="H3804" s="170"/>
      <c r="I3804" s="107"/>
      <c r="J3804" s="107"/>
      <c r="K3804" s="107"/>
      <c r="L3804" s="107">
        <f>+K3804-((K3804*0.0952*0.125)+(K3804*(1-0.0952)*0.26))</f>
        <v>0</v>
      </c>
      <c r="M3804" s="107">
        <v>0</v>
      </c>
      <c r="N3804" s="108" t="s">
        <v>248</v>
      </c>
    </row>
    <row r="3805" spans="2:14" ht="23.25" customHeight="1">
      <c r="B3805" s="103" t="s">
        <v>143</v>
      </c>
      <c r="C3805" s="121" t="s">
        <v>351</v>
      </c>
      <c r="D3805" s="103" t="s">
        <v>410</v>
      </c>
      <c r="E3805" s="104">
        <v>46203</v>
      </c>
      <c r="F3805" s="105">
        <v>46204</v>
      </c>
      <c r="G3805" s="105">
        <v>46209</v>
      </c>
      <c r="H3805" s="170"/>
      <c r="I3805" s="107"/>
      <c r="J3805" s="107"/>
      <c r="K3805" s="107"/>
      <c r="L3805" s="107">
        <f>+K3805-((K3805*0.3656*0.125)+(K3805*(1-0.3656)*0.26))</f>
        <v>0</v>
      </c>
      <c r="M3805" s="107">
        <v>0</v>
      </c>
      <c r="N3805" s="108" t="s">
        <v>248</v>
      </c>
    </row>
    <row r="3806" spans="2:14" ht="23.25" customHeight="1">
      <c r="B3806" s="103" t="s">
        <v>145</v>
      </c>
      <c r="C3806" s="121" t="s">
        <v>974</v>
      </c>
      <c r="D3806" s="103" t="s">
        <v>410</v>
      </c>
      <c r="E3806" s="104">
        <v>46203</v>
      </c>
      <c r="F3806" s="105">
        <v>46204</v>
      </c>
      <c r="G3806" s="105">
        <v>46209</v>
      </c>
      <c r="H3806" s="120"/>
      <c r="I3806" s="107"/>
      <c r="J3806" s="107"/>
      <c r="K3806" s="107"/>
      <c r="L3806" s="107">
        <f>+K3806-((K3806*0.0257*0.125)+(K3806*(1-0.0257)*0.26))</f>
        <v>0</v>
      </c>
      <c r="M3806" s="107">
        <v>0</v>
      </c>
      <c r="N3806" s="108" t="s">
        <v>248</v>
      </c>
    </row>
    <row r="3807" spans="2:14" ht="23.25" customHeight="1">
      <c r="B3807" s="103" t="s">
        <v>144</v>
      </c>
      <c r="C3807" s="121" t="s">
        <v>973</v>
      </c>
      <c r="D3807" s="103" t="s">
        <v>410</v>
      </c>
      <c r="E3807" s="104">
        <v>46203</v>
      </c>
      <c r="F3807" s="105">
        <v>46204</v>
      </c>
      <c r="G3807" s="105">
        <v>46209</v>
      </c>
      <c r="H3807" s="120"/>
      <c r="I3807" s="107"/>
      <c r="J3807" s="107"/>
      <c r="K3807" s="107"/>
      <c r="L3807" s="107">
        <f>+K3807-((K3807*0.8783*0.125)+(K3807*(1-0.8783)*0.26))</f>
        <v>0</v>
      </c>
      <c r="M3807" s="107">
        <v>0</v>
      </c>
      <c r="N3807" s="108" t="s">
        <v>248</v>
      </c>
    </row>
    <row r="3808" spans="2:14" ht="23.25" customHeight="1">
      <c r="B3808" s="103" t="s">
        <v>148</v>
      </c>
      <c r="C3808" s="121" t="s">
        <v>362</v>
      </c>
      <c r="D3808" s="103" t="s">
        <v>410</v>
      </c>
      <c r="E3808" s="104">
        <v>46203</v>
      </c>
      <c r="F3808" s="105">
        <v>46204</v>
      </c>
      <c r="G3808" s="105">
        <v>46209</v>
      </c>
      <c r="H3808" s="120"/>
      <c r="I3808" s="107"/>
      <c r="J3808" s="107"/>
      <c r="K3808" s="107"/>
      <c r="L3808" s="107">
        <f>+K3808-((K3808*0.4566*0.125)+(K3808*(1-0.4566)*0.26))</f>
        <v>0</v>
      </c>
      <c r="M3808" s="107">
        <v>0</v>
      </c>
      <c r="N3808" s="108" t="s">
        <v>248</v>
      </c>
    </row>
    <row r="3809" spans="2:14" ht="23.25" customHeight="1">
      <c r="B3809" s="103" t="s">
        <v>200</v>
      </c>
      <c r="C3809" s="119" t="s">
        <v>365</v>
      </c>
      <c r="D3809" s="103" t="s">
        <v>410</v>
      </c>
      <c r="E3809" s="104">
        <v>46203</v>
      </c>
      <c r="F3809" s="105">
        <v>46204</v>
      </c>
      <c r="G3809" s="105">
        <v>46209</v>
      </c>
      <c r="H3809" s="170"/>
      <c r="I3809" s="107"/>
      <c r="J3809" s="107"/>
      <c r="K3809" s="107"/>
      <c r="L3809" s="107">
        <f>+K3809-((K3809*0.4566*0.125)+(K3809*(1-0.4566)*0.26))</f>
        <v>0</v>
      </c>
      <c r="M3809" s="107">
        <v>0</v>
      </c>
      <c r="N3809" s="108" t="s">
        <v>248</v>
      </c>
    </row>
    <row r="3810" spans="2:14" ht="23.25" customHeight="1">
      <c r="B3810" s="103" t="s">
        <v>173</v>
      </c>
      <c r="C3810" s="119" t="s">
        <v>372</v>
      </c>
      <c r="D3810" s="103" t="s">
        <v>410</v>
      </c>
      <c r="E3810" s="104">
        <v>46203</v>
      </c>
      <c r="F3810" s="105">
        <v>46204</v>
      </c>
      <c r="G3810" s="105">
        <v>46209</v>
      </c>
      <c r="H3810" s="170"/>
      <c r="I3810" s="107"/>
      <c r="J3810" s="107"/>
      <c r="K3810" s="107"/>
      <c r="L3810" s="107">
        <f>+K3810-((K3810*0.3544*0.125)+(K3810*(1-0.3544)*0.26))</f>
        <v>0</v>
      </c>
      <c r="M3810" s="107">
        <v>0</v>
      </c>
      <c r="N3810" s="108" t="s">
        <v>248</v>
      </c>
    </row>
    <row r="3811" spans="2:14" ht="23.25" customHeight="1">
      <c r="B3811" s="103" t="s">
        <v>150</v>
      </c>
      <c r="C3811" s="121" t="s">
        <v>377</v>
      </c>
      <c r="D3811" s="103" t="s">
        <v>410</v>
      </c>
      <c r="E3811" s="104">
        <v>46203</v>
      </c>
      <c r="F3811" s="105">
        <v>46204</v>
      </c>
      <c r="G3811" s="105">
        <v>46209</v>
      </c>
      <c r="H3811" s="170"/>
      <c r="I3811" s="107"/>
      <c r="J3811" s="107"/>
      <c r="K3811" s="107"/>
      <c r="L3811" s="107">
        <f>+K3811-((K3811*0.0468*0.125)+(K3811*(1-0.0468)*0.26))</f>
        <v>0</v>
      </c>
      <c r="M3811" s="107">
        <v>0</v>
      </c>
      <c r="N3811" s="108" t="s">
        <v>248</v>
      </c>
    </row>
    <row r="3812" spans="2:14" ht="23.25" customHeight="1">
      <c r="B3812" s="103" t="s">
        <v>510</v>
      </c>
      <c r="C3812" s="121" t="s">
        <v>509</v>
      </c>
      <c r="D3812" s="103" t="s">
        <v>410</v>
      </c>
      <c r="E3812" s="104">
        <v>46203</v>
      </c>
      <c r="F3812" s="105">
        <v>46204</v>
      </c>
      <c r="G3812" s="105">
        <v>46209</v>
      </c>
      <c r="H3812" s="120"/>
      <c r="I3812" s="107"/>
      <c r="J3812" s="107"/>
      <c r="K3812" s="107"/>
      <c r="L3812" s="107">
        <f>+K3812-((K3812*0.0468*0.125)+(K3812*(1-0.0468)*0.26))</f>
        <v>0</v>
      </c>
      <c r="M3812" s="107">
        <v>0</v>
      </c>
      <c r="N3812" s="108" t="s">
        <v>248</v>
      </c>
    </row>
    <row r="3813" spans="2:14" ht="23.25" customHeight="1">
      <c r="B3813" s="103" t="s">
        <v>441</v>
      </c>
      <c r="C3813" s="121" t="s">
        <v>978</v>
      </c>
      <c r="D3813" s="103" t="s">
        <v>410</v>
      </c>
      <c r="E3813" s="104">
        <v>46203</v>
      </c>
      <c r="F3813" s="105">
        <v>46204</v>
      </c>
      <c r="G3813" s="105">
        <v>46209</v>
      </c>
      <c r="H3813" s="120"/>
      <c r="I3813" s="107"/>
      <c r="J3813" s="107"/>
      <c r="K3813" s="107"/>
      <c r="L3813" s="107">
        <f>+K3813-((K3813*0.2216*0.125)+(K3813*(1-0.2216)*0.26))</f>
        <v>0</v>
      </c>
      <c r="M3813" s="107">
        <v>0</v>
      </c>
      <c r="N3813" s="108" t="s">
        <v>248</v>
      </c>
    </row>
    <row r="3814" spans="2:14" ht="23.25" customHeight="1">
      <c r="B3814" s="103" t="s">
        <v>440</v>
      </c>
      <c r="C3814" s="121" t="s">
        <v>977</v>
      </c>
      <c r="D3814" s="103" t="s">
        <v>410</v>
      </c>
      <c r="E3814" s="104">
        <v>46203</v>
      </c>
      <c r="F3814" s="105">
        <v>46204</v>
      </c>
      <c r="G3814" s="105">
        <v>46209</v>
      </c>
      <c r="H3814" s="120"/>
      <c r="I3814" s="107"/>
      <c r="J3814" s="107"/>
      <c r="K3814" s="107"/>
      <c r="L3814" s="107">
        <f>+K3814-((K3814*0.2216*0.125)+(K3814*(1-0.2216)*0.26))</f>
        <v>0</v>
      </c>
      <c r="M3814" s="107">
        <v>0</v>
      </c>
      <c r="N3814" s="108" t="s">
        <v>248</v>
      </c>
    </row>
    <row r="3815" spans="2:14" ht="23.25" customHeight="1">
      <c r="B3815" s="103" t="s">
        <v>299</v>
      </c>
      <c r="C3815" s="121" t="s">
        <v>517</v>
      </c>
      <c r="D3815" s="103" t="s">
        <v>410</v>
      </c>
      <c r="E3815" s="104">
        <v>46203</v>
      </c>
      <c r="F3815" s="105">
        <v>46204</v>
      </c>
      <c r="G3815" s="105">
        <v>46209</v>
      </c>
      <c r="H3815" s="120"/>
      <c r="I3815" s="107"/>
      <c r="J3815" s="107"/>
      <c r="K3815" s="107"/>
      <c r="L3815" s="107">
        <f>+K3815-((K3815*0.2852*0.125)+(K3815*(1-0.2852)*0.26))</f>
        <v>0</v>
      </c>
      <c r="M3815" s="107">
        <v>0</v>
      </c>
      <c r="N3815" s="108" t="s">
        <v>248</v>
      </c>
    </row>
    <row r="3816" spans="2:14" ht="23.25" customHeight="1">
      <c r="B3816" s="103" t="s">
        <v>182</v>
      </c>
      <c r="C3816" s="122" t="s">
        <v>477</v>
      </c>
      <c r="D3816" s="103" t="s">
        <v>410</v>
      </c>
      <c r="E3816" s="104">
        <v>46203</v>
      </c>
      <c r="F3816" s="105">
        <v>46204</v>
      </c>
      <c r="G3816" s="105">
        <v>46209</v>
      </c>
      <c r="H3816" s="120"/>
      <c r="I3816" s="107"/>
      <c r="J3816" s="107"/>
      <c r="K3816" s="107"/>
      <c r="L3816" s="107">
        <f>+K3816-((K3816*0.2852*0.125)+(K3816*(1-0.2852)*0.26))</f>
        <v>0</v>
      </c>
      <c r="M3816" s="107">
        <v>0</v>
      </c>
      <c r="N3816" s="108" t="s">
        <v>248</v>
      </c>
    </row>
    <row r="3817" spans="2:14" ht="23.25" customHeight="1">
      <c r="B3817" s="103" t="s">
        <v>202</v>
      </c>
      <c r="C3817" s="119" t="s">
        <v>478</v>
      </c>
      <c r="D3817" s="103" t="s">
        <v>410</v>
      </c>
      <c r="E3817" s="104">
        <v>46203</v>
      </c>
      <c r="F3817" s="105">
        <v>46204</v>
      </c>
      <c r="G3817" s="105">
        <v>46209</v>
      </c>
      <c r="H3817" s="120"/>
      <c r="I3817" s="107"/>
      <c r="J3817" s="107"/>
      <c r="K3817" s="107"/>
      <c r="L3817" s="107">
        <f>+K3817-((K3817*0.2852*0.125)+(K3817*(1-0.2852)*0.26))</f>
        <v>0</v>
      </c>
      <c r="M3817" s="107">
        <v>0</v>
      </c>
      <c r="N3817" s="108" t="s">
        <v>248</v>
      </c>
    </row>
    <row r="3818" spans="2:14" ht="23.25" customHeight="1">
      <c r="B3818" s="103" t="s">
        <v>146</v>
      </c>
      <c r="C3818" s="121" t="s">
        <v>380</v>
      </c>
      <c r="D3818" s="103" t="s">
        <v>410</v>
      </c>
      <c r="E3818" s="104">
        <v>46203</v>
      </c>
      <c r="F3818" s="105">
        <v>46204</v>
      </c>
      <c r="G3818" s="105">
        <v>46209</v>
      </c>
      <c r="H3818" s="120"/>
      <c r="I3818" s="107"/>
      <c r="J3818" s="107"/>
      <c r="K3818" s="107"/>
      <c r="L3818" s="107">
        <f>+K3818-((K3818*0.0226*0.125)+(K3818*(1-0.0226)*0.26))</f>
        <v>0</v>
      </c>
      <c r="M3818" s="107">
        <v>0</v>
      </c>
      <c r="N3818" s="108" t="s">
        <v>248</v>
      </c>
    </row>
    <row r="3819" spans="2:14" ht="23.25" customHeight="1">
      <c r="B3819" s="103" t="s">
        <v>163</v>
      </c>
      <c r="C3819" s="122" t="s">
        <v>381</v>
      </c>
      <c r="D3819" s="103" t="s">
        <v>410</v>
      </c>
      <c r="E3819" s="104">
        <v>46203</v>
      </c>
      <c r="F3819" s="105">
        <v>46204</v>
      </c>
      <c r="G3819" s="105">
        <v>46209</v>
      </c>
      <c r="H3819" s="120"/>
      <c r="I3819" s="107"/>
      <c r="J3819" s="107"/>
      <c r="K3819" s="107"/>
      <c r="L3819" s="107">
        <f>+K3819-((K3819*0.0226*0.125)+(K3819*(1-0.0226)*0.26))</f>
        <v>0</v>
      </c>
      <c r="M3819" s="107">
        <v>0</v>
      </c>
      <c r="N3819" s="108" t="s">
        <v>248</v>
      </c>
    </row>
    <row r="3820" spans="2:14" ht="23.25" customHeight="1">
      <c r="B3820" s="103" t="s">
        <v>151</v>
      </c>
      <c r="C3820" s="121" t="s">
        <v>383</v>
      </c>
      <c r="D3820" s="103" t="s">
        <v>410</v>
      </c>
      <c r="E3820" s="104">
        <v>46203</v>
      </c>
      <c r="F3820" s="105">
        <v>46204</v>
      </c>
      <c r="G3820" s="105">
        <v>46209</v>
      </c>
      <c r="H3820" s="120"/>
      <c r="I3820" s="107"/>
      <c r="J3820" s="107"/>
      <c r="K3820" s="107"/>
      <c r="L3820" s="107">
        <f>+K3820-((K3820*0.0292*0.125)+(K3820*(1-0.0292)*0.26))</f>
        <v>0</v>
      </c>
      <c r="M3820" s="107">
        <v>0</v>
      </c>
      <c r="N3820" s="108" t="s">
        <v>248</v>
      </c>
    </row>
    <row r="3821" spans="2:14" ht="23.25" customHeight="1">
      <c r="B3821" s="103" t="s">
        <v>166</v>
      </c>
      <c r="C3821" s="122" t="s">
        <v>384</v>
      </c>
      <c r="D3821" s="103" t="s">
        <v>410</v>
      </c>
      <c r="E3821" s="104">
        <v>46203</v>
      </c>
      <c r="F3821" s="105">
        <v>46204</v>
      </c>
      <c r="G3821" s="105">
        <v>46209</v>
      </c>
      <c r="H3821" s="120"/>
      <c r="I3821" s="107"/>
      <c r="J3821" s="107"/>
      <c r="K3821" s="107"/>
      <c r="L3821" s="107">
        <f>+K3821-((K3821*0.0292*0.125)+(K3821*(1-0.0292)*0.26))</f>
        <v>0</v>
      </c>
      <c r="M3821" s="107">
        <v>0</v>
      </c>
      <c r="N3821" s="108" t="s">
        <v>248</v>
      </c>
    </row>
    <row r="3822" spans="2:14" ht="23.25" customHeight="1">
      <c r="B3822" s="103" t="s">
        <v>149</v>
      </c>
      <c r="C3822" s="121" t="s">
        <v>386</v>
      </c>
      <c r="D3822" s="103" t="s">
        <v>410</v>
      </c>
      <c r="E3822" s="104">
        <v>46203</v>
      </c>
      <c r="F3822" s="105">
        <v>46204</v>
      </c>
      <c r="G3822" s="105">
        <v>46209</v>
      </c>
      <c r="H3822" s="120"/>
      <c r="I3822" s="107"/>
      <c r="J3822" s="107"/>
      <c r="K3822" s="107"/>
      <c r="L3822" s="107">
        <f>+K3822-((K3822*0.0369*0.125)+(K3822*(1-0.0369)*0.26))</f>
        <v>0</v>
      </c>
      <c r="M3822" s="107">
        <v>0</v>
      </c>
      <c r="N3822" s="108" t="s">
        <v>248</v>
      </c>
    </row>
    <row r="3823" spans="2:14" ht="23.25" customHeight="1">
      <c r="B3823" s="103" t="s">
        <v>165</v>
      </c>
      <c r="C3823" s="122" t="s">
        <v>387</v>
      </c>
      <c r="D3823" s="103" t="s">
        <v>410</v>
      </c>
      <c r="E3823" s="104">
        <v>46203</v>
      </c>
      <c r="F3823" s="105">
        <v>46204</v>
      </c>
      <c r="G3823" s="105">
        <v>46209</v>
      </c>
      <c r="H3823" s="120"/>
      <c r="I3823" s="107"/>
      <c r="J3823" s="107"/>
      <c r="K3823" s="107"/>
      <c r="L3823" s="107">
        <f>+K3823-((K3823*0.0369*0.125)+(K3823*(1-0.0369)*0.26))</f>
        <v>0</v>
      </c>
      <c r="M3823" s="107">
        <v>0</v>
      </c>
      <c r="N3823" s="108" t="s">
        <v>248</v>
      </c>
    </row>
    <row r="3824" spans="2:14" ht="23.25" customHeight="1">
      <c r="B3824" s="103" t="s">
        <v>153</v>
      </c>
      <c r="C3824" s="121" t="s">
        <v>873</v>
      </c>
      <c r="D3824" s="103" t="s">
        <v>410</v>
      </c>
      <c r="E3824" s="104">
        <v>46203</v>
      </c>
      <c r="F3824" s="105">
        <v>46204</v>
      </c>
      <c r="G3824" s="105">
        <v>46209</v>
      </c>
      <c r="H3824" s="183"/>
      <c r="I3824" s="107"/>
      <c r="J3824" s="107"/>
      <c r="K3824" s="107"/>
      <c r="L3824" s="107">
        <f>+K3824-((K3824*0.1741*0.125)+(K3824*(1-0.1741)*0.26))</f>
        <v>0</v>
      </c>
      <c r="M3824" s="107">
        <v>0</v>
      </c>
      <c r="N3824" s="108" t="s">
        <v>248</v>
      </c>
    </row>
    <row r="3825" spans="2:14" ht="23.25" customHeight="1">
      <c r="B3825" s="103" t="s">
        <v>152</v>
      </c>
      <c r="C3825" s="121" t="s">
        <v>874</v>
      </c>
      <c r="D3825" s="103" t="s">
        <v>410</v>
      </c>
      <c r="E3825" s="104">
        <v>46203</v>
      </c>
      <c r="F3825" s="105">
        <v>46204</v>
      </c>
      <c r="G3825" s="105">
        <v>46209</v>
      </c>
      <c r="H3825" s="183"/>
      <c r="I3825" s="107"/>
      <c r="J3825" s="107"/>
      <c r="K3825" s="107"/>
      <c r="L3825" s="107">
        <f>+K3825-((K3825*0.1741*0.125)+(K3825*(1-0.1741)*0.26))</f>
        <v>0</v>
      </c>
      <c r="M3825" s="107">
        <v>0</v>
      </c>
      <c r="N3825" s="108" t="s">
        <v>248</v>
      </c>
    </row>
    <row r="3826" spans="2:14" ht="23.25" customHeight="1">
      <c r="B3826" s="103" t="s">
        <v>167</v>
      </c>
      <c r="C3826" s="122" t="s">
        <v>875</v>
      </c>
      <c r="D3826" s="103" t="s">
        <v>410</v>
      </c>
      <c r="E3826" s="104">
        <v>46203</v>
      </c>
      <c r="F3826" s="105">
        <v>46204</v>
      </c>
      <c r="G3826" s="105">
        <v>46209</v>
      </c>
      <c r="H3826" s="183"/>
      <c r="I3826" s="107"/>
      <c r="J3826" s="107"/>
      <c r="K3826" s="107"/>
      <c r="L3826" s="107">
        <f>+K3826-((K3826*0.1741*0.125)+(K3826*(1-0.1741)*0.26))</f>
        <v>0</v>
      </c>
      <c r="M3826" s="107">
        <v>0</v>
      </c>
      <c r="N3826" s="108" t="s">
        <v>248</v>
      </c>
    </row>
    <row r="3827" spans="2:14" ht="23.25" customHeight="1">
      <c r="B3827" s="103" t="s">
        <v>301</v>
      </c>
      <c r="C3827" s="121" t="s">
        <v>876</v>
      </c>
      <c r="D3827" s="103" t="s">
        <v>410</v>
      </c>
      <c r="E3827" s="104">
        <v>46203</v>
      </c>
      <c r="F3827" s="105">
        <v>46204</v>
      </c>
      <c r="G3827" s="105">
        <v>46209</v>
      </c>
      <c r="H3827" s="183"/>
      <c r="I3827" s="107"/>
      <c r="J3827" s="107"/>
      <c r="K3827" s="107"/>
      <c r="L3827" s="107">
        <f>+K3827-((K3827*0.1741*0.125)+(K3827*(1-0.1741)*0.26))</f>
        <v>0</v>
      </c>
      <c r="M3827" s="107">
        <v>0</v>
      </c>
      <c r="N3827" s="108" t="s">
        <v>248</v>
      </c>
    </row>
    <row r="3828" spans="2:14" ht="23.25" customHeight="1">
      <c r="B3828" s="103" t="s">
        <v>304</v>
      </c>
      <c r="C3828" s="121" t="s">
        <v>885</v>
      </c>
      <c r="D3828" s="103" t="s">
        <v>410</v>
      </c>
      <c r="E3828" s="104">
        <v>46203</v>
      </c>
      <c r="F3828" s="105">
        <v>46204</v>
      </c>
      <c r="G3828" s="105">
        <v>46209</v>
      </c>
      <c r="H3828" s="183"/>
      <c r="I3828" s="107"/>
      <c r="J3828" s="107"/>
      <c r="K3828" s="107"/>
      <c r="L3828" s="107">
        <f>+K3828-((K3828*0.2804*0.125)+(K3828*(1-0.2804)*0.26))</f>
        <v>0</v>
      </c>
      <c r="M3828" s="107">
        <v>0</v>
      </c>
      <c r="N3828" s="108" t="s">
        <v>248</v>
      </c>
    </row>
    <row r="3829" spans="2:14" ht="23.25" customHeight="1">
      <c r="B3829" s="103" t="s">
        <v>183</v>
      </c>
      <c r="C3829" s="122" t="s">
        <v>886</v>
      </c>
      <c r="D3829" s="103" t="s">
        <v>410</v>
      </c>
      <c r="E3829" s="104">
        <v>46203</v>
      </c>
      <c r="F3829" s="105">
        <v>46204</v>
      </c>
      <c r="G3829" s="105">
        <v>46209</v>
      </c>
      <c r="H3829" s="183"/>
      <c r="I3829" s="107"/>
      <c r="J3829" s="107"/>
      <c r="K3829" s="107"/>
      <c r="L3829" s="107">
        <f>+K3829-((K3829*0.2804*0.125)+(K3829*(1-0.2804)*0.26))</f>
        <v>0</v>
      </c>
      <c r="M3829" s="107">
        <v>0</v>
      </c>
      <c r="N3829" s="108" t="s">
        <v>248</v>
      </c>
    </row>
    <row r="3830" spans="2:14" ht="23.25" customHeight="1">
      <c r="B3830" s="103" t="s">
        <v>305</v>
      </c>
      <c r="C3830" s="121" t="s">
        <v>887</v>
      </c>
      <c r="D3830" s="103" t="s">
        <v>410</v>
      </c>
      <c r="E3830" s="104">
        <v>46203</v>
      </c>
      <c r="F3830" s="105">
        <v>46204</v>
      </c>
      <c r="G3830" s="105">
        <v>46209</v>
      </c>
      <c r="H3830" s="174"/>
      <c r="I3830" s="107"/>
      <c r="J3830" s="107"/>
      <c r="K3830" s="107"/>
      <c r="L3830" s="107">
        <f>+K3830-((K3830*0.2804*0.125)+(K3830*(1-0.2804)*0.26))</f>
        <v>0</v>
      </c>
      <c r="M3830" s="107">
        <v>0</v>
      </c>
      <c r="N3830" s="108" t="s">
        <v>248</v>
      </c>
    </row>
    <row r="3831" spans="2:14" ht="23.25" customHeight="1">
      <c r="B3831" s="103" t="s">
        <v>147</v>
      </c>
      <c r="C3831" s="121" t="s">
        <v>466</v>
      </c>
      <c r="D3831" s="103" t="s">
        <v>410</v>
      </c>
      <c r="E3831" s="104">
        <v>46203</v>
      </c>
      <c r="F3831" s="105">
        <v>46204</v>
      </c>
      <c r="G3831" s="105">
        <v>46209</v>
      </c>
      <c r="H3831" s="120"/>
      <c r="I3831" s="107"/>
      <c r="J3831" s="107"/>
      <c r="K3831" s="107"/>
      <c r="L3831" s="107">
        <f>+K3831-((K3831*0.042*0.125)+(K3831*(1-0.042)*0.26))</f>
        <v>0</v>
      </c>
      <c r="M3831" s="107">
        <v>0</v>
      </c>
      <c r="N3831" s="108" t="s">
        <v>248</v>
      </c>
    </row>
    <row r="3832" spans="2:14" ht="23.25" customHeight="1">
      <c r="B3832" s="103" t="s">
        <v>164</v>
      </c>
      <c r="C3832" s="122" t="s">
        <v>467</v>
      </c>
      <c r="D3832" s="103" t="s">
        <v>410</v>
      </c>
      <c r="E3832" s="104">
        <v>46203</v>
      </c>
      <c r="F3832" s="105">
        <v>46204</v>
      </c>
      <c r="G3832" s="105">
        <v>46209</v>
      </c>
      <c r="H3832" s="120"/>
      <c r="I3832" s="107"/>
      <c r="J3832" s="107"/>
      <c r="K3832" s="107"/>
      <c r="L3832" s="107">
        <f>+K3832-((K3832*0.042*0.125)+(K3832*(1-0.042)*0.26))</f>
        <v>0</v>
      </c>
      <c r="M3832" s="107">
        <v>0</v>
      </c>
      <c r="N3832" s="108" t="s">
        <v>248</v>
      </c>
    </row>
    <row r="3833" spans="2:14" ht="23.25" customHeight="1">
      <c r="B3833" s="103" t="s">
        <v>1006</v>
      </c>
      <c r="C3833" s="122" t="s">
        <v>1014</v>
      </c>
      <c r="D3833" s="103" t="s">
        <v>410</v>
      </c>
      <c r="E3833" s="104">
        <v>46203</v>
      </c>
      <c r="F3833" s="105">
        <v>46204</v>
      </c>
      <c r="G3833" s="105">
        <v>46209</v>
      </c>
      <c r="H3833" s="170"/>
      <c r="I3833" s="107"/>
      <c r="J3833" s="107"/>
      <c r="K3833" s="107"/>
      <c r="L3833" s="107">
        <f t="shared" ref="L3833:L3838" si="110">+K3833-((K3833*0.000001*0.125)+(K3833*(1-0.000001)*0.26))</f>
        <v>0</v>
      </c>
      <c r="M3833" s="107">
        <v>0</v>
      </c>
      <c r="N3833" s="108" t="s">
        <v>248</v>
      </c>
    </row>
    <row r="3834" spans="2:14" ht="23.25" customHeight="1">
      <c r="B3834" s="103" t="s">
        <v>1007</v>
      </c>
      <c r="C3834" s="122" t="s">
        <v>1015</v>
      </c>
      <c r="D3834" s="103" t="s">
        <v>410</v>
      </c>
      <c r="E3834" s="104">
        <v>46203</v>
      </c>
      <c r="F3834" s="105">
        <v>46204</v>
      </c>
      <c r="G3834" s="105">
        <v>46209</v>
      </c>
      <c r="H3834" s="170"/>
      <c r="I3834" s="107"/>
      <c r="J3834" s="107"/>
      <c r="K3834" s="107"/>
      <c r="L3834" s="107">
        <f t="shared" si="110"/>
        <v>0</v>
      </c>
      <c r="M3834" s="107">
        <v>0</v>
      </c>
      <c r="N3834" s="108" t="s">
        <v>248</v>
      </c>
    </row>
    <row r="3835" spans="2:14" ht="23.25" customHeight="1">
      <c r="B3835" s="103" t="s">
        <v>1008</v>
      </c>
      <c r="C3835" s="122" t="s">
        <v>1016</v>
      </c>
      <c r="D3835" s="103" t="s">
        <v>410</v>
      </c>
      <c r="E3835" s="104">
        <v>46203</v>
      </c>
      <c r="F3835" s="105">
        <v>46204</v>
      </c>
      <c r="G3835" s="105">
        <v>46209</v>
      </c>
      <c r="H3835" s="170"/>
      <c r="I3835" s="107"/>
      <c r="J3835" s="107"/>
      <c r="K3835" s="107"/>
      <c r="L3835" s="107">
        <f t="shared" si="110"/>
        <v>0</v>
      </c>
      <c r="M3835" s="107">
        <v>0</v>
      </c>
      <c r="N3835" s="108" t="s">
        <v>248</v>
      </c>
    </row>
    <row r="3836" spans="2:14" ht="23.25" customHeight="1">
      <c r="B3836" s="103" t="s">
        <v>1009</v>
      </c>
      <c r="C3836" s="122" t="s">
        <v>1017</v>
      </c>
      <c r="D3836" s="103" t="s">
        <v>410</v>
      </c>
      <c r="E3836" s="104">
        <v>46203</v>
      </c>
      <c r="F3836" s="105">
        <v>46204</v>
      </c>
      <c r="G3836" s="105">
        <v>46209</v>
      </c>
      <c r="H3836" s="120"/>
      <c r="I3836" s="107"/>
      <c r="J3836" s="107"/>
      <c r="K3836" s="107"/>
      <c r="L3836" s="107">
        <f t="shared" si="110"/>
        <v>0</v>
      </c>
      <c r="M3836" s="107">
        <v>0</v>
      </c>
      <c r="N3836" s="108" t="s">
        <v>248</v>
      </c>
    </row>
    <row r="3837" spans="2:14" ht="23.25" customHeight="1">
      <c r="B3837" s="103" t="s">
        <v>1010</v>
      </c>
      <c r="C3837" s="122" t="s">
        <v>1018</v>
      </c>
      <c r="D3837" s="103" t="s">
        <v>410</v>
      </c>
      <c r="E3837" s="104">
        <v>46203</v>
      </c>
      <c r="F3837" s="105">
        <v>46204</v>
      </c>
      <c r="G3837" s="105">
        <v>46209</v>
      </c>
      <c r="H3837" s="120"/>
      <c r="I3837" s="107"/>
      <c r="J3837" s="107"/>
      <c r="K3837" s="107"/>
      <c r="L3837" s="107">
        <f t="shared" si="110"/>
        <v>0</v>
      </c>
      <c r="M3837" s="107">
        <v>0</v>
      </c>
      <c r="N3837" s="108" t="s">
        <v>248</v>
      </c>
    </row>
    <row r="3838" spans="2:14" ht="23.25" customHeight="1">
      <c r="B3838" s="103" t="s">
        <v>1011</v>
      </c>
      <c r="C3838" s="122" t="s">
        <v>1019</v>
      </c>
      <c r="D3838" s="103" t="s">
        <v>410</v>
      </c>
      <c r="E3838" s="104">
        <v>46203</v>
      </c>
      <c r="F3838" s="105">
        <v>46204</v>
      </c>
      <c r="G3838" s="105">
        <v>46209</v>
      </c>
      <c r="H3838" s="120"/>
      <c r="I3838" s="107"/>
      <c r="J3838" s="107"/>
      <c r="K3838" s="107"/>
      <c r="L3838" s="107">
        <f t="shared" si="110"/>
        <v>0</v>
      </c>
      <c r="M3838" s="107">
        <v>0</v>
      </c>
      <c r="N3838" s="108" t="s">
        <v>248</v>
      </c>
    </row>
    <row r="3839" spans="2:14" ht="23.25" customHeight="1">
      <c r="B3839" s="109" t="s">
        <v>132</v>
      </c>
      <c r="C3839" s="110" t="s">
        <v>358</v>
      </c>
      <c r="D3839" s="109" t="s">
        <v>410</v>
      </c>
      <c r="E3839" s="116">
        <v>46230</v>
      </c>
      <c r="F3839" s="116">
        <v>46231</v>
      </c>
      <c r="G3839" s="116">
        <v>46234</v>
      </c>
      <c r="H3839" s="112"/>
      <c r="I3839" s="113"/>
      <c r="J3839" s="113"/>
      <c r="K3839" s="113"/>
      <c r="L3839" s="107"/>
      <c r="M3839" s="114">
        <f t="shared" ref="M3839:M3870" si="111">J3839+L3839</f>
        <v>0</v>
      </c>
      <c r="N3839" s="109" t="s">
        <v>249</v>
      </c>
    </row>
    <row r="3840" spans="2:14" ht="23.25" customHeight="1">
      <c r="B3840" s="109" t="s">
        <v>227</v>
      </c>
      <c r="C3840" s="110" t="s">
        <v>359</v>
      </c>
      <c r="D3840" s="109" t="s">
        <v>410</v>
      </c>
      <c r="E3840" s="116">
        <v>46230</v>
      </c>
      <c r="F3840" s="116">
        <v>46231</v>
      </c>
      <c r="G3840" s="116">
        <v>46234</v>
      </c>
      <c r="H3840" s="112"/>
      <c r="I3840" s="113"/>
      <c r="J3840" s="113"/>
      <c r="K3840" s="113"/>
      <c r="L3840" s="107"/>
      <c r="M3840" s="114">
        <f t="shared" si="111"/>
        <v>0</v>
      </c>
      <c r="N3840" s="109" t="s">
        <v>249</v>
      </c>
    </row>
    <row r="3841" spans="2:14" ht="23.25" customHeight="1">
      <c r="B3841" s="109" t="s">
        <v>133</v>
      </c>
      <c r="C3841" s="110" t="s">
        <v>979</v>
      </c>
      <c r="D3841" s="109" t="s">
        <v>410</v>
      </c>
      <c r="E3841" s="116">
        <v>46230</v>
      </c>
      <c r="F3841" s="116">
        <v>46231</v>
      </c>
      <c r="G3841" s="116">
        <v>46234</v>
      </c>
      <c r="H3841" s="112"/>
      <c r="I3841" s="113"/>
      <c r="J3841" s="113"/>
      <c r="K3841" s="113"/>
      <c r="L3841" s="107"/>
      <c r="M3841" s="114">
        <f t="shared" si="111"/>
        <v>0</v>
      </c>
      <c r="N3841" s="109" t="s">
        <v>249</v>
      </c>
    </row>
    <row r="3842" spans="2:14" ht="23.25" customHeight="1">
      <c r="B3842" s="109" t="s">
        <v>134</v>
      </c>
      <c r="C3842" s="110" t="s">
        <v>374</v>
      </c>
      <c r="D3842" s="109" t="s">
        <v>410</v>
      </c>
      <c r="E3842" s="116">
        <v>46230</v>
      </c>
      <c r="F3842" s="116">
        <v>46231</v>
      </c>
      <c r="G3842" s="116">
        <v>46234</v>
      </c>
      <c r="H3842" s="112"/>
      <c r="I3842" s="113"/>
      <c r="J3842" s="113"/>
      <c r="K3842" s="113"/>
      <c r="L3842" s="107"/>
      <c r="M3842" s="114">
        <f t="shared" si="111"/>
        <v>0</v>
      </c>
      <c r="N3842" s="109" t="s">
        <v>249</v>
      </c>
    </row>
    <row r="3843" spans="2:14" ht="23.25" customHeight="1">
      <c r="B3843" s="109" t="s">
        <v>168</v>
      </c>
      <c r="C3843" s="110" t="s">
        <v>376</v>
      </c>
      <c r="D3843" s="109" t="s">
        <v>410</v>
      </c>
      <c r="E3843" s="116">
        <v>46230</v>
      </c>
      <c r="F3843" s="116">
        <v>46231</v>
      </c>
      <c r="G3843" s="116">
        <v>46234</v>
      </c>
      <c r="H3843" s="112"/>
      <c r="I3843" s="113"/>
      <c r="J3843" s="113"/>
      <c r="K3843" s="113"/>
      <c r="L3843" s="107"/>
      <c r="M3843" s="114">
        <f t="shared" si="111"/>
        <v>0</v>
      </c>
      <c r="N3843" s="109" t="s">
        <v>249</v>
      </c>
    </row>
    <row r="3844" spans="2:14" ht="23.25" customHeight="1">
      <c r="B3844" s="109" t="s">
        <v>136</v>
      </c>
      <c r="C3844" s="110" t="s">
        <v>867</v>
      </c>
      <c r="D3844" s="109" t="s">
        <v>410</v>
      </c>
      <c r="E3844" s="116">
        <v>46230</v>
      </c>
      <c r="F3844" s="116">
        <v>46231</v>
      </c>
      <c r="G3844" s="116">
        <v>46234</v>
      </c>
      <c r="H3844" s="112"/>
      <c r="I3844" s="113"/>
      <c r="J3844" s="113"/>
      <c r="K3844" s="113"/>
      <c r="L3844" s="107"/>
      <c r="M3844" s="114">
        <f t="shared" si="111"/>
        <v>0</v>
      </c>
      <c r="N3844" s="109" t="s">
        <v>249</v>
      </c>
    </row>
    <row r="3845" spans="2:14" ht="23.25" customHeight="1">
      <c r="B3845" s="109" t="s">
        <v>137</v>
      </c>
      <c r="C3845" s="110" t="s">
        <v>868</v>
      </c>
      <c r="D3845" s="109" t="s">
        <v>410</v>
      </c>
      <c r="E3845" s="116">
        <v>46230</v>
      </c>
      <c r="F3845" s="116">
        <v>46231</v>
      </c>
      <c r="G3845" s="116">
        <v>46234</v>
      </c>
      <c r="H3845" s="112"/>
      <c r="I3845" s="113"/>
      <c r="J3845" s="113"/>
      <c r="K3845" s="113"/>
      <c r="L3845" s="107"/>
      <c r="M3845" s="114">
        <f t="shared" si="111"/>
        <v>0</v>
      </c>
      <c r="N3845" s="109" t="s">
        <v>249</v>
      </c>
    </row>
    <row r="3846" spans="2:14" ht="23.25" customHeight="1">
      <c r="B3846" s="109" t="s">
        <v>135</v>
      </c>
      <c r="C3846" s="110" t="s">
        <v>869</v>
      </c>
      <c r="D3846" s="109" t="s">
        <v>410</v>
      </c>
      <c r="E3846" s="116">
        <v>46230</v>
      </c>
      <c r="F3846" s="116">
        <v>46231</v>
      </c>
      <c r="G3846" s="116">
        <v>46234</v>
      </c>
      <c r="H3846" s="112"/>
      <c r="I3846" s="113"/>
      <c r="J3846" s="113"/>
      <c r="K3846" s="113"/>
      <c r="L3846" s="107"/>
      <c r="M3846" s="114">
        <f t="shared" si="111"/>
        <v>0</v>
      </c>
      <c r="N3846" s="109" t="s">
        <v>249</v>
      </c>
    </row>
    <row r="3847" spans="2:14" ht="23.25" customHeight="1">
      <c r="B3847" s="109" t="s">
        <v>170</v>
      </c>
      <c r="C3847" s="110" t="s">
        <v>870</v>
      </c>
      <c r="D3847" s="109" t="s">
        <v>410</v>
      </c>
      <c r="E3847" s="116">
        <v>46230</v>
      </c>
      <c r="F3847" s="116">
        <v>46231</v>
      </c>
      <c r="G3847" s="116">
        <v>46234</v>
      </c>
      <c r="H3847" s="112"/>
      <c r="I3847" s="113"/>
      <c r="J3847" s="113"/>
      <c r="K3847" s="113"/>
      <c r="L3847" s="107"/>
      <c r="M3847" s="114">
        <f t="shared" si="111"/>
        <v>0</v>
      </c>
      <c r="N3847" s="109" t="s">
        <v>249</v>
      </c>
    </row>
    <row r="3848" spans="2:14" ht="23.25" customHeight="1">
      <c r="B3848" s="109" t="s">
        <v>171</v>
      </c>
      <c r="C3848" s="110" t="s">
        <v>871</v>
      </c>
      <c r="D3848" s="109" t="s">
        <v>410</v>
      </c>
      <c r="E3848" s="116">
        <v>46230</v>
      </c>
      <c r="F3848" s="116">
        <v>46231</v>
      </c>
      <c r="G3848" s="116">
        <v>46234</v>
      </c>
      <c r="H3848" s="112"/>
      <c r="I3848" s="113"/>
      <c r="J3848" s="113"/>
      <c r="K3848" s="113"/>
      <c r="L3848" s="107"/>
      <c r="M3848" s="114">
        <f t="shared" si="111"/>
        <v>0</v>
      </c>
      <c r="N3848" s="109" t="s">
        <v>249</v>
      </c>
    </row>
    <row r="3849" spans="2:14" ht="23.25" customHeight="1">
      <c r="B3849" s="109" t="s">
        <v>172</v>
      </c>
      <c r="C3849" s="110" t="s">
        <v>872</v>
      </c>
      <c r="D3849" s="109" t="s">
        <v>410</v>
      </c>
      <c r="E3849" s="116">
        <v>46230</v>
      </c>
      <c r="F3849" s="116">
        <v>46231</v>
      </c>
      <c r="G3849" s="116">
        <v>46234</v>
      </c>
      <c r="H3849" s="112"/>
      <c r="I3849" s="113"/>
      <c r="J3849" s="113"/>
      <c r="K3849" s="113"/>
      <c r="L3849" s="107"/>
      <c r="M3849" s="114">
        <f t="shared" si="111"/>
        <v>0</v>
      </c>
      <c r="N3849" s="109" t="s">
        <v>249</v>
      </c>
    </row>
    <row r="3850" spans="2:14" ht="23.25" customHeight="1">
      <c r="B3850" s="109" t="s">
        <v>169</v>
      </c>
      <c r="C3850" s="110" t="s">
        <v>400</v>
      </c>
      <c r="D3850" s="109" t="s">
        <v>410</v>
      </c>
      <c r="E3850" s="116">
        <v>46230</v>
      </c>
      <c r="F3850" s="116">
        <v>46231</v>
      </c>
      <c r="G3850" s="116">
        <v>46234</v>
      </c>
      <c r="H3850" s="112"/>
      <c r="I3850" s="113"/>
      <c r="J3850" s="113"/>
      <c r="K3850" s="113"/>
      <c r="L3850" s="107"/>
      <c r="M3850" s="114">
        <f t="shared" si="111"/>
        <v>0</v>
      </c>
      <c r="N3850" s="109" t="s">
        <v>249</v>
      </c>
    </row>
    <row r="3851" spans="2:14" ht="23.25" customHeight="1">
      <c r="B3851" s="109" t="s">
        <v>156</v>
      </c>
      <c r="C3851" s="110" t="s">
        <v>976</v>
      </c>
      <c r="D3851" s="109" t="s">
        <v>496</v>
      </c>
      <c r="E3851" s="116">
        <v>46230</v>
      </c>
      <c r="F3851" s="116">
        <v>46231</v>
      </c>
      <c r="G3851" s="116">
        <v>46234</v>
      </c>
      <c r="H3851" s="112"/>
      <c r="I3851" s="113"/>
      <c r="J3851" s="113"/>
      <c r="K3851" s="113"/>
      <c r="L3851" s="107"/>
      <c r="M3851" s="114">
        <f t="shared" si="111"/>
        <v>0</v>
      </c>
      <c r="N3851" s="109" t="s">
        <v>250</v>
      </c>
    </row>
    <row r="3852" spans="2:14" ht="23.25" customHeight="1">
      <c r="B3852" s="109" t="s">
        <v>178</v>
      </c>
      <c r="C3852" s="110" t="s">
        <v>975</v>
      </c>
      <c r="D3852" s="109" t="s">
        <v>496</v>
      </c>
      <c r="E3852" s="116">
        <v>46230</v>
      </c>
      <c r="F3852" s="116">
        <v>46231</v>
      </c>
      <c r="G3852" s="116">
        <v>46234</v>
      </c>
      <c r="H3852" s="112"/>
      <c r="I3852" s="113"/>
      <c r="J3852" s="113"/>
      <c r="K3852" s="113"/>
      <c r="L3852" s="107"/>
      <c r="M3852" s="114">
        <f t="shared" si="111"/>
        <v>0</v>
      </c>
      <c r="N3852" s="109" t="s">
        <v>250</v>
      </c>
    </row>
    <row r="3853" spans="2:14" ht="23.25" customHeight="1">
      <c r="B3853" s="109" t="s">
        <v>155</v>
      </c>
      <c r="C3853" s="110" t="s">
        <v>980</v>
      </c>
      <c r="D3853" s="109" t="s">
        <v>496</v>
      </c>
      <c r="E3853" s="116">
        <v>46230</v>
      </c>
      <c r="F3853" s="116">
        <v>46231</v>
      </c>
      <c r="G3853" s="116">
        <v>46234</v>
      </c>
      <c r="H3853" s="112"/>
      <c r="I3853" s="113"/>
      <c r="J3853" s="113"/>
      <c r="K3853" s="113"/>
      <c r="L3853" s="107"/>
      <c r="M3853" s="114">
        <f t="shared" si="111"/>
        <v>0</v>
      </c>
      <c r="N3853" s="109" t="s">
        <v>250</v>
      </c>
    </row>
    <row r="3854" spans="2:14" ht="23.25" customHeight="1">
      <c r="B3854" s="109" t="s">
        <v>972</v>
      </c>
      <c r="C3854" s="110" t="s">
        <v>981</v>
      </c>
      <c r="D3854" s="109" t="s">
        <v>496</v>
      </c>
      <c r="E3854" s="116">
        <v>46230</v>
      </c>
      <c r="F3854" s="116">
        <v>46231</v>
      </c>
      <c r="G3854" s="116">
        <v>46234</v>
      </c>
      <c r="H3854" s="112"/>
      <c r="I3854" s="113"/>
      <c r="J3854" s="113"/>
      <c r="K3854" s="113"/>
      <c r="L3854" s="107"/>
      <c r="M3854" s="114">
        <f t="shared" si="111"/>
        <v>0</v>
      </c>
      <c r="N3854" s="109" t="s">
        <v>250</v>
      </c>
    </row>
    <row r="3855" spans="2:14" ht="23.25" customHeight="1">
      <c r="B3855" s="109" t="s">
        <v>177</v>
      </c>
      <c r="C3855" s="110" t="s">
        <v>982</v>
      </c>
      <c r="D3855" s="109" t="s">
        <v>496</v>
      </c>
      <c r="E3855" s="116">
        <v>46230</v>
      </c>
      <c r="F3855" s="116">
        <v>46231</v>
      </c>
      <c r="G3855" s="116">
        <v>46234</v>
      </c>
      <c r="H3855" s="112"/>
      <c r="I3855" s="113"/>
      <c r="J3855" s="113"/>
      <c r="K3855" s="113"/>
      <c r="L3855" s="107"/>
      <c r="M3855" s="114">
        <f t="shared" si="111"/>
        <v>0</v>
      </c>
      <c r="N3855" s="109" t="s">
        <v>250</v>
      </c>
    </row>
    <row r="3856" spans="2:14" ht="23.25" customHeight="1">
      <c r="B3856" s="109" t="s">
        <v>158</v>
      </c>
      <c r="C3856" s="110" t="s">
        <v>373</v>
      </c>
      <c r="D3856" s="109" t="s">
        <v>496</v>
      </c>
      <c r="E3856" s="116">
        <v>46230</v>
      </c>
      <c r="F3856" s="116">
        <v>46231</v>
      </c>
      <c r="G3856" s="116">
        <v>46234</v>
      </c>
      <c r="H3856" s="112"/>
      <c r="I3856" s="113"/>
      <c r="J3856" s="113"/>
      <c r="K3856" s="113"/>
      <c r="L3856" s="107"/>
      <c r="M3856" s="114">
        <f t="shared" si="111"/>
        <v>0</v>
      </c>
      <c r="N3856" s="109" t="s">
        <v>250</v>
      </c>
    </row>
    <row r="3857" spans="2:14" ht="23.25" customHeight="1">
      <c r="B3857" s="109" t="s">
        <v>157</v>
      </c>
      <c r="C3857" s="110" t="s">
        <v>375</v>
      </c>
      <c r="D3857" s="109" t="s">
        <v>496</v>
      </c>
      <c r="E3857" s="116">
        <v>46230</v>
      </c>
      <c r="F3857" s="116">
        <v>46231</v>
      </c>
      <c r="G3857" s="116">
        <v>46234</v>
      </c>
      <c r="H3857" s="112"/>
      <c r="I3857" s="113"/>
      <c r="J3857" s="113"/>
      <c r="K3857" s="113"/>
      <c r="L3857" s="107"/>
      <c r="M3857" s="114">
        <f t="shared" si="111"/>
        <v>0</v>
      </c>
      <c r="N3857" s="109" t="s">
        <v>250</v>
      </c>
    </row>
    <row r="3858" spans="2:14" ht="23.25" customHeight="1">
      <c r="B3858" s="109" t="s">
        <v>154</v>
      </c>
      <c r="C3858" s="110" t="s">
        <v>399</v>
      </c>
      <c r="D3858" s="109" t="s">
        <v>496</v>
      </c>
      <c r="E3858" s="116">
        <v>46230</v>
      </c>
      <c r="F3858" s="116">
        <v>46231</v>
      </c>
      <c r="G3858" s="116">
        <v>46234</v>
      </c>
      <c r="H3858" s="112"/>
      <c r="I3858" s="113"/>
      <c r="J3858" s="113"/>
      <c r="K3858" s="113"/>
      <c r="L3858" s="107"/>
      <c r="M3858" s="114">
        <f t="shared" si="111"/>
        <v>0</v>
      </c>
      <c r="N3858" s="109" t="s">
        <v>250</v>
      </c>
    </row>
    <row r="3859" spans="2:14" ht="23.25" customHeight="1">
      <c r="B3859" s="103" t="s">
        <v>310</v>
      </c>
      <c r="C3859" s="121" t="s">
        <v>719</v>
      </c>
      <c r="D3859" s="103" t="s">
        <v>411</v>
      </c>
      <c r="E3859" s="104">
        <v>46234</v>
      </c>
      <c r="F3859" s="105">
        <v>46237</v>
      </c>
      <c r="G3859" s="105">
        <v>46240</v>
      </c>
      <c r="H3859" s="120"/>
      <c r="I3859" s="106"/>
      <c r="J3859" s="107"/>
      <c r="K3859" s="107"/>
      <c r="L3859" s="107"/>
      <c r="M3859" s="107">
        <f t="shared" si="111"/>
        <v>0</v>
      </c>
      <c r="N3859" s="108" t="s">
        <v>718</v>
      </c>
    </row>
    <row r="3860" spans="2:14" ht="23.25" customHeight="1">
      <c r="B3860" s="103" t="s">
        <v>188</v>
      </c>
      <c r="C3860" s="122" t="s">
        <v>720</v>
      </c>
      <c r="D3860" s="103" t="s">
        <v>411</v>
      </c>
      <c r="E3860" s="104">
        <v>46234</v>
      </c>
      <c r="F3860" s="105">
        <v>46237</v>
      </c>
      <c r="G3860" s="105">
        <v>46240</v>
      </c>
      <c r="H3860" s="120"/>
      <c r="I3860" s="106"/>
      <c r="J3860" s="107"/>
      <c r="K3860" s="107"/>
      <c r="L3860" s="107"/>
      <c r="M3860" s="107">
        <f t="shared" si="111"/>
        <v>0</v>
      </c>
      <c r="N3860" s="108" t="s">
        <v>718</v>
      </c>
    </row>
    <row r="3861" spans="2:14" ht="23.25" customHeight="1">
      <c r="B3861" s="103" t="s">
        <v>196</v>
      </c>
      <c r="C3861" s="119" t="s">
        <v>721</v>
      </c>
      <c r="D3861" s="118" t="s">
        <v>411</v>
      </c>
      <c r="E3861" s="104">
        <v>46234</v>
      </c>
      <c r="F3861" s="105">
        <v>46237</v>
      </c>
      <c r="G3861" s="105">
        <v>46240</v>
      </c>
      <c r="H3861" s="120"/>
      <c r="I3861" s="106"/>
      <c r="J3861" s="107"/>
      <c r="K3861" s="107"/>
      <c r="L3861" s="107"/>
      <c r="M3861" s="107">
        <f t="shared" si="111"/>
        <v>0</v>
      </c>
      <c r="N3861" s="108" t="s">
        <v>718</v>
      </c>
    </row>
    <row r="3862" spans="2:14" ht="23.25" customHeight="1">
      <c r="B3862" s="103" t="s">
        <v>191</v>
      </c>
      <c r="C3862" s="122" t="s">
        <v>722</v>
      </c>
      <c r="D3862" s="103" t="s">
        <v>411</v>
      </c>
      <c r="E3862" s="104">
        <v>46234</v>
      </c>
      <c r="F3862" s="105">
        <v>46237</v>
      </c>
      <c r="G3862" s="105">
        <v>46240</v>
      </c>
      <c r="H3862" s="120"/>
      <c r="I3862" s="106"/>
      <c r="J3862" s="107"/>
      <c r="K3862" s="107"/>
      <c r="L3862" s="107"/>
      <c r="M3862" s="107">
        <f t="shared" si="111"/>
        <v>0</v>
      </c>
      <c r="N3862" s="108" t="s">
        <v>718</v>
      </c>
    </row>
    <row r="3863" spans="2:14" ht="23.25" customHeight="1">
      <c r="B3863" s="103" t="s">
        <v>199</v>
      </c>
      <c r="C3863" s="119" t="s">
        <v>723</v>
      </c>
      <c r="D3863" s="118" t="s">
        <v>411</v>
      </c>
      <c r="E3863" s="104">
        <v>46234</v>
      </c>
      <c r="F3863" s="105">
        <v>46237</v>
      </c>
      <c r="G3863" s="105">
        <v>46240</v>
      </c>
      <c r="H3863" s="120"/>
      <c r="I3863" s="106"/>
      <c r="J3863" s="107"/>
      <c r="K3863" s="107"/>
      <c r="L3863" s="107"/>
      <c r="M3863" s="107">
        <f t="shared" si="111"/>
        <v>0</v>
      </c>
      <c r="N3863" s="108" t="s">
        <v>718</v>
      </c>
    </row>
    <row r="3864" spans="2:14" ht="23.25" customHeight="1">
      <c r="B3864" s="103" t="s">
        <v>306</v>
      </c>
      <c r="C3864" s="121" t="s">
        <v>724</v>
      </c>
      <c r="D3864" s="103" t="s">
        <v>411</v>
      </c>
      <c r="E3864" s="104">
        <v>46234</v>
      </c>
      <c r="F3864" s="105">
        <v>46237</v>
      </c>
      <c r="G3864" s="105">
        <v>46240</v>
      </c>
      <c r="H3864" s="120"/>
      <c r="I3864" s="106"/>
      <c r="J3864" s="107"/>
      <c r="K3864" s="107"/>
      <c r="L3864" s="107"/>
      <c r="M3864" s="107">
        <f t="shared" si="111"/>
        <v>0</v>
      </c>
      <c r="N3864" s="108" t="s">
        <v>718</v>
      </c>
    </row>
    <row r="3865" spans="2:14" ht="23.25" customHeight="1">
      <c r="B3865" s="103" t="s">
        <v>184</v>
      </c>
      <c r="C3865" s="122" t="s">
        <v>725</v>
      </c>
      <c r="D3865" s="103" t="s">
        <v>411</v>
      </c>
      <c r="E3865" s="104">
        <v>46234</v>
      </c>
      <c r="F3865" s="105">
        <v>46237</v>
      </c>
      <c r="G3865" s="105">
        <v>46240</v>
      </c>
      <c r="H3865" s="120"/>
      <c r="I3865" s="106"/>
      <c r="J3865" s="107"/>
      <c r="K3865" s="107"/>
      <c r="L3865" s="107"/>
      <c r="M3865" s="107">
        <f t="shared" si="111"/>
        <v>0</v>
      </c>
      <c r="N3865" s="108" t="s">
        <v>718</v>
      </c>
    </row>
    <row r="3866" spans="2:14" ht="23.25" customHeight="1">
      <c r="B3866" s="103" t="s">
        <v>192</v>
      </c>
      <c r="C3866" s="119" t="s">
        <v>726</v>
      </c>
      <c r="D3866" s="118" t="s">
        <v>411</v>
      </c>
      <c r="E3866" s="104">
        <v>46234</v>
      </c>
      <c r="F3866" s="105">
        <v>46237</v>
      </c>
      <c r="G3866" s="105">
        <v>46240</v>
      </c>
      <c r="H3866" s="120"/>
      <c r="I3866" s="106"/>
      <c r="J3866" s="107"/>
      <c r="K3866" s="107"/>
      <c r="L3866" s="107"/>
      <c r="M3866" s="107">
        <f t="shared" si="111"/>
        <v>0</v>
      </c>
      <c r="N3866" s="108" t="s">
        <v>718</v>
      </c>
    </row>
    <row r="3867" spans="2:14" ht="23.25" customHeight="1">
      <c r="B3867" s="103" t="s">
        <v>311</v>
      </c>
      <c r="C3867" s="121" t="s">
        <v>727</v>
      </c>
      <c r="D3867" s="103" t="s">
        <v>411</v>
      </c>
      <c r="E3867" s="104">
        <v>46234</v>
      </c>
      <c r="F3867" s="105">
        <v>46237</v>
      </c>
      <c r="G3867" s="105">
        <v>46240</v>
      </c>
      <c r="H3867" s="120"/>
      <c r="I3867" s="106"/>
      <c r="J3867" s="107"/>
      <c r="K3867" s="107"/>
      <c r="L3867" s="107"/>
      <c r="M3867" s="107">
        <f t="shared" si="111"/>
        <v>0</v>
      </c>
      <c r="N3867" s="108" t="s">
        <v>718</v>
      </c>
    </row>
    <row r="3868" spans="2:14" ht="23.25" customHeight="1">
      <c r="B3868" s="103" t="s">
        <v>189</v>
      </c>
      <c r="C3868" s="122" t="s">
        <v>728</v>
      </c>
      <c r="D3868" s="103" t="s">
        <v>411</v>
      </c>
      <c r="E3868" s="104">
        <v>46234</v>
      </c>
      <c r="F3868" s="105">
        <v>46237</v>
      </c>
      <c r="G3868" s="105">
        <v>46240</v>
      </c>
      <c r="H3868" s="120"/>
      <c r="I3868" s="106"/>
      <c r="J3868" s="107"/>
      <c r="K3868" s="107"/>
      <c r="L3868" s="107"/>
      <c r="M3868" s="107">
        <f t="shared" si="111"/>
        <v>0</v>
      </c>
      <c r="N3868" s="108" t="s">
        <v>718</v>
      </c>
    </row>
    <row r="3869" spans="2:14" ht="23.25" customHeight="1">
      <c r="B3869" s="103" t="s">
        <v>197</v>
      </c>
      <c r="C3869" s="119" t="s">
        <v>729</v>
      </c>
      <c r="D3869" s="118" t="s">
        <v>411</v>
      </c>
      <c r="E3869" s="104">
        <v>46234</v>
      </c>
      <c r="F3869" s="105">
        <v>46237</v>
      </c>
      <c r="G3869" s="105">
        <v>46240</v>
      </c>
      <c r="H3869" s="120"/>
      <c r="I3869" s="106"/>
      <c r="J3869" s="107"/>
      <c r="K3869" s="107"/>
      <c r="L3869" s="107"/>
      <c r="M3869" s="107">
        <f t="shared" si="111"/>
        <v>0</v>
      </c>
      <c r="N3869" s="108" t="s">
        <v>718</v>
      </c>
    </row>
    <row r="3870" spans="2:14" ht="23.25" customHeight="1">
      <c r="B3870" s="103" t="s">
        <v>308</v>
      </c>
      <c r="C3870" s="121" t="s">
        <v>730</v>
      </c>
      <c r="D3870" s="103" t="s">
        <v>411</v>
      </c>
      <c r="E3870" s="104">
        <v>46234</v>
      </c>
      <c r="F3870" s="105">
        <v>46237</v>
      </c>
      <c r="G3870" s="105">
        <v>46240</v>
      </c>
      <c r="H3870" s="120"/>
      <c r="I3870" s="106"/>
      <c r="J3870" s="107"/>
      <c r="K3870" s="107"/>
      <c r="L3870" s="107"/>
      <c r="M3870" s="107">
        <f t="shared" si="111"/>
        <v>0</v>
      </c>
      <c r="N3870" s="108" t="s">
        <v>718</v>
      </c>
    </row>
    <row r="3871" spans="2:14" ht="23.25" customHeight="1">
      <c r="B3871" s="103" t="s">
        <v>186</v>
      </c>
      <c r="C3871" s="122" t="s">
        <v>731</v>
      </c>
      <c r="D3871" s="103" t="s">
        <v>411</v>
      </c>
      <c r="E3871" s="104">
        <v>46234</v>
      </c>
      <c r="F3871" s="105">
        <v>46237</v>
      </c>
      <c r="G3871" s="105">
        <v>46240</v>
      </c>
      <c r="H3871" s="120"/>
      <c r="I3871" s="106"/>
      <c r="J3871" s="107"/>
      <c r="K3871" s="107"/>
      <c r="L3871" s="107"/>
      <c r="M3871" s="107">
        <f t="shared" ref="M3871:M3902" si="112">J3871+L3871</f>
        <v>0</v>
      </c>
      <c r="N3871" s="108" t="s">
        <v>718</v>
      </c>
    </row>
    <row r="3872" spans="2:14" ht="23.25" customHeight="1">
      <c r="B3872" s="103" t="s">
        <v>194</v>
      </c>
      <c r="C3872" s="119" t="s">
        <v>732</v>
      </c>
      <c r="D3872" s="118" t="s">
        <v>411</v>
      </c>
      <c r="E3872" s="104">
        <v>46234</v>
      </c>
      <c r="F3872" s="105">
        <v>46237</v>
      </c>
      <c r="G3872" s="105">
        <v>46240</v>
      </c>
      <c r="H3872" s="120"/>
      <c r="I3872" s="106"/>
      <c r="J3872" s="107"/>
      <c r="K3872" s="107"/>
      <c r="L3872" s="107"/>
      <c r="M3872" s="107">
        <f t="shared" si="112"/>
        <v>0</v>
      </c>
      <c r="N3872" s="108" t="s">
        <v>718</v>
      </c>
    </row>
    <row r="3873" spans="2:14" ht="23.25" customHeight="1">
      <c r="B3873" s="103" t="s">
        <v>307</v>
      </c>
      <c r="C3873" s="121" t="s">
        <v>983</v>
      </c>
      <c r="D3873" s="103" t="s">
        <v>411</v>
      </c>
      <c r="E3873" s="104">
        <v>46234</v>
      </c>
      <c r="F3873" s="105">
        <v>46237</v>
      </c>
      <c r="G3873" s="105">
        <v>46240</v>
      </c>
      <c r="H3873" s="120"/>
      <c r="I3873" s="106"/>
      <c r="J3873" s="107"/>
      <c r="K3873" s="107"/>
      <c r="L3873" s="107"/>
      <c r="M3873" s="107">
        <f t="shared" si="112"/>
        <v>0</v>
      </c>
      <c r="N3873" s="108" t="s">
        <v>718</v>
      </c>
    </row>
    <row r="3874" spans="2:14" ht="23.25" customHeight="1">
      <c r="B3874" s="103" t="s">
        <v>185</v>
      </c>
      <c r="C3874" s="122" t="s">
        <v>985</v>
      </c>
      <c r="D3874" s="103" t="s">
        <v>411</v>
      </c>
      <c r="E3874" s="104">
        <v>46234</v>
      </c>
      <c r="F3874" s="105">
        <v>46237</v>
      </c>
      <c r="G3874" s="105">
        <v>46240</v>
      </c>
      <c r="H3874" s="120"/>
      <c r="I3874" s="106"/>
      <c r="J3874" s="107"/>
      <c r="K3874" s="107"/>
      <c r="L3874" s="107"/>
      <c r="M3874" s="107">
        <f t="shared" si="112"/>
        <v>0</v>
      </c>
      <c r="N3874" s="108" t="s">
        <v>718</v>
      </c>
    </row>
    <row r="3875" spans="2:14" ht="23.25" customHeight="1">
      <c r="B3875" s="103" t="s">
        <v>193</v>
      </c>
      <c r="C3875" s="119" t="s">
        <v>984</v>
      </c>
      <c r="D3875" s="118" t="s">
        <v>411</v>
      </c>
      <c r="E3875" s="104">
        <v>46234</v>
      </c>
      <c r="F3875" s="105">
        <v>46237</v>
      </c>
      <c r="G3875" s="105">
        <v>46240</v>
      </c>
      <c r="H3875" s="120"/>
      <c r="I3875" s="106"/>
      <c r="J3875" s="107"/>
      <c r="K3875" s="107"/>
      <c r="L3875" s="107"/>
      <c r="M3875" s="107">
        <f t="shared" si="112"/>
        <v>0</v>
      </c>
      <c r="N3875" s="108" t="s">
        <v>718</v>
      </c>
    </row>
    <row r="3876" spans="2:14" ht="23.25" customHeight="1">
      <c r="B3876" s="103" t="s">
        <v>309</v>
      </c>
      <c r="C3876" s="121" t="s">
        <v>736</v>
      </c>
      <c r="D3876" s="103" t="s">
        <v>411</v>
      </c>
      <c r="E3876" s="104">
        <v>46234</v>
      </c>
      <c r="F3876" s="105">
        <v>46237</v>
      </c>
      <c r="G3876" s="105">
        <v>46240</v>
      </c>
      <c r="H3876" s="120"/>
      <c r="I3876" s="106"/>
      <c r="J3876" s="107"/>
      <c r="K3876" s="107"/>
      <c r="L3876" s="107"/>
      <c r="M3876" s="107">
        <f t="shared" si="112"/>
        <v>0</v>
      </c>
      <c r="N3876" s="108" t="s">
        <v>718</v>
      </c>
    </row>
    <row r="3877" spans="2:14" ht="23.25" customHeight="1">
      <c r="B3877" s="103" t="s">
        <v>187</v>
      </c>
      <c r="C3877" s="122" t="s">
        <v>737</v>
      </c>
      <c r="D3877" s="103" t="s">
        <v>411</v>
      </c>
      <c r="E3877" s="104">
        <v>46234</v>
      </c>
      <c r="F3877" s="105">
        <v>46237</v>
      </c>
      <c r="G3877" s="105">
        <v>46240</v>
      </c>
      <c r="H3877" s="120"/>
      <c r="I3877" s="106"/>
      <c r="J3877" s="107"/>
      <c r="K3877" s="107"/>
      <c r="L3877" s="107"/>
      <c r="M3877" s="107">
        <f t="shared" si="112"/>
        <v>0</v>
      </c>
      <c r="N3877" s="108" t="s">
        <v>718</v>
      </c>
    </row>
    <row r="3878" spans="2:14" ht="23.25" customHeight="1">
      <c r="B3878" s="103" t="s">
        <v>195</v>
      </c>
      <c r="C3878" s="119" t="s">
        <v>738</v>
      </c>
      <c r="D3878" s="118" t="s">
        <v>411</v>
      </c>
      <c r="E3878" s="104">
        <v>46234</v>
      </c>
      <c r="F3878" s="105">
        <v>46237</v>
      </c>
      <c r="G3878" s="105">
        <v>46240</v>
      </c>
      <c r="H3878" s="120"/>
      <c r="I3878" s="106"/>
      <c r="J3878" s="107"/>
      <c r="K3878" s="107"/>
      <c r="L3878" s="107"/>
      <c r="M3878" s="107">
        <f t="shared" si="112"/>
        <v>0</v>
      </c>
      <c r="N3878" s="108" t="s">
        <v>718</v>
      </c>
    </row>
    <row r="3879" spans="2:14" ht="23.25" customHeight="1">
      <c r="B3879" s="103" t="s">
        <v>312</v>
      </c>
      <c r="C3879" s="121" t="s">
        <v>739</v>
      </c>
      <c r="D3879" s="103" t="s">
        <v>411</v>
      </c>
      <c r="E3879" s="104">
        <v>46234</v>
      </c>
      <c r="F3879" s="105">
        <v>46237</v>
      </c>
      <c r="G3879" s="105">
        <v>46240</v>
      </c>
      <c r="H3879" s="120"/>
      <c r="I3879" s="106"/>
      <c r="J3879" s="107"/>
      <c r="K3879" s="107"/>
      <c r="L3879" s="107"/>
      <c r="M3879" s="107">
        <f t="shared" si="112"/>
        <v>0</v>
      </c>
      <c r="N3879" s="108" t="s">
        <v>718</v>
      </c>
    </row>
    <row r="3880" spans="2:14" ht="23.25" customHeight="1">
      <c r="B3880" s="103" t="s">
        <v>190</v>
      </c>
      <c r="C3880" s="122" t="s">
        <v>740</v>
      </c>
      <c r="D3880" s="103" t="s">
        <v>411</v>
      </c>
      <c r="E3880" s="104">
        <v>46234</v>
      </c>
      <c r="F3880" s="105">
        <v>46237</v>
      </c>
      <c r="G3880" s="105">
        <v>46240</v>
      </c>
      <c r="H3880" s="120"/>
      <c r="I3880" s="106"/>
      <c r="J3880" s="107"/>
      <c r="K3880" s="107"/>
      <c r="L3880" s="107"/>
      <c r="M3880" s="107">
        <f t="shared" si="112"/>
        <v>0</v>
      </c>
      <c r="N3880" s="108" t="s">
        <v>718</v>
      </c>
    </row>
    <row r="3881" spans="2:14" ht="23.25" customHeight="1">
      <c r="B3881" s="103" t="s">
        <v>198</v>
      </c>
      <c r="C3881" s="119" t="s">
        <v>741</v>
      </c>
      <c r="D3881" s="118" t="s">
        <v>411</v>
      </c>
      <c r="E3881" s="104">
        <v>46234</v>
      </c>
      <c r="F3881" s="105">
        <v>46237</v>
      </c>
      <c r="G3881" s="105">
        <v>46240</v>
      </c>
      <c r="H3881" s="120"/>
      <c r="I3881" s="106"/>
      <c r="J3881" s="107"/>
      <c r="K3881" s="107"/>
      <c r="L3881" s="107"/>
      <c r="M3881" s="107">
        <f t="shared" si="112"/>
        <v>0</v>
      </c>
      <c r="N3881" s="108" t="s">
        <v>718</v>
      </c>
    </row>
    <row r="3882" spans="2:14" ht="23.25" customHeight="1">
      <c r="B3882" s="103" t="s">
        <v>313</v>
      </c>
      <c r="C3882" s="121" t="s">
        <v>884</v>
      </c>
      <c r="D3882" s="103" t="s">
        <v>411</v>
      </c>
      <c r="E3882" s="104">
        <v>46234</v>
      </c>
      <c r="F3882" s="105">
        <v>46237</v>
      </c>
      <c r="G3882" s="105">
        <v>46240</v>
      </c>
      <c r="H3882" s="174"/>
      <c r="I3882" s="106"/>
      <c r="J3882" s="107"/>
      <c r="K3882" s="107"/>
      <c r="L3882" s="107"/>
      <c r="M3882" s="107">
        <f t="shared" si="112"/>
        <v>0</v>
      </c>
      <c r="N3882" s="108" t="s">
        <v>718</v>
      </c>
    </row>
    <row r="3883" spans="2:14" ht="23.25" customHeight="1">
      <c r="B3883" s="103" t="s">
        <v>310</v>
      </c>
      <c r="C3883" s="121" t="s">
        <v>719</v>
      </c>
      <c r="D3883" s="103" t="s">
        <v>411</v>
      </c>
      <c r="E3883" s="104">
        <v>46265</v>
      </c>
      <c r="F3883" s="105">
        <v>46266</v>
      </c>
      <c r="G3883" s="105">
        <v>46269</v>
      </c>
      <c r="H3883" s="120"/>
      <c r="I3883" s="106"/>
      <c r="J3883" s="107"/>
      <c r="K3883" s="107"/>
      <c r="L3883" s="107"/>
      <c r="M3883" s="107">
        <f t="shared" si="112"/>
        <v>0</v>
      </c>
      <c r="N3883" s="108" t="s">
        <v>718</v>
      </c>
    </row>
    <row r="3884" spans="2:14" ht="23.25" customHeight="1">
      <c r="B3884" s="103" t="s">
        <v>188</v>
      </c>
      <c r="C3884" s="122" t="s">
        <v>720</v>
      </c>
      <c r="D3884" s="103" t="s">
        <v>411</v>
      </c>
      <c r="E3884" s="104">
        <v>46265</v>
      </c>
      <c r="F3884" s="105">
        <v>46266</v>
      </c>
      <c r="G3884" s="105">
        <v>46269</v>
      </c>
      <c r="H3884" s="120"/>
      <c r="I3884" s="106"/>
      <c r="J3884" s="107"/>
      <c r="K3884" s="107"/>
      <c r="L3884" s="107"/>
      <c r="M3884" s="107">
        <f t="shared" si="112"/>
        <v>0</v>
      </c>
      <c r="N3884" s="108" t="s">
        <v>718</v>
      </c>
    </row>
    <row r="3885" spans="2:14" ht="23.25" customHeight="1">
      <c r="B3885" s="103" t="s">
        <v>196</v>
      </c>
      <c r="C3885" s="119" t="s">
        <v>721</v>
      </c>
      <c r="D3885" s="118" t="s">
        <v>411</v>
      </c>
      <c r="E3885" s="104">
        <v>46265</v>
      </c>
      <c r="F3885" s="105">
        <v>46266</v>
      </c>
      <c r="G3885" s="105">
        <v>46269</v>
      </c>
      <c r="H3885" s="120"/>
      <c r="I3885" s="106"/>
      <c r="J3885" s="107"/>
      <c r="K3885" s="107"/>
      <c r="L3885" s="107"/>
      <c r="M3885" s="107">
        <f t="shared" si="112"/>
        <v>0</v>
      </c>
      <c r="N3885" s="108" t="s">
        <v>718</v>
      </c>
    </row>
    <row r="3886" spans="2:14" ht="23.25" customHeight="1">
      <c r="B3886" s="103" t="s">
        <v>191</v>
      </c>
      <c r="C3886" s="122" t="s">
        <v>722</v>
      </c>
      <c r="D3886" s="103" t="s">
        <v>411</v>
      </c>
      <c r="E3886" s="104">
        <v>46265</v>
      </c>
      <c r="F3886" s="105">
        <v>46266</v>
      </c>
      <c r="G3886" s="105">
        <v>46269</v>
      </c>
      <c r="H3886" s="120"/>
      <c r="I3886" s="106"/>
      <c r="J3886" s="107"/>
      <c r="K3886" s="107"/>
      <c r="L3886" s="107"/>
      <c r="M3886" s="107">
        <f t="shared" si="112"/>
        <v>0</v>
      </c>
      <c r="N3886" s="108" t="s">
        <v>718</v>
      </c>
    </row>
    <row r="3887" spans="2:14" ht="23.25" customHeight="1">
      <c r="B3887" s="103" t="s">
        <v>199</v>
      </c>
      <c r="C3887" s="119" t="s">
        <v>723</v>
      </c>
      <c r="D3887" s="118" t="s">
        <v>411</v>
      </c>
      <c r="E3887" s="104">
        <v>46265</v>
      </c>
      <c r="F3887" s="105">
        <v>46266</v>
      </c>
      <c r="G3887" s="105">
        <v>46269</v>
      </c>
      <c r="H3887" s="120"/>
      <c r="I3887" s="106"/>
      <c r="J3887" s="107"/>
      <c r="K3887" s="107"/>
      <c r="L3887" s="107"/>
      <c r="M3887" s="107">
        <f t="shared" si="112"/>
        <v>0</v>
      </c>
      <c r="N3887" s="108" t="s">
        <v>718</v>
      </c>
    </row>
    <row r="3888" spans="2:14" ht="23.25" customHeight="1">
      <c r="B3888" s="103" t="s">
        <v>306</v>
      </c>
      <c r="C3888" s="121" t="s">
        <v>724</v>
      </c>
      <c r="D3888" s="103" t="s">
        <v>411</v>
      </c>
      <c r="E3888" s="104">
        <v>46265</v>
      </c>
      <c r="F3888" s="105">
        <v>46266</v>
      </c>
      <c r="G3888" s="105">
        <v>46269</v>
      </c>
      <c r="H3888" s="120"/>
      <c r="I3888" s="106"/>
      <c r="J3888" s="107"/>
      <c r="K3888" s="107"/>
      <c r="L3888" s="107"/>
      <c r="M3888" s="107">
        <f t="shared" si="112"/>
        <v>0</v>
      </c>
      <c r="N3888" s="108" t="s">
        <v>718</v>
      </c>
    </row>
    <row r="3889" spans="2:14" ht="23.25" customHeight="1">
      <c r="B3889" s="103" t="s">
        <v>184</v>
      </c>
      <c r="C3889" s="122" t="s">
        <v>725</v>
      </c>
      <c r="D3889" s="103" t="s">
        <v>411</v>
      </c>
      <c r="E3889" s="104">
        <v>46265</v>
      </c>
      <c r="F3889" s="105">
        <v>46266</v>
      </c>
      <c r="G3889" s="105">
        <v>46269</v>
      </c>
      <c r="H3889" s="120"/>
      <c r="I3889" s="106"/>
      <c r="J3889" s="107"/>
      <c r="K3889" s="107"/>
      <c r="L3889" s="107"/>
      <c r="M3889" s="107">
        <f t="shared" si="112"/>
        <v>0</v>
      </c>
      <c r="N3889" s="108" t="s">
        <v>718</v>
      </c>
    </row>
    <row r="3890" spans="2:14" ht="23.25" customHeight="1">
      <c r="B3890" s="103" t="s">
        <v>192</v>
      </c>
      <c r="C3890" s="119" t="s">
        <v>726</v>
      </c>
      <c r="D3890" s="118" t="s">
        <v>411</v>
      </c>
      <c r="E3890" s="104">
        <v>46265</v>
      </c>
      <c r="F3890" s="105">
        <v>46266</v>
      </c>
      <c r="G3890" s="105">
        <v>46269</v>
      </c>
      <c r="H3890" s="120"/>
      <c r="I3890" s="106"/>
      <c r="J3890" s="107"/>
      <c r="K3890" s="107"/>
      <c r="L3890" s="107"/>
      <c r="M3890" s="107">
        <f t="shared" si="112"/>
        <v>0</v>
      </c>
      <c r="N3890" s="108" t="s">
        <v>718</v>
      </c>
    </row>
    <row r="3891" spans="2:14" ht="23.25" customHeight="1">
      <c r="B3891" s="103" t="s">
        <v>311</v>
      </c>
      <c r="C3891" s="121" t="s">
        <v>727</v>
      </c>
      <c r="D3891" s="103" t="s">
        <v>411</v>
      </c>
      <c r="E3891" s="104">
        <v>46265</v>
      </c>
      <c r="F3891" s="105">
        <v>46266</v>
      </c>
      <c r="G3891" s="105">
        <v>46269</v>
      </c>
      <c r="H3891" s="120"/>
      <c r="I3891" s="106"/>
      <c r="J3891" s="107"/>
      <c r="K3891" s="107"/>
      <c r="L3891" s="107"/>
      <c r="M3891" s="107">
        <f t="shared" si="112"/>
        <v>0</v>
      </c>
      <c r="N3891" s="108" t="s">
        <v>718</v>
      </c>
    </row>
    <row r="3892" spans="2:14" ht="23.25" customHeight="1">
      <c r="B3892" s="103" t="s">
        <v>189</v>
      </c>
      <c r="C3892" s="122" t="s">
        <v>728</v>
      </c>
      <c r="D3892" s="103" t="s">
        <v>411</v>
      </c>
      <c r="E3892" s="104">
        <v>46265</v>
      </c>
      <c r="F3892" s="105">
        <v>46266</v>
      </c>
      <c r="G3892" s="105">
        <v>46269</v>
      </c>
      <c r="H3892" s="120"/>
      <c r="I3892" s="106"/>
      <c r="J3892" s="107"/>
      <c r="K3892" s="107"/>
      <c r="L3892" s="107"/>
      <c r="M3892" s="107">
        <f t="shared" si="112"/>
        <v>0</v>
      </c>
      <c r="N3892" s="108" t="s">
        <v>718</v>
      </c>
    </row>
    <row r="3893" spans="2:14" ht="23.25" customHeight="1">
      <c r="B3893" s="103" t="s">
        <v>197</v>
      </c>
      <c r="C3893" s="119" t="s">
        <v>729</v>
      </c>
      <c r="D3893" s="118" t="s">
        <v>411</v>
      </c>
      <c r="E3893" s="104">
        <v>46265</v>
      </c>
      <c r="F3893" s="105">
        <v>46266</v>
      </c>
      <c r="G3893" s="105">
        <v>46269</v>
      </c>
      <c r="H3893" s="120"/>
      <c r="I3893" s="106"/>
      <c r="J3893" s="107"/>
      <c r="K3893" s="107"/>
      <c r="L3893" s="107"/>
      <c r="M3893" s="107">
        <f t="shared" si="112"/>
        <v>0</v>
      </c>
      <c r="N3893" s="108" t="s">
        <v>718</v>
      </c>
    </row>
    <row r="3894" spans="2:14" ht="23.25" customHeight="1">
      <c r="B3894" s="103" t="s">
        <v>308</v>
      </c>
      <c r="C3894" s="121" t="s">
        <v>730</v>
      </c>
      <c r="D3894" s="103" t="s">
        <v>411</v>
      </c>
      <c r="E3894" s="104">
        <v>46265</v>
      </c>
      <c r="F3894" s="105">
        <v>46266</v>
      </c>
      <c r="G3894" s="105">
        <v>46269</v>
      </c>
      <c r="H3894" s="120"/>
      <c r="I3894" s="106"/>
      <c r="J3894" s="107"/>
      <c r="K3894" s="107"/>
      <c r="L3894" s="107"/>
      <c r="M3894" s="107">
        <f t="shared" si="112"/>
        <v>0</v>
      </c>
      <c r="N3894" s="108" t="s">
        <v>718</v>
      </c>
    </row>
    <row r="3895" spans="2:14" ht="23.25" customHeight="1">
      <c r="B3895" s="103" t="s">
        <v>186</v>
      </c>
      <c r="C3895" s="122" t="s">
        <v>731</v>
      </c>
      <c r="D3895" s="103" t="s">
        <v>411</v>
      </c>
      <c r="E3895" s="104">
        <v>46265</v>
      </c>
      <c r="F3895" s="105">
        <v>46266</v>
      </c>
      <c r="G3895" s="105">
        <v>46269</v>
      </c>
      <c r="H3895" s="120"/>
      <c r="I3895" s="106"/>
      <c r="J3895" s="107"/>
      <c r="K3895" s="107"/>
      <c r="L3895" s="107"/>
      <c r="M3895" s="107">
        <f t="shared" si="112"/>
        <v>0</v>
      </c>
      <c r="N3895" s="108" t="s">
        <v>718</v>
      </c>
    </row>
    <row r="3896" spans="2:14" ht="23.25" customHeight="1">
      <c r="B3896" s="103" t="s">
        <v>194</v>
      </c>
      <c r="C3896" s="119" t="s">
        <v>732</v>
      </c>
      <c r="D3896" s="118" t="s">
        <v>411</v>
      </c>
      <c r="E3896" s="104">
        <v>46265</v>
      </c>
      <c r="F3896" s="105">
        <v>46266</v>
      </c>
      <c r="G3896" s="105">
        <v>46269</v>
      </c>
      <c r="H3896" s="120"/>
      <c r="I3896" s="106"/>
      <c r="J3896" s="107"/>
      <c r="K3896" s="107"/>
      <c r="L3896" s="107"/>
      <c r="M3896" s="107">
        <f t="shared" si="112"/>
        <v>0</v>
      </c>
      <c r="N3896" s="108" t="s">
        <v>718</v>
      </c>
    </row>
    <row r="3897" spans="2:14" ht="23.25" customHeight="1">
      <c r="B3897" s="103" t="s">
        <v>307</v>
      </c>
      <c r="C3897" s="121" t="s">
        <v>983</v>
      </c>
      <c r="D3897" s="103" t="s">
        <v>411</v>
      </c>
      <c r="E3897" s="104">
        <v>46265</v>
      </c>
      <c r="F3897" s="105">
        <v>46266</v>
      </c>
      <c r="G3897" s="105">
        <v>46269</v>
      </c>
      <c r="H3897" s="120"/>
      <c r="I3897" s="106"/>
      <c r="J3897" s="107"/>
      <c r="K3897" s="107"/>
      <c r="L3897" s="107"/>
      <c r="M3897" s="107">
        <f t="shared" si="112"/>
        <v>0</v>
      </c>
      <c r="N3897" s="108" t="s">
        <v>718</v>
      </c>
    </row>
    <row r="3898" spans="2:14" ht="23.25" customHeight="1">
      <c r="B3898" s="103" t="s">
        <v>185</v>
      </c>
      <c r="C3898" s="122" t="s">
        <v>985</v>
      </c>
      <c r="D3898" s="103" t="s">
        <v>411</v>
      </c>
      <c r="E3898" s="104">
        <v>46265</v>
      </c>
      <c r="F3898" s="105">
        <v>46266</v>
      </c>
      <c r="G3898" s="105">
        <v>46269</v>
      </c>
      <c r="H3898" s="120"/>
      <c r="I3898" s="106"/>
      <c r="J3898" s="107"/>
      <c r="K3898" s="107"/>
      <c r="L3898" s="107"/>
      <c r="M3898" s="107">
        <f t="shared" si="112"/>
        <v>0</v>
      </c>
      <c r="N3898" s="108" t="s">
        <v>718</v>
      </c>
    </row>
    <row r="3899" spans="2:14" ht="23.25" customHeight="1">
      <c r="B3899" s="103" t="s">
        <v>193</v>
      </c>
      <c r="C3899" s="119" t="s">
        <v>984</v>
      </c>
      <c r="D3899" s="118" t="s">
        <v>411</v>
      </c>
      <c r="E3899" s="104">
        <v>46265</v>
      </c>
      <c r="F3899" s="105">
        <v>46266</v>
      </c>
      <c r="G3899" s="105">
        <v>46269</v>
      </c>
      <c r="H3899" s="120"/>
      <c r="I3899" s="106"/>
      <c r="J3899" s="107"/>
      <c r="K3899" s="107"/>
      <c r="L3899" s="107"/>
      <c r="M3899" s="107">
        <f t="shared" si="112"/>
        <v>0</v>
      </c>
      <c r="N3899" s="108" t="s">
        <v>718</v>
      </c>
    </row>
    <row r="3900" spans="2:14" ht="23.25" customHeight="1">
      <c r="B3900" s="103" t="s">
        <v>309</v>
      </c>
      <c r="C3900" s="121" t="s">
        <v>736</v>
      </c>
      <c r="D3900" s="103" t="s">
        <v>411</v>
      </c>
      <c r="E3900" s="104">
        <v>46265</v>
      </c>
      <c r="F3900" s="105">
        <v>46266</v>
      </c>
      <c r="G3900" s="105">
        <v>46269</v>
      </c>
      <c r="H3900" s="120"/>
      <c r="I3900" s="106"/>
      <c r="J3900" s="107"/>
      <c r="K3900" s="107"/>
      <c r="L3900" s="107"/>
      <c r="M3900" s="107">
        <f t="shared" si="112"/>
        <v>0</v>
      </c>
      <c r="N3900" s="108" t="s">
        <v>718</v>
      </c>
    </row>
    <row r="3901" spans="2:14" ht="23.25" customHeight="1">
      <c r="B3901" s="103" t="s">
        <v>187</v>
      </c>
      <c r="C3901" s="122" t="s">
        <v>737</v>
      </c>
      <c r="D3901" s="103" t="s">
        <v>411</v>
      </c>
      <c r="E3901" s="104">
        <v>46265</v>
      </c>
      <c r="F3901" s="105">
        <v>46266</v>
      </c>
      <c r="G3901" s="105">
        <v>46269</v>
      </c>
      <c r="H3901" s="120"/>
      <c r="I3901" s="106"/>
      <c r="J3901" s="107"/>
      <c r="K3901" s="107"/>
      <c r="L3901" s="107"/>
      <c r="M3901" s="107">
        <f t="shared" si="112"/>
        <v>0</v>
      </c>
      <c r="N3901" s="108" t="s">
        <v>718</v>
      </c>
    </row>
    <row r="3902" spans="2:14" ht="23.25" customHeight="1">
      <c r="B3902" s="103" t="s">
        <v>195</v>
      </c>
      <c r="C3902" s="119" t="s">
        <v>738</v>
      </c>
      <c r="D3902" s="118" t="s">
        <v>411</v>
      </c>
      <c r="E3902" s="104">
        <v>46265</v>
      </c>
      <c r="F3902" s="105">
        <v>46266</v>
      </c>
      <c r="G3902" s="105">
        <v>46269</v>
      </c>
      <c r="H3902" s="170"/>
      <c r="I3902" s="106"/>
      <c r="J3902" s="107"/>
      <c r="K3902" s="107"/>
      <c r="L3902" s="107"/>
      <c r="M3902" s="107">
        <f t="shared" si="112"/>
        <v>0</v>
      </c>
      <c r="N3902" s="108" t="s">
        <v>718</v>
      </c>
    </row>
    <row r="3903" spans="2:14" ht="23.25" customHeight="1">
      <c r="B3903" s="103" t="s">
        <v>312</v>
      </c>
      <c r="C3903" s="121" t="s">
        <v>739</v>
      </c>
      <c r="D3903" s="103" t="s">
        <v>411</v>
      </c>
      <c r="E3903" s="104">
        <v>46265</v>
      </c>
      <c r="F3903" s="105">
        <v>46266</v>
      </c>
      <c r="G3903" s="105">
        <v>46269</v>
      </c>
      <c r="H3903" s="170"/>
      <c r="I3903" s="106"/>
      <c r="J3903" s="107"/>
      <c r="K3903" s="107"/>
      <c r="L3903" s="107"/>
      <c r="M3903" s="107">
        <f t="shared" ref="M3903:M3934" si="113">J3903+L3903</f>
        <v>0</v>
      </c>
      <c r="N3903" s="108" t="s">
        <v>718</v>
      </c>
    </row>
    <row r="3904" spans="2:14" ht="23.25" customHeight="1">
      <c r="B3904" s="103" t="s">
        <v>190</v>
      </c>
      <c r="C3904" s="122" t="s">
        <v>740</v>
      </c>
      <c r="D3904" s="103" t="s">
        <v>411</v>
      </c>
      <c r="E3904" s="104">
        <v>46265</v>
      </c>
      <c r="F3904" s="105">
        <v>46266</v>
      </c>
      <c r="G3904" s="105">
        <v>46269</v>
      </c>
      <c r="H3904" s="120"/>
      <c r="I3904" s="106"/>
      <c r="J3904" s="107"/>
      <c r="K3904" s="107"/>
      <c r="L3904" s="107"/>
      <c r="M3904" s="107">
        <f t="shared" si="113"/>
        <v>0</v>
      </c>
      <c r="N3904" s="108" t="s">
        <v>718</v>
      </c>
    </row>
    <row r="3905" spans="2:14" ht="23.25" customHeight="1">
      <c r="B3905" s="103" t="s">
        <v>198</v>
      </c>
      <c r="C3905" s="119" t="s">
        <v>741</v>
      </c>
      <c r="D3905" s="118" t="s">
        <v>411</v>
      </c>
      <c r="E3905" s="104">
        <v>46265</v>
      </c>
      <c r="F3905" s="105">
        <v>46266</v>
      </c>
      <c r="G3905" s="105">
        <v>46269</v>
      </c>
      <c r="H3905" s="120"/>
      <c r="I3905" s="106"/>
      <c r="J3905" s="107"/>
      <c r="K3905" s="107"/>
      <c r="L3905" s="107"/>
      <c r="M3905" s="107">
        <f t="shared" si="113"/>
        <v>0</v>
      </c>
      <c r="N3905" s="108" t="s">
        <v>718</v>
      </c>
    </row>
    <row r="3906" spans="2:14" ht="23.25" customHeight="1">
      <c r="B3906" s="103" t="s">
        <v>313</v>
      </c>
      <c r="C3906" s="121" t="s">
        <v>884</v>
      </c>
      <c r="D3906" s="103" t="s">
        <v>411</v>
      </c>
      <c r="E3906" s="104">
        <v>46265</v>
      </c>
      <c r="F3906" s="105">
        <v>46266</v>
      </c>
      <c r="G3906" s="105">
        <v>46269</v>
      </c>
      <c r="H3906" s="174"/>
      <c r="I3906" s="106"/>
      <c r="J3906" s="107"/>
      <c r="K3906" s="107"/>
      <c r="L3906" s="107"/>
      <c r="M3906" s="107">
        <f t="shared" si="113"/>
        <v>0</v>
      </c>
      <c r="N3906" s="108" t="s">
        <v>718</v>
      </c>
    </row>
    <row r="3907" spans="2:14" ht="23.25" customHeight="1">
      <c r="B3907" s="109" t="s">
        <v>745</v>
      </c>
      <c r="C3907" s="110" t="s">
        <v>746</v>
      </c>
      <c r="D3907" s="109" t="s">
        <v>412</v>
      </c>
      <c r="E3907" s="179">
        <v>46272</v>
      </c>
      <c r="F3907" s="179" t="s">
        <v>1012</v>
      </c>
      <c r="G3907" s="179" t="s">
        <v>1013</v>
      </c>
      <c r="H3907" s="112"/>
      <c r="I3907" s="113"/>
      <c r="J3907" s="113"/>
      <c r="K3907" s="113"/>
      <c r="L3907" s="107"/>
      <c r="M3907" s="114">
        <f t="shared" si="113"/>
        <v>0</v>
      </c>
      <c r="N3907" s="109" t="s">
        <v>288</v>
      </c>
    </row>
    <row r="3908" spans="2:14" ht="23.25" customHeight="1">
      <c r="B3908" s="109" t="s">
        <v>747</v>
      </c>
      <c r="C3908" s="110" t="s">
        <v>748</v>
      </c>
      <c r="D3908" s="109" t="s">
        <v>412</v>
      </c>
      <c r="E3908" s="179">
        <v>46272</v>
      </c>
      <c r="F3908" s="179" t="s">
        <v>1012</v>
      </c>
      <c r="G3908" s="179" t="s">
        <v>1013</v>
      </c>
      <c r="H3908" s="112"/>
      <c r="I3908" s="113"/>
      <c r="J3908" s="113"/>
      <c r="K3908" s="113"/>
      <c r="L3908" s="107"/>
      <c r="M3908" s="114">
        <f t="shared" si="113"/>
        <v>0</v>
      </c>
      <c r="N3908" s="109" t="s">
        <v>288</v>
      </c>
    </row>
    <row r="3909" spans="2:14" ht="23.25" customHeight="1">
      <c r="B3909" s="109" t="s">
        <v>749</v>
      </c>
      <c r="C3909" s="110" t="s">
        <v>750</v>
      </c>
      <c r="D3909" s="109" t="s">
        <v>412</v>
      </c>
      <c r="E3909" s="179">
        <v>46272</v>
      </c>
      <c r="F3909" s="179" t="s">
        <v>1012</v>
      </c>
      <c r="G3909" s="179" t="s">
        <v>1013</v>
      </c>
      <c r="H3909" s="112"/>
      <c r="I3909" s="113"/>
      <c r="J3909" s="113"/>
      <c r="K3909" s="113"/>
      <c r="L3909" s="107"/>
      <c r="M3909" s="114">
        <f t="shared" si="113"/>
        <v>0</v>
      </c>
      <c r="N3909" s="109" t="s">
        <v>288</v>
      </c>
    </row>
    <row r="3910" spans="2:14" ht="23.25" customHeight="1">
      <c r="B3910" s="109" t="s">
        <v>272</v>
      </c>
      <c r="C3910" s="110" t="s">
        <v>431</v>
      </c>
      <c r="D3910" s="109" t="s">
        <v>412</v>
      </c>
      <c r="E3910" s="179">
        <v>46272</v>
      </c>
      <c r="F3910" s="179" t="s">
        <v>1012</v>
      </c>
      <c r="G3910" s="179" t="s">
        <v>1013</v>
      </c>
      <c r="H3910" s="112"/>
      <c r="I3910" s="113"/>
      <c r="J3910" s="113"/>
      <c r="K3910" s="113"/>
      <c r="L3910" s="107"/>
      <c r="M3910" s="114">
        <f t="shared" si="113"/>
        <v>0</v>
      </c>
      <c r="N3910" s="109" t="s">
        <v>288</v>
      </c>
    </row>
    <row r="3911" spans="2:14" ht="23.25" customHeight="1">
      <c r="B3911" s="109" t="s">
        <v>273</v>
      </c>
      <c r="C3911" s="110" t="s">
        <v>343</v>
      </c>
      <c r="D3911" s="109" t="s">
        <v>412</v>
      </c>
      <c r="E3911" s="179">
        <v>46272</v>
      </c>
      <c r="F3911" s="179" t="s">
        <v>1012</v>
      </c>
      <c r="G3911" s="179" t="s">
        <v>1013</v>
      </c>
      <c r="H3911" s="112"/>
      <c r="I3911" s="113"/>
      <c r="J3911" s="113"/>
      <c r="K3911" s="113"/>
      <c r="L3911" s="107"/>
      <c r="M3911" s="114">
        <f t="shared" si="113"/>
        <v>0</v>
      </c>
      <c r="N3911" s="109" t="s">
        <v>288</v>
      </c>
    </row>
    <row r="3912" spans="2:14" ht="23.25" customHeight="1">
      <c r="B3912" s="109" t="s">
        <v>274</v>
      </c>
      <c r="C3912" s="110" t="s">
        <v>432</v>
      </c>
      <c r="D3912" s="109" t="s">
        <v>412</v>
      </c>
      <c r="E3912" s="179">
        <v>46272</v>
      </c>
      <c r="F3912" s="179" t="s">
        <v>1012</v>
      </c>
      <c r="G3912" s="179" t="s">
        <v>1013</v>
      </c>
      <c r="H3912" s="112"/>
      <c r="I3912" s="113"/>
      <c r="J3912" s="113"/>
      <c r="K3912" s="113"/>
      <c r="L3912" s="107"/>
      <c r="M3912" s="114">
        <f t="shared" si="113"/>
        <v>0</v>
      </c>
      <c r="N3912" s="109" t="s">
        <v>288</v>
      </c>
    </row>
    <row r="3913" spans="2:14" ht="23.25" customHeight="1">
      <c r="B3913" s="109" t="s">
        <v>275</v>
      </c>
      <c r="C3913" s="110" t="s">
        <v>418</v>
      </c>
      <c r="D3913" s="109" t="s">
        <v>412</v>
      </c>
      <c r="E3913" s="179">
        <v>46272</v>
      </c>
      <c r="F3913" s="179" t="s">
        <v>1012</v>
      </c>
      <c r="G3913" s="179" t="s">
        <v>1013</v>
      </c>
      <c r="H3913" s="112"/>
      <c r="I3913" s="113"/>
      <c r="J3913" s="113"/>
      <c r="K3913" s="113"/>
      <c r="L3913" s="107"/>
      <c r="M3913" s="114">
        <f t="shared" si="113"/>
        <v>0</v>
      </c>
      <c r="N3913" s="109" t="s">
        <v>288</v>
      </c>
    </row>
    <row r="3914" spans="2:14" ht="23.25" customHeight="1">
      <c r="B3914" s="109" t="s">
        <v>276</v>
      </c>
      <c r="C3914" s="110" t="s">
        <v>419</v>
      </c>
      <c r="D3914" s="109" t="s">
        <v>412</v>
      </c>
      <c r="E3914" s="179">
        <v>46272</v>
      </c>
      <c r="F3914" s="179" t="s">
        <v>1012</v>
      </c>
      <c r="G3914" s="179" t="s">
        <v>1013</v>
      </c>
      <c r="H3914" s="112"/>
      <c r="I3914" s="113"/>
      <c r="J3914" s="113"/>
      <c r="K3914" s="113"/>
      <c r="L3914" s="107"/>
      <c r="M3914" s="114">
        <f t="shared" si="113"/>
        <v>0</v>
      </c>
      <c r="N3914" s="109" t="s">
        <v>288</v>
      </c>
    </row>
    <row r="3915" spans="2:14" ht="23.25" customHeight="1">
      <c r="B3915" s="109" t="s">
        <v>696</v>
      </c>
      <c r="C3915" s="110" t="s">
        <v>695</v>
      </c>
      <c r="D3915" s="109" t="s">
        <v>412</v>
      </c>
      <c r="E3915" s="179">
        <v>46272</v>
      </c>
      <c r="F3915" s="179" t="s">
        <v>1012</v>
      </c>
      <c r="G3915" s="179" t="s">
        <v>1013</v>
      </c>
      <c r="H3915" s="112"/>
      <c r="I3915" s="113"/>
      <c r="J3915" s="113"/>
      <c r="K3915" s="113"/>
      <c r="L3915" s="107"/>
      <c r="M3915" s="114">
        <f t="shared" si="113"/>
        <v>0</v>
      </c>
      <c r="N3915" s="109" t="s">
        <v>288</v>
      </c>
    </row>
    <row r="3916" spans="2:14" ht="23.25" customHeight="1">
      <c r="B3916" s="109" t="s">
        <v>280</v>
      </c>
      <c r="C3916" s="110" t="s">
        <v>385</v>
      </c>
      <c r="D3916" s="109" t="s">
        <v>412</v>
      </c>
      <c r="E3916" s="179">
        <v>46272</v>
      </c>
      <c r="F3916" s="179" t="s">
        <v>1012</v>
      </c>
      <c r="G3916" s="179" t="s">
        <v>1013</v>
      </c>
      <c r="H3916" s="112"/>
      <c r="I3916" s="113"/>
      <c r="J3916" s="113"/>
      <c r="K3916" s="113"/>
      <c r="L3916" s="107"/>
      <c r="M3916" s="114">
        <f t="shared" si="113"/>
        <v>0</v>
      </c>
      <c r="N3916" s="109" t="s">
        <v>288</v>
      </c>
    </row>
    <row r="3917" spans="2:14" ht="23.25" customHeight="1">
      <c r="B3917" s="109" t="s">
        <v>281</v>
      </c>
      <c r="C3917" s="110" t="s">
        <v>433</v>
      </c>
      <c r="D3917" s="109" t="s">
        <v>412</v>
      </c>
      <c r="E3917" s="179">
        <v>46272</v>
      </c>
      <c r="F3917" s="179" t="s">
        <v>1012</v>
      </c>
      <c r="G3917" s="179" t="s">
        <v>1013</v>
      </c>
      <c r="H3917" s="112"/>
      <c r="I3917" s="113"/>
      <c r="J3917" s="113"/>
      <c r="K3917" s="113"/>
      <c r="L3917" s="107"/>
      <c r="M3917" s="114">
        <f t="shared" si="113"/>
        <v>0</v>
      </c>
      <c r="N3917" s="109" t="s">
        <v>288</v>
      </c>
    </row>
    <row r="3918" spans="2:14" ht="23.25" customHeight="1">
      <c r="B3918" s="109" t="s">
        <v>282</v>
      </c>
      <c r="C3918" s="110" t="s">
        <v>878</v>
      </c>
      <c r="D3918" s="109" t="s">
        <v>412</v>
      </c>
      <c r="E3918" s="179">
        <v>46272</v>
      </c>
      <c r="F3918" s="179" t="s">
        <v>1012</v>
      </c>
      <c r="G3918" s="179" t="s">
        <v>1013</v>
      </c>
      <c r="H3918" s="112"/>
      <c r="I3918" s="113"/>
      <c r="J3918" s="113"/>
      <c r="K3918" s="113"/>
      <c r="L3918" s="107"/>
      <c r="M3918" s="114">
        <f t="shared" si="113"/>
        <v>0</v>
      </c>
      <c r="N3918" s="109" t="s">
        <v>288</v>
      </c>
    </row>
    <row r="3919" spans="2:14" ht="23.25" customHeight="1">
      <c r="B3919" s="109" t="s">
        <v>283</v>
      </c>
      <c r="C3919" s="110" t="s">
        <v>879</v>
      </c>
      <c r="D3919" s="109" t="s">
        <v>412</v>
      </c>
      <c r="E3919" s="179">
        <v>46272</v>
      </c>
      <c r="F3919" s="179" t="s">
        <v>1012</v>
      </c>
      <c r="G3919" s="179" t="s">
        <v>1013</v>
      </c>
      <c r="H3919" s="112"/>
      <c r="I3919" s="113"/>
      <c r="J3919" s="113"/>
      <c r="K3919" s="113"/>
      <c r="L3919" s="107"/>
      <c r="M3919" s="114">
        <f t="shared" si="113"/>
        <v>0</v>
      </c>
      <c r="N3919" s="109" t="s">
        <v>288</v>
      </c>
    </row>
    <row r="3920" spans="2:14" ht="23.25" customHeight="1">
      <c r="B3920" s="109" t="s">
        <v>284</v>
      </c>
      <c r="C3920" s="110" t="s">
        <v>880</v>
      </c>
      <c r="D3920" s="109" t="s">
        <v>412</v>
      </c>
      <c r="E3920" s="179">
        <v>46272</v>
      </c>
      <c r="F3920" s="179" t="s">
        <v>1012</v>
      </c>
      <c r="G3920" s="179" t="s">
        <v>1013</v>
      </c>
      <c r="H3920" s="112"/>
      <c r="I3920" s="113"/>
      <c r="J3920" s="113"/>
      <c r="K3920" s="113"/>
      <c r="L3920" s="107"/>
      <c r="M3920" s="114">
        <f t="shared" si="113"/>
        <v>0</v>
      </c>
      <c r="N3920" s="109" t="s">
        <v>288</v>
      </c>
    </row>
    <row r="3921" spans="2:14" ht="23.25" customHeight="1">
      <c r="B3921" s="109" t="s">
        <v>285</v>
      </c>
      <c r="C3921" s="110" t="s">
        <v>881</v>
      </c>
      <c r="D3921" s="109" t="s">
        <v>412</v>
      </c>
      <c r="E3921" s="179">
        <v>46272</v>
      </c>
      <c r="F3921" s="179" t="s">
        <v>1012</v>
      </c>
      <c r="G3921" s="179" t="s">
        <v>1013</v>
      </c>
      <c r="H3921" s="112"/>
      <c r="I3921" s="113"/>
      <c r="J3921" s="113"/>
      <c r="K3921" s="113"/>
      <c r="L3921" s="107"/>
      <c r="M3921" s="114">
        <f t="shared" si="113"/>
        <v>0</v>
      </c>
      <c r="N3921" s="109" t="s">
        <v>288</v>
      </c>
    </row>
    <row r="3922" spans="2:14" ht="23.25" customHeight="1">
      <c r="B3922" s="109" t="s">
        <v>286</v>
      </c>
      <c r="C3922" s="110" t="s">
        <v>882</v>
      </c>
      <c r="D3922" s="109" t="s">
        <v>412</v>
      </c>
      <c r="E3922" s="179">
        <v>46272</v>
      </c>
      <c r="F3922" s="179" t="s">
        <v>1012</v>
      </c>
      <c r="G3922" s="179" t="s">
        <v>1013</v>
      </c>
      <c r="H3922" s="112"/>
      <c r="I3922" s="113"/>
      <c r="J3922" s="113"/>
      <c r="K3922" s="113"/>
      <c r="L3922" s="107"/>
      <c r="M3922" s="114">
        <f t="shared" si="113"/>
        <v>0</v>
      </c>
      <c r="N3922" s="109" t="s">
        <v>288</v>
      </c>
    </row>
    <row r="3923" spans="2:14" ht="23.25" customHeight="1">
      <c r="B3923" s="109" t="s">
        <v>277</v>
      </c>
      <c r="C3923" s="110" t="s">
        <v>468</v>
      </c>
      <c r="D3923" s="109" t="s">
        <v>412</v>
      </c>
      <c r="E3923" s="179">
        <v>46272</v>
      </c>
      <c r="F3923" s="179" t="s">
        <v>1012</v>
      </c>
      <c r="G3923" s="179" t="s">
        <v>1013</v>
      </c>
      <c r="H3923" s="112"/>
      <c r="I3923" s="113"/>
      <c r="J3923" s="113"/>
      <c r="K3923" s="113"/>
      <c r="L3923" s="107"/>
      <c r="M3923" s="114">
        <f t="shared" si="113"/>
        <v>0</v>
      </c>
      <c r="N3923" s="109" t="s">
        <v>288</v>
      </c>
    </row>
    <row r="3924" spans="2:14" ht="23.25" customHeight="1">
      <c r="B3924" s="109" t="s">
        <v>278</v>
      </c>
      <c r="C3924" s="110" t="s">
        <v>469</v>
      </c>
      <c r="D3924" s="109" t="s">
        <v>412</v>
      </c>
      <c r="E3924" s="179">
        <v>46272</v>
      </c>
      <c r="F3924" s="179" t="s">
        <v>1012</v>
      </c>
      <c r="G3924" s="179" t="s">
        <v>1013</v>
      </c>
      <c r="H3924" s="112"/>
      <c r="I3924" s="113"/>
      <c r="J3924" s="113"/>
      <c r="K3924" s="113"/>
      <c r="L3924" s="107"/>
      <c r="M3924" s="114">
        <f t="shared" si="113"/>
        <v>0</v>
      </c>
      <c r="N3924" s="109" t="s">
        <v>288</v>
      </c>
    </row>
    <row r="3925" spans="2:14" ht="23.25" customHeight="1">
      <c r="B3925" s="109" t="s">
        <v>279</v>
      </c>
      <c r="C3925" s="110" t="s">
        <v>470</v>
      </c>
      <c r="D3925" s="109" t="s">
        <v>412</v>
      </c>
      <c r="E3925" s="179">
        <v>46272</v>
      </c>
      <c r="F3925" s="179" t="s">
        <v>1012</v>
      </c>
      <c r="G3925" s="179" t="s">
        <v>1013</v>
      </c>
      <c r="H3925" s="112"/>
      <c r="I3925" s="113"/>
      <c r="J3925" s="113"/>
      <c r="K3925" s="113"/>
      <c r="L3925" s="107"/>
      <c r="M3925" s="114">
        <f t="shared" si="113"/>
        <v>0</v>
      </c>
      <c r="N3925" s="109" t="s">
        <v>288</v>
      </c>
    </row>
    <row r="3926" spans="2:14" ht="23.25" customHeight="1">
      <c r="B3926" s="109" t="s">
        <v>334</v>
      </c>
      <c r="C3926" s="110" t="s">
        <v>1000</v>
      </c>
      <c r="D3926" s="109" t="s">
        <v>412</v>
      </c>
      <c r="E3926" s="179">
        <v>46272</v>
      </c>
      <c r="F3926" s="179" t="s">
        <v>1012</v>
      </c>
      <c r="G3926" s="179" t="s">
        <v>1013</v>
      </c>
      <c r="H3926" s="112"/>
      <c r="I3926" s="113"/>
      <c r="J3926" s="113"/>
      <c r="K3926" s="113"/>
      <c r="L3926" s="107"/>
      <c r="M3926" s="114">
        <f t="shared" si="113"/>
        <v>0</v>
      </c>
      <c r="N3926" s="109" t="s">
        <v>288</v>
      </c>
    </row>
    <row r="3927" spans="2:14" ht="23.25" customHeight="1">
      <c r="B3927" s="109" t="s">
        <v>333</v>
      </c>
      <c r="C3927" s="110" t="s">
        <v>1001</v>
      </c>
      <c r="D3927" s="109" t="s">
        <v>412</v>
      </c>
      <c r="E3927" s="179">
        <v>46272</v>
      </c>
      <c r="F3927" s="179" t="s">
        <v>1012</v>
      </c>
      <c r="G3927" s="179" t="s">
        <v>1013</v>
      </c>
      <c r="H3927" s="112"/>
      <c r="I3927" s="113"/>
      <c r="J3927" s="113"/>
      <c r="K3927" s="113"/>
      <c r="L3927" s="107"/>
      <c r="M3927" s="114">
        <f t="shared" si="113"/>
        <v>0</v>
      </c>
      <c r="N3927" s="109" t="s">
        <v>288</v>
      </c>
    </row>
    <row r="3928" spans="2:14" ht="23.25" customHeight="1">
      <c r="B3928" s="103" t="s">
        <v>174</v>
      </c>
      <c r="C3928" s="119" t="s">
        <v>382</v>
      </c>
      <c r="D3928" s="118" t="s">
        <v>410</v>
      </c>
      <c r="E3928" s="104">
        <v>46294</v>
      </c>
      <c r="F3928" s="105">
        <v>46295</v>
      </c>
      <c r="G3928" s="105">
        <v>46300</v>
      </c>
      <c r="H3928" s="120"/>
      <c r="I3928" s="107"/>
      <c r="J3928" s="107"/>
      <c r="K3928" s="107"/>
      <c r="L3928" s="107"/>
      <c r="M3928" s="107">
        <f t="shared" si="113"/>
        <v>0</v>
      </c>
      <c r="N3928" s="108" t="s">
        <v>247</v>
      </c>
    </row>
    <row r="3929" spans="2:14" ht="23.25" customHeight="1">
      <c r="B3929" s="103" t="s">
        <v>176</v>
      </c>
      <c r="C3929" s="119" t="s">
        <v>877</v>
      </c>
      <c r="D3929" s="118" t="s">
        <v>410</v>
      </c>
      <c r="E3929" s="104">
        <v>46294</v>
      </c>
      <c r="F3929" s="105">
        <v>46295</v>
      </c>
      <c r="G3929" s="105">
        <v>46300</v>
      </c>
      <c r="H3929" s="120"/>
      <c r="I3929" s="107"/>
      <c r="J3929" s="107"/>
      <c r="K3929" s="107"/>
      <c r="L3929" s="107"/>
      <c r="M3929" s="107">
        <f t="shared" si="113"/>
        <v>0</v>
      </c>
      <c r="N3929" s="108" t="s">
        <v>247</v>
      </c>
    </row>
    <row r="3930" spans="2:14" ht="23.25" customHeight="1">
      <c r="B3930" s="103" t="s">
        <v>175</v>
      </c>
      <c r="C3930" s="119" t="s">
        <v>465</v>
      </c>
      <c r="D3930" s="118" t="s">
        <v>410</v>
      </c>
      <c r="E3930" s="104">
        <v>46294</v>
      </c>
      <c r="F3930" s="105">
        <v>46295</v>
      </c>
      <c r="G3930" s="105">
        <v>46300</v>
      </c>
      <c r="H3930" s="120"/>
      <c r="I3930" s="107"/>
      <c r="J3930" s="107"/>
      <c r="K3930" s="107"/>
      <c r="L3930" s="107"/>
      <c r="M3930" s="107">
        <f t="shared" si="113"/>
        <v>0</v>
      </c>
      <c r="N3930" s="108" t="s">
        <v>247</v>
      </c>
    </row>
    <row r="3931" spans="2:14" ht="23.25" customHeight="1">
      <c r="B3931" s="103" t="s">
        <v>310</v>
      </c>
      <c r="C3931" s="121" t="s">
        <v>719</v>
      </c>
      <c r="D3931" s="103" t="s">
        <v>411</v>
      </c>
      <c r="E3931" s="104">
        <v>46295</v>
      </c>
      <c r="F3931" s="105">
        <v>46296</v>
      </c>
      <c r="G3931" s="105">
        <v>46301</v>
      </c>
      <c r="H3931" s="120"/>
      <c r="I3931" s="106"/>
      <c r="J3931" s="107"/>
      <c r="K3931" s="107"/>
      <c r="L3931" s="107"/>
      <c r="M3931" s="107">
        <f t="shared" si="113"/>
        <v>0</v>
      </c>
      <c r="N3931" s="108" t="s">
        <v>718</v>
      </c>
    </row>
    <row r="3932" spans="2:14" ht="23.25" customHeight="1">
      <c r="B3932" s="103" t="s">
        <v>188</v>
      </c>
      <c r="C3932" s="122" t="s">
        <v>720</v>
      </c>
      <c r="D3932" s="103" t="s">
        <v>411</v>
      </c>
      <c r="E3932" s="104">
        <v>46295</v>
      </c>
      <c r="F3932" s="105">
        <v>46296</v>
      </c>
      <c r="G3932" s="105">
        <v>46301</v>
      </c>
      <c r="H3932" s="120"/>
      <c r="I3932" s="106"/>
      <c r="J3932" s="107"/>
      <c r="K3932" s="107"/>
      <c r="L3932" s="107"/>
      <c r="M3932" s="107">
        <f t="shared" si="113"/>
        <v>0</v>
      </c>
      <c r="N3932" s="108" t="s">
        <v>718</v>
      </c>
    </row>
    <row r="3933" spans="2:14" ht="23.25" customHeight="1">
      <c r="B3933" s="103" t="s">
        <v>196</v>
      </c>
      <c r="C3933" s="119" t="s">
        <v>721</v>
      </c>
      <c r="D3933" s="118" t="s">
        <v>411</v>
      </c>
      <c r="E3933" s="104">
        <v>46295</v>
      </c>
      <c r="F3933" s="105">
        <v>46296</v>
      </c>
      <c r="G3933" s="105">
        <v>46301</v>
      </c>
      <c r="H3933" s="120"/>
      <c r="I3933" s="106"/>
      <c r="J3933" s="107"/>
      <c r="K3933" s="107"/>
      <c r="L3933" s="107"/>
      <c r="M3933" s="107">
        <f t="shared" si="113"/>
        <v>0</v>
      </c>
      <c r="N3933" s="108" t="s">
        <v>718</v>
      </c>
    </row>
    <row r="3934" spans="2:14" ht="23.25" customHeight="1">
      <c r="B3934" s="103" t="s">
        <v>191</v>
      </c>
      <c r="C3934" s="122" t="s">
        <v>722</v>
      </c>
      <c r="D3934" s="103" t="s">
        <v>411</v>
      </c>
      <c r="E3934" s="104">
        <v>46295</v>
      </c>
      <c r="F3934" s="105">
        <v>46296</v>
      </c>
      <c r="G3934" s="105">
        <v>46301</v>
      </c>
      <c r="H3934" s="120"/>
      <c r="I3934" s="106"/>
      <c r="J3934" s="107"/>
      <c r="K3934" s="107"/>
      <c r="L3934" s="107"/>
      <c r="M3934" s="107">
        <f t="shared" si="113"/>
        <v>0</v>
      </c>
      <c r="N3934" s="108" t="s">
        <v>718</v>
      </c>
    </row>
    <row r="3935" spans="2:14" ht="23.25" customHeight="1">
      <c r="B3935" s="103" t="s">
        <v>199</v>
      </c>
      <c r="C3935" s="119" t="s">
        <v>723</v>
      </c>
      <c r="D3935" s="118" t="s">
        <v>411</v>
      </c>
      <c r="E3935" s="104">
        <v>46295</v>
      </c>
      <c r="F3935" s="105">
        <v>46296</v>
      </c>
      <c r="G3935" s="105">
        <v>46301</v>
      </c>
      <c r="H3935" s="120"/>
      <c r="I3935" s="106"/>
      <c r="J3935" s="107"/>
      <c r="K3935" s="107"/>
      <c r="L3935" s="107"/>
      <c r="M3935" s="107">
        <f t="shared" ref="M3935:M3954" si="114">J3935+L3935</f>
        <v>0</v>
      </c>
      <c r="N3935" s="108" t="s">
        <v>718</v>
      </c>
    </row>
    <row r="3936" spans="2:14" ht="23.25" customHeight="1">
      <c r="B3936" s="103" t="s">
        <v>306</v>
      </c>
      <c r="C3936" s="121" t="s">
        <v>724</v>
      </c>
      <c r="D3936" s="103" t="s">
        <v>411</v>
      </c>
      <c r="E3936" s="104">
        <v>46295</v>
      </c>
      <c r="F3936" s="105">
        <v>46296</v>
      </c>
      <c r="G3936" s="105">
        <v>46301</v>
      </c>
      <c r="H3936" s="120"/>
      <c r="I3936" s="106"/>
      <c r="J3936" s="107"/>
      <c r="K3936" s="107"/>
      <c r="L3936" s="107"/>
      <c r="M3936" s="107">
        <f t="shared" si="114"/>
        <v>0</v>
      </c>
      <c r="N3936" s="108" t="s">
        <v>718</v>
      </c>
    </row>
    <row r="3937" spans="2:14" ht="23.25" customHeight="1">
      <c r="B3937" s="103" t="s">
        <v>184</v>
      </c>
      <c r="C3937" s="122" t="s">
        <v>725</v>
      </c>
      <c r="D3937" s="103" t="s">
        <v>411</v>
      </c>
      <c r="E3937" s="104">
        <v>46295</v>
      </c>
      <c r="F3937" s="105">
        <v>46296</v>
      </c>
      <c r="G3937" s="105">
        <v>46301</v>
      </c>
      <c r="H3937" s="120"/>
      <c r="I3937" s="106"/>
      <c r="J3937" s="107"/>
      <c r="K3937" s="107"/>
      <c r="L3937" s="107"/>
      <c r="M3937" s="107">
        <f t="shared" si="114"/>
        <v>0</v>
      </c>
      <c r="N3937" s="108" t="s">
        <v>718</v>
      </c>
    </row>
    <row r="3938" spans="2:14" ht="23.25" customHeight="1">
      <c r="B3938" s="103" t="s">
        <v>192</v>
      </c>
      <c r="C3938" s="119" t="s">
        <v>726</v>
      </c>
      <c r="D3938" s="118" t="s">
        <v>411</v>
      </c>
      <c r="E3938" s="104">
        <v>46295</v>
      </c>
      <c r="F3938" s="105">
        <v>46296</v>
      </c>
      <c r="G3938" s="105">
        <v>46301</v>
      </c>
      <c r="H3938" s="120"/>
      <c r="I3938" s="106"/>
      <c r="J3938" s="107"/>
      <c r="K3938" s="107"/>
      <c r="L3938" s="107"/>
      <c r="M3938" s="107">
        <f t="shared" si="114"/>
        <v>0</v>
      </c>
      <c r="N3938" s="108" t="s">
        <v>718</v>
      </c>
    </row>
    <row r="3939" spans="2:14" ht="23.25" customHeight="1">
      <c r="B3939" s="103" t="s">
        <v>311</v>
      </c>
      <c r="C3939" s="121" t="s">
        <v>727</v>
      </c>
      <c r="D3939" s="103" t="s">
        <v>411</v>
      </c>
      <c r="E3939" s="104">
        <v>46295</v>
      </c>
      <c r="F3939" s="105">
        <v>46296</v>
      </c>
      <c r="G3939" s="105">
        <v>46301</v>
      </c>
      <c r="H3939" s="120"/>
      <c r="I3939" s="106"/>
      <c r="J3939" s="107"/>
      <c r="K3939" s="107"/>
      <c r="L3939" s="107"/>
      <c r="M3939" s="107">
        <f t="shared" si="114"/>
        <v>0</v>
      </c>
      <c r="N3939" s="108" t="s">
        <v>718</v>
      </c>
    </row>
    <row r="3940" spans="2:14" ht="23.25" customHeight="1">
      <c r="B3940" s="103" t="s">
        <v>189</v>
      </c>
      <c r="C3940" s="122" t="s">
        <v>728</v>
      </c>
      <c r="D3940" s="103" t="s">
        <v>411</v>
      </c>
      <c r="E3940" s="104">
        <v>46295</v>
      </c>
      <c r="F3940" s="105">
        <v>46296</v>
      </c>
      <c r="G3940" s="105">
        <v>46301</v>
      </c>
      <c r="H3940" s="120"/>
      <c r="I3940" s="106"/>
      <c r="J3940" s="107"/>
      <c r="K3940" s="107"/>
      <c r="L3940" s="107"/>
      <c r="M3940" s="107">
        <f t="shared" si="114"/>
        <v>0</v>
      </c>
      <c r="N3940" s="108" t="s">
        <v>718</v>
      </c>
    </row>
    <row r="3941" spans="2:14" ht="23.25" customHeight="1">
      <c r="B3941" s="103" t="s">
        <v>197</v>
      </c>
      <c r="C3941" s="119" t="s">
        <v>729</v>
      </c>
      <c r="D3941" s="118" t="s">
        <v>411</v>
      </c>
      <c r="E3941" s="104">
        <v>46295</v>
      </c>
      <c r="F3941" s="105">
        <v>46296</v>
      </c>
      <c r="G3941" s="105">
        <v>46301</v>
      </c>
      <c r="H3941" s="120"/>
      <c r="I3941" s="106"/>
      <c r="J3941" s="107"/>
      <c r="K3941" s="107"/>
      <c r="L3941" s="107"/>
      <c r="M3941" s="107">
        <f t="shared" si="114"/>
        <v>0</v>
      </c>
      <c r="N3941" s="108" t="s">
        <v>718</v>
      </c>
    </row>
    <row r="3942" spans="2:14" ht="23.25" customHeight="1">
      <c r="B3942" s="103" t="s">
        <v>308</v>
      </c>
      <c r="C3942" s="121" t="s">
        <v>730</v>
      </c>
      <c r="D3942" s="103" t="s">
        <v>411</v>
      </c>
      <c r="E3942" s="104">
        <v>46295</v>
      </c>
      <c r="F3942" s="105">
        <v>46296</v>
      </c>
      <c r="G3942" s="105">
        <v>46301</v>
      </c>
      <c r="H3942" s="120"/>
      <c r="I3942" s="106"/>
      <c r="J3942" s="107"/>
      <c r="K3942" s="107"/>
      <c r="L3942" s="107"/>
      <c r="M3942" s="107">
        <f t="shared" si="114"/>
        <v>0</v>
      </c>
      <c r="N3942" s="108" t="s">
        <v>718</v>
      </c>
    </row>
    <row r="3943" spans="2:14" ht="23.25" customHeight="1">
      <c r="B3943" s="103" t="s">
        <v>186</v>
      </c>
      <c r="C3943" s="122" t="s">
        <v>731</v>
      </c>
      <c r="D3943" s="103" t="s">
        <v>411</v>
      </c>
      <c r="E3943" s="104">
        <v>46295</v>
      </c>
      <c r="F3943" s="105">
        <v>46296</v>
      </c>
      <c r="G3943" s="105">
        <v>46301</v>
      </c>
      <c r="H3943" s="120"/>
      <c r="I3943" s="106"/>
      <c r="J3943" s="107"/>
      <c r="K3943" s="107"/>
      <c r="L3943" s="107"/>
      <c r="M3943" s="107">
        <f t="shared" si="114"/>
        <v>0</v>
      </c>
      <c r="N3943" s="108" t="s">
        <v>718</v>
      </c>
    </row>
    <row r="3944" spans="2:14" ht="23.25" customHeight="1">
      <c r="B3944" s="103" t="s">
        <v>194</v>
      </c>
      <c r="C3944" s="119" t="s">
        <v>732</v>
      </c>
      <c r="D3944" s="118" t="s">
        <v>411</v>
      </c>
      <c r="E3944" s="104">
        <v>46295</v>
      </c>
      <c r="F3944" s="105">
        <v>46296</v>
      </c>
      <c r="G3944" s="105">
        <v>46301</v>
      </c>
      <c r="H3944" s="120"/>
      <c r="I3944" s="106"/>
      <c r="J3944" s="107"/>
      <c r="K3944" s="107"/>
      <c r="L3944" s="107"/>
      <c r="M3944" s="107">
        <f t="shared" si="114"/>
        <v>0</v>
      </c>
      <c r="N3944" s="108" t="s">
        <v>718</v>
      </c>
    </row>
    <row r="3945" spans="2:14" ht="23.25" customHeight="1">
      <c r="B3945" s="103" t="s">
        <v>307</v>
      </c>
      <c r="C3945" s="121" t="s">
        <v>983</v>
      </c>
      <c r="D3945" s="103" t="s">
        <v>411</v>
      </c>
      <c r="E3945" s="104">
        <v>46295</v>
      </c>
      <c r="F3945" s="105">
        <v>46296</v>
      </c>
      <c r="G3945" s="105">
        <v>46301</v>
      </c>
      <c r="H3945" s="120"/>
      <c r="I3945" s="106"/>
      <c r="J3945" s="107"/>
      <c r="K3945" s="107"/>
      <c r="L3945" s="107"/>
      <c r="M3945" s="107">
        <f t="shared" si="114"/>
        <v>0</v>
      </c>
      <c r="N3945" s="108" t="s">
        <v>718</v>
      </c>
    </row>
    <row r="3946" spans="2:14" ht="23.25" customHeight="1">
      <c r="B3946" s="103" t="s">
        <v>185</v>
      </c>
      <c r="C3946" s="122" t="s">
        <v>985</v>
      </c>
      <c r="D3946" s="103" t="s">
        <v>411</v>
      </c>
      <c r="E3946" s="104">
        <v>46295</v>
      </c>
      <c r="F3946" s="105">
        <v>46296</v>
      </c>
      <c r="G3946" s="105">
        <v>46301</v>
      </c>
      <c r="H3946" s="120"/>
      <c r="I3946" s="106"/>
      <c r="J3946" s="107"/>
      <c r="K3946" s="107"/>
      <c r="L3946" s="107"/>
      <c r="M3946" s="107">
        <f t="shared" si="114"/>
        <v>0</v>
      </c>
      <c r="N3946" s="108" t="s">
        <v>718</v>
      </c>
    </row>
    <row r="3947" spans="2:14" ht="23.25" customHeight="1">
      <c r="B3947" s="103" t="s">
        <v>193</v>
      </c>
      <c r="C3947" s="119" t="s">
        <v>984</v>
      </c>
      <c r="D3947" s="118" t="s">
        <v>411</v>
      </c>
      <c r="E3947" s="104">
        <v>46295</v>
      </c>
      <c r="F3947" s="105">
        <v>46296</v>
      </c>
      <c r="G3947" s="105">
        <v>46301</v>
      </c>
      <c r="H3947" s="120"/>
      <c r="I3947" s="106"/>
      <c r="J3947" s="107"/>
      <c r="K3947" s="107"/>
      <c r="L3947" s="107"/>
      <c r="M3947" s="107">
        <f t="shared" si="114"/>
        <v>0</v>
      </c>
      <c r="N3947" s="108" t="s">
        <v>718</v>
      </c>
    </row>
    <row r="3948" spans="2:14" ht="23.25" customHeight="1">
      <c r="B3948" s="103" t="s">
        <v>309</v>
      </c>
      <c r="C3948" s="121" t="s">
        <v>736</v>
      </c>
      <c r="D3948" s="103" t="s">
        <v>411</v>
      </c>
      <c r="E3948" s="104">
        <v>46295</v>
      </c>
      <c r="F3948" s="105">
        <v>46296</v>
      </c>
      <c r="G3948" s="105">
        <v>46301</v>
      </c>
      <c r="H3948" s="120"/>
      <c r="I3948" s="106"/>
      <c r="J3948" s="107"/>
      <c r="K3948" s="107"/>
      <c r="L3948" s="107"/>
      <c r="M3948" s="107">
        <f t="shared" si="114"/>
        <v>0</v>
      </c>
      <c r="N3948" s="108" t="s">
        <v>718</v>
      </c>
    </row>
    <row r="3949" spans="2:14" ht="23.25" customHeight="1">
      <c r="B3949" s="103" t="s">
        <v>187</v>
      </c>
      <c r="C3949" s="122" t="s">
        <v>737</v>
      </c>
      <c r="D3949" s="103" t="s">
        <v>411</v>
      </c>
      <c r="E3949" s="104">
        <v>46295</v>
      </c>
      <c r="F3949" s="105">
        <v>46296</v>
      </c>
      <c r="G3949" s="105">
        <v>46301</v>
      </c>
      <c r="H3949" s="120"/>
      <c r="I3949" s="106"/>
      <c r="J3949" s="107"/>
      <c r="K3949" s="107"/>
      <c r="L3949" s="107"/>
      <c r="M3949" s="107">
        <f t="shared" si="114"/>
        <v>0</v>
      </c>
      <c r="N3949" s="108" t="s">
        <v>718</v>
      </c>
    </row>
    <row r="3950" spans="2:14" ht="23.25" customHeight="1">
      <c r="B3950" s="103" t="s">
        <v>195</v>
      </c>
      <c r="C3950" s="119" t="s">
        <v>738</v>
      </c>
      <c r="D3950" s="118" t="s">
        <v>411</v>
      </c>
      <c r="E3950" s="104">
        <v>46295</v>
      </c>
      <c r="F3950" s="105">
        <v>46296</v>
      </c>
      <c r="G3950" s="105">
        <v>46301</v>
      </c>
      <c r="H3950" s="120"/>
      <c r="I3950" s="106"/>
      <c r="J3950" s="107"/>
      <c r="K3950" s="107"/>
      <c r="L3950" s="107"/>
      <c r="M3950" s="107">
        <f t="shared" si="114"/>
        <v>0</v>
      </c>
      <c r="N3950" s="108" t="s">
        <v>718</v>
      </c>
    </row>
    <row r="3951" spans="2:14" ht="23.25" customHeight="1">
      <c r="B3951" s="103" t="s">
        <v>312</v>
      </c>
      <c r="C3951" s="121" t="s">
        <v>739</v>
      </c>
      <c r="D3951" s="103" t="s">
        <v>411</v>
      </c>
      <c r="E3951" s="104">
        <v>46295</v>
      </c>
      <c r="F3951" s="105">
        <v>46296</v>
      </c>
      <c r="G3951" s="105">
        <v>46301</v>
      </c>
      <c r="H3951" s="120"/>
      <c r="I3951" s="106"/>
      <c r="J3951" s="107"/>
      <c r="K3951" s="107"/>
      <c r="L3951" s="107"/>
      <c r="M3951" s="107">
        <f t="shared" si="114"/>
        <v>0</v>
      </c>
      <c r="N3951" s="108" t="s">
        <v>718</v>
      </c>
    </row>
    <row r="3952" spans="2:14" ht="23.25" customHeight="1">
      <c r="B3952" s="103" t="s">
        <v>190</v>
      </c>
      <c r="C3952" s="122" t="s">
        <v>740</v>
      </c>
      <c r="D3952" s="103" t="s">
        <v>411</v>
      </c>
      <c r="E3952" s="104">
        <v>46295</v>
      </c>
      <c r="F3952" s="105">
        <v>46296</v>
      </c>
      <c r="G3952" s="105">
        <v>46301</v>
      </c>
      <c r="H3952" s="170"/>
      <c r="I3952" s="106"/>
      <c r="J3952" s="107"/>
      <c r="K3952" s="107"/>
      <c r="L3952" s="107"/>
      <c r="M3952" s="107">
        <f t="shared" si="114"/>
        <v>0</v>
      </c>
      <c r="N3952" s="108" t="s">
        <v>718</v>
      </c>
    </row>
    <row r="3953" spans="2:14" ht="23.25" customHeight="1">
      <c r="B3953" s="103" t="s">
        <v>198</v>
      </c>
      <c r="C3953" s="119" t="s">
        <v>741</v>
      </c>
      <c r="D3953" s="118" t="s">
        <v>411</v>
      </c>
      <c r="E3953" s="104">
        <v>46295</v>
      </c>
      <c r="F3953" s="105">
        <v>46296</v>
      </c>
      <c r="G3953" s="105">
        <v>46301</v>
      </c>
      <c r="H3953" s="170"/>
      <c r="I3953" s="106"/>
      <c r="J3953" s="107"/>
      <c r="K3953" s="107"/>
      <c r="L3953" s="107"/>
      <c r="M3953" s="107">
        <f t="shared" si="114"/>
        <v>0</v>
      </c>
      <c r="N3953" s="108" t="s">
        <v>718</v>
      </c>
    </row>
    <row r="3954" spans="2:14" ht="23.25" customHeight="1">
      <c r="B3954" s="103" t="s">
        <v>313</v>
      </c>
      <c r="C3954" s="121" t="s">
        <v>884</v>
      </c>
      <c r="D3954" s="103" t="s">
        <v>411</v>
      </c>
      <c r="E3954" s="104">
        <v>46295</v>
      </c>
      <c r="F3954" s="105">
        <v>46296</v>
      </c>
      <c r="G3954" s="105">
        <v>46301</v>
      </c>
      <c r="H3954" s="174"/>
      <c r="I3954" s="106"/>
      <c r="J3954" s="107"/>
      <c r="K3954" s="107"/>
      <c r="L3954" s="107"/>
      <c r="M3954" s="107">
        <f t="shared" si="114"/>
        <v>0</v>
      </c>
      <c r="N3954" s="108" t="s">
        <v>718</v>
      </c>
    </row>
    <row r="3955" spans="2:14" ht="23.25" customHeight="1">
      <c r="B3955" s="103" t="s">
        <v>298</v>
      </c>
      <c r="C3955" s="121" t="s">
        <v>403</v>
      </c>
      <c r="D3955" s="103" t="s">
        <v>410</v>
      </c>
      <c r="E3955" s="104">
        <v>46295</v>
      </c>
      <c r="F3955" s="105">
        <v>46296</v>
      </c>
      <c r="G3955" s="105">
        <v>46301</v>
      </c>
      <c r="H3955" s="120"/>
      <c r="I3955" s="107"/>
      <c r="J3955" s="107"/>
      <c r="K3955" s="107"/>
      <c r="L3955" s="107"/>
      <c r="M3955" s="107">
        <v>0</v>
      </c>
      <c r="N3955" s="108" t="s">
        <v>248</v>
      </c>
    </row>
    <row r="3956" spans="2:14" ht="23.25" customHeight="1">
      <c r="B3956" s="103" t="s">
        <v>181</v>
      </c>
      <c r="C3956" s="122" t="s">
        <v>335</v>
      </c>
      <c r="D3956" s="103" t="s">
        <v>410</v>
      </c>
      <c r="E3956" s="104">
        <v>46295</v>
      </c>
      <c r="F3956" s="105">
        <v>46296</v>
      </c>
      <c r="G3956" s="105">
        <v>46301</v>
      </c>
      <c r="H3956" s="120"/>
      <c r="I3956" s="107"/>
      <c r="J3956" s="107"/>
      <c r="K3956" s="107"/>
      <c r="L3956" s="107"/>
      <c r="M3956" s="107">
        <v>0</v>
      </c>
      <c r="N3956" s="108" t="s">
        <v>248</v>
      </c>
    </row>
    <row r="3957" spans="2:14" ht="23.25" customHeight="1">
      <c r="B3957" s="103" t="s">
        <v>201</v>
      </c>
      <c r="C3957" s="119" t="s">
        <v>336</v>
      </c>
      <c r="D3957" s="103" t="s">
        <v>410</v>
      </c>
      <c r="E3957" s="104">
        <v>46295</v>
      </c>
      <c r="F3957" s="105">
        <v>46296</v>
      </c>
      <c r="G3957" s="105">
        <v>46301</v>
      </c>
      <c r="H3957" s="120"/>
      <c r="I3957" s="107"/>
      <c r="J3957" s="107"/>
      <c r="K3957" s="107"/>
      <c r="L3957" s="107"/>
      <c r="M3957" s="107">
        <v>0</v>
      </c>
      <c r="N3957" s="108" t="s">
        <v>248</v>
      </c>
    </row>
    <row r="3958" spans="2:14" ht="23.25" customHeight="1">
      <c r="B3958" s="103" t="s">
        <v>138</v>
      </c>
      <c r="C3958" s="121" t="s">
        <v>337</v>
      </c>
      <c r="D3958" s="103" t="s">
        <v>410</v>
      </c>
      <c r="E3958" s="104">
        <v>46295</v>
      </c>
      <c r="F3958" s="105">
        <v>46296</v>
      </c>
      <c r="G3958" s="105">
        <v>46301</v>
      </c>
      <c r="H3958" s="120"/>
      <c r="I3958" s="107"/>
      <c r="J3958" s="107"/>
      <c r="K3958" s="107"/>
      <c r="L3958" s="107"/>
      <c r="M3958" s="107">
        <v>0</v>
      </c>
      <c r="N3958" s="108" t="s">
        <v>248</v>
      </c>
    </row>
    <row r="3959" spans="2:14" ht="23.25" customHeight="1">
      <c r="B3959" s="103" t="s">
        <v>160</v>
      </c>
      <c r="C3959" s="122" t="s">
        <v>338</v>
      </c>
      <c r="D3959" s="103" t="s">
        <v>410</v>
      </c>
      <c r="E3959" s="104">
        <v>46295</v>
      </c>
      <c r="F3959" s="105">
        <v>46296</v>
      </c>
      <c r="G3959" s="105">
        <v>46301</v>
      </c>
      <c r="H3959" s="120"/>
      <c r="I3959" s="107"/>
      <c r="J3959" s="107"/>
      <c r="K3959" s="107"/>
      <c r="L3959" s="107"/>
      <c r="M3959" s="107">
        <v>0</v>
      </c>
      <c r="N3959" s="108" t="s">
        <v>248</v>
      </c>
    </row>
    <row r="3960" spans="2:14" ht="23.25" customHeight="1">
      <c r="B3960" s="103" t="s">
        <v>300</v>
      </c>
      <c r="C3960" s="121" t="s">
        <v>404</v>
      </c>
      <c r="D3960" s="103" t="s">
        <v>410</v>
      </c>
      <c r="E3960" s="104">
        <v>46295</v>
      </c>
      <c r="F3960" s="105">
        <v>46296</v>
      </c>
      <c r="G3960" s="105">
        <v>46301</v>
      </c>
      <c r="H3960" s="120"/>
      <c r="I3960" s="107"/>
      <c r="J3960" s="107"/>
      <c r="K3960" s="107"/>
      <c r="L3960" s="107"/>
      <c r="M3960" s="107">
        <v>0</v>
      </c>
      <c r="N3960" s="108" t="s">
        <v>248</v>
      </c>
    </row>
    <row r="3961" spans="2:14" ht="23.25" customHeight="1">
      <c r="B3961" s="103" t="s">
        <v>142</v>
      </c>
      <c r="C3961" s="121" t="s">
        <v>341</v>
      </c>
      <c r="D3961" s="103" t="s">
        <v>410</v>
      </c>
      <c r="E3961" s="104">
        <v>46295</v>
      </c>
      <c r="F3961" s="105">
        <v>46296</v>
      </c>
      <c r="G3961" s="105">
        <v>46301</v>
      </c>
      <c r="H3961" s="120"/>
      <c r="I3961" s="107"/>
      <c r="J3961" s="107"/>
      <c r="K3961" s="107"/>
      <c r="L3961" s="107"/>
      <c r="M3961" s="107">
        <v>0</v>
      </c>
      <c r="N3961" s="108" t="s">
        <v>248</v>
      </c>
    </row>
    <row r="3962" spans="2:14" ht="23.25" customHeight="1">
      <c r="B3962" s="103" t="s">
        <v>159</v>
      </c>
      <c r="C3962" s="122" t="s">
        <v>342</v>
      </c>
      <c r="D3962" s="103" t="s">
        <v>410</v>
      </c>
      <c r="E3962" s="104">
        <v>46295</v>
      </c>
      <c r="F3962" s="105">
        <v>46296</v>
      </c>
      <c r="G3962" s="105">
        <v>46301</v>
      </c>
      <c r="H3962" s="120"/>
      <c r="I3962" s="107"/>
      <c r="J3962" s="107"/>
      <c r="K3962" s="107"/>
      <c r="L3962" s="107"/>
      <c r="M3962" s="107">
        <v>0</v>
      </c>
      <c r="N3962" s="108" t="s">
        <v>248</v>
      </c>
    </row>
    <row r="3963" spans="2:14" ht="23.25" customHeight="1">
      <c r="B3963" s="103" t="s">
        <v>507</v>
      </c>
      <c r="C3963" s="122" t="s">
        <v>508</v>
      </c>
      <c r="D3963" s="103" t="s">
        <v>410</v>
      </c>
      <c r="E3963" s="104">
        <v>46295</v>
      </c>
      <c r="F3963" s="105">
        <v>46296</v>
      </c>
      <c r="G3963" s="105">
        <v>46301</v>
      </c>
      <c r="H3963" s="120"/>
      <c r="I3963" s="107"/>
      <c r="J3963" s="107"/>
      <c r="K3963" s="107"/>
      <c r="L3963" s="107"/>
      <c r="M3963" s="107">
        <v>0</v>
      </c>
      <c r="N3963" s="118" t="s">
        <v>248</v>
      </c>
    </row>
    <row r="3964" spans="2:14" ht="23.25" customHeight="1">
      <c r="B3964" s="103" t="s">
        <v>139</v>
      </c>
      <c r="C3964" s="121" t="s">
        <v>344</v>
      </c>
      <c r="D3964" s="103" t="s">
        <v>410</v>
      </c>
      <c r="E3964" s="104">
        <v>46295</v>
      </c>
      <c r="F3964" s="105">
        <v>46296</v>
      </c>
      <c r="G3964" s="105">
        <v>46301</v>
      </c>
      <c r="H3964" s="120"/>
      <c r="I3964" s="107"/>
      <c r="J3964" s="107"/>
      <c r="K3964" s="107"/>
      <c r="L3964" s="107"/>
      <c r="M3964" s="107">
        <v>0</v>
      </c>
      <c r="N3964" s="108" t="s">
        <v>248</v>
      </c>
    </row>
    <row r="3965" spans="2:14" ht="23.25" customHeight="1">
      <c r="B3965" s="103" t="s">
        <v>161</v>
      </c>
      <c r="C3965" s="122" t="s">
        <v>345</v>
      </c>
      <c r="D3965" s="103" t="s">
        <v>410</v>
      </c>
      <c r="E3965" s="104">
        <v>46295</v>
      </c>
      <c r="F3965" s="105">
        <v>46296</v>
      </c>
      <c r="G3965" s="105">
        <v>46301</v>
      </c>
      <c r="H3965" s="120"/>
      <c r="I3965" s="107"/>
      <c r="J3965" s="107"/>
      <c r="K3965" s="107"/>
      <c r="L3965" s="107"/>
      <c r="M3965" s="107">
        <v>0</v>
      </c>
      <c r="N3965" s="108" t="s">
        <v>248</v>
      </c>
    </row>
    <row r="3966" spans="2:14" ht="23.25" customHeight="1">
      <c r="B3966" s="103" t="s">
        <v>141</v>
      </c>
      <c r="C3966" s="121" t="s">
        <v>348</v>
      </c>
      <c r="D3966" s="103" t="s">
        <v>410</v>
      </c>
      <c r="E3966" s="104">
        <v>46295</v>
      </c>
      <c r="F3966" s="105">
        <v>46296</v>
      </c>
      <c r="G3966" s="105">
        <v>46301</v>
      </c>
      <c r="H3966" s="120"/>
      <c r="I3966" s="107"/>
      <c r="J3966" s="107"/>
      <c r="K3966" s="107"/>
      <c r="L3966" s="107"/>
      <c r="M3966" s="107">
        <v>0</v>
      </c>
      <c r="N3966" s="108" t="s">
        <v>248</v>
      </c>
    </row>
    <row r="3967" spans="2:14" ht="23.25" customHeight="1">
      <c r="B3967" s="103" t="s">
        <v>140</v>
      </c>
      <c r="C3967" s="121" t="s">
        <v>349</v>
      </c>
      <c r="D3967" s="103" t="s">
        <v>410</v>
      </c>
      <c r="E3967" s="104">
        <v>46295</v>
      </c>
      <c r="F3967" s="105">
        <v>46296</v>
      </c>
      <c r="G3967" s="105">
        <v>46301</v>
      </c>
      <c r="H3967" s="120"/>
      <c r="I3967" s="107"/>
      <c r="J3967" s="107"/>
      <c r="K3967" s="107"/>
      <c r="L3967" s="107"/>
      <c r="M3967" s="107">
        <v>0</v>
      </c>
      <c r="N3967" s="108" t="s">
        <v>248</v>
      </c>
    </row>
    <row r="3968" spans="2:14" ht="23.25" customHeight="1">
      <c r="B3968" s="103" t="s">
        <v>162</v>
      </c>
      <c r="C3968" s="122" t="s">
        <v>350</v>
      </c>
      <c r="D3968" s="103" t="s">
        <v>410</v>
      </c>
      <c r="E3968" s="104">
        <v>46295</v>
      </c>
      <c r="F3968" s="105">
        <v>46296</v>
      </c>
      <c r="G3968" s="105">
        <v>46301</v>
      </c>
      <c r="H3968" s="120"/>
      <c r="I3968" s="107"/>
      <c r="J3968" s="107"/>
      <c r="K3968" s="107"/>
      <c r="L3968" s="107"/>
      <c r="M3968" s="107">
        <v>0</v>
      </c>
      <c r="N3968" s="108" t="s">
        <v>248</v>
      </c>
    </row>
    <row r="3969" spans="2:14" ht="23.25" customHeight="1">
      <c r="B3969" s="103" t="s">
        <v>302</v>
      </c>
      <c r="C3969" s="121" t="s">
        <v>405</v>
      </c>
      <c r="D3969" s="103" t="s">
        <v>410</v>
      </c>
      <c r="E3969" s="104">
        <v>46295</v>
      </c>
      <c r="F3969" s="105">
        <v>46296</v>
      </c>
      <c r="G3969" s="105">
        <v>46301</v>
      </c>
      <c r="H3969" s="120"/>
      <c r="I3969" s="107"/>
      <c r="J3969" s="107"/>
      <c r="K3969" s="107"/>
      <c r="L3969" s="107"/>
      <c r="M3969" s="107">
        <v>0</v>
      </c>
      <c r="N3969" s="108" t="s">
        <v>248</v>
      </c>
    </row>
    <row r="3970" spans="2:14" ht="23.25" customHeight="1">
      <c r="B3970" s="103" t="s">
        <v>303</v>
      </c>
      <c r="C3970" s="121" t="s">
        <v>406</v>
      </c>
      <c r="D3970" s="103" t="s">
        <v>410</v>
      </c>
      <c r="E3970" s="104">
        <v>46295</v>
      </c>
      <c r="F3970" s="105">
        <v>46296</v>
      </c>
      <c r="G3970" s="105">
        <v>46301</v>
      </c>
      <c r="H3970" s="120"/>
      <c r="I3970" s="107"/>
      <c r="J3970" s="107"/>
      <c r="K3970" s="107"/>
      <c r="L3970" s="107"/>
      <c r="M3970" s="107">
        <v>0</v>
      </c>
      <c r="N3970" s="108" t="s">
        <v>248</v>
      </c>
    </row>
    <row r="3971" spans="2:14" ht="23.25" customHeight="1">
      <c r="B3971" s="103" t="s">
        <v>143</v>
      </c>
      <c r="C3971" s="121" t="s">
        <v>351</v>
      </c>
      <c r="D3971" s="103" t="s">
        <v>410</v>
      </c>
      <c r="E3971" s="104">
        <v>46295</v>
      </c>
      <c r="F3971" s="105">
        <v>46296</v>
      </c>
      <c r="G3971" s="105">
        <v>46301</v>
      </c>
      <c r="H3971" s="120"/>
      <c r="I3971" s="107"/>
      <c r="J3971" s="107"/>
      <c r="K3971" s="107"/>
      <c r="L3971" s="107"/>
      <c r="M3971" s="107">
        <v>0</v>
      </c>
      <c r="N3971" s="108" t="s">
        <v>248</v>
      </c>
    </row>
    <row r="3972" spans="2:14" ht="23.25" customHeight="1">
      <c r="B3972" s="103" t="s">
        <v>145</v>
      </c>
      <c r="C3972" s="121" t="s">
        <v>974</v>
      </c>
      <c r="D3972" s="103" t="s">
        <v>410</v>
      </c>
      <c r="E3972" s="104">
        <v>46295</v>
      </c>
      <c r="F3972" s="105">
        <v>46296</v>
      </c>
      <c r="G3972" s="105">
        <v>46301</v>
      </c>
      <c r="H3972" s="120"/>
      <c r="I3972" s="107"/>
      <c r="J3972" s="107"/>
      <c r="K3972" s="107"/>
      <c r="L3972" s="107"/>
      <c r="M3972" s="107">
        <v>0</v>
      </c>
      <c r="N3972" s="108" t="s">
        <v>248</v>
      </c>
    </row>
    <row r="3973" spans="2:14" ht="23.25" customHeight="1">
      <c r="B3973" s="103" t="s">
        <v>144</v>
      </c>
      <c r="C3973" s="121" t="s">
        <v>973</v>
      </c>
      <c r="D3973" s="103" t="s">
        <v>410</v>
      </c>
      <c r="E3973" s="104">
        <v>46295</v>
      </c>
      <c r="F3973" s="105">
        <v>46296</v>
      </c>
      <c r="G3973" s="105">
        <v>46301</v>
      </c>
      <c r="H3973" s="120"/>
      <c r="I3973" s="107"/>
      <c r="J3973" s="107"/>
      <c r="K3973" s="107"/>
      <c r="L3973" s="107"/>
      <c r="M3973" s="107">
        <v>0</v>
      </c>
      <c r="N3973" s="108" t="s">
        <v>248</v>
      </c>
    </row>
    <row r="3974" spans="2:14" ht="23.25" customHeight="1">
      <c r="B3974" s="103" t="s">
        <v>148</v>
      </c>
      <c r="C3974" s="121" t="s">
        <v>362</v>
      </c>
      <c r="D3974" s="103" t="s">
        <v>410</v>
      </c>
      <c r="E3974" s="104">
        <v>46295</v>
      </c>
      <c r="F3974" s="105">
        <v>46296</v>
      </c>
      <c r="G3974" s="105">
        <v>46301</v>
      </c>
      <c r="H3974" s="120"/>
      <c r="I3974" s="107"/>
      <c r="J3974" s="107"/>
      <c r="K3974" s="107"/>
      <c r="L3974" s="107"/>
      <c r="M3974" s="107">
        <v>0</v>
      </c>
      <c r="N3974" s="108" t="s">
        <v>248</v>
      </c>
    </row>
    <row r="3975" spans="2:14" ht="23.25" customHeight="1">
      <c r="B3975" s="103" t="s">
        <v>200</v>
      </c>
      <c r="C3975" s="119" t="s">
        <v>365</v>
      </c>
      <c r="D3975" s="103" t="s">
        <v>410</v>
      </c>
      <c r="E3975" s="104">
        <v>46295</v>
      </c>
      <c r="F3975" s="105">
        <v>46296</v>
      </c>
      <c r="G3975" s="105">
        <v>46301</v>
      </c>
      <c r="H3975" s="120"/>
      <c r="I3975" s="107"/>
      <c r="J3975" s="107"/>
      <c r="K3975" s="107"/>
      <c r="L3975" s="107"/>
      <c r="M3975" s="107">
        <v>0</v>
      </c>
      <c r="N3975" s="108" t="s">
        <v>248</v>
      </c>
    </row>
    <row r="3976" spans="2:14" ht="23.25" customHeight="1">
      <c r="B3976" s="103" t="s">
        <v>173</v>
      </c>
      <c r="C3976" s="119" t="s">
        <v>372</v>
      </c>
      <c r="D3976" s="103" t="s">
        <v>410</v>
      </c>
      <c r="E3976" s="104">
        <v>46295</v>
      </c>
      <c r="F3976" s="105">
        <v>46296</v>
      </c>
      <c r="G3976" s="105">
        <v>46301</v>
      </c>
      <c r="H3976" s="120"/>
      <c r="I3976" s="107"/>
      <c r="J3976" s="107"/>
      <c r="K3976" s="107"/>
      <c r="L3976" s="107"/>
      <c r="M3976" s="107">
        <v>0</v>
      </c>
      <c r="N3976" s="108" t="s">
        <v>248</v>
      </c>
    </row>
    <row r="3977" spans="2:14" ht="23.25" customHeight="1">
      <c r="B3977" s="103" t="s">
        <v>150</v>
      </c>
      <c r="C3977" s="121" t="s">
        <v>377</v>
      </c>
      <c r="D3977" s="103" t="s">
        <v>410</v>
      </c>
      <c r="E3977" s="104">
        <v>46295</v>
      </c>
      <c r="F3977" s="105">
        <v>46296</v>
      </c>
      <c r="G3977" s="105">
        <v>46301</v>
      </c>
      <c r="H3977" s="120"/>
      <c r="I3977" s="107"/>
      <c r="J3977" s="107"/>
      <c r="K3977" s="107"/>
      <c r="L3977" s="107"/>
      <c r="M3977" s="107">
        <v>0</v>
      </c>
      <c r="N3977" s="108" t="s">
        <v>248</v>
      </c>
    </row>
    <row r="3978" spans="2:14" ht="23.25" customHeight="1">
      <c r="B3978" s="103" t="s">
        <v>510</v>
      </c>
      <c r="C3978" s="121" t="s">
        <v>509</v>
      </c>
      <c r="D3978" s="103" t="s">
        <v>410</v>
      </c>
      <c r="E3978" s="104">
        <v>46295</v>
      </c>
      <c r="F3978" s="105">
        <v>46296</v>
      </c>
      <c r="G3978" s="105">
        <v>46301</v>
      </c>
      <c r="H3978" s="120"/>
      <c r="I3978" s="107"/>
      <c r="J3978" s="107"/>
      <c r="K3978" s="107"/>
      <c r="L3978" s="107"/>
      <c r="M3978" s="107">
        <v>0</v>
      </c>
      <c r="N3978" s="108" t="s">
        <v>248</v>
      </c>
    </row>
    <row r="3979" spans="2:14" ht="23.25" customHeight="1">
      <c r="B3979" s="103" t="s">
        <v>441</v>
      </c>
      <c r="C3979" s="121" t="s">
        <v>978</v>
      </c>
      <c r="D3979" s="103" t="s">
        <v>410</v>
      </c>
      <c r="E3979" s="104">
        <v>46295</v>
      </c>
      <c r="F3979" s="105">
        <v>46296</v>
      </c>
      <c r="G3979" s="105">
        <v>46301</v>
      </c>
      <c r="H3979" s="120"/>
      <c r="I3979" s="107"/>
      <c r="J3979" s="107"/>
      <c r="K3979" s="107"/>
      <c r="L3979" s="107"/>
      <c r="M3979" s="107">
        <v>0</v>
      </c>
      <c r="N3979" s="108" t="s">
        <v>248</v>
      </c>
    </row>
    <row r="3980" spans="2:14" ht="23.25" customHeight="1">
      <c r="B3980" s="103" t="s">
        <v>440</v>
      </c>
      <c r="C3980" s="121" t="s">
        <v>977</v>
      </c>
      <c r="D3980" s="103" t="s">
        <v>410</v>
      </c>
      <c r="E3980" s="104">
        <v>46295</v>
      </c>
      <c r="F3980" s="105">
        <v>46296</v>
      </c>
      <c r="G3980" s="105">
        <v>46301</v>
      </c>
      <c r="H3980" s="120"/>
      <c r="I3980" s="107"/>
      <c r="J3980" s="107"/>
      <c r="K3980" s="107"/>
      <c r="L3980" s="107"/>
      <c r="M3980" s="107">
        <v>0</v>
      </c>
      <c r="N3980" s="108" t="s">
        <v>248</v>
      </c>
    </row>
    <row r="3981" spans="2:14" ht="23.25" customHeight="1">
      <c r="B3981" s="103" t="s">
        <v>299</v>
      </c>
      <c r="C3981" s="121" t="s">
        <v>517</v>
      </c>
      <c r="D3981" s="103" t="s">
        <v>410</v>
      </c>
      <c r="E3981" s="104">
        <v>46295</v>
      </c>
      <c r="F3981" s="105">
        <v>46296</v>
      </c>
      <c r="G3981" s="105">
        <v>46301</v>
      </c>
      <c r="H3981" s="120"/>
      <c r="I3981" s="107"/>
      <c r="J3981" s="107"/>
      <c r="K3981" s="107"/>
      <c r="L3981" s="107"/>
      <c r="M3981" s="107">
        <v>0</v>
      </c>
      <c r="N3981" s="108" t="s">
        <v>248</v>
      </c>
    </row>
    <row r="3982" spans="2:14" ht="23.25" customHeight="1">
      <c r="B3982" s="103" t="s">
        <v>182</v>
      </c>
      <c r="C3982" s="122" t="s">
        <v>477</v>
      </c>
      <c r="D3982" s="103" t="s">
        <v>410</v>
      </c>
      <c r="E3982" s="104">
        <v>46295</v>
      </c>
      <c r="F3982" s="105">
        <v>46296</v>
      </c>
      <c r="G3982" s="105">
        <v>46301</v>
      </c>
      <c r="H3982" s="120"/>
      <c r="I3982" s="107"/>
      <c r="J3982" s="107"/>
      <c r="K3982" s="107"/>
      <c r="L3982" s="107"/>
      <c r="M3982" s="107">
        <v>0</v>
      </c>
      <c r="N3982" s="108" t="s">
        <v>248</v>
      </c>
    </row>
    <row r="3983" spans="2:14" ht="23.25" customHeight="1">
      <c r="B3983" s="103" t="s">
        <v>202</v>
      </c>
      <c r="C3983" s="119" t="s">
        <v>478</v>
      </c>
      <c r="D3983" s="103" t="s">
        <v>410</v>
      </c>
      <c r="E3983" s="104">
        <v>46295</v>
      </c>
      <c r="F3983" s="105">
        <v>46296</v>
      </c>
      <c r="G3983" s="105">
        <v>46301</v>
      </c>
      <c r="H3983" s="120"/>
      <c r="I3983" s="107"/>
      <c r="J3983" s="107"/>
      <c r="K3983" s="107"/>
      <c r="L3983" s="107"/>
      <c r="M3983" s="107">
        <v>0</v>
      </c>
      <c r="N3983" s="108" t="s">
        <v>248</v>
      </c>
    </row>
    <row r="3984" spans="2:14" ht="23.25" customHeight="1">
      <c r="B3984" s="103" t="s">
        <v>146</v>
      </c>
      <c r="C3984" s="121" t="s">
        <v>380</v>
      </c>
      <c r="D3984" s="103" t="s">
        <v>410</v>
      </c>
      <c r="E3984" s="104">
        <v>46295</v>
      </c>
      <c r="F3984" s="105">
        <v>46296</v>
      </c>
      <c r="G3984" s="105">
        <v>46301</v>
      </c>
      <c r="H3984" s="120"/>
      <c r="I3984" s="107"/>
      <c r="J3984" s="107"/>
      <c r="K3984" s="107"/>
      <c r="L3984" s="107"/>
      <c r="M3984" s="107">
        <v>0</v>
      </c>
      <c r="N3984" s="108" t="s">
        <v>248</v>
      </c>
    </row>
    <row r="3985" spans="2:14" ht="23.25" customHeight="1">
      <c r="B3985" s="103" t="s">
        <v>163</v>
      </c>
      <c r="C3985" s="122" t="s">
        <v>381</v>
      </c>
      <c r="D3985" s="103" t="s">
        <v>410</v>
      </c>
      <c r="E3985" s="104">
        <v>46295</v>
      </c>
      <c r="F3985" s="105">
        <v>46296</v>
      </c>
      <c r="G3985" s="105">
        <v>46301</v>
      </c>
      <c r="H3985" s="120"/>
      <c r="I3985" s="107"/>
      <c r="J3985" s="107"/>
      <c r="K3985" s="107"/>
      <c r="L3985" s="107"/>
      <c r="M3985" s="107">
        <v>0</v>
      </c>
      <c r="N3985" s="108" t="s">
        <v>248</v>
      </c>
    </row>
    <row r="3986" spans="2:14" ht="23.25" customHeight="1">
      <c r="B3986" s="103" t="s">
        <v>151</v>
      </c>
      <c r="C3986" s="121" t="s">
        <v>383</v>
      </c>
      <c r="D3986" s="103" t="s">
        <v>410</v>
      </c>
      <c r="E3986" s="104">
        <v>46295</v>
      </c>
      <c r="F3986" s="105">
        <v>46296</v>
      </c>
      <c r="G3986" s="105">
        <v>46301</v>
      </c>
      <c r="H3986" s="120"/>
      <c r="I3986" s="107"/>
      <c r="J3986" s="107"/>
      <c r="K3986" s="107"/>
      <c r="L3986" s="107"/>
      <c r="M3986" s="107">
        <v>0</v>
      </c>
      <c r="N3986" s="108" t="s">
        <v>248</v>
      </c>
    </row>
    <row r="3987" spans="2:14" ht="23.25" customHeight="1">
      <c r="B3987" s="103" t="s">
        <v>166</v>
      </c>
      <c r="C3987" s="122" t="s">
        <v>384</v>
      </c>
      <c r="D3987" s="103" t="s">
        <v>410</v>
      </c>
      <c r="E3987" s="104">
        <v>46295</v>
      </c>
      <c r="F3987" s="105">
        <v>46296</v>
      </c>
      <c r="G3987" s="105">
        <v>46301</v>
      </c>
      <c r="H3987" s="120"/>
      <c r="I3987" s="107"/>
      <c r="J3987" s="107"/>
      <c r="K3987" s="107"/>
      <c r="L3987" s="107"/>
      <c r="M3987" s="107">
        <v>0</v>
      </c>
      <c r="N3987" s="108" t="s">
        <v>248</v>
      </c>
    </row>
    <row r="3988" spans="2:14" ht="23.25" customHeight="1">
      <c r="B3988" s="103" t="s">
        <v>149</v>
      </c>
      <c r="C3988" s="121" t="s">
        <v>386</v>
      </c>
      <c r="D3988" s="103" t="s">
        <v>410</v>
      </c>
      <c r="E3988" s="104">
        <v>46295</v>
      </c>
      <c r="F3988" s="105">
        <v>46296</v>
      </c>
      <c r="G3988" s="105">
        <v>46301</v>
      </c>
      <c r="H3988" s="120"/>
      <c r="I3988" s="107"/>
      <c r="J3988" s="107"/>
      <c r="K3988" s="107"/>
      <c r="L3988" s="107"/>
      <c r="M3988" s="107">
        <v>0</v>
      </c>
      <c r="N3988" s="108" t="s">
        <v>248</v>
      </c>
    </row>
    <row r="3989" spans="2:14" ht="23.25" customHeight="1">
      <c r="B3989" s="103" t="s">
        <v>165</v>
      </c>
      <c r="C3989" s="122" t="s">
        <v>387</v>
      </c>
      <c r="D3989" s="103" t="s">
        <v>410</v>
      </c>
      <c r="E3989" s="104">
        <v>46295</v>
      </c>
      <c r="F3989" s="105">
        <v>46296</v>
      </c>
      <c r="G3989" s="105">
        <v>46301</v>
      </c>
      <c r="H3989" s="120"/>
      <c r="I3989" s="107"/>
      <c r="J3989" s="107"/>
      <c r="K3989" s="107"/>
      <c r="L3989" s="107"/>
      <c r="M3989" s="107">
        <v>0</v>
      </c>
      <c r="N3989" s="108" t="s">
        <v>248</v>
      </c>
    </row>
    <row r="3990" spans="2:14" ht="23.25" customHeight="1">
      <c r="B3990" s="103" t="s">
        <v>153</v>
      </c>
      <c r="C3990" s="121" t="s">
        <v>873</v>
      </c>
      <c r="D3990" s="103" t="s">
        <v>410</v>
      </c>
      <c r="E3990" s="104">
        <v>46295</v>
      </c>
      <c r="F3990" s="105">
        <v>46296</v>
      </c>
      <c r="G3990" s="105">
        <v>46301</v>
      </c>
      <c r="H3990" s="174"/>
      <c r="I3990" s="107"/>
      <c r="J3990" s="107"/>
      <c r="K3990" s="107"/>
      <c r="L3990" s="107"/>
      <c r="M3990" s="107">
        <v>0</v>
      </c>
      <c r="N3990" s="108" t="s">
        <v>248</v>
      </c>
    </row>
    <row r="3991" spans="2:14" ht="23.25" customHeight="1">
      <c r="B3991" s="103" t="s">
        <v>152</v>
      </c>
      <c r="C3991" s="121" t="s">
        <v>874</v>
      </c>
      <c r="D3991" s="103" t="s">
        <v>410</v>
      </c>
      <c r="E3991" s="104">
        <v>46295</v>
      </c>
      <c r="F3991" s="105">
        <v>46296</v>
      </c>
      <c r="G3991" s="105">
        <v>46301</v>
      </c>
      <c r="H3991" s="174"/>
      <c r="I3991" s="107"/>
      <c r="J3991" s="107"/>
      <c r="K3991" s="107"/>
      <c r="L3991" s="107"/>
      <c r="M3991" s="107">
        <v>0</v>
      </c>
      <c r="N3991" s="108" t="s">
        <v>248</v>
      </c>
    </row>
    <row r="3992" spans="2:14" ht="23.25" customHeight="1">
      <c r="B3992" s="103" t="s">
        <v>167</v>
      </c>
      <c r="C3992" s="122" t="s">
        <v>875</v>
      </c>
      <c r="D3992" s="103" t="s">
        <v>410</v>
      </c>
      <c r="E3992" s="104">
        <v>46295</v>
      </c>
      <c r="F3992" s="105">
        <v>46296</v>
      </c>
      <c r="G3992" s="105">
        <v>46301</v>
      </c>
      <c r="H3992" s="174"/>
      <c r="I3992" s="107"/>
      <c r="J3992" s="107"/>
      <c r="K3992" s="107"/>
      <c r="L3992" s="107"/>
      <c r="M3992" s="107">
        <v>0</v>
      </c>
      <c r="N3992" s="108" t="s">
        <v>248</v>
      </c>
    </row>
    <row r="3993" spans="2:14" ht="23.25" customHeight="1">
      <c r="B3993" s="103" t="s">
        <v>301</v>
      </c>
      <c r="C3993" s="121" t="s">
        <v>876</v>
      </c>
      <c r="D3993" s="103" t="s">
        <v>410</v>
      </c>
      <c r="E3993" s="104">
        <v>46295</v>
      </c>
      <c r="F3993" s="105">
        <v>46296</v>
      </c>
      <c r="G3993" s="105">
        <v>46301</v>
      </c>
      <c r="H3993" s="174"/>
      <c r="I3993" s="107"/>
      <c r="J3993" s="107"/>
      <c r="K3993" s="107"/>
      <c r="L3993" s="107"/>
      <c r="M3993" s="107">
        <v>0</v>
      </c>
      <c r="N3993" s="108" t="s">
        <v>248</v>
      </c>
    </row>
    <row r="3994" spans="2:14" ht="23.25" customHeight="1">
      <c r="B3994" s="103" t="s">
        <v>304</v>
      </c>
      <c r="C3994" s="121" t="s">
        <v>885</v>
      </c>
      <c r="D3994" s="103" t="s">
        <v>410</v>
      </c>
      <c r="E3994" s="104">
        <v>46295</v>
      </c>
      <c r="F3994" s="105">
        <v>46296</v>
      </c>
      <c r="G3994" s="105">
        <v>46301</v>
      </c>
      <c r="H3994" s="174"/>
      <c r="I3994" s="107"/>
      <c r="J3994" s="107"/>
      <c r="K3994" s="107"/>
      <c r="L3994" s="107"/>
      <c r="M3994" s="107">
        <v>0</v>
      </c>
      <c r="N3994" s="108" t="s">
        <v>248</v>
      </c>
    </row>
    <row r="3995" spans="2:14" ht="23.25" customHeight="1">
      <c r="B3995" s="103" t="s">
        <v>183</v>
      </c>
      <c r="C3995" s="122" t="s">
        <v>886</v>
      </c>
      <c r="D3995" s="103" t="s">
        <v>410</v>
      </c>
      <c r="E3995" s="104">
        <v>46295</v>
      </c>
      <c r="F3995" s="105">
        <v>46296</v>
      </c>
      <c r="G3995" s="105">
        <v>46301</v>
      </c>
      <c r="H3995" s="174"/>
      <c r="I3995" s="107"/>
      <c r="J3995" s="107"/>
      <c r="K3995" s="107"/>
      <c r="L3995" s="107"/>
      <c r="M3995" s="107">
        <v>0</v>
      </c>
      <c r="N3995" s="108" t="s">
        <v>248</v>
      </c>
    </row>
    <row r="3996" spans="2:14" ht="23.25" customHeight="1">
      <c r="B3996" s="103" t="s">
        <v>305</v>
      </c>
      <c r="C3996" s="121" t="s">
        <v>887</v>
      </c>
      <c r="D3996" s="103" t="s">
        <v>410</v>
      </c>
      <c r="E3996" s="104">
        <v>46295</v>
      </c>
      <c r="F3996" s="105">
        <v>46296</v>
      </c>
      <c r="G3996" s="105">
        <v>46301</v>
      </c>
      <c r="H3996" s="174"/>
      <c r="I3996" s="107"/>
      <c r="J3996" s="107"/>
      <c r="K3996" s="107"/>
      <c r="L3996" s="107"/>
      <c r="M3996" s="107">
        <v>0</v>
      </c>
      <c r="N3996" s="108" t="s">
        <v>248</v>
      </c>
    </row>
    <row r="3997" spans="2:14" ht="23.25" customHeight="1">
      <c r="B3997" s="103" t="s">
        <v>147</v>
      </c>
      <c r="C3997" s="121" t="s">
        <v>466</v>
      </c>
      <c r="D3997" s="103" t="s">
        <v>410</v>
      </c>
      <c r="E3997" s="104">
        <v>46295</v>
      </c>
      <c r="F3997" s="105">
        <v>46296</v>
      </c>
      <c r="G3997" s="105">
        <v>46301</v>
      </c>
      <c r="H3997" s="120"/>
      <c r="I3997" s="107"/>
      <c r="J3997" s="107"/>
      <c r="K3997" s="107"/>
      <c r="L3997" s="107"/>
      <c r="M3997" s="107">
        <v>0</v>
      </c>
      <c r="N3997" s="108" t="s">
        <v>248</v>
      </c>
    </row>
    <row r="3998" spans="2:14" ht="23.25" customHeight="1">
      <c r="B3998" s="103" t="s">
        <v>164</v>
      </c>
      <c r="C3998" s="122" t="s">
        <v>467</v>
      </c>
      <c r="D3998" s="103" t="s">
        <v>410</v>
      </c>
      <c r="E3998" s="104">
        <v>46295</v>
      </c>
      <c r="F3998" s="105">
        <v>46296</v>
      </c>
      <c r="G3998" s="105">
        <v>46301</v>
      </c>
      <c r="H3998" s="120"/>
      <c r="I3998" s="107"/>
      <c r="J3998" s="107"/>
      <c r="K3998" s="107"/>
      <c r="L3998" s="107"/>
      <c r="M3998" s="107">
        <v>0</v>
      </c>
      <c r="N3998" s="108" t="s">
        <v>248</v>
      </c>
    </row>
    <row r="3999" spans="2:14" ht="23.25" customHeight="1">
      <c r="B3999" s="103" t="s">
        <v>1006</v>
      </c>
      <c r="C3999" s="122" t="s">
        <v>1014</v>
      </c>
      <c r="D3999" s="103" t="s">
        <v>410</v>
      </c>
      <c r="E3999" s="104">
        <v>46295</v>
      </c>
      <c r="F3999" s="105">
        <v>46296</v>
      </c>
      <c r="G3999" s="105">
        <v>46301</v>
      </c>
      <c r="H3999" s="120"/>
      <c r="I3999" s="107"/>
      <c r="J3999" s="107"/>
      <c r="K3999" s="107"/>
      <c r="L3999" s="107"/>
      <c r="M3999" s="107">
        <v>0</v>
      </c>
      <c r="N3999" s="108" t="s">
        <v>248</v>
      </c>
    </row>
    <row r="4000" spans="2:14" ht="23.25" customHeight="1">
      <c r="B4000" s="103" t="s">
        <v>1007</v>
      </c>
      <c r="C4000" s="122" t="s">
        <v>1015</v>
      </c>
      <c r="D4000" s="103" t="s">
        <v>410</v>
      </c>
      <c r="E4000" s="104">
        <v>46295</v>
      </c>
      <c r="F4000" s="105">
        <v>46296</v>
      </c>
      <c r="G4000" s="105">
        <v>46301</v>
      </c>
      <c r="H4000" s="120"/>
      <c r="I4000" s="107"/>
      <c r="J4000" s="107"/>
      <c r="K4000" s="107"/>
      <c r="L4000" s="107"/>
      <c r="M4000" s="107">
        <v>0</v>
      </c>
      <c r="N4000" s="108" t="s">
        <v>248</v>
      </c>
    </row>
    <row r="4001" spans="2:14" ht="23.25" customHeight="1">
      <c r="B4001" s="103" t="s">
        <v>1008</v>
      </c>
      <c r="C4001" s="122" t="s">
        <v>1016</v>
      </c>
      <c r="D4001" s="103" t="s">
        <v>410</v>
      </c>
      <c r="E4001" s="104">
        <v>46295</v>
      </c>
      <c r="F4001" s="105">
        <v>46296</v>
      </c>
      <c r="G4001" s="105">
        <v>46301</v>
      </c>
      <c r="H4001" s="120"/>
      <c r="I4001" s="107"/>
      <c r="J4001" s="107"/>
      <c r="K4001" s="107"/>
      <c r="L4001" s="107"/>
      <c r="M4001" s="107">
        <v>0</v>
      </c>
      <c r="N4001" s="108" t="s">
        <v>248</v>
      </c>
    </row>
    <row r="4002" spans="2:14" ht="23.25" customHeight="1">
      <c r="B4002" s="103" t="s">
        <v>1009</v>
      </c>
      <c r="C4002" s="122" t="s">
        <v>1017</v>
      </c>
      <c r="D4002" s="103" t="s">
        <v>410</v>
      </c>
      <c r="E4002" s="104">
        <v>46295</v>
      </c>
      <c r="F4002" s="105">
        <v>46296</v>
      </c>
      <c r="G4002" s="105">
        <v>46301</v>
      </c>
      <c r="H4002" s="170"/>
      <c r="I4002" s="107"/>
      <c r="J4002" s="107"/>
      <c r="K4002" s="107"/>
      <c r="L4002" s="107"/>
      <c r="M4002" s="107">
        <v>0</v>
      </c>
      <c r="N4002" s="108" t="s">
        <v>248</v>
      </c>
    </row>
    <row r="4003" spans="2:14" ht="23.25" customHeight="1">
      <c r="B4003" s="103" t="s">
        <v>1010</v>
      </c>
      <c r="C4003" s="122" t="s">
        <v>1018</v>
      </c>
      <c r="D4003" s="103" t="s">
        <v>410</v>
      </c>
      <c r="E4003" s="104">
        <v>46295</v>
      </c>
      <c r="F4003" s="105">
        <v>46296</v>
      </c>
      <c r="G4003" s="105">
        <v>46301</v>
      </c>
      <c r="H4003" s="170"/>
      <c r="I4003" s="107"/>
      <c r="J4003" s="107"/>
      <c r="K4003" s="107"/>
      <c r="L4003" s="107"/>
      <c r="M4003" s="107">
        <v>0</v>
      </c>
      <c r="N4003" s="108" t="s">
        <v>248</v>
      </c>
    </row>
    <row r="4004" spans="2:14" ht="23.25" customHeight="1">
      <c r="B4004" s="103" t="s">
        <v>1011</v>
      </c>
      <c r="C4004" s="122" t="s">
        <v>1019</v>
      </c>
      <c r="D4004" s="103" t="s">
        <v>410</v>
      </c>
      <c r="E4004" s="104">
        <v>46295</v>
      </c>
      <c r="F4004" s="105">
        <v>46296</v>
      </c>
      <c r="G4004" s="105">
        <v>46301</v>
      </c>
      <c r="H4004" s="120"/>
      <c r="I4004" s="107"/>
      <c r="J4004" s="107"/>
      <c r="K4004" s="107"/>
      <c r="L4004" s="107"/>
      <c r="M4004" s="107">
        <v>0</v>
      </c>
      <c r="N4004" s="108" t="s">
        <v>248</v>
      </c>
    </row>
    <row r="4005" spans="2:14" ht="23.25" customHeight="1">
      <c r="B4005" s="109" t="s">
        <v>132</v>
      </c>
      <c r="C4005" s="110" t="s">
        <v>358</v>
      </c>
      <c r="D4005" s="109" t="s">
        <v>410</v>
      </c>
      <c r="E4005" s="116">
        <v>46321</v>
      </c>
      <c r="F4005" s="116">
        <v>46322</v>
      </c>
      <c r="G4005" s="116">
        <v>46325</v>
      </c>
      <c r="H4005" s="112"/>
      <c r="I4005" s="113"/>
      <c r="J4005" s="113"/>
      <c r="K4005" s="113"/>
      <c r="L4005" s="107"/>
      <c r="M4005" s="114">
        <f t="shared" ref="M4005:M4036" si="115">J4005+L4005</f>
        <v>0</v>
      </c>
      <c r="N4005" s="109" t="s">
        <v>249</v>
      </c>
    </row>
    <row r="4006" spans="2:14" ht="23.25" customHeight="1">
      <c r="B4006" s="109" t="s">
        <v>227</v>
      </c>
      <c r="C4006" s="110" t="s">
        <v>359</v>
      </c>
      <c r="D4006" s="109" t="s">
        <v>410</v>
      </c>
      <c r="E4006" s="116">
        <v>46321</v>
      </c>
      <c r="F4006" s="116">
        <v>46322</v>
      </c>
      <c r="G4006" s="116">
        <v>46325</v>
      </c>
      <c r="H4006" s="112"/>
      <c r="I4006" s="113"/>
      <c r="J4006" s="113"/>
      <c r="K4006" s="113"/>
      <c r="L4006" s="107"/>
      <c r="M4006" s="114">
        <f t="shared" si="115"/>
        <v>0</v>
      </c>
      <c r="N4006" s="109" t="s">
        <v>249</v>
      </c>
    </row>
    <row r="4007" spans="2:14" ht="23.25" customHeight="1">
      <c r="B4007" s="109" t="s">
        <v>133</v>
      </c>
      <c r="C4007" s="110" t="s">
        <v>979</v>
      </c>
      <c r="D4007" s="109" t="s">
        <v>410</v>
      </c>
      <c r="E4007" s="116">
        <v>46321</v>
      </c>
      <c r="F4007" s="116">
        <v>46322</v>
      </c>
      <c r="G4007" s="116">
        <v>46325</v>
      </c>
      <c r="H4007" s="112"/>
      <c r="I4007" s="113"/>
      <c r="J4007" s="113"/>
      <c r="K4007" s="113"/>
      <c r="L4007" s="107"/>
      <c r="M4007" s="114">
        <f t="shared" si="115"/>
        <v>0</v>
      </c>
      <c r="N4007" s="109" t="s">
        <v>249</v>
      </c>
    </row>
    <row r="4008" spans="2:14" ht="23.25" customHeight="1">
      <c r="B4008" s="109" t="s">
        <v>134</v>
      </c>
      <c r="C4008" s="110" t="s">
        <v>374</v>
      </c>
      <c r="D4008" s="109" t="s">
        <v>410</v>
      </c>
      <c r="E4008" s="116">
        <v>46321</v>
      </c>
      <c r="F4008" s="116">
        <v>46322</v>
      </c>
      <c r="G4008" s="116">
        <v>46325</v>
      </c>
      <c r="H4008" s="112"/>
      <c r="I4008" s="113"/>
      <c r="J4008" s="113"/>
      <c r="K4008" s="113"/>
      <c r="L4008" s="107"/>
      <c r="M4008" s="114">
        <f t="shared" si="115"/>
        <v>0</v>
      </c>
      <c r="N4008" s="109" t="s">
        <v>249</v>
      </c>
    </row>
    <row r="4009" spans="2:14" ht="23.25" customHeight="1">
      <c r="B4009" s="109" t="s">
        <v>168</v>
      </c>
      <c r="C4009" s="110" t="s">
        <v>376</v>
      </c>
      <c r="D4009" s="109" t="s">
        <v>410</v>
      </c>
      <c r="E4009" s="116">
        <v>46321</v>
      </c>
      <c r="F4009" s="116">
        <v>46322</v>
      </c>
      <c r="G4009" s="116">
        <v>46325</v>
      </c>
      <c r="H4009" s="112"/>
      <c r="I4009" s="113"/>
      <c r="J4009" s="113"/>
      <c r="K4009" s="113"/>
      <c r="L4009" s="107"/>
      <c r="M4009" s="114">
        <f t="shared" si="115"/>
        <v>0</v>
      </c>
      <c r="N4009" s="109" t="s">
        <v>249</v>
      </c>
    </row>
    <row r="4010" spans="2:14" ht="23.25" customHeight="1">
      <c r="B4010" s="109" t="s">
        <v>136</v>
      </c>
      <c r="C4010" s="110" t="s">
        <v>867</v>
      </c>
      <c r="D4010" s="109" t="s">
        <v>410</v>
      </c>
      <c r="E4010" s="116">
        <v>46321</v>
      </c>
      <c r="F4010" s="116">
        <v>46322</v>
      </c>
      <c r="G4010" s="116">
        <v>46325</v>
      </c>
      <c r="H4010" s="112"/>
      <c r="I4010" s="113"/>
      <c r="J4010" s="113"/>
      <c r="K4010" s="113"/>
      <c r="L4010" s="107"/>
      <c r="M4010" s="114">
        <f t="shared" si="115"/>
        <v>0</v>
      </c>
      <c r="N4010" s="109" t="s">
        <v>249</v>
      </c>
    </row>
    <row r="4011" spans="2:14" ht="23.25" customHeight="1">
      <c r="B4011" s="109" t="s">
        <v>137</v>
      </c>
      <c r="C4011" s="110" t="s">
        <v>868</v>
      </c>
      <c r="D4011" s="109" t="s">
        <v>410</v>
      </c>
      <c r="E4011" s="116">
        <v>46321</v>
      </c>
      <c r="F4011" s="116">
        <v>46322</v>
      </c>
      <c r="G4011" s="116">
        <v>46325</v>
      </c>
      <c r="H4011" s="112"/>
      <c r="I4011" s="113"/>
      <c r="J4011" s="113"/>
      <c r="K4011" s="113"/>
      <c r="L4011" s="107"/>
      <c r="M4011" s="114">
        <f t="shared" si="115"/>
        <v>0</v>
      </c>
      <c r="N4011" s="109" t="s">
        <v>249</v>
      </c>
    </row>
    <row r="4012" spans="2:14" ht="23.25" customHeight="1">
      <c r="B4012" s="109" t="s">
        <v>135</v>
      </c>
      <c r="C4012" s="110" t="s">
        <v>869</v>
      </c>
      <c r="D4012" s="109" t="s">
        <v>410</v>
      </c>
      <c r="E4012" s="116">
        <v>46321</v>
      </c>
      <c r="F4012" s="116">
        <v>46322</v>
      </c>
      <c r="G4012" s="116">
        <v>46325</v>
      </c>
      <c r="H4012" s="112"/>
      <c r="I4012" s="113"/>
      <c r="J4012" s="113"/>
      <c r="K4012" s="113"/>
      <c r="L4012" s="107"/>
      <c r="M4012" s="114">
        <f t="shared" si="115"/>
        <v>0</v>
      </c>
      <c r="N4012" s="109" t="s">
        <v>249</v>
      </c>
    </row>
    <row r="4013" spans="2:14" ht="23.25" customHeight="1">
      <c r="B4013" s="109" t="s">
        <v>170</v>
      </c>
      <c r="C4013" s="110" t="s">
        <v>870</v>
      </c>
      <c r="D4013" s="109" t="s">
        <v>410</v>
      </c>
      <c r="E4013" s="116">
        <v>46321</v>
      </c>
      <c r="F4013" s="116">
        <v>46322</v>
      </c>
      <c r="G4013" s="116">
        <v>46325</v>
      </c>
      <c r="H4013" s="112"/>
      <c r="I4013" s="113"/>
      <c r="J4013" s="113"/>
      <c r="K4013" s="113"/>
      <c r="L4013" s="107"/>
      <c r="M4013" s="114">
        <f t="shared" si="115"/>
        <v>0</v>
      </c>
      <c r="N4013" s="109" t="s">
        <v>249</v>
      </c>
    </row>
    <row r="4014" spans="2:14" ht="23.25" customHeight="1">
      <c r="B4014" s="109" t="s">
        <v>171</v>
      </c>
      <c r="C4014" s="110" t="s">
        <v>871</v>
      </c>
      <c r="D4014" s="109" t="s">
        <v>410</v>
      </c>
      <c r="E4014" s="116">
        <v>46321</v>
      </c>
      <c r="F4014" s="116">
        <v>46322</v>
      </c>
      <c r="G4014" s="116">
        <v>46325</v>
      </c>
      <c r="H4014" s="112"/>
      <c r="I4014" s="113"/>
      <c r="J4014" s="113"/>
      <c r="K4014" s="113"/>
      <c r="L4014" s="107"/>
      <c r="M4014" s="114">
        <f t="shared" si="115"/>
        <v>0</v>
      </c>
      <c r="N4014" s="109" t="s">
        <v>249</v>
      </c>
    </row>
    <row r="4015" spans="2:14" ht="23.25" customHeight="1">
      <c r="B4015" s="109" t="s">
        <v>172</v>
      </c>
      <c r="C4015" s="110" t="s">
        <v>872</v>
      </c>
      <c r="D4015" s="109" t="s">
        <v>410</v>
      </c>
      <c r="E4015" s="116">
        <v>46321</v>
      </c>
      <c r="F4015" s="116">
        <v>46322</v>
      </c>
      <c r="G4015" s="116">
        <v>46325</v>
      </c>
      <c r="H4015" s="112"/>
      <c r="I4015" s="113"/>
      <c r="J4015" s="113"/>
      <c r="K4015" s="113"/>
      <c r="L4015" s="107"/>
      <c r="M4015" s="114">
        <f t="shared" si="115"/>
        <v>0</v>
      </c>
      <c r="N4015" s="109" t="s">
        <v>249</v>
      </c>
    </row>
    <row r="4016" spans="2:14" ht="23.25" customHeight="1">
      <c r="B4016" s="109" t="s">
        <v>169</v>
      </c>
      <c r="C4016" s="110" t="s">
        <v>400</v>
      </c>
      <c r="D4016" s="109" t="s">
        <v>410</v>
      </c>
      <c r="E4016" s="116">
        <v>46321</v>
      </c>
      <c r="F4016" s="116">
        <v>46322</v>
      </c>
      <c r="G4016" s="116">
        <v>46325</v>
      </c>
      <c r="H4016" s="112"/>
      <c r="I4016" s="113"/>
      <c r="J4016" s="113"/>
      <c r="K4016" s="113"/>
      <c r="L4016" s="107"/>
      <c r="M4016" s="114">
        <f t="shared" si="115"/>
        <v>0</v>
      </c>
      <c r="N4016" s="109" t="s">
        <v>249</v>
      </c>
    </row>
    <row r="4017" spans="2:14" ht="23.25" customHeight="1">
      <c r="B4017" s="103" t="s">
        <v>310</v>
      </c>
      <c r="C4017" s="121" t="s">
        <v>719</v>
      </c>
      <c r="D4017" s="103" t="s">
        <v>411</v>
      </c>
      <c r="E4017" s="104">
        <v>46325</v>
      </c>
      <c r="F4017" s="105">
        <v>46328</v>
      </c>
      <c r="G4017" s="105">
        <v>46331</v>
      </c>
      <c r="H4017" s="120"/>
      <c r="I4017" s="106"/>
      <c r="J4017" s="107"/>
      <c r="K4017" s="107"/>
      <c r="L4017" s="107"/>
      <c r="M4017" s="107">
        <f t="shared" si="115"/>
        <v>0</v>
      </c>
      <c r="N4017" s="108" t="s">
        <v>718</v>
      </c>
    </row>
    <row r="4018" spans="2:14" ht="23.25" customHeight="1">
      <c r="B4018" s="103" t="s">
        <v>188</v>
      </c>
      <c r="C4018" s="122" t="s">
        <v>720</v>
      </c>
      <c r="D4018" s="103" t="s">
        <v>411</v>
      </c>
      <c r="E4018" s="104">
        <v>46325</v>
      </c>
      <c r="F4018" s="105">
        <v>46328</v>
      </c>
      <c r="G4018" s="105">
        <v>46331</v>
      </c>
      <c r="H4018" s="120"/>
      <c r="I4018" s="106"/>
      <c r="J4018" s="107"/>
      <c r="K4018" s="107"/>
      <c r="L4018" s="107"/>
      <c r="M4018" s="107">
        <f t="shared" si="115"/>
        <v>0</v>
      </c>
      <c r="N4018" s="108" t="s">
        <v>718</v>
      </c>
    </row>
    <row r="4019" spans="2:14" ht="23.25" customHeight="1">
      <c r="B4019" s="103" t="s">
        <v>196</v>
      </c>
      <c r="C4019" s="119" t="s">
        <v>721</v>
      </c>
      <c r="D4019" s="118" t="s">
        <v>411</v>
      </c>
      <c r="E4019" s="104">
        <v>46325</v>
      </c>
      <c r="F4019" s="105">
        <v>46328</v>
      </c>
      <c r="G4019" s="105">
        <v>46331</v>
      </c>
      <c r="H4019" s="120"/>
      <c r="I4019" s="106"/>
      <c r="J4019" s="107"/>
      <c r="K4019" s="107"/>
      <c r="L4019" s="107"/>
      <c r="M4019" s="107">
        <f t="shared" si="115"/>
        <v>0</v>
      </c>
      <c r="N4019" s="108" t="s">
        <v>718</v>
      </c>
    </row>
    <row r="4020" spans="2:14" ht="23.25" customHeight="1">
      <c r="B4020" s="103" t="s">
        <v>191</v>
      </c>
      <c r="C4020" s="122" t="s">
        <v>722</v>
      </c>
      <c r="D4020" s="103" t="s">
        <v>411</v>
      </c>
      <c r="E4020" s="104">
        <v>46325</v>
      </c>
      <c r="F4020" s="105">
        <v>46328</v>
      </c>
      <c r="G4020" s="105">
        <v>46331</v>
      </c>
      <c r="H4020" s="120"/>
      <c r="I4020" s="106"/>
      <c r="J4020" s="107"/>
      <c r="K4020" s="107"/>
      <c r="L4020" s="107"/>
      <c r="M4020" s="107">
        <f t="shared" si="115"/>
        <v>0</v>
      </c>
      <c r="N4020" s="108" t="s">
        <v>718</v>
      </c>
    </row>
    <row r="4021" spans="2:14" ht="23.25" customHeight="1">
      <c r="B4021" s="103" t="s">
        <v>199</v>
      </c>
      <c r="C4021" s="119" t="s">
        <v>723</v>
      </c>
      <c r="D4021" s="118" t="s">
        <v>411</v>
      </c>
      <c r="E4021" s="104">
        <v>46325</v>
      </c>
      <c r="F4021" s="105">
        <v>46328</v>
      </c>
      <c r="G4021" s="105">
        <v>46331</v>
      </c>
      <c r="H4021" s="120"/>
      <c r="I4021" s="106"/>
      <c r="J4021" s="107"/>
      <c r="K4021" s="107"/>
      <c r="L4021" s="107"/>
      <c r="M4021" s="107">
        <f t="shared" si="115"/>
        <v>0</v>
      </c>
      <c r="N4021" s="108" t="s">
        <v>718</v>
      </c>
    </row>
    <row r="4022" spans="2:14" ht="23.25" customHeight="1">
      <c r="B4022" s="103" t="s">
        <v>306</v>
      </c>
      <c r="C4022" s="121" t="s">
        <v>724</v>
      </c>
      <c r="D4022" s="103" t="s">
        <v>411</v>
      </c>
      <c r="E4022" s="104">
        <v>46325</v>
      </c>
      <c r="F4022" s="105">
        <v>46328</v>
      </c>
      <c r="G4022" s="105">
        <v>46331</v>
      </c>
      <c r="H4022" s="120"/>
      <c r="I4022" s="106"/>
      <c r="J4022" s="107"/>
      <c r="K4022" s="107"/>
      <c r="L4022" s="107"/>
      <c r="M4022" s="107">
        <f t="shared" si="115"/>
        <v>0</v>
      </c>
      <c r="N4022" s="108" t="s">
        <v>718</v>
      </c>
    </row>
    <row r="4023" spans="2:14" ht="23.25" customHeight="1">
      <c r="B4023" s="103" t="s">
        <v>184</v>
      </c>
      <c r="C4023" s="122" t="s">
        <v>725</v>
      </c>
      <c r="D4023" s="103" t="s">
        <v>411</v>
      </c>
      <c r="E4023" s="104">
        <v>46325</v>
      </c>
      <c r="F4023" s="105">
        <v>46328</v>
      </c>
      <c r="G4023" s="105">
        <v>46331</v>
      </c>
      <c r="H4023" s="120"/>
      <c r="I4023" s="106"/>
      <c r="J4023" s="107"/>
      <c r="K4023" s="107"/>
      <c r="L4023" s="107"/>
      <c r="M4023" s="107">
        <f t="shared" si="115"/>
        <v>0</v>
      </c>
      <c r="N4023" s="108" t="s">
        <v>718</v>
      </c>
    </row>
    <row r="4024" spans="2:14" ht="23.25" customHeight="1">
      <c r="B4024" s="103" t="s">
        <v>192</v>
      </c>
      <c r="C4024" s="119" t="s">
        <v>726</v>
      </c>
      <c r="D4024" s="118" t="s">
        <v>411</v>
      </c>
      <c r="E4024" s="104">
        <v>46325</v>
      </c>
      <c r="F4024" s="105">
        <v>46328</v>
      </c>
      <c r="G4024" s="105">
        <v>46331</v>
      </c>
      <c r="H4024" s="120"/>
      <c r="I4024" s="106"/>
      <c r="J4024" s="107"/>
      <c r="K4024" s="107"/>
      <c r="L4024" s="107"/>
      <c r="M4024" s="107">
        <f t="shared" si="115"/>
        <v>0</v>
      </c>
      <c r="N4024" s="108" t="s">
        <v>718</v>
      </c>
    </row>
    <row r="4025" spans="2:14" ht="23.25" customHeight="1">
      <c r="B4025" s="103" t="s">
        <v>311</v>
      </c>
      <c r="C4025" s="121" t="s">
        <v>727</v>
      </c>
      <c r="D4025" s="103" t="s">
        <v>411</v>
      </c>
      <c r="E4025" s="104">
        <v>46325</v>
      </c>
      <c r="F4025" s="105">
        <v>46328</v>
      </c>
      <c r="G4025" s="105">
        <v>46331</v>
      </c>
      <c r="H4025" s="120"/>
      <c r="I4025" s="106"/>
      <c r="J4025" s="107"/>
      <c r="K4025" s="107"/>
      <c r="L4025" s="107"/>
      <c r="M4025" s="107">
        <f t="shared" si="115"/>
        <v>0</v>
      </c>
      <c r="N4025" s="108" t="s">
        <v>718</v>
      </c>
    </row>
    <row r="4026" spans="2:14" ht="23.25" customHeight="1">
      <c r="B4026" s="103" t="s">
        <v>189</v>
      </c>
      <c r="C4026" s="122" t="s">
        <v>728</v>
      </c>
      <c r="D4026" s="103" t="s">
        <v>411</v>
      </c>
      <c r="E4026" s="104">
        <v>46325</v>
      </c>
      <c r="F4026" s="105">
        <v>46328</v>
      </c>
      <c r="G4026" s="105">
        <v>46331</v>
      </c>
      <c r="H4026" s="120"/>
      <c r="I4026" s="106"/>
      <c r="J4026" s="107"/>
      <c r="K4026" s="107"/>
      <c r="L4026" s="107"/>
      <c r="M4026" s="107">
        <f t="shared" si="115"/>
        <v>0</v>
      </c>
      <c r="N4026" s="108" t="s">
        <v>718</v>
      </c>
    </row>
    <row r="4027" spans="2:14" ht="23.25" customHeight="1">
      <c r="B4027" s="103" t="s">
        <v>197</v>
      </c>
      <c r="C4027" s="119" t="s">
        <v>729</v>
      </c>
      <c r="D4027" s="118" t="s">
        <v>411</v>
      </c>
      <c r="E4027" s="104">
        <v>46325</v>
      </c>
      <c r="F4027" s="105">
        <v>46328</v>
      </c>
      <c r="G4027" s="105">
        <v>46331</v>
      </c>
      <c r="H4027" s="120"/>
      <c r="I4027" s="106"/>
      <c r="J4027" s="107"/>
      <c r="K4027" s="107"/>
      <c r="L4027" s="107"/>
      <c r="M4027" s="107">
        <f t="shared" si="115"/>
        <v>0</v>
      </c>
      <c r="N4027" s="108" t="s">
        <v>718</v>
      </c>
    </row>
    <row r="4028" spans="2:14" ht="23.25" customHeight="1">
      <c r="B4028" s="103" t="s">
        <v>308</v>
      </c>
      <c r="C4028" s="121" t="s">
        <v>730</v>
      </c>
      <c r="D4028" s="103" t="s">
        <v>411</v>
      </c>
      <c r="E4028" s="104">
        <v>46325</v>
      </c>
      <c r="F4028" s="105">
        <v>46328</v>
      </c>
      <c r="G4028" s="105">
        <v>46331</v>
      </c>
      <c r="H4028" s="120"/>
      <c r="I4028" s="106"/>
      <c r="J4028" s="107"/>
      <c r="K4028" s="107"/>
      <c r="L4028" s="107"/>
      <c r="M4028" s="107">
        <f t="shared" si="115"/>
        <v>0</v>
      </c>
      <c r="N4028" s="108" t="s">
        <v>718</v>
      </c>
    </row>
    <row r="4029" spans="2:14" ht="23.25" customHeight="1">
      <c r="B4029" s="103" t="s">
        <v>186</v>
      </c>
      <c r="C4029" s="122" t="s">
        <v>731</v>
      </c>
      <c r="D4029" s="103" t="s">
        <v>411</v>
      </c>
      <c r="E4029" s="104">
        <v>46325</v>
      </c>
      <c r="F4029" s="105">
        <v>46328</v>
      </c>
      <c r="G4029" s="105">
        <v>46331</v>
      </c>
      <c r="H4029" s="120"/>
      <c r="I4029" s="106"/>
      <c r="J4029" s="107"/>
      <c r="K4029" s="107"/>
      <c r="L4029" s="107"/>
      <c r="M4029" s="107">
        <f t="shared" si="115"/>
        <v>0</v>
      </c>
      <c r="N4029" s="108" t="s">
        <v>718</v>
      </c>
    </row>
    <row r="4030" spans="2:14" ht="23.25" customHeight="1">
      <c r="B4030" s="103" t="s">
        <v>194</v>
      </c>
      <c r="C4030" s="119" t="s">
        <v>732</v>
      </c>
      <c r="D4030" s="118" t="s">
        <v>411</v>
      </c>
      <c r="E4030" s="104">
        <v>46325</v>
      </c>
      <c r="F4030" s="105">
        <v>46328</v>
      </c>
      <c r="G4030" s="105">
        <v>46331</v>
      </c>
      <c r="H4030" s="120"/>
      <c r="I4030" s="106"/>
      <c r="J4030" s="107"/>
      <c r="K4030" s="107"/>
      <c r="L4030" s="107"/>
      <c r="M4030" s="107">
        <f t="shared" si="115"/>
        <v>0</v>
      </c>
      <c r="N4030" s="108" t="s">
        <v>718</v>
      </c>
    </row>
    <row r="4031" spans="2:14" ht="23.25" customHeight="1">
      <c r="B4031" s="103" t="s">
        <v>307</v>
      </c>
      <c r="C4031" s="121" t="s">
        <v>983</v>
      </c>
      <c r="D4031" s="103" t="s">
        <v>411</v>
      </c>
      <c r="E4031" s="104">
        <v>46325</v>
      </c>
      <c r="F4031" s="105">
        <v>46328</v>
      </c>
      <c r="G4031" s="105">
        <v>46331</v>
      </c>
      <c r="H4031" s="120"/>
      <c r="I4031" s="106"/>
      <c r="J4031" s="107"/>
      <c r="K4031" s="107"/>
      <c r="L4031" s="107"/>
      <c r="M4031" s="107">
        <f t="shared" si="115"/>
        <v>0</v>
      </c>
      <c r="N4031" s="108" t="s">
        <v>718</v>
      </c>
    </row>
    <row r="4032" spans="2:14" ht="23.25" customHeight="1">
      <c r="B4032" s="103" t="s">
        <v>185</v>
      </c>
      <c r="C4032" s="122" t="s">
        <v>985</v>
      </c>
      <c r="D4032" s="103" t="s">
        <v>411</v>
      </c>
      <c r="E4032" s="104">
        <v>46325</v>
      </c>
      <c r="F4032" s="105">
        <v>46328</v>
      </c>
      <c r="G4032" s="105">
        <v>46331</v>
      </c>
      <c r="H4032" s="120"/>
      <c r="I4032" s="106"/>
      <c r="J4032" s="107"/>
      <c r="K4032" s="107"/>
      <c r="L4032" s="107"/>
      <c r="M4032" s="107">
        <f t="shared" si="115"/>
        <v>0</v>
      </c>
      <c r="N4032" s="108" t="s">
        <v>718</v>
      </c>
    </row>
    <row r="4033" spans="2:14" ht="23.25" customHeight="1">
      <c r="B4033" s="103" t="s">
        <v>193</v>
      </c>
      <c r="C4033" s="119" t="s">
        <v>984</v>
      </c>
      <c r="D4033" s="118" t="s">
        <v>411</v>
      </c>
      <c r="E4033" s="104">
        <v>46325</v>
      </c>
      <c r="F4033" s="105">
        <v>46328</v>
      </c>
      <c r="G4033" s="105">
        <v>46331</v>
      </c>
      <c r="H4033" s="120"/>
      <c r="I4033" s="106"/>
      <c r="J4033" s="107"/>
      <c r="K4033" s="107"/>
      <c r="L4033" s="107"/>
      <c r="M4033" s="107">
        <f t="shared" si="115"/>
        <v>0</v>
      </c>
      <c r="N4033" s="108" t="s">
        <v>718</v>
      </c>
    </row>
    <row r="4034" spans="2:14" ht="23.25" customHeight="1">
      <c r="B4034" s="103" t="s">
        <v>309</v>
      </c>
      <c r="C4034" s="121" t="s">
        <v>736</v>
      </c>
      <c r="D4034" s="103" t="s">
        <v>411</v>
      </c>
      <c r="E4034" s="104">
        <v>46325</v>
      </c>
      <c r="F4034" s="105">
        <v>46328</v>
      </c>
      <c r="G4034" s="105">
        <v>46331</v>
      </c>
      <c r="H4034" s="120"/>
      <c r="I4034" s="106"/>
      <c r="J4034" s="107"/>
      <c r="K4034" s="107"/>
      <c r="L4034" s="107"/>
      <c r="M4034" s="107">
        <f t="shared" si="115"/>
        <v>0</v>
      </c>
      <c r="N4034" s="108" t="s">
        <v>718</v>
      </c>
    </row>
    <row r="4035" spans="2:14" ht="23.25" customHeight="1">
      <c r="B4035" s="103" t="s">
        <v>187</v>
      </c>
      <c r="C4035" s="122" t="s">
        <v>737</v>
      </c>
      <c r="D4035" s="103" t="s">
        <v>411</v>
      </c>
      <c r="E4035" s="104">
        <v>46325</v>
      </c>
      <c r="F4035" s="105">
        <v>46328</v>
      </c>
      <c r="G4035" s="105">
        <v>46331</v>
      </c>
      <c r="H4035" s="120"/>
      <c r="I4035" s="106"/>
      <c r="J4035" s="107"/>
      <c r="K4035" s="107"/>
      <c r="L4035" s="107"/>
      <c r="M4035" s="107">
        <f t="shared" si="115"/>
        <v>0</v>
      </c>
      <c r="N4035" s="108" t="s">
        <v>718</v>
      </c>
    </row>
    <row r="4036" spans="2:14" ht="23.25" customHeight="1">
      <c r="B4036" s="103" t="s">
        <v>195</v>
      </c>
      <c r="C4036" s="119" t="s">
        <v>738</v>
      </c>
      <c r="D4036" s="118" t="s">
        <v>411</v>
      </c>
      <c r="E4036" s="104">
        <v>46325</v>
      </c>
      <c r="F4036" s="105">
        <v>46328</v>
      </c>
      <c r="G4036" s="105">
        <v>46331</v>
      </c>
      <c r="H4036" s="120"/>
      <c r="I4036" s="106"/>
      <c r="J4036" s="107"/>
      <c r="K4036" s="107"/>
      <c r="L4036" s="107"/>
      <c r="M4036" s="107">
        <f t="shared" si="115"/>
        <v>0</v>
      </c>
      <c r="N4036" s="108" t="s">
        <v>718</v>
      </c>
    </row>
    <row r="4037" spans="2:14" ht="23.25" customHeight="1">
      <c r="B4037" s="103" t="s">
        <v>312</v>
      </c>
      <c r="C4037" s="121" t="s">
        <v>739</v>
      </c>
      <c r="D4037" s="103" t="s">
        <v>411</v>
      </c>
      <c r="E4037" s="104">
        <v>46325</v>
      </c>
      <c r="F4037" s="105">
        <v>46328</v>
      </c>
      <c r="G4037" s="105">
        <v>46331</v>
      </c>
      <c r="H4037" s="120"/>
      <c r="I4037" s="106"/>
      <c r="J4037" s="107"/>
      <c r="K4037" s="107"/>
      <c r="L4037" s="107"/>
      <c r="M4037" s="107">
        <f t="shared" ref="M4037:M4068" si="116">J4037+L4037</f>
        <v>0</v>
      </c>
      <c r="N4037" s="108" t="s">
        <v>718</v>
      </c>
    </row>
    <row r="4038" spans="2:14" ht="23.25" customHeight="1">
      <c r="B4038" s="103" t="s">
        <v>190</v>
      </c>
      <c r="C4038" s="122" t="s">
        <v>740</v>
      </c>
      <c r="D4038" s="103" t="s">
        <v>411</v>
      </c>
      <c r="E4038" s="104">
        <v>46325</v>
      </c>
      <c r="F4038" s="105">
        <v>46328</v>
      </c>
      <c r="G4038" s="105">
        <v>46331</v>
      </c>
      <c r="H4038" s="120"/>
      <c r="I4038" s="106"/>
      <c r="J4038" s="107"/>
      <c r="K4038" s="107"/>
      <c r="L4038" s="107"/>
      <c r="M4038" s="107">
        <f t="shared" si="116"/>
        <v>0</v>
      </c>
      <c r="N4038" s="108" t="s">
        <v>718</v>
      </c>
    </row>
    <row r="4039" spans="2:14" ht="23.25" customHeight="1">
      <c r="B4039" s="103" t="s">
        <v>198</v>
      </c>
      <c r="C4039" s="119" t="s">
        <v>741</v>
      </c>
      <c r="D4039" s="118" t="s">
        <v>411</v>
      </c>
      <c r="E4039" s="104">
        <v>46325</v>
      </c>
      <c r="F4039" s="105">
        <v>46328</v>
      </c>
      <c r="G4039" s="105">
        <v>46331</v>
      </c>
      <c r="H4039" s="120"/>
      <c r="I4039" s="106"/>
      <c r="J4039" s="107"/>
      <c r="K4039" s="107"/>
      <c r="L4039" s="107"/>
      <c r="M4039" s="107">
        <f t="shared" si="116"/>
        <v>0</v>
      </c>
      <c r="N4039" s="108" t="s">
        <v>718</v>
      </c>
    </row>
    <row r="4040" spans="2:14" ht="23.25" customHeight="1">
      <c r="B4040" s="103" t="s">
        <v>313</v>
      </c>
      <c r="C4040" s="121" t="s">
        <v>884</v>
      </c>
      <c r="D4040" s="103" t="s">
        <v>411</v>
      </c>
      <c r="E4040" s="104">
        <v>46325</v>
      </c>
      <c r="F4040" s="105">
        <v>46328</v>
      </c>
      <c r="G4040" s="105">
        <v>46331</v>
      </c>
      <c r="H4040" s="174"/>
      <c r="I4040" s="106"/>
      <c r="J4040" s="107"/>
      <c r="K4040" s="107"/>
      <c r="L4040" s="107"/>
      <c r="M4040" s="107">
        <f t="shared" si="116"/>
        <v>0</v>
      </c>
      <c r="N4040" s="108" t="s">
        <v>718</v>
      </c>
    </row>
    <row r="4041" spans="2:14" ht="23.25" customHeight="1">
      <c r="B4041" s="103" t="s">
        <v>310</v>
      </c>
      <c r="C4041" s="121" t="s">
        <v>719</v>
      </c>
      <c r="D4041" s="103" t="s">
        <v>411</v>
      </c>
      <c r="E4041" s="104">
        <v>46356</v>
      </c>
      <c r="F4041" s="105">
        <v>46357</v>
      </c>
      <c r="G4041" s="105">
        <v>46360</v>
      </c>
      <c r="H4041" s="120"/>
      <c r="I4041" s="106"/>
      <c r="J4041" s="107"/>
      <c r="K4041" s="107"/>
      <c r="L4041" s="107"/>
      <c r="M4041" s="107">
        <f t="shared" si="116"/>
        <v>0</v>
      </c>
      <c r="N4041" s="108" t="s">
        <v>718</v>
      </c>
    </row>
    <row r="4042" spans="2:14" ht="23.25" customHeight="1">
      <c r="B4042" s="103" t="s">
        <v>188</v>
      </c>
      <c r="C4042" s="122" t="s">
        <v>720</v>
      </c>
      <c r="D4042" s="103" t="s">
        <v>411</v>
      </c>
      <c r="E4042" s="104">
        <v>46356</v>
      </c>
      <c r="F4042" s="105">
        <v>46357</v>
      </c>
      <c r="G4042" s="105">
        <v>46360</v>
      </c>
      <c r="H4042" s="120"/>
      <c r="I4042" s="106"/>
      <c r="J4042" s="107"/>
      <c r="K4042" s="107"/>
      <c r="L4042" s="107"/>
      <c r="M4042" s="107">
        <f t="shared" si="116"/>
        <v>0</v>
      </c>
      <c r="N4042" s="108" t="s">
        <v>718</v>
      </c>
    </row>
    <row r="4043" spans="2:14" ht="23.25" customHeight="1">
      <c r="B4043" s="103" t="s">
        <v>196</v>
      </c>
      <c r="C4043" s="119" t="s">
        <v>721</v>
      </c>
      <c r="D4043" s="118" t="s">
        <v>411</v>
      </c>
      <c r="E4043" s="104">
        <v>46356</v>
      </c>
      <c r="F4043" s="105">
        <v>46357</v>
      </c>
      <c r="G4043" s="105">
        <v>46360</v>
      </c>
      <c r="H4043" s="120"/>
      <c r="I4043" s="106"/>
      <c r="J4043" s="107"/>
      <c r="K4043" s="107"/>
      <c r="L4043" s="107"/>
      <c r="M4043" s="107">
        <f t="shared" si="116"/>
        <v>0</v>
      </c>
      <c r="N4043" s="108" t="s">
        <v>718</v>
      </c>
    </row>
    <row r="4044" spans="2:14" ht="23.25" customHeight="1">
      <c r="B4044" s="103" t="s">
        <v>191</v>
      </c>
      <c r="C4044" s="122" t="s">
        <v>722</v>
      </c>
      <c r="D4044" s="103" t="s">
        <v>411</v>
      </c>
      <c r="E4044" s="104">
        <v>46356</v>
      </c>
      <c r="F4044" s="105">
        <v>46357</v>
      </c>
      <c r="G4044" s="105">
        <v>46360</v>
      </c>
      <c r="H4044" s="120"/>
      <c r="I4044" s="106"/>
      <c r="J4044" s="107"/>
      <c r="K4044" s="107"/>
      <c r="L4044" s="107"/>
      <c r="M4044" s="107">
        <f t="shared" si="116"/>
        <v>0</v>
      </c>
      <c r="N4044" s="108" t="s">
        <v>718</v>
      </c>
    </row>
    <row r="4045" spans="2:14" ht="23.25" customHeight="1">
      <c r="B4045" s="103" t="s">
        <v>199</v>
      </c>
      <c r="C4045" s="119" t="s">
        <v>723</v>
      </c>
      <c r="D4045" s="118" t="s">
        <v>411</v>
      </c>
      <c r="E4045" s="104">
        <v>46356</v>
      </c>
      <c r="F4045" s="105">
        <v>46357</v>
      </c>
      <c r="G4045" s="105">
        <v>46360</v>
      </c>
      <c r="H4045" s="120"/>
      <c r="I4045" s="106"/>
      <c r="J4045" s="107"/>
      <c r="K4045" s="107"/>
      <c r="L4045" s="107"/>
      <c r="M4045" s="107">
        <f t="shared" si="116"/>
        <v>0</v>
      </c>
      <c r="N4045" s="108" t="s">
        <v>718</v>
      </c>
    </row>
    <row r="4046" spans="2:14" ht="23.25" customHeight="1">
      <c r="B4046" s="103" t="s">
        <v>306</v>
      </c>
      <c r="C4046" s="121" t="s">
        <v>724</v>
      </c>
      <c r="D4046" s="103" t="s">
        <v>411</v>
      </c>
      <c r="E4046" s="104">
        <v>46356</v>
      </c>
      <c r="F4046" s="105">
        <v>46357</v>
      </c>
      <c r="G4046" s="105">
        <v>46360</v>
      </c>
      <c r="H4046" s="120"/>
      <c r="I4046" s="106"/>
      <c r="J4046" s="107"/>
      <c r="K4046" s="107"/>
      <c r="L4046" s="107"/>
      <c r="M4046" s="107">
        <f t="shared" si="116"/>
        <v>0</v>
      </c>
      <c r="N4046" s="108" t="s">
        <v>718</v>
      </c>
    </row>
    <row r="4047" spans="2:14" ht="23.25" customHeight="1">
      <c r="B4047" s="103" t="s">
        <v>184</v>
      </c>
      <c r="C4047" s="122" t="s">
        <v>725</v>
      </c>
      <c r="D4047" s="103" t="s">
        <v>411</v>
      </c>
      <c r="E4047" s="104">
        <v>46356</v>
      </c>
      <c r="F4047" s="105">
        <v>46357</v>
      </c>
      <c r="G4047" s="105">
        <v>46360</v>
      </c>
      <c r="H4047" s="120"/>
      <c r="I4047" s="106"/>
      <c r="J4047" s="107"/>
      <c r="K4047" s="107"/>
      <c r="L4047" s="107"/>
      <c r="M4047" s="107">
        <f t="shared" si="116"/>
        <v>0</v>
      </c>
      <c r="N4047" s="108" t="s">
        <v>718</v>
      </c>
    </row>
    <row r="4048" spans="2:14" ht="23.25" customHeight="1">
      <c r="B4048" s="103" t="s">
        <v>192</v>
      </c>
      <c r="C4048" s="119" t="s">
        <v>726</v>
      </c>
      <c r="D4048" s="118" t="s">
        <v>411</v>
      </c>
      <c r="E4048" s="104">
        <v>46356</v>
      </c>
      <c r="F4048" s="105">
        <v>46357</v>
      </c>
      <c r="G4048" s="105">
        <v>46360</v>
      </c>
      <c r="H4048" s="120"/>
      <c r="I4048" s="106"/>
      <c r="J4048" s="107"/>
      <c r="K4048" s="107"/>
      <c r="L4048" s="107"/>
      <c r="M4048" s="107">
        <f t="shared" si="116"/>
        <v>0</v>
      </c>
      <c r="N4048" s="108" t="s">
        <v>718</v>
      </c>
    </row>
    <row r="4049" spans="2:14" ht="23.25" customHeight="1">
      <c r="B4049" s="103" t="s">
        <v>311</v>
      </c>
      <c r="C4049" s="121" t="s">
        <v>727</v>
      </c>
      <c r="D4049" s="103" t="s">
        <v>411</v>
      </c>
      <c r="E4049" s="104">
        <v>46356</v>
      </c>
      <c r="F4049" s="105">
        <v>46357</v>
      </c>
      <c r="G4049" s="105">
        <v>46360</v>
      </c>
      <c r="H4049" s="120"/>
      <c r="I4049" s="106"/>
      <c r="J4049" s="107"/>
      <c r="K4049" s="107"/>
      <c r="L4049" s="107"/>
      <c r="M4049" s="107">
        <f t="shared" si="116"/>
        <v>0</v>
      </c>
      <c r="N4049" s="108" t="s">
        <v>718</v>
      </c>
    </row>
    <row r="4050" spans="2:14" ht="23.25" customHeight="1">
      <c r="B4050" s="103" t="s">
        <v>189</v>
      </c>
      <c r="C4050" s="122" t="s">
        <v>728</v>
      </c>
      <c r="D4050" s="103" t="s">
        <v>411</v>
      </c>
      <c r="E4050" s="104">
        <v>46356</v>
      </c>
      <c r="F4050" s="105">
        <v>46357</v>
      </c>
      <c r="G4050" s="105">
        <v>46360</v>
      </c>
      <c r="H4050" s="120"/>
      <c r="I4050" s="106"/>
      <c r="J4050" s="107"/>
      <c r="K4050" s="107"/>
      <c r="L4050" s="107"/>
      <c r="M4050" s="107">
        <f t="shared" si="116"/>
        <v>0</v>
      </c>
      <c r="N4050" s="108" t="s">
        <v>718</v>
      </c>
    </row>
    <row r="4051" spans="2:14" ht="23.25" customHeight="1">
      <c r="B4051" s="103" t="s">
        <v>197</v>
      </c>
      <c r="C4051" s="119" t="s">
        <v>729</v>
      </c>
      <c r="D4051" s="118" t="s">
        <v>411</v>
      </c>
      <c r="E4051" s="104">
        <v>46356</v>
      </c>
      <c r="F4051" s="105">
        <v>46357</v>
      </c>
      <c r="G4051" s="105">
        <v>46360</v>
      </c>
      <c r="H4051" s="120"/>
      <c r="I4051" s="106"/>
      <c r="J4051" s="107"/>
      <c r="K4051" s="107"/>
      <c r="L4051" s="107"/>
      <c r="M4051" s="107">
        <f t="shared" si="116"/>
        <v>0</v>
      </c>
      <c r="N4051" s="108" t="s">
        <v>718</v>
      </c>
    </row>
    <row r="4052" spans="2:14" ht="23.25" customHeight="1">
      <c r="B4052" s="103" t="s">
        <v>308</v>
      </c>
      <c r="C4052" s="121" t="s">
        <v>730</v>
      </c>
      <c r="D4052" s="103" t="s">
        <v>411</v>
      </c>
      <c r="E4052" s="104">
        <v>46356</v>
      </c>
      <c r="F4052" s="105">
        <v>46357</v>
      </c>
      <c r="G4052" s="105">
        <v>46360</v>
      </c>
      <c r="H4052" s="170"/>
      <c r="I4052" s="106"/>
      <c r="J4052" s="107"/>
      <c r="K4052" s="107"/>
      <c r="L4052" s="107"/>
      <c r="M4052" s="107">
        <f t="shared" si="116"/>
        <v>0</v>
      </c>
      <c r="N4052" s="108" t="s">
        <v>718</v>
      </c>
    </row>
    <row r="4053" spans="2:14" ht="23.25" customHeight="1">
      <c r="B4053" s="103" t="s">
        <v>186</v>
      </c>
      <c r="C4053" s="122" t="s">
        <v>731</v>
      </c>
      <c r="D4053" s="103" t="s">
        <v>411</v>
      </c>
      <c r="E4053" s="104">
        <v>46356</v>
      </c>
      <c r="F4053" s="105">
        <v>46357</v>
      </c>
      <c r="G4053" s="105">
        <v>46360</v>
      </c>
      <c r="H4053" s="170"/>
      <c r="I4053" s="106"/>
      <c r="J4053" s="107"/>
      <c r="K4053" s="107"/>
      <c r="L4053" s="107"/>
      <c r="M4053" s="107">
        <f t="shared" si="116"/>
        <v>0</v>
      </c>
      <c r="N4053" s="108" t="s">
        <v>718</v>
      </c>
    </row>
    <row r="4054" spans="2:14" ht="23.25" customHeight="1">
      <c r="B4054" s="103" t="s">
        <v>194</v>
      </c>
      <c r="C4054" s="119" t="s">
        <v>732</v>
      </c>
      <c r="D4054" s="118" t="s">
        <v>411</v>
      </c>
      <c r="E4054" s="104">
        <v>46356</v>
      </c>
      <c r="F4054" s="105">
        <v>46357</v>
      </c>
      <c r="G4054" s="105">
        <v>46360</v>
      </c>
      <c r="H4054" s="120"/>
      <c r="I4054" s="106"/>
      <c r="J4054" s="107"/>
      <c r="K4054" s="107"/>
      <c r="L4054" s="107"/>
      <c r="M4054" s="107">
        <f t="shared" si="116"/>
        <v>0</v>
      </c>
      <c r="N4054" s="108" t="s">
        <v>718</v>
      </c>
    </row>
    <row r="4055" spans="2:14" ht="23.25" customHeight="1">
      <c r="B4055" s="103" t="s">
        <v>307</v>
      </c>
      <c r="C4055" s="121" t="s">
        <v>983</v>
      </c>
      <c r="D4055" s="103" t="s">
        <v>411</v>
      </c>
      <c r="E4055" s="104">
        <v>46356</v>
      </c>
      <c r="F4055" s="105">
        <v>46357</v>
      </c>
      <c r="G4055" s="105">
        <v>46360</v>
      </c>
      <c r="H4055" s="120"/>
      <c r="I4055" s="106"/>
      <c r="J4055" s="107"/>
      <c r="K4055" s="107"/>
      <c r="L4055" s="107"/>
      <c r="M4055" s="107">
        <f t="shared" si="116"/>
        <v>0</v>
      </c>
      <c r="N4055" s="108" t="s">
        <v>718</v>
      </c>
    </row>
    <row r="4056" spans="2:14" ht="23.25" customHeight="1">
      <c r="B4056" s="103" t="s">
        <v>185</v>
      </c>
      <c r="C4056" s="122" t="s">
        <v>985</v>
      </c>
      <c r="D4056" s="103" t="s">
        <v>411</v>
      </c>
      <c r="E4056" s="104">
        <v>46356</v>
      </c>
      <c r="F4056" s="105">
        <v>46357</v>
      </c>
      <c r="G4056" s="105">
        <v>46360</v>
      </c>
      <c r="H4056" s="120"/>
      <c r="I4056" s="106"/>
      <c r="J4056" s="107"/>
      <c r="K4056" s="107"/>
      <c r="L4056" s="107"/>
      <c r="M4056" s="107">
        <f t="shared" si="116"/>
        <v>0</v>
      </c>
      <c r="N4056" s="108" t="s">
        <v>718</v>
      </c>
    </row>
    <row r="4057" spans="2:14" ht="23.25" customHeight="1">
      <c r="B4057" s="103" t="s">
        <v>193</v>
      </c>
      <c r="C4057" s="119" t="s">
        <v>984</v>
      </c>
      <c r="D4057" s="118" t="s">
        <v>411</v>
      </c>
      <c r="E4057" s="104">
        <v>46356</v>
      </c>
      <c r="F4057" s="105">
        <v>46357</v>
      </c>
      <c r="G4057" s="105">
        <v>46360</v>
      </c>
      <c r="H4057" s="120"/>
      <c r="I4057" s="106"/>
      <c r="J4057" s="107"/>
      <c r="K4057" s="107"/>
      <c r="L4057" s="107"/>
      <c r="M4057" s="107">
        <f t="shared" si="116"/>
        <v>0</v>
      </c>
      <c r="N4057" s="108" t="s">
        <v>718</v>
      </c>
    </row>
    <row r="4058" spans="2:14" ht="23.25" customHeight="1">
      <c r="B4058" s="103" t="s">
        <v>309</v>
      </c>
      <c r="C4058" s="121" t="s">
        <v>736</v>
      </c>
      <c r="D4058" s="103" t="s">
        <v>411</v>
      </c>
      <c r="E4058" s="104">
        <v>46356</v>
      </c>
      <c r="F4058" s="105">
        <v>46357</v>
      </c>
      <c r="G4058" s="105">
        <v>46360</v>
      </c>
      <c r="H4058" s="120"/>
      <c r="I4058" s="106"/>
      <c r="J4058" s="107"/>
      <c r="K4058" s="107"/>
      <c r="L4058" s="107"/>
      <c r="M4058" s="107">
        <f t="shared" si="116"/>
        <v>0</v>
      </c>
      <c r="N4058" s="108" t="s">
        <v>718</v>
      </c>
    </row>
    <row r="4059" spans="2:14" ht="23.25" customHeight="1">
      <c r="B4059" s="103" t="s">
        <v>187</v>
      </c>
      <c r="C4059" s="122" t="s">
        <v>737</v>
      </c>
      <c r="D4059" s="103" t="s">
        <v>411</v>
      </c>
      <c r="E4059" s="104">
        <v>46356</v>
      </c>
      <c r="F4059" s="105">
        <v>46357</v>
      </c>
      <c r="G4059" s="105">
        <v>46360</v>
      </c>
      <c r="H4059" s="120"/>
      <c r="I4059" s="106"/>
      <c r="J4059" s="107"/>
      <c r="K4059" s="107"/>
      <c r="L4059" s="107"/>
      <c r="M4059" s="107">
        <f t="shared" si="116"/>
        <v>0</v>
      </c>
      <c r="N4059" s="108" t="s">
        <v>718</v>
      </c>
    </row>
    <row r="4060" spans="2:14" ht="23.25" customHeight="1">
      <c r="B4060" s="103" t="s">
        <v>195</v>
      </c>
      <c r="C4060" s="119" t="s">
        <v>738</v>
      </c>
      <c r="D4060" s="118" t="s">
        <v>411</v>
      </c>
      <c r="E4060" s="104">
        <v>46356</v>
      </c>
      <c r="F4060" s="105">
        <v>46357</v>
      </c>
      <c r="G4060" s="105">
        <v>46360</v>
      </c>
      <c r="H4060" s="120"/>
      <c r="I4060" s="106"/>
      <c r="J4060" s="107"/>
      <c r="K4060" s="107"/>
      <c r="L4060" s="107"/>
      <c r="M4060" s="107">
        <f t="shared" si="116"/>
        <v>0</v>
      </c>
      <c r="N4060" s="108" t="s">
        <v>718</v>
      </c>
    </row>
    <row r="4061" spans="2:14" ht="23.25" customHeight="1">
      <c r="B4061" s="103" t="s">
        <v>312</v>
      </c>
      <c r="C4061" s="121" t="s">
        <v>739</v>
      </c>
      <c r="D4061" s="103" t="s">
        <v>411</v>
      </c>
      <c r="E4061" s="104">
        <v>46356</v>
      </c>
      <c r="F4061" s="105">
        <v>46357</v>
      </c>
      <c r="G4061" s="105">
        <v>46360</v>
      </c>
      <c r="H4061" s="120"/>
      <c r="I4061" s="106"/>
      <c r="J4061" s="107"/>
      <c r="K4061" s="107"/>
      <c r="L4061" s="107"/>
      <c r="M4061" s="107">
        <f t="shared" si="116"/>
        <v>0</v>
      </c>
      <c r="N4061" s="108" t="s">
        <v>718</v>
      </c>
    </row>
    <row r="4062" spans="2:14" ht="23.25" customHeight="1">
      <c r="B4062" s="103" t="s">
        <v>190</v>
      </c>
      <c r="C4062" s="122" t="s">
        <v>740</v>
      </c>
      <c r="D4062" s="103" t="s">
        <v>411</v>
      </c>
      <c r="E4062" s="104">
        <v>46356</v>
      </c>
      <c r="F4062" s="105">
        <v>46357</v>
      </c>
      <c r="G4062" s="105">
        <v>46360</v>
      </c>
      <c r="H4062" s="120"/>
      <c r="I4062" s="106"/>
      <c r="J4062" s="107"/>
      <c r="K4062" s="107"/>
      <c r="L4062" s="107"/>
      <c r="M4062" s="107">
        <f t="shared" si="116"/>
        <v>0</v>
      </c>
      <c r="N4062" s="108" t="s">
        <v>718</v>
      </c>
    </row>
    <row r="4063" spans="2:14" ht="23.25" customHeight="1">
      <c r="B4063" s="103" t="s">
        <v>198</v>
      </c>
      <c r="C4063" s="119" t="s">
        <v>741</v>
      </c>
      <c r="D4063" s="118" t="s">
        <v>411</v>
      </c>
      <c r="E4063" s="104">
        <v>46356</v>
      </c>
      <c r="F4063" s="105">
        <v>46357</v>
      </c>
      <c r="G4063" s="105">
        <v>46360</v>
      </c>
      <c r="H4063" s="120"/>
      <c r="I4063" s="106"/>
      <c r="J4063" s="107"/>
      <c r="K4063" s="107"/>
      <c r="L4063" s="107"/>
      <c r="M4063" s="107">
        <f t="shared" si="116"/>
        <v>0</v>
      </c>
      <c r="N4063" s="108" t="s">
        <v>718</v>
      </c>
    </row>
    <row r="4064" spans="2:14" ht="23.25" customHeight="1">
      <c r="B4064" s="103" t="s">
        <v>174</v>
      </c>
      <c r="C4064" s="119" t="s">
        <v>382</v>
      </c>
      <c r="D4064" s="118" t="s">
        <v>410</v>
      </c>
      <c r="E4064" s="104">
        <v>46386</v>
      </c>
      <c r="F4064" s="105">
        <v>46387</v>
      </c>
      <c r="G4064" s="105">
        <v>46393</v>
      </c>
      <c r="H4064" s="120"/>
      <c r="I4064" s="107"/>
      <c r="J4064" s="107"/>
      <c r="K4064" s="107"/>
      <c r="L4064" s="107"/>
      <c r="M4064" s="107">
        <f t="shared" si="116"/>
        <v>0</v>
      </c>
      <c r="N4064" s="108" t="s">
        <v>247</v>
      </c>
    </row>
    <row r="4065" spans="2:14" ht="23.25" customHeight="1">
      <c r="B4065" s="103" t="s">
        <v>176</v>
      </c>
      <c r="C4065" s="119" t="s">
        <v>877</v>
      </c>
      <c r="D4065" s="118" t="s">
        <v>410</v>
      </c>
      <c r="E4065" s="104">
        <v>46386</v>
      </c>
      <c r="F4065" s="105">
        <v>46387</v>
      </c>
      <c r="G4065" s="105">
        <v>46393</v>
      </c>
      <c r="H4065" s="120"/>
      <c r="I4065" s="107"/>
      <c r="J4065" s="107"/>
      <c r="K4065" s="107"/>
      <c r="L4065" s="107"/>
      <c r="M4065" s="107">
        <f t="shared" si="116"/>
        <v>0</v>
      </c>
      <c r="N4065" s="108" t="s">
        <v>247</v>
      </c>
    </row>
    <row r="4066" spans="2:14" ht="23.25" customHeight="1">
      <c r="B4066" s="103" t="s">
        <v>175</v>
      </c>
      <c r="C4066" s="119" t="s">
        <v>465</v>
      </c>
      <c r="D4066" s="118" t="s">
        <v>410</v>
      </c>
      <c r="E4066" s="104">
        <v>46386</v>
      </c>
      <c r="F4066" s="105">
        <v>46387</v>
      </c>
      <c r="G4066" s="105">
        <v>46393</v>
      </c>
      <c r="H4066" s="120"/>
      <c r="I4066" s="107"/>
      <c r="J4066" s="107"/>
      <c r="K4066" s="107"/>
      <c r="L4066" s="107"/>
      <c r="M4066" s="107">
        <f t="shared" si="116"/>
        <v>0</v>
      </c>
      <c r="N4066" s="108" t="s">
        <v>247</v>
      </c>
    </row>
    <row r="4067" spans="2:14" ht="23.25" customHeight="1">
      <c r="B4067" s="103" t="s">
        <v>313</v>
      </c>
      <c r="C4067" s="121" t="s">
        <v>884</v>
      </c>
      <c r="D4067" s="103" t="s">
        <v>411</v>
      </c>
      <c r="E4067" s="104">
        <v>46387</v>
      </c>
      <c r="F4067" s="105">
        <v>46391</v>
      </c>
      <c r="G4067" s="105">
        <v>46394</v>
      </c>
      <c r="H4067" s="174"/>
      <c r="I4067" s="106"/>
      <c r="J4067" s="107"/>
      <c r="K4067" s="107"/>
      <c r="L4067" s="107"/>
      <c r="M4067" s="107">
        <f t="shared" si="116"/>
        <v>0</v>
      </c>
      <c r="N4067" s="108" t="s">
        <v>718</v>
      </c>
    </row>
    <row r="4068" spans="2:14" ht="23.25" customHeight="1">
      <c r="B4068" s="103" t="s">
        <v>310</v>
      </c>
      <c r="C4068" s="121" t="s">
        <v>719</v>
      </c>
      <c r="D4068" s="103" t="s">
        <v>411</v>
      </c>
      <c r="E4068" s="104">
        <v>46387</v>
      </c>
      <c r="F4068" s="105">
        <v>46391</v>
      </c>
      <c r="G4068" s="105">
        <v>46394</v>
      </c>
      <c r="H4068" s="120"/>
      <c r="I4068" s="106"/>
      <c r="J4068" s="107"/>
      <c r="K4068" s="107"/>
      <c r="L4068" s="107"/>
      <c r="M4068" s="107">
        <f t="shared" si="116"/>
        <v>0</v>
      </c>
      <c r="N4068" s="108" t="s">
        <v>718</v>
      </c>
    </row>
    <row r="4069" spans="2:14" ht="23.25" customHeight="1">
      <c r="B4069" s="103" t="s">
        <v>188</v>
      </c>
      <c r="C4069" s="122" t="s">
        <v>720</v>
      </c>
      <c r="D4069" s="103" t="s">
        <v>411</v>
      </c>
      <c r="E4069" s="104">
        <v>46387</v>
      </c>
      <c r="F4069" s="105">
        <v>46391</v>
      </c>
      <c r="G4069" s="105">
        <v>46394</v>
      </c>
      <c r="H4069" s="120"/>
      <c r="I4069" s="106"/>
      <c r="J4069" s="107"/>
      <c r="K4069" s="107"/>
      <c r="L4069" s="107"/>
      <c r="M4069" s="107">
        <f t="shared" ref="M4069:M4091" si="117">J4069+L4069</f>
        <v>0</v>
      </c>
      <c r="N4069" s="108" t="s">
        <v>718</v>
      </c>
    </row>
    <row r="4070" spans="2:14" ht="23.25" customHeight="1">
      <c r="B4070" s="103" t="s">
        <v>196</v>
      </c>
      <c r="C4070" s="119" t="s">
        <v>721</v>
      </c>
      <c r="D4070" s="118" t="s">
        <v>411</v>
      </c>
      <c r="E4070" s="104">
        <v>46387</v>
      </c>
      <c r="F4070" s="105">
        <v>46391</v>
      </c>
      <c r="G4070" s="105">
        <v>46394</v>
      </c>
      <c r="H4070" s="120"/>
      <c r="I4070" s="106"/>
      <c r="J4070" s="107"/>
      <c r="K4070" s="107"/>
      <c r="L4070" s="107"/>
      <c r="M4070" s="107">
        <f t="shared" si="117"/>
        <v>0</v>
      </c>
      <c r="N4070" s="108" t="s">
        <v>718</v>
      </c>
    </row>
    <row r="4071" spans="2:14" ht="23.25" customHeight="1">
      <c r="B4071" s="103" t="s">
        <v>191</v>
      </c>
      <c r="C4071" s="122" t="s">
        <v>722</v>
      </c>
      <c r="D4071" s="103" t="s">
        <v>411</v>
      </c>
      <c r="E4071" s="104">
        <v>46387</v>
      </c>
      <c r="F4071" s="105">
        <v>46391</v>
      </c>
      <c r="G4071" s="105">
        <v>46394</v>
      </c>
      <c r="H4071" s="120"/>
      <c r="I4071" s="106"/>
      <c r="J4071" s="107"/>
      <c r="K4071" s="107"/>
      <c r="L4071" s="107"/>
      <c r="M4071" s="107">
        <f t="shared" si="117"/>
        <v>0</v>
      </c>
      <c r="N4071" s="108" t="s">
        <v>718</v>
      </c>
    </row>
    <row r="4072" spans="2:14" ht="23.25" customHeight="1">
      <c r="B4072" s="103" t="s">
        <v>199</v>
      </c>
      <c r="C4072" s="119" t="s">
        <v>723</v>
      </c>
      <c r="D4072" s="118" t="s">
        <v>411</v>
      </c>
      <c r="E4072" s="104">
        <v>46387</v>
      </c>
      <c r="F4072" s="105">
        <v>46391</v>
      </c>
      <c r="G4072" s="105">
        <v>46394</v>
      </c>
      <c r="H4072" s="120"/>
      <c r="I4072" s="106"/>
      <c r="J4072" s="107"/>
      <c r="K4072" s="107"/>
      <c r="L4072" s="107"/>
      <c r="M4072" s="107">
        <f t="shared" si="117"/>
        <v>0</v>
      </c>
      <c r="N4072" s="108" t="s">
        <v>718</v>
      </c>
    </row>
    <row r="4073" spans="2:14" ht="23.25" customHeight="1">
      <c r="B4073" s="103" t="s">
        <v>306</v>
      </c>
      <c r="C4073" s="121" t="s">
        <v>724</v>
      </c>
      <c r="D4073" s="103" t="s">
        <v>411</v>
      </c>
      <c r="E4073" s="104">
        <v>46387</v>
      </c>
      <c r="F4073" s="105">
        <v>46391</v>
      </c>
      <c r="G4073" s="105">
        <v>46394</v>
      </c>
      <c r="H4073" s="120"/>
      <c r="I4073" s="106"/>
      <c r="J4073" s="107"/>
      <c r="K4073" s="107"/>
      <c r="L4073" s="107"/>
      <c r="M4073" s="107">
        <f t="shared" si="117"/>
        <v>0</v>
      </c>
      <c r="N4073" s="108" t="s">
        <v>718</v>
      </c>
    </row>
    <row r="4074" spans="2:14" ht="23.25" customHeight="1">
      <c r="B4074" s="103" t="s">
        <v>184</v>
      </c>
      <c r="C4074" s="122" t="s">
        <v>725</v>
      </c>
      <c r="D4074" s="103" t="s">
        <v>411</v>
      </c>
      <c r="E4074" s="104">
        <v>46387</v>
      </c>
      <c r="F4074" s="105">
        <v>46391</v>
      </c>
      <c r="G4074" s="105">
        <v>46394</v>
      </c>
      <c r="H4074" s="120"/>
      <c r="I4074" s="106"/>
      <c r="J4074" s="107"/>
      <c r="K4074" s="107"/>
      <c r="L4074" s="107"/>
      <c r="M4074" s="107">
        <f t="shared" si="117"/>
        <v>0</v>
      </c>
      <c r="N4074" s="108" t="s">
        <v>718</v>
      </c>
    </row>
    <row r="4075" spans="2:14" ht="23.25" customHeight="1">
      <c r="B4075" s="103" t="s">
        <v>192</v>
      </c>
      <c r="C4075" s="119" t="s">
        <v>726</v>
      </c>
      <c r="D4075" s="118" t="s">
        <v>411</v>
      </c>
      <c r="E4075" s="104">
        <v>46387</v>
      </c>
      <c r="F4075" s="105">
        <v>46391</v>
      </c>
      <c r="G4075" s="105">
        <v>46394</v>
      </c>
      <c r="H4075" s="120"/>
      <c r="I4075" s="106"/>
      <c r="J4075" s="107"/>
      <c r="K4075" s="107"/>
      <c r="L4075" s="107"/>
      <c r="M4075" s="107">
        <f t="shared" si="117"/>
        <v>0</v>
      </c>
      <c r="N4075" s="108" t="s">
        <v>718</v>
      </c>
    </row>
    <row r="4076" spans="2:14" ht="23.25" customHeight="1">
      <c r="B4076" s="103" t="s">
        <v>311</v>
      </c>
      <c r="C4076" s="121" t="s">
        <v>727</v>
      </c>
      <c r="D4076" s="103" t="s">
        <v>411</v>
      </c>
      <c r="E4076" s="104">
        <v>46387</v>
      </c>
      <c r="F4076" s="105">
        <v>46391</v>
      </c>
      <c r="G4076" s="105">
        <v>46394</v>
      </c>
      <c r="H4076" s="120"/>
      <c r="I4076" s="106"/>
      <c r="J4076" s="107"/>
      <c r="K4076" s="107"/>
      <c r="L4076" s="107"/>
      <c r="M4076" s="107">
        <f t="shared" si="117"/>
        <v>0</v>
      </c>
      <c r="N4076" s="108" t="s">
        <v>718</v>
      </c>
    </row>
    <row r="4077" spans="2:14" ht="23.25" customHeight="1">
      <c r="B4077" s="103" t="s">
        <v>189</v>
      </c>
      <c r="C4077" s="122" t="s">
        <v>728</v>
      </c>
      <c r="D4077" s="103" t="s">
        <v>411</v>
      </c>
      <c r="E4077" s="104">
        <v>46387</v>
      </c>
      <c r="F4077" s="105">
        <v>46391</v>
      </c>
      <c r="G4077" s="105">
        <v>46394</v>
      </c>
      <c r="H4077" s="120"/>
      <c r="I4077" s="106"/>
      <c r="J4077" s="107"/>
      <c r="K4077" s="107"/>
      <c r="L4077" s="107"/>
      <c r="M4077" s="107">
        <f t="shared" si="117"/>
        <v>0</v>
      </c>
      <c r="N4077" s="108" t="s">
        <v>718</v>
      </c>
    </row>
    <row r="4078" spans="2:14" ht="23.25" customHeight="1">
      <c r="B4078" s="103" t="s">
        <v>197</v>
      </c>
      <c r="C4078" s="119" t="s">
        <v>729</v>
      </c>
      <c r="D4078" s="118" t="s">
        <v>411</v>
      </c>
      <c r="E4078" s="104">
        <v>46387</v>
      </c>
      <c r="F4078" s="105">
        <v>46391</v>
      </c>
      <c r="G4078" s="105">
        <v>46394</v>
      </c>
      <c r="H4078" s="120"/>
      <c r="I4078" s="106"/>
      <c r="J4078" s="107"/>
      <c r="K4078" s="107"/>
      <c r="L4078" s="107"/>
      <c r="M4078" s="107">
        <f t="shared" si="117"/>
        <v>0</v>
      </c>
      <c r="N4078" s="108" t="s">
        <v>718</v>
      </c>
    </row>
    <row r="4079" spans="2:14" ht="23.25" customHeight="1">
      <c r="B4079" s="103" t="s">
        <v>308</v>
      </c>
      <c r="C4079" s="121" t="s">
        <v>730</v>
      </c>
      <c r="D4079" s="103" t="s">
        <v>411</v>
      </c>
      <c r="E4079" s="104">
        <v>46387</v>
      </c>
      <c r="F4079" s="105">
        <v>46391</v>
      </c>
      <c r="G4079" s="105">
        <v>46394</v>
      </c>
      <c r="H4079" s="120"/>
      <c r="I4079" s="106"/>
      <c r="J4079" s="107"/>
      <c r="K4079" s="107"/>
      <c r="L4079" s="107"/>
      <c r="M4079" s="107">
        <f t="shared" si="117"/>
        <v>0</v>
      </c>
      <c r="N4079" s="108" t="s">
        <v>718</v>
      </c>
    </row>
    <row r="4080" spans="2:14" ht="23.25" customHeight="1">
      <c r="B4080" s="103" t="s">
        <v>186</v>
      </c>
      <c r="C4080" s="122" t="s">
        <v>731</v>
      </c>
      <c r="D4080" s="103" t="s">
        <v>411</v>
      </c>
      <c r="E4080" s="104">
        <v>46387</v>
      </c>
      <c r="F4080" s="105">
        <v>46391</v>
      </c>
      <c r="G4080" s="105">
        <v>46394</v>
      </c>
      <c r="H4080" s="120"/>
      <c r="I4080" s="106"/>
      <c r="J4080" s="107"/>
      <c r="K4080" s="107"/>
      <c r="L4080" s="107"/>
      <c r="M4080" s="107">
        <f t="shared" si="117"/>
        <v>0</v>
      </c>
      <c r="N4080" s="108" t="s">
        <v>718</v>
      </c>
    </row>
    <row r="4081" spans="2:14" ht="23.25" customHeight="1">
      <c r="B4081" s="103" t="s">
        <v>194</v>
      </c>
      <c r="C4081" s="119" t="s">
        <v>732</v>
      </c>
      <c r="D4081" s="118" t="s">
        <v>411</v>
      </c>
      <c r="E4081" s="104">
        <v>46387</v>
      </c>
      <c r="F4081" s="105">
        <v>46391</v>
      </c>
      <c r="G4081" s="105">
        <v>46394</v>
      </c>
      <c r="H4081" s="120"/>
      <c r="I4081" s="106"/>
      <c r="J4081" s="107"/>
      <c r="K4081" s="107"/>
      <c r="L4081" s="107"/>
      <c r="M4081" s="107">
        <f t="shared" si="117"/>
        <v>0</v>
      </c>
      <c r="N4081" s="108" t="s">
        <v>718</v>
      </c>
    </row>
    <row r="4082" spans="2:14" ht="23.25" customHeight="1">
      <c r="B4082" s="103" t="s">
        <v>307</v>
      </c>
      <c r="C4082" s="121" t="s">
        <v>983</v>
      </c>
      <c r="D4082" s="103" t="s">
        <v>411</v>
      </c>
      <c r="E4082" s="104">
        <v>46387</v>
      </c>
      <c r="F4082" s="105">
        <v>46391</v>
      </c>
      <c r="G4082" s="105">
        <v>46394</v>
      </c>
      <c r="H4082" s="120"/>
      <c r="I4082" s="106"/>
      <c r="J4082" s="107"/>
      <c r="K4082" s="107"/>
      <c r="L4082" s="107"/>
      <c r="M4082" s="107">
        <f t="shared" si="117"/>
        <v>0</v>
      </c>
      <c r="N4082" s="108" t="s">
        <v>718</v>
      </c>
    </row>
    <row r="4083" spans="2:14" ht="23.25" customHeight="1">
      <c r="B4083" s="103" t="s">
        <v>185</v>
      </c>
      <c r="C4083" s="122" t="s">
        <v>985</v>
      </c>
      <c r="D4083" s="103" t="s">
        <v>411</v>
      </c>
      <c r="E4083" s="104">
        <v>46387</v>
      </c>
      <c r="F4083" s="105">
        <v>46391</v>
      </c>
      <c r="G4083" s="105">
        <v>46394</v>
      </c>
      <c r="H4083" s="120"/>
      <c r="I4083" s="106"/>
      <c r="J4083" s="107"/>
      <c r="K4083" s="107"/>
      <c r="L4083" s="107"/>
      <c r="M4083" s="107">
        <f t="shared" si="117"/>
        <v>0</v>
      </c>
      <c r="N4083" s="108" t="s">
        <v>718</v>
      </c>
    </row>
    <row r="4084" spans="2:14" ht="23.25" customHeight="1">
      <c r="B4084" s="103" t="s">
        <v>193</v>
      </c>
      <c r="C4084" s="119" t="s">
        <v>984</v>
      </c>
      <c r="D4084" s="118" t="s">
        <v>411</v>
      </c>
      <c r="E4084" s="104">
        <v>46387</v>
      </c>
      <c r="F4084" s="105">
        <v>46391</v>
      </c>
      <c r="G4084" s="105">
        <v>46394</v>
      </c>
      <c r="H4084" s="120"/>
      <c r="I4084" s="106"/>
      <c r="J4084" s="107"/>
      <c r="K4084" s="107"/>
      <c r="L4084" s="107"/>
      <c r="M4084" s="107">
        <f t="shared" si="117"/>
        <v>0</v>
      </c>
      <c r="N4084" s="108" t="s">
        <v>718</v>
      </c>
    </row>
    <row r="4085" spans="2:14" ht="23.25" customHeight="1">
      <c r="B4085" s="103" t="s">
        <v>309</v>
      </c>
      <c r="C4085" s="121" t="s">
        <v>736</v>
      </c>
      <c r="D4085" s="103" t="s">
        <v>411</v>
      </c>
      <c r="E4085" s="104">
        <v>46387</v>
      </c>
      <c r="F4085" s="105">
        <v>46391</v>
      </c>
      <c r="G4085" s="105">
        <v>46394</v>
      </c>
      <c r="H4085" s="120"/>
      <c r="I4085" s="106"/>
      <c r="J4085" s="107"/>
      <c r="K4085" s="107"/>
      <c r="L4085" s="107"/>
      <c r="M4085" s="107">
        <f t="shared" si="117"/>
        <v>0</v>
      </c>
      <c r="N4085" s="108" t="s">
        <v>718</v>
      </c>
    </row>
    <row r="4086" spans="2:14" ht="23.25" customHeight="1">
      <c r="B4086" s="103" t="s">
        <v>187</v>
      </c>
      <c r="C4086" s="122" t="s">
        <v>737</v>
      </c>
      <c r="D4086" s="103" t="s">
        <v>411</v>
      </c>
      <c r="E4086" s="104">
        <v>46387</v>
      </c>
      <c r="F4086" s="105">
        <v>46391</v>
      </c>
      <c r="G4086" s="105">
        <v>46394</v>
      </c>
      <c r="H4086" s="120"/>
      <c r="I4086" s="106"/>
      <c r="J4086" s="107"/>
      <c r="K4086" s="107"/>
      <c r="L4086" s="107"/>
      <c r="M4086" s="107">
        <f t="shared" si="117"/>
        <v>0</v>
      </c>
      <c r="N4086" s="108" t="s">
        <v>718</v>
      </c>
    </row>
    <row r="4087" spans="2:14" ht="23.25" customHeight="1">
      <c r="B4087" s="103" t="s">
        <v>195</v>
      </c>
      <c r="C4087" s="119" t="s">
        <v>738</v>
      </c>
      <c r="D4087" s="118" t="s">
        <v>411</v>
      </c>
      <c r="E4087" s="104">
        <v>46387</v>
      </c>
      <c r="F4087" s="105">
        <v>46391</v>
      </c>
      <c r="G4087" s="105">
        <v>46394</v>
      </c>
      <c r="H4087" s="120"/>
      <c r="I4087" s="106"/>
      <c r="J4087" s="107"/>
      <c r="K4087" s="107"/>
      <c r="L4087" s="107"/>
      <c r="M4087" s="107">
        <f t="shared" si="117"/>
        <v>0</v>
      </c>
      <c r="N4087" s="108" t="s">
        <v>718</v>
      </c>
    </row>
    <row r="4088" spans="2:14" ht="23.25" customHeight="1">
      <c r="B4088" s="103" t="s">
        <v>312</v>
      </c>
      <c r="C4088" s="121" t="s">
        <v>739</v>
      </c>
      <c r="D4088" s="103" t="s">
        <v>411</v>
      </c>
      <c r="E4088" s="104">
        <v>46387</v>
      </c>
      <c r="F4088" s="105">
        <v>46391</v>
      </c>
      <c r="G4088" s="105">
        <v>46394</v>
      </c>
      <c r="H4088" s="120"/>
      <c r="I4088" s="106"/>
      <c r="J4088" s="107"/>
      <c r="K4088" s="107"/>
      <c r="L4088" s="107"/>
      <c r="M4088" s="107">
        <f t="shared" si="117"/>
        <v>0</v>
      </c>
      <c r="N4088" s="108" t="s">
        <v>718</v>
      </c>
    </row>
    <row r="4089" spans="2:14" ht="23.25" customHeight="1">
      <c r="B4089" s="103" t="s">
        <v>190</v>
      </c>
      <c r="C4089" s="122" t="s">
        <v>740</v>
      </c>
      <c r="D4089" s="103" t="s">
        <v>411</v>
      </c>
      <c r="E4089" s="104">
        <v>46387</v>
      </c>
      <c r="F4089" s="105">
        <v>46391</v>
      </c>
      <c r="G4089" s="105">
        <v>46394</v>
      </c>
      <c r="H4089" s="120"/>
      <c r="I4089" s="106"/>
      <c r="J4089" s="107"/>
      <c r="K4089" s="107"/>
      <c r="L4089" s="107"/>
      <c r="M4089" s="107">
        <f t="shared" si="117"/>
        <v>0</v>
      </c>
      <c r="N4089" s="108" t="s">
        <v>718</v>
      </c>
    </row>
    <row r="4090" spans="2:14" ht="23.25" customHeight="1">
      <c r="B4090" s="103" t="s">
        <v>198</v>
      </c>
      <c r="C4090" s="119" t="s">
        <v>741</v>
      </c>
      <c r="D4090" s="118" t="s">
        <v>411</v>
      </c>
      <c r="E4090" s="104">
        <v>46387</v>
      </c>
      <c r="F4090" s="105">
        <v>46391</v>
      </c>
      <c r="G4090" s="105">
        <v>46394</v>
      </c>
      <c r="H4090" s="120"/>
      <c r="I4090" s="106"/>
      <c r="J4090" s="107"/>
      <c r="K4090" s="107"/>
      <c r="L4090" s="107"/>
      <c r="M4090" s="107">
        <f t="shared" si="117"/>
        <v>0</v>
      </c>
      <c r="N4090" s="108" t="s">
        <v>718</v>
      </c>
    </row>
    <row r="4091" spans="2:14" ht="23.25" customHeight="1">
      <c r="B4091" s="103" t="s">
        <v>313</v>
      </c>
      <c r="C4091" s="121" t="s">
        <v>884</v>
      </c>
      <c r="D4091" s="103" t="s">
        <v>411</v>
      </c>
      <c r="E4091" s="104">
        <v>46387</v>
      </c>
      <c r="F4091" s="105">
        <v>46391</v>
      </c>
      <c r="G4091" s="105">
        <v>46394</v>
      </c>
      <c r="H4091" s="174"/>
      <c r="I4091" s="106"/>
      <c r="J4091" s="107"/>
      <c r="K4091" s="107"/>
      <c r="L4091" s="107"/>
      <c r="M4091" s="107">
        <f t="shared" si="117"/>
        <v>0</v>
      </c>
      <c r="N4091" s="108" t="s">
        <v>718</v>
      </c>
    </row>
    <row r="4092" spans="2:14" ht="23.25" customHeight="1">
      <c r="B4092" s="103" t="s">
        <v>298</v>
      </c>
      <c r="C4092" s="121" t="s">
        <v>403</v>
      </c>
      <c r="D4092" s="103" t="s">
        <v>410</v>
      </c>
      <c r="E4092" s="104">
        <v>46387</v>
      </c>
      <c r="F4092" s="105">
        <v>46391</v>
      </c>
      <c r="G4092" s="105">
        <v>46394</v>
      </c>
      <c r="H4092" s="120"/>
      <c r="I4092" s="107"/>
      <c r="J4092" s="107"/>
      <c r="K4092" s="107"/>
      <c r="L4092" s="107"/>
      <c r="M4092" s="107">
        <v>0</v>
      </c>
      <c r="N4092" s="108" t="s">
        <v>248</v>
      </c>
    </row>
    <row r="4093" spans="2:14" ht="23.25" customHeight="1">
      <c r="B4093" s="103" t="s">
        <v>181</v>
      </c>
      <c r="C4093" s="122" t="s">
        <v>335</v>
      </c>
      <c r="D4093" s="103" t="s">
        <v>410</v>
      </c>
      <c r="E4093" s="104">
        <v>46387</v>
      </c>
      <c r="F4093" s="105">
        <v>46391</v>
      </c>
      <c r="G4093" s="105">
        <v>46394</v>
      </c>
      <c r="H4093" s="120"/>
      <c r="I4093" s="107"/>
      <c r="J4093" s="107"/>
      <c r="K4093" s="107"/>
      <c r="L4093" s="107"/>
      <c r="M4093" s="107">
        <v>0</v>
      </c>
      <c r="N4093" s="108" t="s">
        <v>248</v>
      </c>
    </row>
    <row r="4094" spans="2:14" ht="23.25" customHeight="1">
      <c r="B4094" s="103" t="s">
        <v>201</v>
      </c>
      <c r="C4094" s="119" t="s">
        <v>336</v>
      </c>
      <c r="D4094" s="103" t="s">
        <v>410</v>
      </c>
      <c r="E4094" s="104">
        <v>46387</v>
      </c>
      <c r="F4094" s="105">
        <v>46391</v>
      </c>
      <c r="G4094" s="105">
        <v>46394</v>
      </c>
      <c r="H4094" s="120"/>
      <c r="I4094" s="107"/>
      <c r="J4094" s="107"/>
      <c r="K4094" s="107"/>
      <c r="L4094" s="107"/>
      <c r="M4094" s="107">
        <v>0</v>
      </c>
      <c r="N4094" s="108" t="s">
        <v>248</v>
      </c>
    </row>
    <row r="4095" spans="2:14" ht="23.25" customHeight="1">
      <c r="B4095" s="103" t="s">
        <v>138</v>
      </c>
      <c r="C4095" s="121" t="s">
        <v>337</v>
      </c>
      <c r="D4095" s="103" t="s">
        <v>410</v>
      </c>
      <c r="E4095" s="104">
        <v>46387</v>
      </c>
      <c r="F4095" s="105">
        <v>46391</v>
      </c>
      <c r="G4095" s="105">
        <v>46394</v>
      </c>
      <c r="H4095" s="120"/>
      <c r="I4095" s="107"/>
      <c r="J4095" s="107"/>
      <c r="K4095" s="107"/>
      <c r="L4095" s="107"/>
      <c r="M4095" s="107">
        <v>0</v>
      </c>
      <c r="N4095" s="108" t="s">
        <v>248</v>
      </c>
    </row>
    <row r="4096" spans="2:14" ht="23.25" customHeight="1">
      <c r="B4096" s="103" t="s">
        <v>160</v>
      </c>
      <c r="C4096" s="122" t="s">
        <v>338</v>
      </c>
      <c r="D4096" s="103" t="s">
        <v>410</v>
      </c>
      <c r="E4096" s="104">
        <v>46387</v>
      </c>
      <c r="F4096" s="105">
        <v>46391</v>
      </c>
      <c r="G4096" s="105">
        <v>46394</v>
      </c>
      <c r="H4096" s="120"/>
      <c r="I4096" s="107"/>
      <c r="J4096" s="107"/>
      <c r="K4096" s="107"/>
      <c r="L4096" s="107"/>
      <c r="M4096" s="107">
        <v>0</v>
      </c>
      <c r="N4096" s="108" t="s">
        <v>248</v>
      </c>
    </row>
    <row r="4097" spans="2:14" ht="23.25" customHeight="1">
      <c r="B4097" s="103" t="s">
        <v>300</v>
      </c>
      <c r="C4097" s="121" t="s">
        <v>404</v>
      </c>
      <c r="D4097" s="103" t="s">
        <v>410</v>
      </c>
      <c r="E4097" s="104">
        <v>46387</v>
      </c>
      <c r="F4097" s="105">
        <v>46391</v>
      </c>
      <c r="G4097" s="105">
        <v>46394</v>
      </c>
      <c r="H4097" s="120"/>
      <c r="I4097" s="107"/>
      <c r="J4097" s="107"/>
      <c r="K4097" s="107"/>
      <c r="L4097" s="107"/>
      <c r="M4097" s="107">
        <v>0</v>
      </c>
      <c r="N4097" s="108" t="s">
        <v>248</v>
      </c>
    </row>
    <row r="4098" spans="2:14" ht="23.25" customHeight="1">
      <c r="B4098" s="103" t="s">
        <v>142</v>
      </c>
      <c r="C4098" s="121" t="s">
        <v>341</v>
      </c>
      <c r="D4098" s="103" t="s">
        <v>410</v>
      </c>
      <c r="E4098" s="104">
        <v>46387</v>
      </c>
      <c r="F4098" s="105">
        <v>46391</v>
      </c>
      <c r="G4098" s="105">
        <v>46394</v>
      </c>
      <c r="H4098" s="120"/>
      <c r="I4098" s="107"/>
      <c r="J4098" s="107"/>
      <c r="K4098" s="107"/>
      <c r="L4098" s="107"/>
      <c r="M4098" s="107">
        <v>0</v>
      </c>
      <c r="N4098" s="108" t="s">
        <v>248</v>
      </c>
    </row>
    <row r="4099" spans="2:14" ht="23.25" customHeight="1">
      <c r="B4099" s="103" t="s">
        <v>159</v>
      </c>
      <c r="C4099" s="122" t="s">
        <v>342</v>
      </c>
      <c r="D4099" s="103" t="s">
        <v>410</v>
      </c>
      <c r="E4099" s="104">
        <v>46387</v>
      </c>
      <c r="F4099" s="105">
        <v>46391</v>
      </c>
      <c r="G4099" s="105">
        <v>46394</v>
      </c>
      <c r="H4099" s="120"/>
      <c r="I4099" s="107"/>
      <c r="J4099" s="107"/>
      <c r="K4099" s="107"/>
      <c r="L4099" s="107"/>
      <c r="M4099" s="107">
        <v>0</v>
      </c>
      <c r="N4099" s="108" t="s">
        <v>248</v>
      </c>
    </row>
    <row r="4100" spans="2:14" ht="23.25" customHeight="1">
      <c r="B4100" s="103" t="s">
        <v>507</v>
      </c>
      <c r="C4100" s="122" t="s">
        <v>508</v>
      </c>
      <c r="D4100" s="103" t="s">
        <v>410</v>
      </c>
      <c r="E4100" s="104">
        <v>46387</v>
      </c>
      <c r="F4100" s="105">
        <v>46391</v>
      </c>
      <c r="G4100" s="105">
        <v>46394</v>
      </c>
      <c r="H4100" s="120"/>
      <c r="I4100" s="107"/>
      <c r="J4100" s="107"/>
      <c r="K4100" s="107"/>
      <c r="L4100" s="107"/>
      <c r="M4100" s="107">
        <v>0</v>
      </c>
      <c r="N4100" s="118" t="s">
        <v>248</v>
      </c>
    </row>
    <row r="4101" spans="2:14" ht="23.25" customHeight="1">
      <c r="B4101" s="103" t="s">
        <v>139</v>
      </c>
      <c r="C4101" s="121" t="s">
        <v>344</v>
      </c>
      <c r="D4101" s="103" t="s">
        <v>410</v>
      </c>
      <c r="E4101" s="104">
        <v>46387</v>
      </c>
      <c r="F4101" s="105">
        <v>46391</v>
      </c>
      <c r="G4101" s="105">
        <v>46394</v>
      </c>
      <c r="H4101" s="120"/>
      <c r="I4101" s="107"/>
      <c r="J4101" s="107"/>
      <c r="K4101" s="107"/>
      <c r="L4101" s="107"/>
      <c r="M4101" s="107">
        <v>0</v>
      </c>
      <c r="N4101" s="108" t="s">
        <v>248</v>
      </c>
    </row>
    <row r="4102" spans="2:14" ht="23.25" customHeight="1">
      <c r="B4102" s="103" t="s">
        <v>161</v>
      </c>
      <c r="C4102" s="122" t="s">
        <v>345</v>
      </c>
      <c r="D4102" s="103" t="s">
        <v>410</v>
      </c>
      <c r="E4102" s="104">
        <v>46387</v>
      </c>
      <c r="F4102" s="105">
        <v>46391</v>
      </c>
      <c r="G4102" s="105">
        <v>46394</v>
      </c>
      <c r="H4102" s="120"/>
      <c r="I4102" s="107"/>
      <c r="J4102" s="107"/>
      <c r="K4102" s="107"/>
      <c r="L4102" s="107"/>
      <c r="M4102" s="107">
        <v>0</v>
      </c>
      <c r="N4102" s="108" t="s">
        <v>248</v>
      </c>
    </row>
    <row r="4103" spans="2:14" ht="23.25" customHeight="1">
      <c r="B4103" s="103" t="s">
        <v>141</v>
      </c>
      <c r="C4103" s="121" t="s">
        <v>348</v>
      </c>
      <c r="D4103" s="103" t="s">
        <v>410</v>
      </c>
      <c r="E4103" s="104">
        <v>46387</v>
      </c>
      <c r="F4103" s="105">
        <v>46391</v>
      </c>
      <c r="G4103" s="105">
        <v>46394</v>
      </c>
      <c r="H4103" s="120"/>
      <c r="I4103" s="107"/>
      <c r="J4103" s="107"/>
      <c r="K4103" s="107"/>
      <c r="L4103" s="107"/>
      <c r="M4103" s="107">
        <v>0</v>
      </c>
      <c r="N4103" s="108" t="s">
        <v>248</v>
      </c>
    </row>
    <row r="4104" spans="2:14" ht="23.25" customHeight="1">
      <c r="B4104" s="103" t="s">
        <v>140</v>
      </c>
      <c r="C4104" s="121" t="s">
        <v>349</v>
      </c>
      <c r="D4104" s="103" t="s">
        <v>410</v>
      </c>
      <c r="E4104" s="104">
        <v>46387</v>
      </c>
      <c r="F4104" s="105">
        <v>46391</v>
      </c>
      <c r="G4104" s="105">
        <v>46394</v>
      </c>
      <c r="H4104" s="120"/>
      <c r="I4104" s="107"/>
      <c r="J4104" s="107"/>
      <c r="K4104" s="107"/>
      <c r="L4104" s="107"/>
      <c r="M4104" s="107">
        <v>0</v>
      </c>
      <c r="N4104" s="108" t="s">
        <v>248</v>
      </c>
    </row>
    <row r="4105" spans="2:14" ht="23.25" customHeight="1">
      <c r="B4105" s="103" t="s">
        <v>162</v>
      </c>
      <c r="C4105" s="122" t="s">
        <v>350</v>
      </c>
      <c r="D4105" s="103" t="s">
        <v>410</v>
      </c>
      <c r="E4105" s="104">
        <v>46387</v>
      </c>
      <c r="F4105" s="105">
        <v>46391</v>
      </c>
      <c r="G4105" s="105">
        <v>46394</v>
      </c>
      <c r="H4105" s="120"/>
      <c r="I4105" s="107"/>
      <c r="J4105" s="107"/>
      <c r="K4105" s="107"/>
      <c r="L4105" s="107"/>
      <c r="M4105" s="107">
        <v>0</v>
      </c>
      <c r="N4105" s="108" t="s">
        <v>248</v>
      </c>
    </row>
    <row r="4106" spans="2:14" ht="23.25" customHeight="1">
      <c r="B4106" s="103" t="s">
        <v>302</v>
      </c>
      <c r="C4106" s="121" t="s">
        <v>405</v>
      </c>
      <c r="D4106" s="103" t="s">
        <v>410</v>
      </c>
      <c r="E4106" s="104">
        <v>46387</v>
      </c>
      <c r="F4106" s="105">
        <v>46391</v>
      </c>
      <c r="G4106" s="105">
        <v>46394</v>
      </c>
      <c r="H4106" s="120"/>
      <c r="I4106" s="107"/>
      <c r="J4106" s="107"/>
      <c r="K4106" s="107"/>
      <c r="L4106" s="107"/>
      <c r="M4106" s="107">
        <v>0</v>
      </c>
      <c r="N4106" s="108" t="s">
        <v>248</v>
      </c>
    </row>
    <row r="4107" spans="2:14" ht="23.25" customHeight="1">
      <c r="B4107" s="103" t="s">
        <v>303</v>
      </c>
      <c r="C4107" s="121" t="s">
        <v>406</v>
      </c>
      <c r="D4107" s="103" t="s">
        <v>410</v>
      </c>
      <c r="E4107" s="104">
        <v>46387</v>
      </c>
      <c r="F4107" s="105">
        <v>46391</v>
      </c>
      <c r="G4107" s="105">
        <v>46394</v>
      </c>
      <c r="H4107" s="120"/>
      <c r="I4107" s="107"/>
      <c r="J4107" s="107"/>
      <c r="K4107" s="107"/>
      <c r="L4107" s="107"/>
      <c r="M4107" s="107">
        <v>0</v>
      </c>
      <c r="N4107" s="108" t="s">
        <v>248</v>
      </c>
    </row>
    <row r="4108" spans="2:14" ht="23.25" customHeight="1">
      <c r="B4108" s="103" t="s">
        <v>143</v>
      </c>
      <c r="C4108" s="121" t="s">
        <v>351</v>
      </c>
      <c r="D4108" s="103" t="s">
        <v>410</v>
      </c>
      <c r="E4108" s="104">
        <v>46387</v>
      </c>
      <c r="F4108" s="105">
        <v>46391</v>
      </c>
      <c r="G4108" s="105">
        <v>46394</v>
      </c>
      <c r="H4108" s="120"/>
      <c r="I4108" s="107"/>
      <c r="J4108" s="107"/>
      <c r="K4108" s="107"/>
      <c r="L4108" s="107"/>
      <c r="M4108" s="107">
        <v>0</v>
      </c>
      <c r="N4108" s="108" t="s">
        <v>248</v>
      </c>
    </row>
    <row r="4109" spans="2:14" ht="23.25" customHeight="1">
      <c r="B4109" s="103" t="s">
        <v>145</v>
      </c>
      <c r="C4109" s="121" t="s">
        <v>974</v>
      </c>
      <c r="D4109" s="103" t="s">
        <v>410</v>
      </c>
      <c r="E4109" s="104">
        <v>46387</v>
      </c>
      <c r="F4109" s="105">
        <v>46391</v>
      </c>
      <c r="G4109" s="105">
        <v>46394</v>
      </c>
      <c r="H4109" s="120"/>
      <c r="I4109" s="107"/>
      <c r="J4109" s="107"/>
      <c r="K4109" s="107"/>
      <c r="L4109" s="107"/>
      <c r="M4109" s="107">
        <v>0</v>
      </c>
      <c r="N4109" s="108" t="s">
        <v>248</v>
      </c>
    </row>
    <row r="4110" spans="2:14" ht="23.25" customHeight="1">
      <c r="B4110" s="103" t="s">
        <v>144</v>
      </c>
      <c r="C4110" s="121" t="s">
        <v>973</v>
      </c>
      <c r="D4110" s="103" t="s">
        <v>410</v>
      </c>
      <c r="E4110" s="104">
        <v>46387</v>
      </c>
      <c r="F4110" s="105">
        <v>46391</v>
      </c>
      <c r="G4110" s="105">
        <v>46394</v>
      </c>
      <c r="H4110" s="120"/>
      <c r="I4110" s="107"/>
      <c r="J4110" s="107"/>
      <c r="K4110" s="107"/>
      <c r="L4110" s="107"/>
      <c r="M4110" s="107">
        <v>0</v>
      </c>
      <c r="N4110" s="108" t="s">
        <v>248</v>
      </c>
    </row>
    <row r="4111" spans="2:14" ht="23.25" customHeight="1">
      <c r="B4111" s="103" t="s">
        <v>148</v>
      </c>
      <c r="C4111" s="121" t="s">
        <v>362</v>
      </c>
      <c r="D4111" s="103" t="s">
        <v>410</v>
      </c>
      <c r="E4111" s="104">
        <v>46387</v>
      </c>
      <c r="F4111" s="105">
        <v>46391</v>
      </c>
      <c r="G4111" s="105">
        <v>46394</v>
      </c>
      <c r="H4111" s="120"/>
      <c r="I4111" s="107"/>
      <c r="J4111" s="107"/>
      <c r="K4111" s="107"/>
      <c r="L4111" s="107"/>
      <c r="M4111" s="107">
        <v>0</v>
      </c>
      <c r="N4111" s="108" t="s">
        <v>248</v>
      </c>
    </row>
    <row r="4112" spans="2:14" ht="23.25" customHeight="1">
      <c r="B4112" s="103" t="s">
        <v>200</v>
      </c>
      <c r="C4112" s="119" t="s">
        <v>365</v>
      </c>
      <c r="D4112" s="103" t="s">
        <v>410</v>
      </c>
      <c r="E4112" s="104">
        <v>46387</v>
      </c>
      <c r="F4112" s="105">
        <v>46391</v>
      </c>
      <c r="G4112" s="105">
        <v>46394</v>
      </c>
      <c r="H4112" s="120"/>
      <c r="I4112" s="107"/>
      <c r="J4112" s="107"/>
      <c r="K4112" s="107"/>
      <c r="L4112" s="107"/>
      <c r="M4112" s="107">
        <v>0</v>
      </c>
      <c r="N4112" s="108" t="s">
        <v>248</v>
      </c>
    </row>
    <row r="4113" spans="2:14" ht="23.25" customHeight="1">
      <c r="B4113" s="103" t="s">
        <v>173</v>
      </c>
      <c r="C4113" s="119" t="s">
        <v>372</v>
      </c>
      <c r="D4113" s="103" t="s">
        <v>410</v>
      </c>
      <c r="E4113" s="104">
        <v>46387</v>
      </c>
      <c r="F4113" s="105">
        <v>46391</v>
      </c>
      <c r="G4113" s="105">
        <v>46394</v>
      </c>
      <c r="H4113" s="120"/>
      <c r="I4113" s="107"/>
      <c r="J4113" s="107"/>
      <c r="K4113" s="107"/>
      <c r="L4113" s="107"/>
      <c r="M4113" s="107">
        <v>0</v>
      </c>
      <c r="N4113" s="108" t="s">
        <v>248</v>
      </c>
    </row>
    <row r="4114" spans="2:14" ht="23.25" customHeight="1">
      <c r="B4114" s="103" t="s">
        <v>150</v>
      </c>
      <c r="C4114" s="121" t="s">
        <v>377</v>
      </c>
      <c r="D4114" s="103" t="s">
        <v>410</v>
      </c>
      <c r="E4114" s="104">
        <v>46387</v>
      </c>
      <c r="F4114" s="105">
        <v>46391</v>
      </c>
      <c r="G4114" s="105">
        <v>46394</v>
      </c>
      <c r="H4114" s="120"/>
      <c r="I4114" s="107"/>
      <c r="J4114" s="107"/>
      <c r="K4114" s="107"/>
      <c r="L4114" s="107"/>
      <c r="M4114" s="107">
        <v>0</v>
      </c>
      <c r="N4114" s="108" t="s">
        <v>248</v>
      </c>
    </row>
    <row r="4115" spans="2:14" ht="23.25" customHeight="1">
      <c r="B4115" s="103" t="s">
        <v>510</v>
      </c>
      <c r="C4115" s="121" t="s">
        <v>509</v>
      </c>
      <c r="D4115" s="103" t="s">
        <v>410</v>
      </c>
      <c r="E4115" s="104">
        <v>46387</v>
      </c>
      <c r="F4115" s="105">
        <v>46391</v>
      </c>
      <c r="G4115" s="105">
        <v>46394</v>
      </c>
      <c r="H4115" s="120"/>
      <c r="I4115" s="107"/>
      <c r="J4115" s="107"/>
      <c r="K4115" s="107"/>
      <c r="L4115" s="107"/>
      <c r="M4115" s="107">
        <v>0</v>
      </c>
      <c r="N4115" s="108" t="s">
        <v>248</v>
      </c>
    </row>
    <row r="4116" spans="2:14" ht="23.25" customHeight="1">
      <c r="B4116" s="103" t="s">
        <v>441</v>
      </c>
      <c r="C4116" s="121" t="s">
        <v>978</v>
      </c>
      <c r="D4116" s="103" t="s">
        <v>410</v>
      </c>
      <c r="E4116" s="104">
        <v>46387</v>
      </c>
      <c r="F4116" s="105">
        <v>46391</v>
      </c>
      <c r="G4116" s="105">
        <v>46394</v>
      </c>
      <c r="H4116" s="120"/>
      <c r="I4116" s="107"/>
      <c r="J4116" s="107"/>
      <c r="K4116" s="107"/>
      <c r="L4116" s="107"/>
      <c r="M4116" s="107">
        <v>0</v>
      </c>
      <c r="N4116" s="108" t="s">
        <v>248</v>
      </c>
    </row>
    <row r="4117" spans="2:14" ht="23.25" customHeight="1">
      <c r="B4117" s="103" t="s">
        <v>440</v>
      </c>
      <c r="C4117" s="121" t="s">
        <v>977</v>
      </c>
      <c r="D4117" s="103" t="s">
        <v>410</v>
      </c>
      <c r="E4117" s="104">
        <v>46387</v>
      </c>
      <c r="F4117" s="105">
        <v>46391</v>
      </c>
      <c r="G4117" s="105">
        <v>46394</v>
      </c>
      <c r="H4117" s="120"/>
      <c r="I4117" s="107"/>
      <c r="J4117" s="107"/>
      <c r="K4117" s="107"/>
      <c r="L4117" s="107"/>
      <c r="M4117" s="107">
        <v>0</v>
      </c>
      <c r="N4117" s="108" t="s">
        <v>248</v>
      </c>
    </row>
    <row r="4118" spans="2:14" ht="23.25" customHeight="1">
      <c r="B4118" s="103" t="s">
        <v>299</v>
      </c>
      <c r="C4118" s="121" t="s">
        <v>517</v>
      </c>
      <c r="D4118" s="103" t="s">
        <v>410</v>
      </c>
      <c r="E4118" s="104">
        <v>46387</v>
      </c>
      <c r="F4118" s="105">
        <v>46391</v>
      </c>
      <c r="G4118" s="105">
        <v>46394</v>
      </c>
      <c r="H4118" s="120"/>
      <c r="I4118" s="107"/>
      <c r="J4118" s="107"/>
      <c r="K4118" s="107"/>
      <c r="L4118" s="107"/>
      <c r="M4118" s="107">
        <v>0</v>
      </c>
      <c r="N4118" s="108" t="s">
        <v>248</v>
      </c>
    </row>
    <row r="4119" spans="2:14" ht="23.25" customHeight="1">
      <c r="B4119" s="103" t="s">
        <v>182</v>
      </c>
      <c r="C4119" s="122" t="s">
        <v>477</v>
      </c>
      <c r="D4119" s="103" t="s">
        <v>410</v>
      </c>
      <c r="E4119" s="104">
        <v>46387</v>
      </c>
      <c r="F4119" s="105">
        <v>46391</v>
      </c>
      <c r="G4119" s="105">
        <v>46394</v>
      </c>
      <c r="H4119" s="120"/>
      <c r="I4119" s="107"/>
      <c r="J4119" s="107"/>
      <c r="K4119" s="107"/>
      <c r="L4119" s="107"/>
      <c r="M4119" s="107">
        <v>0</v>
      </c>
      <c r="N4119" s="108" t="s">
        <v>248</v>
      </c>
    </row>
    <row r="4120" spans="2:14" ht="23.25" customHeight="1">
      <c r="B4120" s="103" t="s">
        <v>202</v>
      </c>
      <c r="C4120" s="119" t="s">
        <v>478</v>
      </c>
      <c r="D4120" s="103" t="s">
        <v>410</v>
      </c>
      <c r="E4120" s="104">
        <v>46387</v>
      </c>
      <c r="F4120" s="105">
        <v>46391</v>
      </c>
      <c r="G4120" s="105">
        <v>46394</v>
      </c>
      <c r="H4120" s="120"/>
      <c r="I4120" s="107"/>
      <c r="J4120" s="107"/>
      <c r="K4120" s="107"/>
      <c r="L4120" s="107"/>
      <c r="M4120" s="107">
        <v>0</v>
      </c>
      <c r="N4120" s="108" t="s">
        <v>248</v>
      </c>
    </row>
    <row r="4121" spans="2:14" ht="23.25" customHeight="1">
      <c r="B4121" s="103" t="s">
        <v>146</v>
      </c>
      <c r="C4121" s="121" t="s">
        <v>380</v>
      </c>
      <c r="D4121" s="103" t="s">
        <v>410</v>
      </c>
      <c r="E4121" s="104">
        <v>46387</v>
      </c>
      <c r="F4121" s="105">
        <v>46391</v>
      </c>
      <c r="G4121" s="105">
        <v>46394</v>
      </c>
      <c r="H4121" s="120"/>
      <c r="I4121" s="107"/>
      <c r="J4121" s="107"/>
      <c r="K4121" s="107"/>
      <c r="L4121" s="107"/>
      <c r="M4121" s="107">
        <v>0</v>
      </c>
      <c r="N4121" s="108" t="s">
        <v>248</v>
      </c>
    </row>
    <row r="4122" spans="2:14" ht="23.25" customHeight="1">
      <c r="B4122" s="103" t="s">
        <v>163</v>
      </c>
      <c r="C4122" s="122" t="s">
        <v>381</v>
      </c>
      <c r="D4122" s="103" t="s">
        <v>410</v>
      </c>
      <c r="E4122" s="104">
        <v>46387</v>
      </c>
      <c r="F4122" s="105">
        <v>46391</v>
      </c>
      <c r="G4122" s="105">
        <v>46394</v>
      </c>
      <c r="H4122" s="120"/>
      <c r="I4122" s="107"/>
      <c r="J4122" s="107"/>
      <c r="K4122" s="107"/>
      <c r="L4122" s="107"/>
      <c r="M4122" s="107">
        <v>0</v>
      </c>
      <c r="N4122" s="108" t="s">
        <v>248</v>
      </c>
    </row>
    <row r="4123" spans="2:14" ht="23.25" customHeight="1">
      <c r="B4123" s="103" t="s">
        <v>151</v>
      </c>
      <c r="C4123" s="121" t="s">
        <v>383</v>
      </c>
      <c r="D4123" s="103" t="s">
        <v>410</v>
      </c>
      <c r="E4123" s="104">
        <v>46387</v>
      </c>
      <c r="F4123" s="105">
        <v>46391</v>
      </c>
      <c r="G4123" s="105">
        <v>46394</v>
      </c>
      <c r="H4123" s="120"/>
      <c r="I4123" s="107"/>
      <c r="J4123" s="107"/>
      <c r="K4123" s="107"/>
      <c r="L4123" s="107"/>
      <c r="M4123" s="107">
        <v>0</v>
      </c>
      <c r="N4123" s="108" t="s">
        <v>248</v>
      </c>
    </row>
    <row r="4124" spans="2:14" ht="23.25" customHeight="1">
      <c r="B4124" s="103" t="s">
        <v>166</v>
      </c>
      <c r="C4124" s="122" t="s">
        <v>384</v>
      </c>
      <c r="D4124" s="103" t="s">
        <v>410</v>
      </c>
      <c r="E4124" s="104">
        <v>46387</v>
      </c>
      <c r="F4124" s="105">
        <v>46391</v>
      </c>
      <c r="G4124" s="105">
        <v>46394</v>
      </c>
      <c r="H4124" s="120"/>
      <c r="I4124" s="107"/>
      <c r="J4124" s="107"/>
      <c r="K4124" s="107"/>
      <c r="L4124" s="107"/>
      <c r="M4124" s="107">
        <v>0</v>
      </c>
      <c r="N4124" s="108" t="s">
        <v>248</v>
      </c>
    </row>
    <row r="4125" spans="2:14" ht="14.1" customHeight="1">
      <c r="B4125" s="103" t="s">
        <v>149</v>
      </c>
      <c r="C4125" s="121" t="s">
        <v>386</v>
      </c>
      <c r="D4125" s="103" t="s">
        <v>410</v>
      </c>
      <c r="E4125" s="104">
        <v>46387</v>
      </c>
      <c r="F4125" s="105">
        <v>46391</v>
      </c>
      <c r="G4125" s="105">
        <v>46394</v>
      </c>
      <c r="H4125" s="120"/>
      <c r="I4125" s="107"/>
      <c r="J4125" s="107"/>
      <c r="K4125" s="107"/>
      <c r="L4125" s="107"/>
      <c r="M4125" s="107">
        <v>0</v>
      </c>
      <c r="N4125" s="108" t="s">
        <v>248</v>
      </c>
    </row>
    <row r="4126" spans="2:14" ht="23.25" customHeight="1">
      <c r="B4126" s="103" t="s">
        <v>165</v>
      </c>
      <c r="C4126" s="122" t="s">
        <v>387</v>
      </c>
      <c r="D4126" s="103" t="s">
        <v>410</v>
      </c>
      <c r="E4126" s="104">
        <v>46387</v>
      </c>
      <c r="F4126" s="105">
        <v>46391</v>
      </c>
      <c r="G4126" s="105">
        <v>46394</v>
      </c>
      <c r="H4126" s="120"/>
      <c r="I4126" s="107"/>
      <c r="J4126" s="107"/>
      <c r="K4126" s="107"/>
      <c r="L4126" s="107"/>
      <c r="M4126" s="107">
        <v>0</v>
      </c>
      <c r="N4126" s="108" t="s">
        <v>248</v>
      </c>
    </row>
    <row r="4127" spans="2:14" ht="23.25" customHeight="1">
      <c r="B4127" s="103" t="s">
        <v>153</v>
      </c>
      <c r="C4127" s="121" t="s">
        <v>873</v>
      </c>
      <c r="D4127" s="103" t="s">
        <v>410</v>
      </c>
      <c r="E4127" s="104">
        <v>46387</v>
      </c>
      <c r="F4127" s="105">
        <v>46391</v>
      </c>
      <c r="G4127" s="105">
        <v>46394</v>
      </c>
      <c r="H4127" s="174"/>
      <c r="I4127" s="107"/>
      <c r="J4127" s="107"/>
      <c r="K4127" s="107"/>
      <c r="L4127" s="107"/>
      <c r="M4127" s="107">
        <v>0</v>
      </c>
      <c r="N4127" s="108" t="s">
        <v>248</v>
      </c>
    </row>
    <row r="4128" spans="2:14" ht="23.25" customHeight="1">
      <c r="B4128" s="103" t="s">
        <v>152</v>
      </c>
      <c r="C4128" s="121" t="s">
        <v>874</v>
      </c>
      <c r="D4128" s="103" t="s">
        <v>410</v>
      </c>
      <c r="E4128" s="104">
        <v>46387</v>
      </c>
      <c r="F4128" s="105">
        <v>46391</v>
      </c>
      <c r="G4128" s="105">
        <v>46394</v>
      </c>
      <c r="H4128" s="174"/>
      <c r="I4128" s="107"/>
      <c r="J4128" s="107"/>
      <c r="K4128" s="107"/>
      <c r="L4128" s="107"/>
      <c r="M4128" s="107">
        <v>0</v>
      </c>
      <c r="N4128" s="108" t="s">
        <v>248</v>
      </c>
    </row>
    <row r="4129" spans="2:14" ht="23.25" customHeight="1">
      <c r="B4129" s="103" t="s">
        <v>167</v>
      </c>
      <c r="C4129" s="122" t="s">
        <v>875</v>
      </c>
      <c r="D4129" s="103" t="s">
        <v>410</v>
      </c>
      <c r="E4129" s="104">
        <v>46387</v>
      </c>
      <c r="F4129" s="105">
        <v>46391</v>
      </c>
      <c r="G4129" s="105">
        <v>46394</v>
      </c>
      <c r="H4129" s="174"/>
      <c r="I4129" s="107"/>
      <c r="J4129" s="107"/>
      <c r="K4129" s="107"/>
      <c r="L4129" s="107"/>
      <c r="M4129" s="107">
        <v>0</v>
      </c>
      <c r="N4129" s="108" t="s">
        <v>248</v>
      </c>
    </row>
    <row r="4130" spans="2:14" ht="23.25" customHeight="1">
      <c r="B4130" s="103" t="s">
        <v>301</v>
      </c>
      <c r="C4130" s="121" t="s">
        <v>876</v>
      </c>
      <c r="D4130" s="103" t="s">
        <v>410</v>
      </c>
      <c r="E4130" s="104">
        <v>46387</v>
      </c>
      <c r="F4130" s="105">
        <v>46391</v>
      </c>
      <c r="G4130" s="105">
        <v>46394</v>
      </c>
      <c r="H4130" s="174"/>
      <c r="I4130" s="107"/>
      <c r="J4130" s="107"/>
      <c r="K4130" s="107"/>
      <c r="L4130" s="107"/>
      <c r="M4130" s="107">
        <v>0</v>
      </c>
      <c r="N4130" s="108" t="s">
        <v>248</v>
      </c>
    </row>
    <row r="4131" spans="2:14" ht="23.25" customHeight="1">
      <c r="B4131" s="103" t="s">
        <v>304</v>
      </c>
      <c r="C4131" s="121" t="s">
        <v>885</v>
      </c>
      <c r="D4131" s="103" t="s">
        <v>410</v>
      </c>
      <c r="E4131" s="104">
        <v>46387</v>
      </c>
      <c r="F4131" s="105">
        <v>46391</v>
      </c>
      <c r="G4131" s="105">
        <v>46394</v>
      </c>
      <c r="H4131" s="174"/>
      <c r="I4131" s="107"/>
      <c r="J4131" s="107"/>
      <c r="K4131" s="107"/>
      <c r="L4131" s="107"/>
      <c r="M4131" s="107">
        <v>0</v>
      </c>
      <c r="N4131" s="108" t="s">
        <v>248</v>
      </c>
    </row>
    <row r="4132" spans="2:14" ht="23.25" customHeight="1">
      <c r="B4132" s="103" t="s">
        <v>183</v>
      </c>
      <c r="C4132" s="122" t="s">
        <v>886</v>
      </c>
      <c r="D4132" s="103" t="s">
        <v>410</v>
      </c>
      <c r="E4132" s="104">
        <v>46387</v>
      </c>
      <c r="F4132" s="105">
        <v>46391</v>
      </c>
      <c r="G4132" s="105">
        <v>46394</v>
      </c>
      <c r="H4132" s="174"/>
      <c r="I4132" s="107"/>
      <c r="J4132" s="107"/>
      <c r="K4132" s="107"/>
      <c r="L4132" s="107"/>
      <c r="M4132" s="107">
        <v>0</v>
      </c>
      <c r="N4132" s="108" t="s">
        <v>248</v>
      </c>
    </row>
    <row r="4133" spans="2:14" ht="23.25" customHeight="1">
      <c r="B4133" s="103" t="s">
        <v>305</v>
      </c>
      <c r="C4133" s="121" t="s">
        <v>887</v>
      </c>
      <c r="D4133" s="103" t="s">
        <v>410</v>
      </c>
      <c r="E4133" s="104">
        <v>46387</v>
      </c>
      <c r="F4133" s="105">
        <v>46391</v>
      </c>
      <c r="G4133" s="105">
        <v>46394</v>
      </c>
      <c r="H4133" s="174"/>
      <c r="I4133" s="107"/>
      <c r="J4133" s="107"/>
      <c r="K4133" s="107"/>
      <c r="L4133" s="107"/>
      <c r="M4133" s="107">
        <v>0</v>
      </c>
      <c r="N4133" s="108" t="s">
        <v>248</v>
      </c>
    </row>
    <row r="4134" spans="2:14" ht="23.25" customHeight="1">
      <c r="B4134" s="103" t="s">
        <v>147</v>
      </c>
      <c r="C4134" s="121" t="s">
        <v>466</v>
      </c>
      <c r="D4134" s="103" t="s">
        <v>410</v>
      </c>
      <c r="E4134" s="104">
        <v>46387</v>
      </c>
      <c r="F4134" s="105">
        <v>46391</v>
      </c>
      <c r="G4134" s="105">
        <v>46394</v>
      </c>
      <c r="H4134" s="120"/>
      <c r="I4134" s="107"/>
      <c r="J4134" s="107"/>
      <c r="K4134" s="107"/>
      <c r="L4134" s="107"/>
      <c r="M4134" s="107">
        <v>0</v>
      </c>
      <c r="N4134" s="108" t="s">
        <v>248</v>
      </c>
    </row>
    <row r="4135" spans="2:14" ht="23.25" customHeight="1">
      <c r="B4135" s="103" t="s">
        <v>164</v>
      </c>
      <c r="C4135" s="122" t="s">
        <v>467</v>
      </c>
      <c r="D4135" s="103" t="s">
        <v>410</v>
      </c>
      <c r="E4135" s="104">
        <v>46387</v>
      </c>
      <c r="F4135" s="105">
        <v>46391</v>
      </c>
      <c r="G4135" s="105">
        <v>46394</v>
      </c>
      <c r="H4135" s="120"/>
      <c r="I4135" s="107"/>
      <c r="J4135" s="107"/>
      <c r="K4135" s="107"/>
      <c r="L4135" s="107"/>
      <c r="M4135" s="107">
        <v>0</v>
      </c>
      <c r="N4135" s="108" t="s">
        <v>248</v>
      </c>
    </row>
    <row r="4136" spans="2:14" ht="23.25" customHeight="1">
      <c r="B4136" s="103" t="s">
        <v>1006</v>
      </c>
      <c r="C4136" s="122" t="s">
        <v>1014</v>
      </c>
      <c r="D4136" s="103" t="s">
        <v>410</v>
      </c>
      <c r="E4136" s="104">
        <v>46387</v>
      </c>
      <c r="F4136" s="105">
        <v>46391</v>
      </c>
      <c r="G4136" s="105">
        <v>46394</v>
      </c>
      <c r="H4136" s="120"/>
      <c r="I4136" s="107"/>
      <c r="J4136" s="107"/>
      <c r="K4136" s="107"/>
      <c r="L4136" s="107"/>
      <c r="M4136" s="107">
        <v>0</v>
      </c>
      <c r="N4136" s="108" t="s">
        <v>248</v>
      </c>
    </row>
    <row r="4137" spans="2:14" ht="23.25" customHeight="1">
      <c r="B4137" s="103" t="s">
        <v>1007</v>
      </c>
      <c r="C4137" s="122" t="s">
        <v>1015</v>
      </c>
      <c r="D4137" s="103" t="s">
        <v>410</v>
      </c>
      <c r="E4137" s="104">
        <v>46387</v>
      </c>
      <c r="F4137" s="105">
        <v>46391</v>
      </c>
      <c r="G4137" s="105">
        <v>46394</v>
      </c>
      <c r="H4137" s="120"/>
      <c r="I4137" s="107"/>
      <c r="J4137" s="107"/>
      <c r="K4137" s="107"/>
      <c r="L4137" s="107"/>
      <c r="M4137" s="107">
        <v>0</v>
      </c>
      <c r="N4137" s="108" t="s">
        <v>248</v>
      </c>
    </row>
    <row r="4138" spans="2:14" ht="23.25" customHeight="1">
      <c r="B4138" s="103" t="s">
        <v>1008</v>
      </c>
      <c r="C4138" s="122" t="s">
        <v>1016</v>
      </c>
      <c r="D4138" s="103" t="s">
        <v>410</v>
      </c>
      <c r="E4138" s="104">
        <v>46387</v>
      </c>
      <c r="F4138" s="105">
        <v>46391</v>
      </c>
      <c r="G4138" s="105">
        <v>46394</v>
      </c>
      <c r="H4138" s="120"/>
      <c r="I4138" s="107"/>
      <c r="J4138" s="107"/>
      <c r="K4138" s="107"/>
      <c r="L4138" s="107"/>
      <c r="M4138" s="107">
        <v>0</v>
      </c>
      <c r="N4138" s="108" t="s">
        <v>248</v>
      </c>
    </row>
    <row r="4139" spans="2:14" ht="23.25" customHeight="1">
      <c r="B4139" s="103" t="s">
        <v>1009</v>
      </c>
      <c r="C4139" s="122" t="s">
        <v>1017</v>
      </c>
      <c r="D4139" s="103" t="s">
        <v>410</v>
      </c>
      <c r="E4139" s="104">
        <v>46387</v>
      </c>
      <c r="F4139" s="105">
        <v>46391</v>
      </c>
      <c r="G4139" s="105">
        <v>46394</v>
      </c>
      <c r="H4139" s="120"/>
      <c r="I4139" s="107"/>
      <c r="J4139" s="107"/>
      <c r="K4139" s="107"/>
      <c r="L4139" s="107"/>
      <c r="M4139" s="107">
        <v>0</v>
      </c>
      <c r="N4139" s="108" t="s">
        <v>248</v>
      </c>
    </row>
    <row r="4140" spans="2:14" ht="23.25" customHeight="1">
      <c r="B4140" s="103" t="s">
        <v>1010</v>
      </c>
      <c r="C4140" s="122" t="s">
        <v>1018</v>
      </c>
      <c r="D4140" s="103" t="s">
        <v>410</v>
      </c>
      <c r="E4140" s="104">
        <v>46387</v>
      </c>
      <c r="F4140" s="105">
        <v>46391</v>
      </c>
      <c r="G4140" s="105">
        <v>46394</v>
      </c>
      <c r="H4140" s="120"/>
      <c r="I4140" s="107"/>
      <c r="J4140" s="107"/>
      <c r="K4140" s="107"/>
      <c r="L4140" s="107"/>
      <c r="M4140" s="107">
        <v>0</v>
      </c>
      <c r="N4140" s="108" t="s">
        <v>248</v>
      </c>
    </row>
    <row r="4141" spans="2:14" ht="23.25" customHeight="1">
      <c r="B4141" s="103" t="s">
        <v>1011</v>
      </c>
      <c r="C4141" s="122" t="s">
        <v>1019</v>
      </c>
      <c r="D4141" s="103" t="s">
        <v>410</v>
      </c>
      <c r="E4141" s="104">
        <v>46387</v>
      </c>
      <c r="F4141" s="105">
        <v>46391</v>
      </c>
      <c r="G4141" s="105">
        <v>46394</v>
      </c>
      <c r="H4141" s="120"/>
      <c r="I4141" s="107"/>
      <c r="J4141" s="107"/>
      <c r="K4141" s="107"/>
      <c r="L4141" s="107"/>
      <c r="M4141" s="107">
        <v>0</v>
      </c>
      <c r="N4141" s="108" t="s">
        <v>248</v>
      </c>
    </row>
  </sheetData>
  <autoFilter ref="A5:IO4141" xr:uid="{F1134D32-7EE0-472D-AA63-70EE04C2D2C7}">
    <sortState xmlns:xlrd2="http://schemas.microsoft.com/office/spreadsheetml/2017/richdata2" ref="A6:IO4141">
      <sortCondition ref="E5:E4141"/>
    </sortState>
  </autoFilter>
  <pageMargins left="0.7" right="0.7" top="0.75" bottom="0.75" header="0.3" footer="0.3"/>
  <pageSetup paperSize="9"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F03E3-B255-4CCF-9F46-CE91B1548C16}">
  <sheetPr>
    <pageSetUpPr fitToPage="1"/>
  </sheetPr>
  <dimension ref="A1:IU672"/>
  <sheetViews>
    <sheetView topLeftCell="B1" zoomScale="80" zoomScaleNormal="80" workbookViewId="0">
      <pane ySplit="5" topLeftCell="A641" activePane="bottomLeft" state="frozen"/>
      <selection activeCell="B1" sqref="B1"/>
      <selection pane="bottomLeft" activeCell="D651" sqref="D651"/>
    </sheetView>
  </sheetViews>
  <sheetFormatPr defaultRowHeight="15"/>
  <cols>
    <col min="1" max="1" width="19" style="8" hidden="1" customWidth="1"/>
    <col min="2" max="2" width="16.5703125" customWidth="1"/>
    <col min="3" max="3" width="61.85546875" style="94" customWidth="1"/>
    <col min="4" max="4" width="17.140625" style="17" customWidth="1"/>
    <col min="5" max="5" width="20" customWidth="1"/>
    <col min="6" max="6" width="15.85546875" customWidth="1"/>
    <col min="7" max="7" width="15.5703125" customWidth="1"/>
    <col min="8" max="8" width="14.140625" customWidth="1"/>
    <col min="9" max="9" width="17.140625" style="17" customWidth="1"/>
    <col min="10" max="12" width="14.140625" style="17" customWidth="1"/>
    <col min="13" max="13" width="17.140625" style="17" customWidth="1"/>
    <col min="14" max="14" width="14.140625" customWidth="1"/>
    <col min="15" max="15" width="12.5703125" customWidth="1"/>
  </cols>
  <sheetData>
    <row r="1" spans="1:254" s="3" customFormat="1" ht="23.25" customHeight="1">
      <c r="B1" s="4"/>
      <c r="C1" s="6"/>
      <c r="D1" s="4"/>
      <c r="E1" s="2"/>
      <c r="F1" s="4"/>
      <c r="G1" s="2"/>
      <c r="H1" s="2"/>
      <c r="I1" s="31"/>
      <c r="J1" s="31"/>
      <c r="K1" s="31"/>
      <c r="L1" s="31"/>
      <c r="M1" s="31"/>
      <c r="N1" s="7"/>
    </row>
    <row r="2" spans="1:254" s="3" customFormat="1" ht="23.25" customHeight="1">
      <c r="B2" s="4"/>
      <c r="C2" s="6"/>
      <c r="D2" s="4"/>
      <c r="E2" s="2"/>
      <c r="F2" s="4"/>
      <c r="G2" s="2"/>
      <c r="H2" s="2"/>
      <c r="I2" s="31"/>
      <c r="J2" s="31"/>
      <c r="K2" s="31"/>
      <c r="L2" s="31"/>
      <c r="M2" s="31"/>
      <c r="N2" s="7"/>
    </row>
    <row r="3" spans="1:254" s="3" customFormat="1" ht="23.25" customHeight="1">
      <c r="B3" s="4"/>
      <c r="C3" s="6"/>
      <c r="D3" s="4"/>
      <c r="E3" s="2"/>
      <c r="F3" s="4"/>
      <c r="G3" s="2"/>
      <c r="H3" s="2"/>
      <c r="I3" s="31"/>
      <c r="J3" s="31"/>
      <c r="K3" s="31"/>
      <c r="L3" s="171"/>
      <c r="M3" s="31"/>
      <c r="N3" s="7"/>
    </row>
    <row r="4" spans="1:254" s="3" customFormat="1" ht="23.25" customHeight="1" thickBot="1">
      <c r="B4" s="4"/>
      <c r="C4" s="6"/>
      <c r="D4" s="4"/>
      <c r="E4" s="2"/>
      <c r="F4" s="4"/>
      <c r="G4" s="2"/>
      <c r="H4" s="2"/>
      <c r="I4" s="31"/>
      <c r="J4" s="31"/>
      <c r="K4" s="31"/>
      <c r="L4" s="151" t="s">
        <v>892</v>
      </c>
      <c r="M4" s="151" t="s">
        <v>892</v>
      </c>
      <c r="N4" s="7"/>
    </row>
    <row r="5" spans="1:254" s="84" customFormat="1" ht="115.5" customHeight="1" thickTop="1" thickBot="1">
      <c r="A5" s="83" t="s">
        <v>228</v>
      </c>
      <c r="B5" s="85" t="s">
        <v>0</v>
      </c>
      <c r="C5" s="85" t="s">
        <v>1</v>
      </c>
      <c r="D5" s="86" t="s">
        <v>2</v>
      </c>
      <c r="E5" s="87" t="s">
        <v>680</v>
      </c>
      <c r="F5" s="87" t="s">
        <v>681</v>
      </c>
      <c r="G5" s="88" t="s">
        <v>682</v>
      </c>
      <c r="H5" s="89" t="s">
        <v>684</v>
      </c>
      <c r="I5" s="90" t="s">
        <v>683</v>
      </c>
      <c r="J5" s="91" t="s">
        <v>685</v>
      </c>
      <c r="K5" s="91" t="s">
        <v>686</v>
      </c>
      <c r="L5" s="91" t="s">
        <v>687</v>
      </c>
      <c r="M5" s="91" t="s">
        <v>688</v>
      </c>
      <c r="N5" s="86" t="s">
        <v>3</v>
      </c>
    </row>
    <row r="6" spans="1:254" s="30" customFormat="1" ht="15.75" thickTop="1">
      <c r="A6" s="97" t="s">
        <v>234</v>
      </c>
      <c r="B6" s="33" t="s">
        <v>203</v>
      </c>
      <c r="C6" s="92" t="s">
        <v>445</v>
      </c>
      <c r="D6" s="33" t="s">
        <v>410</v>
      </c>
      <c r="E6" s="49">
        <v>43830</v>
      </c>
      <c r="F6" s="49">
        <v>43832</v>
      </c>
      <c r="G6" s="49">
        <v>43837</v>
      </c>
      <c r="H6" s="35"/>
      <c r="I6" s="67">
        <v>3</v>
      </c>
      <c r="J6" s="67">
        <v>0</v>
      </c>
      <c r="K6" s="67">
        <v>3</v>
      </c>
      <c r="L6" s="36">
        <f>+K6-((K6*0.696*0.125)+(K6*(1-0.696)*0.26))</f>
        <v>2.5018799999999999</v>
      </c>
      <c r="M6" s="64">
        <f t="shared" ref="M6:M37" si="0">L6+J6</f>
        <v>2.5018799999999999</v>
      </c>
      <c r="N6" s="33" t="s">
        <v>248</v>
      </c>
    </row>
    <row r="7" spans="1:254" s="30" customFormat="1">
      <c r="A7" s="97" t="s">
        <v>235</v>
      </c>
      <c r="B7" s="33" t="s">
        <v>204</v>
      </c>
      <c r="C7" s="92" t="s">
        <v>446</v>
      </c>
      <c r="D7" s="33" t="s">
        <v>410</v>
      </c>
      <c r="E7" s="49">
        <v>43830</v>
      </c>
      <c r="F7" s="49">
        <v>43832</v>
      </c>
      <c r="G7" s="49">
        <v>43837</v>
      </c>
      <c r="H7" s="35"/>
      <c r="I7" s="67">
        <v>3</v>
      </c>
      <c r="J7" s="67">
        <v>0</v>
      </c>
      <c r="K7" s="67">
        <v>3</v>
      </c>
      <c r="L7" s="36">
        <f>+K7-((K7*0.016*0.125)+(K7*(1-0.016)*0.26))</f>
        <v>2.22648</v>
      </c>
      <c r="M7" s="64">
        <f t="shared" si="0"/>
        <v>2.22648</v>
      </c>
      <c r="N7" s="33" t="s">
        <v>248</v>
      </c>
    </row>
    <row r="8" spans="1:254" s="30" customFormat="1">
      <c r="A8" s="97" t="s">
        <v>238</v>
      </c>
      <c r="B8" s="33" t="s">
        <v>207</v>
      </c>
      <c r="C8" s="92" t="s">
        <v>447</v>
      </c>
      <c r="D8" s="33" t="s">
        <v>410</v>
      </c>
      <c r="E8" s="49">
        <v>43830</v>
      </c>
      <c r="F8" s="49">
        <v>43832</v>
      </c>
      <c r="G8" s="49">
        <v>43837</v>
      </c>
      <c r="H8" s="35"/>
      <c r="I8" s="67">
        <v>3.25</v>
      </c>
      <c r="J8" s="67">
        <v>0</v>
      </c>
      <c r="K8" s="67">
        <v>3.25</v>
      </c>
      <c r="L8" s="36">
        <f>+K8-((K8*0.951*0.125)+(K8*(1-0.951)*0.26))</f>
        <v>2.8222512499999999</v>
      </c>
      <c r="M8" s="64">
        <f t="shared" si="0"/>
        <v>2.8222512499999999</v>
      </c>
      <c r="N8" s="33" t="s">
        <v>248</v>
      </c>
    </row>
    <row r="9" spans="1:254" s="30" customFormat="1">
      <c r="A9" s="97" t="s">
        <v>236</v>
      </c>
      <c r="B9" s="33" t="s">
        <v>205</v>
      </c>
      <c r="C9" s="92" t="s">
        <v>448</v>
      </c>
      <c r="D9" s="33" t="s">
        <v>410</v>
      </c>
      <c r="E9" s="49">
        <v>43830</v>
      </c>
      <c r="F9" s="49">
        <v>43832</v>
      </c>
      <c r="G9" s="49">
        <v>43837</v>
      </c>
      <c r="H9" s="35"/>
      <c r="I9" s="67">
        <v>3.25</v>
      </c>
      <c r="J9" s="67">
        <v>0</v>
      </c>
      <c r="K9" s="67">
        <v>3.25</v>
      </c>
      <c r="L9" s="36">
        <f>+K9-((K9*0.452*0.125)+(K9*(1-0.452)*0.26))</f>
        <v>2.6033149999999998</v>
      </c>
      <c r="M9" s="64">
        <f t="shared" si="0"/>
        <v>2.6033149999999998</v>
      </c>
      <c r="N9" s="33" t="s">
        <v>248</v>
      </c>
      <c r="IT9" s="99"/>
    </row>
    <row r="10" spans="1:254" s="30" customFormat="1">
      <c r="A10" s="97" t="s">
        <v>237</v>
      </c>
      <c r="B10" s="33" t="s">
        <v>206</v>
      </c>
      <c r="C10" s="92" t="s">
        <v>449</v>
      </c>
      <c r="D10" s="33" t="s">
        <v>410</v>
      </c>
      <c r="E10" s="49">
        <v>43830</v>
      </c>
      <c r="F10" s="49">
        <v>43832</v>
      </c>
      <c r="G10" s="49">
        <v>43837</v>
      </c>
      <c r="H10" s="35"/>
      <c r="I10" s="67">
        <v>3</v>
      </c>
      <c r="J10" s="67">
        <v>0</v>
      </c>
      <c r="K10" s="67">
        <v>3</v>
      </c>
      <c r="L10" s="36">
        <f>+K10-((K10*0.452*0.125)+(K10*(1-0.452)*0.26))</f>
        <v>2.40306</v>
      </c>
      <c r="M10" s="64">
        <f t="shared" si="0"/>
        <v>2.40306</v>
      </c>
      <c r="N10" s="33" t="s">
        <v>248</v>
      </c>
    </row>
    <row r="11" spans="1:254" s="30" customFormat="1">
      <c r="A11" s="97" t="s">
        <v>243</v>
      </c>
      <c r="B11" s="33" t="s">
        <v>212</v>
      </c>
      <c r="C11" s="92" t="s">
        <v>450</v>
      </c>
      <c r="D11" s="33" t="s">
        <v>410</v>
      </c>
      <c r="E11" s="49">
        <v>43830</v>
      </c>
      <c r="F11" s="49">
        <v>43832</v>
      </c>
      <c r="G11" s="49">
        <v>43837</v>
      </c>
      <c r="H11" s="35"/>
      <c r="I11" s="67">
        <v>8.9968000000000004</v>
      </c>
      <c r="J11" s="67">
        <v>0</v>
      </c>
      <c r="K11" s="67">
        <v>8.9968000000000004</v>
      </c>
      <c r="L11" s="36">
        <f>+K11-((K11*0.000000001*0.125)+(K11*(1-0.000000001)*0.26))</f>
        <v>6.6576320012145676</v>
      </c>
      <c r="M11" s="64">
        <f t="shared" si="0"/>
        <v>6.6576320012145676</v>
      </c>
      <c r="N11" s="33" t="s">
        <v>248</v>
      </c>
    </row>
    <row r="12" spans="1:254" s="30" customFormat="1">
      <c r="A12" s="97" t="s">
        <v>239</v>
      </c>
      <c r="B12" s="33" t="s">
        <v>208</v>
      </c>
      <c r="C12" s="92" t="s">
        <v>451</v>
      </c>
      <c r="D12" s="33" t="s">
        <v>410</v>
      </c>
      <c r="E12" s="49">
        <v>43830</v>
      </c>
      <c r="F12" s="49">
        <v>43832</v>
      </c>
      <c r="G12" s="49">
        <v>43837</v>
      </c>
      <c r="H12" s="35"/>
      <c r="I12" s="67">
        <v>7.3726000000000003</v>
      </c>
      <c r="J12" s="67">
        <v>0</v>
      </c>
      <c r="K12" s="67">
        <v>7.3726000000000003</v>
      </c>
      <c r="L12" s="36">
        <f>+K12-((K12*0.001*0.125)+(K12*(1-0.001)*0.26))</f>
        <v>5.4567193009999997</v>
      </c>
      <c r="M12" s="64">
        <f t="shared" si="0"/>
        <v>5.4567193009999997</v>
      </c>
      <c r="N12" s="33" t="s">
        <v>248</v>
      </c>
    </row>
    <row r="13" spans="1:254" s="30" customFormat="1">
      <c r="A13" s="97" t="s">
        <v>244</v>
      </c>
      <c r="B13" s="33" t="s">
        <v>213</v>
      </c>
      <c r="C13" s="92" t="s">
        <v>452</v>
      </c>
      <c r="D13" s="33" t="s">
        <v>410</v>
      </c>
      <c r="E13" s="49">
        <v>43830</v>
      </c>
      <c r="F13" s="49">
        <v>43832</v>
      </c>
      <c r="G13" s="49">
        <v>43837</v>
      </c>
      <c r="H13" s="35"/>
      <c r="I13" s="67">
        <v>8.2688000000000006</v>
      </c>
      <c r="J13" s="67">
        <v>0</v>
      </c>
      <c r="K13" s="67">
        <v>8.2688000000000006</v>
      </c>
      <c r="L13" s="36">
        <f>+K13-((K13*0.063*0.125)+(K13*(1-0.063)*0.26))</f>
        <v>6.1892381439999999</v>
      </c>
      <c r="M13" s="64">
        <f t="shared" si="0"/>
        <v>6.1892381439999999</v>
      </c>
      <c r="N13" s="33" t="s">
        <v>248</v>
      </c>
    </row>
    <row r="14" spans="1:254" s="30" customFormat="1">
      <c r="A14" s="97" t="s">
        <v>245</v>
      </c>
      <c r="B14" s="33" t="s">
        <v>214</v>
      </c>
      <c r="C14" s="92" t="s">
        <v>453</v>
      </c>
      <c r="D14" s="33" t="s">
        <v>410</v>
      </c>
      <c r="E14" s="49">
        <v>43830</v>
      </c>
      <c r="F14" s="49">
        <v>43832</v>
      </c>
      <c r="G14" s="49">
        <v>43837</v>
      </c>
      <c r="H14" s="35"/>
      <c r="I14" s="67">
        <v>7.8734000000000002</v>
      </c>
      <c r="J14" s="67">
        <v>0</v>
      </c>
      <c r="K14" s="67">
        <v>7.8734000000000002</v>
      </c>
      <c r="L14" s="36">
        <f>+K14-((K14*0.251*0.125)+(K14*(1-0.251)*0.26))</f>
        <v>6.0931061590000004</v>
      </c>
      <c r="M14" s="64">
        <f t="shared" si="0"/>
        <v>6.0931061590000004</v>
      </c>
      <c r="N14" s="33" t="s">
        <v>248</v>
      </c>
    </row>
    <row r="15" spans="1:254" s="30" customFormat="1">
      <c r="A15" s="97" t="s">
        <v>226</v>
      </c>
      <c r="B15" s="33" t="s">
        <v>225</v>
      </c>
      <c r="C15" s="92" t="s">
        <v>454</v>
      </c>
      <c r="D15" s="33" t="s">
        <v>410</v>
      </c>
      <c r="E15" s="49">
        <v>43857</v>
      </c>
      <c r="F15" s="49">
        <v>43858</v>
      </c>
      <c r="G15" s="49">
        <v>43861</v>
      </c>
      <c r="H15" s="35"/>
      <c r="I15" s="67">
        <v>6.9066999999999998</v>
      </c>
      <c r="J15" s="67">
        <v>0</v>
      </c>
      <c r="K15" s="67">
        <v>6.9066999999999998</v>
      </c>
      <c r="L15" s="36">
        <f>+K15-((K15*0.268*0.125)+(K15*(1-0.268)*0.26))</f>
        <v>5.3608424059999997</v>
      </c>
      <c r="M15" s="64">
        <f t="shared" si="0"/>
        <v>5.3608424059999997</v>
      </c>
      <c r="N15" s="33" t="s">
        <v>249</v>
      </c>
    </row>
    <row r="16" spans="1:254" s="30" customFormat="1">
      <c r="A16" s="97" t="s">
        <v>224</v>
      </c>
      <c r="B16" s="33" t="s">
        <v>223</v>
      </c>
      <c r="C16" s="92" t="s">
        <v>488</v>
      </c>
      <c r="D16" s="33" t="s">
        <v>413</v>
      </c>
      <c r="E16" s="49">
        <v>43857</v>
      </c>
      <c r="F16" s="49">
        <v>43858</v>
      </c>
      <c r="G16" s="49">
        <v>43861</v>
      </c>
      <c r="H16" s="35"/>
      <c r="I16" s="67">
        <v>25.778700000000001</v>
      </c>
      <c r="J16" s="67">
        <v>0</v>
      </c>
      <c r="K16" s="67">
        <v>25.778700000000001</v>
      </c>
      <c r="L16" s="36">
        <f>+K16-((K16*0.001*0.125)+(K16*(1-0.001)*0.26))</f>
        <v>19.079718124500001</v>
      </c>
      <c r="M16" s="64">
        <f t="shared" si="0"/>
        <v>19.079718124500001</v>
      </c>
      <c r="N16" s="33" t="s">
        <v>250</v>
      </c>
    </row>
    <row r="17" spans="1:254" s="30" customFormat="1">
      <c r="A17" s="97" t="s">
        <v>220</v>
      </c>
      <c r="B17" s="33" t="s">
        <v>219</v>
      </c>
      <c r="C17" s="92" t="s">
        <v>483</v>
      </c>
      <c r="D17" s="33" t="s">
        <v>410</v>
      </c>
      <c r="E17" s="49">
        <v>43857</v>
      </c>
      <c r="F17" s="49">
        <v>43858</v>
      </c>
      <c r="G17" s="49">
        <v>43861</v>
      </c>
      <c r="H17" s="35"/>
      <c r="I17" s="67">
        <v>11.125999999999999</v>
      </c>
      <c r="J17" s="67">
        <v>0</v>
      </c>
      <c r="K17" s="67">
        <v>11.125999999999999</v>
      </c>
      <c r="L17" s="36">
        <f>+K17-((K17*0.000000001*0.125)+(K17*(1-0.000000001)*0.26))</f>
        <v>8.2332400015020095</v>
      </c>
      <c r="M17" s="64">
        <f t="shared" si="0"/>
        <v>8.2332400015020095</v>
      </c>
      <c r="N17" s="33" t="s">
        <v>249</v>
      </c>
    </row>
    <row r="18" spans="1:254" s="30" customFormat="1">
      <c r="A18" s="97" t="s">
        <v>222</v>
      </c>
      <c r="B18" s="33" t="s">
        <v>221</v>
      </c>
      <c r="C18" s="92" t="s">
        <v>484</v>
      </c>
      <c r="D18" s="33" t="s">
        <v>410</v>
      </c>
      <c r="E18" s="49">
        <v>43857</v>
      </c>
      <c r="F18" s="49">
        <v>43858</v>
      </c>
      <c r="G18" s="49">
        <v>43861</v>
      </c>
      <c r="H18" s="35"/>
      <c r="I18" s="67">
        <v>15.1676</v>
      </c>
      <c r="J18" s="67">
        <v>0</v>
      </c>
      <c r="K18" s="67">
        <v>15.1676</v>
      </c>
      <c r="L18" s="36">
        <f>+K18-((K18*0.000000001*0.125)+(K18*(1-0.000000001)*0.26))</f>
        <v>11.224024002047626</v>
      </c>
      <c r="M18" s="64">
        <f t="shared" si="0"/>
        <v>11.224024002047626</v>
      </c>
      <c r="N18" s="33" t="s">
        <v>249</v>
      </c>
    </row>
    <row r="19" spans="1:254" s="30" customFormat="1">
      <c r="A19" s="97"/>
      <c r="B19" s="33" t="s">
        <v>486</v>
      </c>
      <c r="C19" s="92" t="s">
        <v>487</v>
      </c>
      <c r="D19" s="33" t="s">
        <v>413</v>
      </c>
      <c r="E19" s="49">
        <v>43857</v>
      </c>
      <c r="F19" s="49">
        <v>43858</v>
      </c>
      <c r="G19" s="49">
        <v>43861</v>
      </c>
      <c r="H19" s="35"/>
      <c r="I19" s="67">
        <v>30</v>
      </c>
      <c r="J19" s="67">
        <v>0</v>
      </c>
      <c r="K19" s="67">
        <v>30</v>
      </c>
      <c r="L19" s="36">
        <f>+K19-((K19*0.000000001*0.125)+(K19*(1-0.000000001)*0.26))</f>
        <v>22.200000004049997</v>
      </c>
      <c r="M19" s="64">
        <f t="shared" si="0"/>
        <v>22.200000004049997</v>
      </c>
      <c r="N19" s="33" t="s">
        <v>250</v>
      </c>
    </row>
    <row r="20" spans="1:254" s="30" customFormat="1">
      <c r="A20" s="97"/>
      <c r="B20" s="33" t="s">
        <v>489</v>
      </c>
      <c r="C20" s="92" t="s">
        <v>490</v>
      </c>
      <c r="D20" s="33" t="s">
        <v>413</v>
      </c>
      <c r="E20" s="49">
        <v>43857</v>
      </c>
      <c r="F20" s="49">
        <v>43858</v>
      </c>
      <c r="G20" s="49">
        <v>43861</v>
      </c>
      <c r="H20" s="35"/>
      <c r="I20" s="67">
        <v>22.5</v>
      </c>
      <c r="J20" s="67">
        <v>8.2242509500000001</v>
      </c>
      <c r="K20" s="67">
        <v>14.27574905</v>
      </c>
      <c r="L20" s="36">
        <f>+K20-((K20*0.242*0.125)+(K20*(1-0.242)*0.26))</f>
        <v>11.030443018463501</v>
      </c>
      <c r="M20" s="64">
        <f t="shared" si="0"/>
        <v>19.254693968463499</v>
      </c>
      <c r="N20" s="33" t="s">
        <v>250</v>
      </c>
    </row>
    <row r="21" spans="1:254" s="30" customFormat="1">
      <c r="A21" s="97" t="s">
        <v>232</v>
      </c>
      <c r="B21" s="33" t="s">
        <v>218</v>
      </c>
      <c r="C21" s="92" t="s">
        <v>455</v>
      </c>
      <c r="D21" s="33" t="s">
        <v>413</v>
      </c>
      <c r="E21" s="49">
        <v>43857</v>
      </c>
      <c r="F21" s="49">
        <v>43858</v>
      </c>
      <c r="G21" s="49">
        <v>43861</v>
      </c>
      <c r="H21" s="35"/>
      <c r="I21" s="67">
        <v>28.2407</v>
      </c>
      <c r="J21" s="67">
        <v>3.9149950800000015</v>
      </c>
      <c r="K21" s="67">
        <v>24.32570492</v>
      </c>
      <c r="L21" s="36">
        <f>+K21-((K21*0.242*0.125)+(K21*(1-0.242)*0.26))</f>
        <v>18.795742420536399</v>
      </c>
      <c r="M21" s="64">
        <f t="shared" si="0"/>
        <v>22.7107375005364</v>
      </c>
      <c r="N21" s="33" t="s">
        <v>250</v>
      </c>
    </row>
    <row r="22" spans="1:254" s="30" customFormat="1">
      <c r="A22" s="97"/>
      <c r="B22" s="33" t="s">
        <v>491</v>
      </c>
      <c r="C22" s="92" t="s">
        <v>493</v>
      </c>
      <c r="D22" s="33" t="s">
        <v>413</v>
      </c>
      <c r="E22" s="49">
        <v>43857</v>
      </c>
      <c r="F22" s="49">
        <v>43858</v>
      </c>
      <c r="G22" s="49">
        <v>43861</v>
      </c>
      <c r="H22" s="35"/>
      <c r="I22" s="67">
        <v>27.5</v>
      </c>
      <c r="J22" s="67">
        <v>8.4507950399999991</v>
      </c>
      <c r="K22" s="67">
        <v>19.049204960000001</v>
      </c>
      <c r="L22" s="36">
        <f>+K22-((K22*0.159*0.125)+(K22*(1-0.159)*0.26))</f>
        <v>14.5053028548664</v>
      </c>
      <c r="M22" s="64">
        <f t="shared" si="0"/>
        <v>22.956097894866399</v>
      </c>
      <c r="N22" s="33" t="s">
        <v>250</v>
      </c>
    </row>
    <row r="23" spans="1:254" s="30" customFormat="1">
      <c r="A23" s="97"/>
      <c r="B23" s="33" t="s">
        <v>492</v>
      </c>
      <c r="C23" s="92" t="s">
        <v>494</v>
      </c>
      <c r="D23" s="33" t="s">
        <v>412</v>
      </c>
      <c r="E23" s="49">
        <v>43857</v>
      </c>
      <c r="F23" s="49">
        <v>43858</v>
      </c>
      <c r="G23" s="49">
        <v>43861</v>
      </c>
      <c r="H23" s="35"/>
      <c r="I23" s="67">
        <v>55</v>
      </c>
      <c r="J23" s="67">
        <v>37.615413660000002</v>
      </c>
      <c r="K23" s="67">
        <v>17.384586340000002</v>
      </c>
      <c r="L23" s="36">
        <f>+K23-((K23*0.159*0.125)+(K23*(1-0.159)*0.26))</f>
        <v>13.2377540373881</v>
      </c>
      <c r="M23" s="64">
        <f t="shared" si="0"/>
        <v>50.853167697388102</v>
      </c>
      <c r="N23" s="33" t="s">
        <v>495</v>
      </c>
    </row>
    <row r="24" spans="1:254" s="30" customFormat="1">
      <c r="A24" s="97" t="s">
        <v>246</v>
      </c>
      <c r="B24" s="33" t="s">
        <v>216</v>
      </c>
      <c r="C24" s="92" t="s">
        <v>456</v>
      </c>
      <c r="D24" s="33" t="s">
        <v>410</v>
      </c>
      <c r="E24" s="49">
        <v>43920</v>
      </c>
      <c r="F24" s="49">
        <v>43921</v>
      </c>
      <c r="G24" s="49">
        <v>43924</v>
      </c>
      <c r="H24" s="35"/>
      <c r="I24" s="67">
        <v>15.409991</v>
      </c>
      <c r="J24" s="67">
        <v>0</v>
      </c>
      <c r="K24" s="67">
        <v>15.409991</v>
      </c>
      <c r="L24" s="36">
        <f>+K24-((K24*0.104*0.125)+(K24*(1-0.104)*0.26))</f>
        <v>11.61974961364</v>
      </c>
      <c r="M24" s="64">
        <f t="shared" si="0"/>
        <v>11.61974961364</v>
      </c>
      <c r="N24" s="33" t="s">
        <v>247</v>
      </c>
    </row>
    <row r="25" spans="1:254" s="30" customFormat="1">
      <c r="A25" s="97" t="s">
        <v>233</v>
      </c>
      <c r="B25" s="33" t="s">
        <v>215</v>
      </c>
      <c r="C25" s="92" t="s">
        <v>457</v>
      </c>
      <c r="D25" s="33" t="s">
        <v>410</v>
      </c>
      <c r="E25" s="49">
        <v>43921</v>
      </c>
      <c r="F25" s="49">
        <v>43922</v>
      </c>
      <c r="G25" s="49">
        <v>43927</v>
      </c>
      <c r="H25" s="35"/>
      <c r="I25" s="67">
        <v>0</v>
      </c>
      <c r="J25" s="67">
        <v>0</v>
      </c>
      <c r="K25" s="67">
        <v>0</v>
      </c>
      <c r="L25" s="36">
        <f>+K25-((K25*0.342*0.125)+(K25*(1-0.342)*0.26))</f>
        <v>0</v>
      </c>
      <c r="M25" s="64">
        <f t="shared" si="0"/>
        <v>0</v>
      </c>
      <c r="N25" s="33" t="s">
        <v>248</v>
      </c>
    </row>
    <row r="26" spans="1:254" s="30" customFormat="1">
      <c r="A26" s="97" t="s">
        <v>234</v>
      </c>
      <c r="B26" s="33" t="s">
        <v>203</v>
      </c>
      <c r="C26" s="92" t="s">
        <v>445</v>
      </c>
      <c r="D26" s="33" t="s">
        <v>410</v>
      </c>
      <c r="E26" s="49">
        <v>43921</v>
      </c>
      <c r="F26" s="49">
        <v>43922</v>
      </c>
      <c r="G26" s="49">
        <v>43927</v>
      </c>
      <c r="H26" s="35"/>
      <c r="I26" s="67">
        <v>1.0163</v>
      </c>
      <c r="J26" s="67">
        <v>0</v>
      </c>
      <c r="K26" s="67">
        <v>1.0163</v>
      </c>
      <c r="L26" s="36">
        <f>+K26-((K26*0.666*0.125)+(K26*(1-0.666)*0.26))</f>
        <v>0.84343753300000002</v>
      </c>
      <c r="M26" s="64">
        <f t="shared" si="0"/>
        <v>0.84343753300000002</v>
      </c>
      <c r="N26" s="33" t="s">
        <v>248</v>
      </c>
    </row>
    <row r="27" spans="1:254" s="30" customFormat="1">
      <c r="A27" s="97" t="s">
        <v>235</v>
      </c>
      <c r="B27" s="33" t="s">
        <v>204</v>
      </c>
      <c r="C27" s="92" t="s">
        <v>446</v>
      </c>
      <c r="D27" s="33" t="s">
        <v>410</v>
      </c>
      <c r="E27" s="49">
        <v>43921</v>
      </c>
      <c r="F27" s="49">
        <v>43922</v>
      </c>
      <c r="G27" s="49">
        <v>43927</v>
      </c>
      <c r="H27" s="35"/>
      <c r="I27" s="67">
        <v>1.1539999999999999</v>
      </c>
      <c r="J27" s="67">
        <v>0</v>
      </c>
      <c r="K27" s="67">
        <v>1.1539999999999999</v>
      </c>
      <c r="L27" s="36">
        <f>+K27-((K27*0.008*0.125)+(K27*(1-0.008)*0.26))</f>
        <v>0.85520631999999996</v>
      </c>
      <c r="M27" s="64">
        <f t="shared" si="0"/>
        <v>0.85520631999999996</v>
      </c>
      <c r="N27" s="33" t="s">
        <v>248</v>
      </c>
    </row>
    <row r="28" spans="1:254" s="30" customFormat="1">
      <c r="A28" s="97" t="s">
        <v>238</v>
      </c>
      <c r="B28" s="33" t="s">
        <v>207</v>
      </c>
      <c r="C28" s="92" t="s">
        <v>447</v>
      </c>
      <c r="D28" s="33" t="s">
        <v>410</v>
      </c>
      <c r="E28" s="49">
        <v>43921</v>
      </c>
      <c r="F28" s="49">
        <v>43922</v>
      </c>
      <c r="G28" s="49">
        <v>43927</v>
      </c>
      <c r="H28" s="35"/>
      <c r="I28" s="67">
        <v>0.50719999999999998</v>
      </c>
      <c r="J28" s="67">
        <v>0</v>
      </c>
      <c r="K28" s="67">
        <v>0.50719999999999998</v>
      </c>
      <c r="L28" s="36">
        <f>+K28-((K28*0.949*0.125)+(K28*(1-0.949)*0.26))</f>
        <v>0.44030792799999996</v>
      </c>
      <c r="M28" s="64">
        <f t="shared" si="0"/>
        <v>0.44030792799999996</v>
      </c>
      <c r="N28" s="33" t="s">
        <v>248</v>
      </c>
    </row>
    <row r="29" spans="1:254" s="30" customFormat="1">
      <c r="A29" s="97" t="s">
        <v>236</v>
      </c>
      <c r="B29" s="33" t="s">
        <v>205</v>
      </c>
      <c r="C29" s="92" t="s">
        <v>448</v>
      </c>
      <c r="D29" s="33" t="s">
        <v>410</v>
      </c>
      <c r="E29" s="49">
        <v>43921</v>
      </c>
      <c r="F29" s="49">
        <v>43922</v>
      </c>
      <c r="G29" s="49">
        <v>43927</v>
      </c>
      <c r="H29" s="35"/>
      <c r="I29" s="67">
        <v>3.8864000000000001</v>
      </c>
      <c r="J29" s="67">
        <v>0</v>
      </c>
      <c r="K29" s="67">
        <v>3.8864000000000001</v>
      </c>
      <c r="L29" s="36">
        <f>+K29-((K29*0.478*0.125)+(K29*(1-0.478)*0.26))</f>
        <v>3.126725392</v>
      </c>
      <c r="M29" s="64">
        <f t="shared" si="0"/>
        <v>3.126725392</v>
      </c>
      <c r="N29" s="33" t="s">
        <v>248</v>
      </c>
      <c r="IT29" s="99"/>
    </row>
    <row r="30" spans="1:254" s="30" customFormat="1">
      <c r="A30" s="97" t="s">
        <v>237</v>
      </c>
      <c r="B30" s="33" t="s">
        <v>206</v>
      </c>
      <c r="C30" s="92" t="s">
        <v>449</v>
      </c>
      <c r="D30" s="33" t="s">
        <v>410</v>
      </c>
      <c r="E30" s="49">
        <v>43921</v>
      </c>
      <c r="F30" s="49">
        <v>43922</v>
      </c>
      <c r="G30" s="49">
        <v>43927</v>
      </c>
      <c r="H30" s="35"/>
      <c r="I30" s="67">
        <v>3.9935</v>
      </c>
      <c r="J30" s="67">
        <v>0</v>
      </c>
      <c r="K30" s="67">
        <v>3.9935</v>
      </c>
      <c r="L30" s="36">
        <f>+K30-((K30*0.478*0.125)+(K30*(1-0.478)*0.26))</f>
        <v>3.212890555</v>
      </c>
      <c r="M30" s="64">
        <f t="shared" si="0"/>
        <v>3.212890555</v>
      </c>
      <c r="N30" s="33" t="s">
        <v>248</v>
      </c>
    </row>
    <row r="31" spans="1:254" s="30" customFormat="1">
      <c r="A31" s="97"/>
      <c r="B31" s="33" t="s">
        <v>505</v>
      </c>
      <c r="C31" s="92" t="s">
        <v>506</v>
      </c>
      <c r="D31" s="33" t="s">
        <v>410</v>
      </c>
      <c r="E31" s="49">
        <v>43921</v>
      </c>
      <c r="F31" s="49">
        <v>43922</v>
      </c>
      <c r="G31" s="49">
        <v>43927</v>
      </c>
      <c r="H31" s="35"/>
      <c r="I31" s="67">
        <v>8.75</v>
      </c>
      <c r="J31" s="67">
        <v>6.8403208544999998</v>
      </c>
      <c r="K31" s="67">
        <v>1.9096791455000002</v>
      </c>
      <c r="L31" s="36">
        <f>+K31-((K31*0.001*0.125)+(K31*(1-0.001)*0.26))</f>
        <v>1.4134203743546425</v>
      </c>
      <c r="M31" s="64">
        <f t="shared" si="0"/>
        <v>8.2537412288546417</v>
      </c>
      <c r="N31" s="33" t="s">
        <v>248</v>
      </c>
    </row>
    <row r="32" spans="1:254" s="30" customFormat="1">
      <c r="A32" s="97" t="s">
        <v>243</v>
      </c>
      <c r="B32" s="33" t="s">
        <v>212</v>
      </c>
      <c r="C32" s="92" t="s">
        <v>450</v>
      </c>
      <c r="D32" s="33" t="s">
        <v>410</v>
      </c>
      <c r="E32" s="49">
        <v>43921</v>
      </c>
      <c r="F32" s="49">
        <v>43922</v>
      </c>
      <c r="G32" s="49">
        <v>43927</v>
      </c>
      <c r="H32" s="35"/>
      <c r="I32" s="67">
        <v>6.3555999999999999</v>
      </c>
      <c r="J32" s="67">
        <v>0</v>
      </c>
      <c r="K32" s="67">
        <v>6.3555999999999999</v>
      </c>
      <c r="L32" s="36">
        <f>+K32-((K32*0.00000001*0.125)+(K32*(1-0.00000001)*0.26))</f>
        <v>4.7031440085800602</v>
      </c>
      <c r="M32" s="64">
        <f t="shared" si="0"/>
        <v>4.7031440085800602</v>
      </c>
      <c r="N32" s="33" t="s">
        <v>248</v>
      </c>
    </row>
    <row r="33" spans="1:255" s="30" customFormat="1">
      <c r="A33" s="97" t="s">
        <v>239</v>
      </c>
      <c r="B33" s="33" t="s">
        <v>208</v>
      </c>
      <c r="C33" s="92" t="s">
        <v>451</v>
      </c>
      <c r="D33" s="33" t="s">
        <v>410</v>
      </c>
      <c r="E33" s="49">
        <v>43921</v>
      </c>
      <c r="F33" s="49">
        <v>43922</v>
      </c>
      <c r="G33" s="49">
        <v>43927</v>
      </c>
      <c r="H33" s="35"/>
      <c r="I33" s="67">
        <v>6.3273000000000001</v>
      </c>
      <c r="J33" s="67">
        <v>0</v>
      </c>
      <c r="K33" s="67">
        <v>6.3273000000000001</v>
      </c>
      <c r="L33" s="36">
        <f>+K33-((K33*0.004*0.125)+(K33*(1-0.004)*0.26))</f>
        <v>4.6856187419999999</v>
      </c>
      <c r="M33" s="64">
        <f t="shared" si="0"/>
        <v>4.6856187419999999</v>
      </c>
      <c r="N33" s="33" t="s">
        <v>248</v>
      </c>
    </row>
    <row r="34" spans="1:255" s="30" customFormat="1">
      <c r="A34" s="97" t="s">
        <v>244</v>
      </c>
      <c r="B34" s="33" t="s">
        <v>213</v>
      </c>
      <c r="C34" s="92" t="s">
        <v>452</v>
      </c>
      <c r="D34" s="33" t="s">
        <v>410</v>
      </c>
      <c r="E34" s="49">
        <v>43921</v>
      </c>
      <c r="F34" s="49">
        <v>43922</v>
      </c>
      <c r="G34" s="49">
        <v>43927</v>
      </c>
      <c r="H34" s="35"/>
      <c r="I34" s="67">
        <v>5.7820999999999998</v>
      </c>
      <c r="J34" s="67">
        <v>0</v>
      </c>
      <c r="K34" s="67">
        <v>5.7820999999999998</v>
      </c>
      <c r="L34" s="36">
        <f>+K34-((K34*0.056*0.125)+(K34*(1-0.056)*0.26))</f>
        <v>4.3224666759999995</v>
      </c>
      <c r="M34" s="64">
        <f t="shared" si="0"/>
        <v>4.3224666759999995</v>
      </c>
      <c r="N34" s="33" t="s">
        <v>248</v>
      </c>
    </row>
    <row r="35" spans="1:255" s="30" customFormat="1">
      <c r="A35" s="97" t="s">
        <v>241</v>
      </c>
      <c r="B35" s="33" t="s">
        <v>210</v>
      </c>
      <c r="C35" s="92" t="s">
        <v>458</v>
      </c>
      <c r="D35" s="33" t="s">
        <v>410</v>
      </c>
      <c r="E35" s="49">
        <v>43921</v>
      </c>
      <c r="F35" s="49">
        <v>43922</v>
      </c>
      <c r="G35" s="49">
        <v>43927</v>
      </c>
      <c r="H35" s="35"/>
      <c r="I35" s="67">
        <v>12.3733</v>
      </c>
      <c r="J35" s="67">
        <v>0</v>
      </c>
      <c r="K35" s="67">
        <v>12.3733</v>
      </c>
      <c r="L35" s="36">
        <f>+K35-((K35*0.09*0.125)+(K35*(1-0.092)*0.26))</f>
        <v>9.3130117109999997</v>
      </c>
      <c r="M35" s="64">
        <f t="shared" si="0"/>
        <v>9.3130117109999997</v>
      </c>
      <c r="N35" s="33" t="s">
        <v>248</v>
      </c>
    </row>
    <row r="36" spans="1:255" s="30" customFormat="1">
      <c r="A36" s="97" t="s">
        <v>245</v>
      </c>
      <c r="B36" s="33" t="s">
        <v>214</v>
      </c>
      <c r="C36" s="92" t="s">
        <v>453</v>
      </c>
      <c r="D36" s="33" t="s">
        <v>410</v>
      </c>
      <c r="E36" s="49">
        <v>43921</v>
      </c>
      <c r="F36" s="49">
        <v>43922</v>
      </c>
      <c r="G36" s="49">
        <v>43927</v>
      </c>
      <c r="H36" s="35"/>
      <c r="I36" s="67">
        <v>10.547599999999999</v>
      </c>
      <c r="J36" s="67">
        <v>0</v>
      </c>
      <c r="K36" s="67">
        <v>10.547599999999999</v>
      </c>
      <c r="L36" s="36">
        <f>+K36-((K36*0.171*0.125)+(K36*(1-0.171)*0.26))</f>
        <v>8.0487153459999998</v>
      </c>
      <c r="M36" s="64">
        <f t="shared" si="0"/>
        <v>8.0487153459999998</v>
      </c>
      <c r="N36" s="33" t="s">
        <v>248</v>
      </c>
    </row>
    <row r="37" spans="1:255" s="30" customFormat="1">
      <c r="A37" s="97" t="s">
        <v>242</v>
      </c>
      <c r="B37" s="33" t="s">
        <v>211</v>
      </c>
      <c r="C37" s="92" t="s">
        <v>459</v>
      </c>
      <c r="D37" s="33" t="s">
        <v>410</v>
      </c>
      <c r="E37" s="49">
        <v>43921</v>
      </c>
      <c r="F37" s="49">
        <v>43922</v>
      </c>
      <c r="G37" s="49">
        <v>43927</v>
      </c>
      <c r="H37" s="35"/>
      <c r="I37" s="67">
        <v>0</v>
      </c>
      <c r="J37" s="67">
        <v>0</v>
      </c>
      <c r="K37" s="67">
        <v>0</v>
      </c>
      <c r="L37" s="36">
        <f>+K37-((K37*0.089*0.125)+(K37*(1-0.089)*0.26))</f>
        <v>0</v>
      </c>
      <c r="M37" s="64">
        <f t="shared" si="0"/>
        <v>0</v>
      </c>
      <c r="N37" s="33" t="s">
        <v>248</v>
      </c>
    </row>
    <row r="38" spans="1:255" s="30" customFormat="1">
      <c r="A38" s="97" t="s">
        <v>240</v>
      </c>
      <c r="B38" s="33" t="s">
        <v>209</v>
      </c>
      <c r="C38" s="92" t="s">
        <v>706</v>
      </c>
      <c r="D38" s="33" t="s">
        <v>410</v>
      </c>
      <c r="E38" s="49">
        <v>43921</v>
      </c>
      <c r="F38" s="49">
        <v>43922</v>
      </c>
      <c r="G38" s="49">
        <v>43927</v>
      </c>
      <c r="H38" s="35"/>
      <c r="I38" s="67">
        <v>0</v>
      </c>
      <c r="J38" s="67">
        <v>0</v>
      </c>
      <c r="K38" s="67">
        <v>0</v>
      </c>
      <c r="L38" s="36">
        <f>+K38-((K38*0.112*0.125)+(K38*(1-0.112)*0.26))</f>
        <v>0</v>
      </c>
      <c r="M38" s="64">
        <f t="shared" ref="M38:M69" si="1">L38+J38</f>
        <v>0</v>
      </c>
      <c r="N38" s="33" t="s">
        <v>248</v>
      </c>
    </row>
    <row r="39" spans="1:255" s="30" customFormat="1">
      <c r="A39" s="97" t="s">
        <v>226</v>
      </c>
      <c r="B39" s="33" t="s">
        <v>225</v>
      </c>
      <c r="C39" s="92" t="s">
        <v>454</v>
      </c>
      <c r="D39" s="33" t="s">
        <v>410</v>
      </c>
      <c r="E39" s="49">
        <v>43945</v>
      </c>
      <c r="F39" s="49">
        <v>43948</v>
      </c>
      <c r="G39" s="49">
        <v>43951</v>
      </c>
      <c r="H39" s="35"/>
      <c r="I39" s="67">
        <v>7.1940999999999997</v>
      </c>
      <c r="J39" s="67">
        <v>0</v>
      </c>
      <c r="K39" s="67">
        <v>7.1940999999999997</v>
      </c>
      <c r="L39" s="36">
        <f>+K39-((K39*0.268*0.125)+(K39*(1-0.268)*0.26))</f>
        <v>5.5839165379999995</v>
      </c>
      <c r="M39" s="64">
        <f t="shared" si="1"/>
        <v>5.5839165379999995</v>
      </c>
      <c r="N39" s="33" t="s">
        <v>249</v>
      </c>
    </row>
    <row r="40" spans="1:255" s="30" customFormat="1">
      <c r="A40" s="97" t="s">
        <v>220</v>
      </c>
      <c r="B40" s="33" t="s">
        <v>219</v>
      </c>
      <c r="C40" s="92" t="s">
        <v>485</v>
      </c>
      <c r="D40" s="33" t="s">
        <v>410</v>
      </c>
      <c r="E40" s="49">
        <v>43945</v>
      </c>
      <c r="F40" s="49">
        <v>43948</v>
      </c>
      <c r="G40" s="49">
        <v>43951</v>
      </c>
      <c r="H40" s="35"/>
      <c r="I40" s="67">
        <v>8.3063000000000002</v>
      </c>
      <c r="J40" s="67">
        <v>0</v>
      </c>
      <c r="K40" s="67">
        <v>8.3063000000000002</v>
      </c>
      <c r="L40" s="36">
        <f>+K40-((K40*0.000000001*0.125)+(K40*(1-0.000000001)*0.26))</f>
        <v>6.1466620011213502</v>
      </c>
      <c r="M40" s="64">
        <f t="shared" si="1"/>
        <v>6.1466620011213502</v>
      </c>
      <c r="N40" s="33" t="s">
        <v>249</v>
      </c>
    </row>
    <row r="41" spans="1:255" s="30" customFormat="1">
      <c r="A41" s="97" t="s">
        <v>222</v>
      </c>
      <c r="B41" s="33" t="s">
        <v>221</v>
      </c>
      <c r="C41" s="92" t="s">
        <v>484</v>
      </c>
      <c r="D41" s="33" t="s">
        <v>410</v>
      </c>
      <c r="E41" s="49">
        <v>43945</v>
      </c>
      <c r="F41" s="49">
        <v>43948</v>
      </c>
      <c r="G41" s="49">
        <v>43951</v>
      </c>
      <c r="H41" s="35"/>
      <c r="I41" s="67">
        <v>11.4251</v>
      </c>
      <c r="J41" s="67">
        <v>0</v>
      </c>
      <c r="K41" s="67">
        <v>11.4251</v>
      </c>
      <c r="L41" s="36">
        <f>+K41-((K41*0.000000001*0.125)+(K41*(1-0.000000001)*0.26))</f>
        <v>8.4545740015423885</v>
      </c>
      <c r="M41" s="64">
        <f t="shared" si="1"/>
        <v>8.4545740015423885</v>
      </c>
      <c r="N41" s="33" t="s">
        <v>249</v>
      </c>
    </row>
    <row r="42" spans="1:255" s="30" customFormat="1">
      <c r="A42" s="97" t="s">
        <v>246</v>
      </c>
      <c r="B42" s="33" t="s">
        <v>216</v>
      </c>
      <c r="C42" s="92" t="s">
        <v>456</v>
      </c>
      <c r="D42" s="33" t="s">
        <v>410</v>
      </c>
      <c r="E42" s="49">
        <v>44011</v>
      </c>
      <c r="F42" s="49">
        <v>44012</v>
      </c>
      <c r="G42" s="49">
        <v>44015</v>
      </c>
      <c r="H42" s="35"/>
      <c r="I42" s="67">
        <v>0</v>
      </c>
      <c r="J42" s="67">
        <v>0</v>
      </c>
      <c r="K42" s="67">
        <v>0</v>
      </c>
      <c r="L42" s="36">
        <f>+K42-((K42*0.104*0.125)+(K42*(1-0.104)*0.26))</f>
        <v>0</v>
      </c>
      <c r="M42" s="64">
        <f t="shared" si="1"/>
        <v>0</v>
      </c>
      <c r="N42" s="33" t="s">
        <v>247</v>
      </c>
    </row>
    <row r="43" spans="1:255" s="30" customFormat="1">
      <c r="A43" s="97" t="s">
        <v>233</v>
      </c>
      <c r="B43" s="33" t="s">
        <v>215</v>
      </c>
      <c r="C43" s="92" t="s">
        <v>457</v>
      </c>
      <c r="D43" s="33" t="s">
        <v>410</v>
      </c>
      <c r="E43" s="49">
        <v>44012</v>
      </c>
      <c r="F43" s="49">
        <v>44013</v>
      </c>
      <c r="G43" s="49">
        <v>44018</v>
      </c>
      <c r="H43" s="35"/>
      <c r="I43" s="67">
        <v>0</v>
      </c>
      <c r="J43" s="67">
        <v>0</v>
      </c>
      <c r="K43" s="67">
        <v>0</v>
      </c>
      <c r="L43" s="36">
        <f>+K43-((K43*0.3017*0.125)+(K43*(1-0.3017)*0.26))</f>
        <v>0</v>
      </c>
      <c r="M43" s="64">
        <f t="shared" si="1"/>
        <v>0</v>
      </c>
      <c r="N43" s="33" t="s">
        <v>248</v>
      </c>
    </row>
    <row r="44" spans="1:255" s="30" customFormat="1">
      <c r="A44" s="97" t="s">
        <v>234</v>
      </c>
      <c r="B44" s="33" t="s">
        <v>203</v>
      </c>
      <c r="C44" s="92" t="s">
        <v>445</v>
      </c>
      <c r="D44" s="33" t="s">
        <v>410</v>
      </c>
      <c r="E44" s="49">
        <v>44012</v>
      </c>
      <c r="F44" s="49">
        <v>44013</v>
      </c>
      <c r="G44" s="49">
        <v>44018</v>
      </c>
      <c r="H44" s="35"/>
      <c r="I44" s="67">
        <v>1.0163</v>
      </c>
      <c r="J44" s="67">
        <v>0</v>
      </c>
      <c r="K44" s="67">
        <v>1.0163</v>
      </c>
      <c r="L44" s="36">
        <f>+K44-((K44*0.5914*0.125)+(K44*(1-0.5914)*0.26))</f>
        <v>0.8332023757</v>
      </c>
      <c r="M44" s="64">
        <f t="shared" si="1"/>
        <v>0.8332023757</v>
      </c>
      <c r="N44" s="33" t="s">
        <v>248</v>
      </c>
    </row>
    <row r="45" spans="1:255" s="30" customFormat="1">
      <c r="A45" s="97" t="s">
        <v>235</v>
      </c>
      <c r="B45" s="33" t="s">
        <v>204</v>
      </c>
      <c r="C45" s="92" t="s">
        <v>446</v>
      </c>
      <c r="D45" s="33" t="s">
        <v>410</v>
      </c>
      <c r="E45" s="49">
        <v>44012</v>
      </c>
      <c r="F45" s="49">
        <v>44013</v>
      </c>
      <c r="G45" s="49">
        <v>44018</v>
      </c>
      <c r="H45" s="35"/>
      <c r="I45" s="67">
        <v>1.1539999999999999</v>
      </c>
      <c r="J45" s="67">
        <v>0</v>
      </c>
      <c r="K45" s="67">
        <v>1.1539999999999999</v>
      </c>
      <c r="L45" s="36">
        <f>+K45-((K45*0.0006*0.125)+(K45*(1-0.0006)*0.26))</f>
        <v>0.85405347399999987</v>
      </c>
      <c r="M45" s="64">
        <f t="shared" si="1"/>
        <v>0.85405347399999987</v>
      </c>
      <c r="N45" s="33" t="s">
        <v>248</v>
      </c>
    </row>
    <row r="46" spans="1:255" s="30" customFormat="1">
      <c r="A46" s="97" t="s">
        <v>238</v>
      </c>
      <c r="B46" s="33" t="s">
        <v>207</v>
      </c>
      <c r="C46" s="92" t="s">
        <v>447</v>
      </c>
      <c r="D46" s="33" t="s">
        <v>410</v>
      </c>
      <c r="E46" s="49">
        <v>44012</v>
      </c>
      <c r="F46" s="49">
        <v>44013</v>
      </c>
      <c r="G46" s="49">
        <v>44018</v>
      </c>
      <c r="H46" s="35"/>
      <c r="I46" s="67">
        <v>0.50719999999999998</v>
      </c>
      <c r="J46" s="67">
        <v>0</v>
      </c>
      <c r="K46" s="67">
        <v>0.50719999999999998</v>
      </c>
      <c r="L46" s="36">
        <f>+K46-((K46*0.9352*0.125)+(K46*(1-0.9352)*0.26))</f>
        <v>0.43936301439999997</v>
      </c>
      <c r="M46" s="64">
        <f t="shared" si="1"/>
        <v>0.43936301439999997</v>
      </c>
      <c r="N46" s="33" t="s">
        <v>248</v>
      </c>
    </row>
    <row r="47" spans="1:255" s="30" customFormat="1">
      <c r="A47" s="97" t="s">
        <v>236</v>
      </c>
      <c r="B47" s="33" t="s">
        <v>205</v>
      </c>
      <c r="C47" s="92" t="s">
        <v>448</v>
      </c>
      <c r="D47" s="33" t="s">
        <v>410</v>
      </c>
      <c r="E47" s="49">
        <v>44012</v>
      </c>
      <c r="F47" s="49">
        <v>44013</v>
      </c>
      <c r="G47" s="49">
        <v>44018</v>
      </c>
      <c r="H47" s="35"/>
      <c r="I47" s="67">
        <v>3.8864000000000001</v>
      </c>
      <c r="J47" s="67">
        <v>0</v>
      </c>
      <c r="K47" s="67">
        <v>3.8864000000000001</v>
      </c>
      <c r="L47" s="36">
        <f>+K47-((K47*0.49965*0.125)+(K47*(1-0.49965)*0.26))</f>
        <v>3.1380843675999999</v>
      </c>
      <c r="M47" s="64">
        <f t="shared" si="1"/>
        <v>3.1380843675999999</v>
      </c>
      <c r="N47" s="33" t="s">
        <v>248</v>
      </c>
    </row>
    <row r="48" spans="1:255" s="30" customFormat="1">
      <c r="A48" s="97" t="s">
        <v>237</v>
      </c>
      <c r="B48" s="33" t="s">
        <v>206</v>
      </c>
      <c r="C48" s="92" t="s">
        <v>449</v>
      </c>
      <c r="D48" s="33" t="s">
        <v>410</v>
      </c>
      <c r="E48" s="49">
        <v>44012</v>
      </c>
      <c r="F48" s="49">
        <v>44013</v>
      </c>
      <c r="G48" s="49">
        <v>44018</v>
      </c>
      <c r="H48" s="35"/>
      <c r="I48" s="67">
        <v>3.9935</v>
      </c>
      <c r="J48" s="67">
        <v>0</v>
      </c>
      <c r="K48" s="67">
        <v>3.9935</v>
      </c>
      <c r="L48" s="36">
        <f>+K48-((K48*0.49965*0.125)+(K48*(1-0.49965)*0.26))</f>
        <v>3.2245625571250001</v>
      </c>
      <c r="M48" s="64">
        <f t="shared" si="1"/>
        <v>3.2245625571250001</v>
      </c>
      <c r="N48" s="33" t="s">
        <v>248</v>
      </c>
      <c r="IU48" s="99"/>
    </row>
    <row r="49" spans="1:14" s="30" customFormat="1">
      <c r="A49" s="97"/>
      <c r="B49" s="33" t="s">
        <v>505</v>
      </c>
      <c r="C49" s="92" t="s">
        <v>506</v>
      </c>
      <c r="D49" s="33" t="s">
        <v>410</v>
      </c>
      <c r="E49" s="49">
        <v>44012</v>
      </c>
      <c r="F49" s="49">
        <v>44013</v>
      </c>
      <c r="G49" s="49">
        <v>44018</v>
      </c>
      <c r="H49" s="35"/>
      <c r="I49" s="67">
        <v>8.75</v>
      </c>
      <c r="J49" s="67">
        <v>2.9052763659809702</v>
      </c>
      <c r="K49" s="67">
        <v>5.8447236340190303</v>
      </c>
      <c r="L49" s="36">
        <f>+K49-((K49*0.000000000001*0.125)+(K49*(1-0.000000000001)*0.26))</f>
        <v>4.3250954891748714</v>
      </c>
      <c r="M49" s="64">
        <f t="shared" si="1"/>
        <v>7.2303718551558411</v>
      </c>
      <c r="N49" s="33" t="s">
        <v>248</v>
      </c>
    </row>
    <row r="50" spans="1:14" s="30" customFormat="1">
      <c r="A50" s="97" t="s">
        <v>243</v>
      </c>
      <c r="B50" s="33" t="s">
        <v>212</v>
      </c>
      <c r="C50" s="92" t="s">
        <v>450</v>
      </c>
      <c r="D50" s="33" t="s">
        <v>410</v>
      </c>
      <c r="E50" s="49">
        <v>44012</v>
      </c>
      <c r="F50" s="49">
        <v>44013</v>
      </c>
      <c r="G50" s="49">
        <v>44018</v>
      </c>
      <c r="H50" s="35"/>
      <c r="I50" s="67">
        <v>6.3555999999999999</v>
      </c>
      <c r="J50" s="67">
        <v>0</v>
      </c>
      <c r="K50" s="67">
        <v>6.3555999999999999</v>
      </c>
      <c r="L50" s="36">
        <f>+K50-((K50*0.000000000001*0.125)+(K50*(1-0.000000000001)*0.26))</f>
        <v>4.703144000000858</v>
      </c>
      <c r="M50" s="64">
        <f t="shared" si="1"/>
        <v>4.703144000000858</v>
      </c>
      <c r="N50" s="33" t="s">
        <v>248</v>
      </c>
    </row>
    <row r="51" spans="1:14" s="30" customFormat="1">
      <c r="A51" s="97" t="s">
        <v>239</v>
      </c>
      <c r="B51" s="33" t="s">
        <v>208</v>
      </c>
      <c r="C51" s="92" t="s">
        <v>451</v>
      </c>
      <c r="D51" s="33" t="s">
        <v>410</v>
      </c>
      <c r="E51" s="49">
        <v>44012</v>
      </c>
      <c r="F51" s="49">
        <v>44013</v>
      </c>
      <c r="G51" s="49">
        <v>44018</v>
      </c>
      <c r="H51" s="35"/>
      <c r="I51" s="67">
        <v>6.3273000000000001</v>
      </c>
      <c r="J51" s="67">
        <v>0</v>
      </c>
      <c r="K51" s="67">
        <v>6.3273000000000001</v>
      </c>
      <c r="L51" s="36">
        <f>+K51-((K51*0.0094*0.125)+(K51*(1-0.0094)*0.26))</f>
        <v>4.6902313436999998</v>
      </c>
      <c r="M51" s="64">
        <f t="shared" si="1"/>
        <v>4.6902313436999998</v>
      </c>
      <c r="N51" s="33" t="s">
        <v>248</v>
      </c>
    </row>
    <row r="52" spans="1:14" s="30" customFormat="1">
      <c r="A52" s="97" t="s">
        <v>244</v>
      </c>
      <c r="B52" s="33" t="s">
        <v>213</v>
      </c>
      <c r="C52" s="92" t="s">
        <v>452</v>
      </c>
      <c r="D52" s="33" t="s">
        <v>410</v>
      </c>
      <c r="E52" s="49">
        <v>44012</v>
      </c>
      <c r="F52" s="49">
        <v>44013</v>
      </c>
      <c r="G52" s="49">
        <v>44018</v>
      </c>
      <c r="H52" s="35"/>
      <c r="I52" s="67">
        <v>5.7820999999999998</v>
      </c>
      <c r="J52" s="67">
        <v>0</v>
      </c>
      <c r="K52" s="67">
        <v>5.7820999999999998</v>
      </c>
      <c r="L52" s="36">
        <f>+K52-((K52*0.0509*0.125)+(K52*(1-0.0509)*0.26))</f>
        <v>4.3184857001500001</v>
      </c>
      <c r="M52" s="64">
        <f t="shared" si="1"/>
        <v>4.3184857001500001</v>
      </c>
      <c r="N52" s="33" t="s">
        <v>248</v>
      </c>
    </row>
    <row r="53" spans="1:14" s="30" customFormat="1">
      <c r="A53" s="97" t="s">
        <v>241</v>
      </c>
      <c r="B53" s="33" t="s">
        <v>210</v>
      </c>
      <c r="C53" s="92" t="s">
        <v>458</v>
      </c>
      <c r="D53" s="33" t="s">
        <v>410</v>
      </c>
      <c r="E53" s="49">
        <v>44012</v>
      </c>
      <c r="F53" s="49">
        <v>44013</v>
      </c>
      <c r="G53" s="49">
        <v>44018</v>
      </c>
      <c r="H53" s="35"/>
      <c r="I53" s="67">
        <v>12.3733</v>
      </c>
      <c r="J53" s="67">
        <v>0</v>
      </c>
      <c r="K53" s="67">
        <v>12.3733</v>
      </c>
      <c r="L53" s="36">
        <f>+K53-((K53*0.0921*0.125)+(K53*(1-0.0921)*0.26))</f>
        <v>9.3100854255499996</v>
      </c>
      <c r="M53" s="64">
        <f t="shared" si="1"/>
        <v>9.3100854255499996</v>
      </c>
      <c r="N53" s="33" t="s">
        <v>248</v>
      </c>
    </row>
    <row r="54" spans="1:14" s="30" customFormat="1">
      <c r="A54" s="97" t="s">
        <v>245</v>
      </c>
      <c r="B54" s="33" t="s">
        <v>214</v>
      </c>
      <c r="C54" s="92" t="s">
        <v>453</v>
      </c>
      <c r="D54" s="33" t="s">
        <v>410</v>
      </c>
      <c r="E54" s="49">
        <v>44012</v>
      </c>
      <c r="F54" s="49">
        <v>44013</v>
      </c>
      <c r="G54" s="49">
        <v>44018</v>
      </c>
      <c r="H54" s="35"/>
      <c r="I54" s="67">
        <v>10.547599999999999</v>
      </c>
      <c r="J54" s="67">
        <v>0</v>
      </c>
      <c r="K54" s="67">
        <v>10.547599999999999</v>
      </c>
      <c r="L54" s="36">
        <f>+K54-((K54*0.078*0.125)+(K54*(1-0.078)*0.26))</f>
        <v>7.9162902279999994</v>
      </c>
      <c r="M54" s="64">
        <f t="shared" si="1"/>
        <v>7.9162902279999994</v>
      </c>
      <c r="N54" s="33" t="s">
        <v>248</v>
      </c>
    </row>
    <row r="55" spans="1:14" s="30" customFormat="1">
      <c r="A55" s="97" t="s">
        <v>242</v>
      </c>
      <c r="B55" s="33" t="s">
        <v>211</v>
      </c>
      <c r="C55" s="92" t="s">
        <v>459</v>
      </c>
      <c r="D55" s="33" t="s">
        <v>410</v>
      </c>
      <c r="E55" s="49">
        <v>44012</v>
      </c>
      <c r="F55" s="49">
        <v>44013</v>
      </c>
      <c r="G55" s="49">
        <v>44018</v>
      </c>
      <c r="H55" s="35"/>
      <c r="I55" s="67">
        <v>0</v>
      </c>
      <c r="J55" s="67">
        <v>0</v>
      </c>
      <c r="K55" s="67">
        <v>0</v>
      </c>
      <c r="L55" s="36">
        <f>+K55-((K55*0.1243*0.125)+(K55*(1-0.1243)*0.26))</f>
        <v>0</v>
      </c>
      <c r="M55" s="64">
        <f t="shared" si="1"/>
        <v>0</v>
      </c>
      <c r="N55" s="33" t="s">
        <v>248</v>
      </c>
    </row>
    <row r="56" spans="1:14" s="30" customFormat="1">
      <c r="A56" s="97" t="s">
        <v>240</v>
      </c>
      <c r="B56" s="33" t="s">
        <v>209</v>
      </c>
      <c r="C56" s="92" t="s">
        <v>706</v>
      </c>
      <c r="D56" s="33" t="s">
        <v>410</v>
      </c>
      <c r="E56" s="49">
        <v>44012</v>
      </c>
      <c r="F56" s="49">
        <v>44013</v>
      </c>
      <c r="G56" s="49">
        <v>44018</v>
      </c>
      <c r="H56" s="35"/>
      <c r="I56" s="67">
        <v>0</v>
      </c>
      <c r="J56" s="67">
        <v>0</v>
      </c>
      <c r="K56" s="67">
        <v>0</v>
      </c>
      <c r="L56" s="36">
        <f>+K56-((K56*0.127*0.125)+(K56*(1-0.127)*0.26))</f>
        <v>0</v>
      </c>
      <c r="M56" s="64">
        <f t="shared" si="1"/>
        <v>0</v>
      </c>
      <c r="N56" s="33" t="s">
        <v>248</v>
      </c>
    </row>
    <row r="57" spans="1:14" s="30" customFormat="1">
      <c r="A57" s="97" t="s">
        <v>226</v>
      </c>
      <c r="B57" s="33" t="s">
        <v>225</v>
      </c>
      <c r="C57" s="92" t="s">
        <v>454</v>
      </c>
      <c r="D57" s="33" t="s">
        <v>410</v>
      </c>
      <c r="E57" s="49">
        <v>44039</v>
      </c>
      <c r="F57" s="49">
        <v>44040</v>
      </c>
      <c r="G57" s="49">
        <v>44043</v>
      </c>
      <c r="H57" s="35"/>
      <c r="I57" s="67">
        <v>7.1940999999999997</v>
      </c>
      <c r="J57" s="67">
        <v>0</v>
      </c>
      <c r="K57" s="67">
        <v>7.1940999999999997</v>
      </c>
      <c r="L57" s="36">
        <f>+K57-((K57*0.000000000001*0.125)+(K57*(1-0.000000000001)*0.26))</f>
        <v>5.323634000000971</v>
      </c>
      <c r="M57" s="64">
        <f t="shared" si="1"/>
        <v>5.323634000000971</v>
      </c>
      <c r="N57" s="33" t="s">
        <v>249</v>
      </c>
    </row>
    <row r="58" spans="1:14" s="30" customFormat="1">
      <c r="A58" s="97" t="s">
        <v>224</v>
      </c>
      <c r="B58" s="33" t="s">
        <v>223</v>
      </c>
      <c r="C58" s="92" t="s">
        <v>488</v>
      </c>
      <c r="D58" s="33" t="s">
        <v>413</v>
      </c>
      <c r="E58" s="49">
        <v>44039</v>
      </c>
      <c r="F58" s="49">
        <v>44040</v>
      </c>
      <c r="G58" s="49">
        <v>44043</v>
      </c>
      <c r="H58" s="35"/>
      <c r="I58" s="67">
        <v>18.970600000000001</v>
      </c>
      <c r="J58" s="67">
        <v>0</v>
      </c>
      <c r="K58" s="67">
        <v>18.970600000000001</v>
      </c>
      <c r="L58" s="36">
        <f>+K58-((K58*0.000000000001*0.125)+(K58*(1-0.000000000001)*0.26))</f>
        <v>14.038244000002562</v>
      </c>
      <c r="M58" s="64">
        <f t="shared" si="1"/>
        <v>14.038244000002562</v>
      </c>
      <c r="N58" s="33" t="s">
        <v>250</v>
      </c>
    </row>
    <row r="59" spans="1:14" s="30" customFormat="1">
      <c r="A59" s="97" t="s">
        <v>220</v>
      </c>
      <c r="B59" s="33" t="s">
        <v>219</v>
      </c>
      <c r="C59" s="92" t="s">
        <v>485</v>
      </c>
      <c r="D59" s="33" t="s">
        <v>410</v>
      </c>
      <c r="E59" s="49">
        <v>44039</v>
      </c>
      <c r="F59" s="49">
        <v>44040</v>
      </c>
      <c r="G59" s="49">
        <v>44043</v>
      </c>
      <c r="H59" s="35"/>
      <c r="I59" s="67">
        <v>8.3063000000000002</v>
      </c>
      <c r="J59" s="67">
        <v>0</v>
      </c>
      <c r="K59" s="67">
        <v>8.3063000000000002</v>
      </c>
      <c r="L59" s="36">
        <f>+K59-((K59*0.000000000001*0.125)+(K59*(1-0.000000000001)*0.26))</f>
        <v>6.1466620000011218</v>
      </c>
      <c r="M59" s="64">
        <f t="shared" si="1"/>
        <v>6.1466620000011218</v>
      </c>
      <c r="N59" s="33" t="s">
        <v>249</v>
      </c>
    </row>
    <row r="60" spans="1:14" s="30" customFormat="1">
      <c r="A60" s="97" t="s">
        <v>222</v>
      </c>
      <c r="B60" s="33" t="s">
        <v>221</v>
      </c>
      <c r="C60" s="92" t="s">
        <v>484</v>
      </c>
      <c r="D60" s="33" t="s">
        <v>410</v>
      </c>
      <c r="E60" s="49">
        <v>44039</v>
      </c>
      <c r="F60" s="49">
        <v>44040</v>
      </c>
      <c r="G60" s="49">
        <v>44043</v>
      </c>
      <c r="H60" s="35"/>
      <c r="I60" s="67">
        <v>11.4251</v>
      </c>
      <c r="J60" s="67">
        <v>0</v>
      </c>
      <c r="K60" s="67">
        <v>11.4251</v>
      </c>
      <c r="L60" s="36">
        <f>+K60-((K60*0.000000000001*0.125)+(K60*(1-0.000000000001)*0.26))</f>
        <v>8.4545740000015428</v>
      </c>
      <c r="M60" s="64">
        <f t="shared" si="1"/>
        <v>8.4545740000015428</v>
      </c>
      <c r="N60" s="33" t="s">
        <v>249</v>
      </c>
    </row>
    <row r="61" spans="1:14" s="30" customFormat="1">
      <c r="A61" s="97"/>
      <c r="B61" s="33" t="s">
        <v>486</v>
      </c>
      <c r="C61" s="92" t="s">
        <v>487</v>
      </c>
      <c r="D61" s="33" t="s">
        <v>413</v>
      </c>
      <c r="E61" s="49">
        <v>44039</v>
      </c>
      <c r="F61" s="49">
        <v>44040</v>
      </c>
      <c r="G61" s="49">
        <v>44043</v>
      </c>
      <c r="H61" s="35"/>
      <c r="I61" s="67">
        <v>22.2986</v>
      </c>
      <c r="J61" s="67">
        <v>3.1004955000000001</v>
      </c>
      <c r="K61" s="67">
        <v>22.2986</v>
      </c>
      <c r="L61" s="36">
        <f>+K61-((K61*0.000000000001*0.125)+(K61*(1-0.000000000001)*0.26))</f>
        <v>16.500964000003009</v>
      </c>
      <c r="M61" s="64">
        <f t="shared" si="1"/>
        <v>19.60145950000301</v>
      </c>
      <c r="N61" s="33" t="s">
        <v>250</v>
      </c>
    </row>
    <row r="62" spans="1:14" s="30" customFormat="1">
      <c r="A62" s="97"/>
      <c r="B62" s="33" t="s">
        <v>489</v>
      </c>
      <c r="C62" s="92" t="s">
        <v>521</v>
      </c>
      <c r="D62" s="33" t="s">
        <v>413</v>
      </c>
      <c r="E62" s="49">
        <v>44039</v>
      </c>
      <c r="F62" s="49">
        <v>44040</v>
      </c>
      <c r="G62" s="49">
        <v>44043</v>
      </c>
      <c r="H62" s="35"/>
      <c r="I62" s="67">
        <v>21.8705</v>
      </c>
      <c r="J62" s="67">
        <v>2.7076997176454118</v>
      </c>
      <c r="K62" s="67">
        <v>21.8705</v>
      </c>
      <c r="L62" s="36">
        <f>+K62-((K62*0.2536*0.125)+(K62*(1-0.2536)*0.26))</f>
        <v>16.932928437999998</v>
      </c>
      <c r="M62" s="64">
        <f t="shared" si="1"/>
        <v>19.640628155645409</v>
      </c>
      <c r="N62" s="33" t="s">
        <v>250</v>
      </c>
    </row>
    <row r="63" spans="1:14" s="30" customFormat="1">
      <c r="A63" s="97" t="s">
        <v>232</v>
      </c>
      <c r="B63" s="33" t="s">
        <v>218</v>
      </c>
      <c r="C63" s="92" t="s">
        <v>455</v>
      </c>
      <c r="D63" s="33" t="s">
        <v>413</v>
      </c>
      <c r="E63" s="49">
        <v>44039</v>
      </c>
      <c r="F63" s="49">
        <v>44040</v>
      </c>
      <c r="G63" s="49">
        <v>44043</v>
      </c>
      <c r="H63" s="35"/>
      <c r="I63" s="67">
        <v>23.13</v>
      </c>
      <c r="J63" s="67">
        <v>2.5680446200000016</v>
      </c>
      <c r="K63" s="67">
        <v>23.13</v>
      </c>
      <c r="L63" s="36">
        <f>+K63-((K63*0.2536*0.125)+(K63*(1-0.2536)*0.26))</f>
        <v>17.908078679999999</v>
      </c>
      <c r="M63" s="64">
        <f t="shared" si="1"/>
        <v>20.476123300000001</v>
      </c>
      <c r="N63" s="33" t="s">
        <v>250</v>
      </c>
    </row>
    <row r="64" spans="1:14" s="30" customFormat="1">
      <c r="A64" s="97"/>
      <c r="B64" s="33" t="s">
        <v>293</v>
      </c>
      <c r="C64" s="92" t="s">
        <v>553</v>
      </c>
      <c r="D64" s="33" t="s">
        <v>412</v>
      </c>
      <c r="E64" s="49">
        <v>44095</v>
      </c>
      <c r="F64" s="49">
        <v>44096</v>
      </c>
      <c r="G64" s="49">
        <v>44099</v>
      </c>
      <c r="H64" s="35"/>
      <c r="I64" s="67">
        <v>5.33</v>
      </c>
      <c r="J64" s="67">
        <v>0</v>
      </c>
      <c r="K64" s="67">
        <v>5.33</v>
      </c>
      <c r="L64" s="36">
        <f>+K64-((K64*0.0187*0.125)+(K64*(1-0.0187)*0.26))</f>
        <v>3.9576555849999999</v>
      </c>
      <c r="M64" s="64">
        <f t="shared" si="1"/>
        <v>3.9576555849999999</v>
      </c>
      <c r="N64" s="33" t="s">
        <v>288</v>
      </c>
    </row>
    <row r="65" spans="1:254" s="30" customFormat="1">
      <c r="A65" s="97"/>
      <c r="B65" s="33" t="s">
        <v>295</v>
      </c>
      <c r="C65" s="92" t="s">
        <v>461</v>
      </c>
      <c r="D65" s="33" t="s">
        <v>412</v>
      </c>
      <c r="E65" s="49">
        <v>44095</v>
      </c>
      <c r="F65" s="49">
        <v>44096</v>
      </c>
      <c r="G65" s="49">
        <v>44099</v>
      </c>
      <c r="H65" s="35"/>
      <c r="I65" s="67">
        <v>80.89</v>
      </c>
      <c r="J65" s="67">
        <v>0</v>
      </c>
      <c r="K65" s="67">
        <v>80.89</v>
      </c>
      <c r="L65" s="36">
        <f>+K65-((K65*0.3017*0.125)+(K65*(1-0.3017)*0.26))</f>
        <v>63.153209255000007</v>
      </c>
      <c r="M65" s="64">
        <f t="shared" si="1"/>
        <v>63.153209255000007</v>
      </c>
      <c r="N65" s="33" t="s">
        <v>288</v>
      </c>
    </row>
    <row r="66" spans="1:254" s="30" customFormat="1">
      <c r="A66" s="97"/>
      <c r="B66" s="33" t="s">
        <v>556</v>
      </c>
      <c r="C66" s="92" t="s">
        <v>560</v>
      </c>
      <c r="D66" s="33" t="s">
        <v>412</v>
      </c>
      <c r="E66" s="49">
        <v>44095</v>
      </c>
      <c r="F66" s="49">
        <v>44096</v>
      </c>
      <c r="G66" s="49">
        <v>44099</v>
      </c>
      <c r="H66" s="35"/>
      <c r="I66" s="67">
        <v>37.25</v>
      </c>
      <c r="J66" s="67">
        <v>0</v>
      </c>
      <c r="K66" s="67">
        <v>37.25</v>
      </c>
      <c r="L66" s="36">
        <f>+K66-((K66*0.402*0.125)+(K66*(1-0.402)*0.26))</f>
        <v>29.586557500000001</v>
      </c>
      <c r="M66" s="64">
        <f t="shared" si="1"/>
        <v>29.586557500000001</v>
      </c>
      <c r="N66" s="33" t="s">
        <v>288</v>
      </c>
    </row>
    <row r="67" spans="1:254" s="30" customFormat="1">
      <c r="A67" s="97"/>
      <c r="B67" s="33" t="s">
        <v>297</v>
      </c>
      <c r="C67" s="92" t="s">
        <v>463</v>
      </c>
      <c r="D67" s="33" t="s">
        <v>412</v>
      </c>
      <c r="E67" s="49">
        <v>44095</v>
      </c>
      <c r="F67" s="49">
        <v>44096</v>
      </c>
      <c r="G67" s="49">
        <v>44099</v>
      </c>
      <c r="H67" s="35"/>
      <c r="I67" s="67">
        <v>54.34</v>
      </c>
      <c r="J67" s="67">
        <v>0</v>
      </c>
      <c r="K67" s="67">
        <v>54.34</v>
      </c>
      <c r="L67" s="36">
        <f>+K67-((K67*0.7742*0.125)+(K67*(1-0.7742)*0.26))</f>
        <v>45.891053780000007</v>
      </c>
      <c r="M67" s="64">
        <f t="shared" si="1"/>
        <v>45.891053780000007</v>
      </c>
      <c r="N67" s="33" t="s">
        <v>288</v>
      </c>
    </row>
    <row r="68" spans="1:254" s="30" customFormat="1">
      <c r="A68" s="97"/>
      <c r="B68" s="33" t="s">
        <v>290</v>
      </c>
      <c r="C68" s="92" t="s">
        <v>460</v>
      </c>
      <c r="D68" s="33" t="s">
        <v>412</v>
      </c>
      <c r="E68" s="49">
        <v>44095</v>
      </c>
      <c r="F68" s="49">
        <v>44096</v>
      </c>
      <c r="G68" s="49">
        <v>44099</v>
      </c>
      <c r="H68" s="35"/>
      <c r="I68" s="67">
        <v>10.38</v>
      </c>
      <c r="J68" s="67">
        <v>0</v>
      </c>
      <c r="K68" s="67">
        <v>10.38</v>
      </c>
      <c r="L68" s="36">
        <f>+K68-((K68*0.5914*0.125)+(K68*(1-0.5914)*0.26))</f>
        <v>8.5099288200000007</v>
      </c>
      <c r="M68" s="64">
        <f t="shared" si="1"/>
        <v>8.5099288200000007</v>
      </c>
      <c r="N68" s="33" t="s">
        <v>288</v>
      </c>
    </row>
    <row r="69" spans="1:254" s="30" customFormat="1">
      <c r="A69" s="97"/>
      <c r="B69" s="33" t="s">
        <v>291</v>
      </c>
      <c r="C69" s="92" t="s">
        <v>462</v>
      </c>
      <c r="D69" s="33" t="s">
        <v>412</v>
      </c>
      <c r="E69" s="49">
        <v>44095</v>
      </c>
      <c r="F69" s="49">
        <v>44096</v>
      </c>
      <c r="G69" s="49">
        <v>44099</v>
      </c>
      <c r="H69" s="35"/>
      <c r="I69" s="67">
        <v>13.6</v>
      </c>
      <c r="J69" s="67">
        <v>0</v>
      </c>
      <c r="K69" s="67">
        <v>13.6</v>
      </c>
      <c r="L69" s="36">
        <f>+K69-((K69*0.0006*0.125)+(K69*(1-0.0006)*0.26))</f>
        <v>10.0651016</v>
      </c>
      <c r="M69" s="64">
        <f t="shared" si="1"/>
        <v>10.0651016</v>
      </c>
      <c r="N69" s="33" t="s">
        <v>288</v>
      </c>
    </row>
    <row r="70" spans="1:254" s="30" customFormat="1">
      <c r="A70" s="97"/>
      <c r="B70" s="33" t="s">
        <v>555</v>
      </c>
      <c r="C70" s="92" t="s">
        <v>559</v>
      </c>
      <c r="D70" s="33" t="s">
        <v>412</v>
      </c>
      <c r="E70" s="49">
        <v>44095</v>
      </c>
      <c r="F70" s="49">
        <v>44096</v>
      </c>
      <c r="G70" s="49">
        <v>44099</v>
      </c>
      <c r="H70" s="35"/>
      <c r="I70" s="67">
        <v>28.13</v>
      </c>
      <c r="J70" s="67">
        <v>0</v>
      </c>
      <c r="K70" s="67">
        <v>28.13</v>
      </c>
      <c r="L70" s="36">
        <f>+K70-((K70*0.0000000001*0.125)+(K70*(1-0.0000000001)*0.26))</f>
        <v>20.816200000379752</v>
      </c>
      <c r="M70" s="64">
        <f t="shared" ref="M70:M101" si="2">L70+J70</f>
        <v>20.816200000379752</v>
      </c>
      <c r="N70" s="33" t="s">
        <v>288</v>
      </c>
    </row>
    <row r="71" spans="1:254" s="30" customFormat="1">
      <c r="A71" s="97"/>
      <c r="B71" s="33" t="s">
        <v>554</v>
      </c>
      <c r="C71" s="92" t="s">
        <v>558</v>
      </c>
      <c r="D71" s="33" t="s">
        <v>412</v>
      </c>
      <c r="E71" s="49">
        <v>44095</v>
      </c>
      <c r="F71" s="49">
        <v>44096</v>
      </c>
      <c r="G71" s="49">
        <v>44099</v>
      </c>
      <c r="H71" s="35"/>
      <c r="I71" s="67">
        <v>20.61</v>
      </c>
      <c r="J71" s="67">
        <v>0</v>
      </c>
      <c r="K71" s="67">
        <v>20.61</v>
      </c>
      <c r="L71" s="36">
        <f>+K71-((K71*0.4996*0.125)+(K71*(1-0.4996)*0.26))</f>
        <v>16.641462059999999</v>
      </c>
      <c r="M71" s="64">
        <f t="shared" si="2"/>
        <v>16.641462059999999</v>
      </c>
      <c r="N71" s="33" t="s">
        <v>288</v>
      </c>
      <c r="IT71" s="99"/>
    </row>
    <row r="72" spans="1:254" s="30" customFormat="1">
      <c r="A72" s="97"/>
      <c r="B72" s="33" t="s">
        <v>292</v>
      </c>
      <c r="C72" s="92" t="s">
        <v>497</v>
      </c>
      <c r="D72" s="33" t="s">
        <v>412</v>
      </c>
      <c r="E72" s="49">
        <v>44095</v>
      </c>
      <c r="F72" s="49">
        <v>44096</v>
      </c>
      <c r="G72" s="49">
        <v>44099</v>
      </c>
      <c r="H72" s="35"/>
      <c r="I72" s="67">
        <v>2.84</v>
      </c>
      <c r="J72" s="67">
        <v>0</v>
      </c>
      <c r="K72" s="67">
        <v>2.84</v>
      </c>
      <c r="L72" s="36">
        <f>+K72-((K72*0.619*0.125)+(K72*(1-0.619)*0.26))</f>
        <v>2.3389245999999999</v>
      </c>
      <c r="M72" s="64">
        <f t="shared" si="2"/>
        <v>2.3389245999999999</v>
      </c>
      <c r="N72" s="33" t="s">
        <v>288</v>
      </c>
    </row>
    <row r="73" spans="1:254" s="30" customFormat="1">
      <c r="A73" s="97"/>
      <c r="B73" s="33" t="s">
        <v>557</v>
      </c>
      <c r="C73" s="92" t="s">
        <v>561</v>
      </c>
      <c r="D73" s="33" t="s">
        <v>412</v>
      </c>
      <c r="E73" s="49">
        <v>44095</v>
      </c>
      <c r="F73" s="49">
        <v>44096</v>
      </c>
      <c r="G73" s="49">
        <v>44099</v>
      </c>
      <c r="H73" s="35"/>
      <c r="I73" s="67">
        <v>7.25</v>
      </c>
      <c r="J73" s="67">
        <v>0</v>
      </c>
      <c r="K73" s="67">
        <v>7.25</v>
      </c>
      <c r="L73" s="36">
        <f>+K73-((K73*0.2663*0.125)+(K73*(1-0.2663)*0.26))</f>
        <v>5.6256411249999996</v>
      </c>
      <c r="M73" s="64">
        <f t="shared" si="2"/>
        <v>5.6256411249999996</v>
      </c>
      <c r="N73" s="33" t="s">
        <v>288</v>
      </c>
    </row>
    <row r="74" spans="1:254" s="30" customFormat="1">
      <c r="A74" s="97"/>
      <c r="B74" s="33" t="s">
        <v>296</v>
      </c>
      <c r="C74" s="92" t="s">
        <v>464</v>
      </c>
      <c r="D74" s="33" t="s">
        <v>412</v>
      </c>
      <c r="E74" s="49">
        <v>44095</v>
      </c>
      <c r="F74" s="49">
        <v>44096</v>
      </c>
      <c r="G74" s="49">
        <v>44099</v>
      </c>
      <c r="H74" s="35"/>
      <c r="I74" s="67">
        <v>73.11</v>
      </c>
      <c r="J74" s="67">
        <v>0</v>
      </c>
      <c r="K74" s="67">
        <v>73.11</v>
      </c>
      <c r="L74" s="36">
        <f>+K74-((K74*0.0921*0.125)+(K74*(1-0.0921)*0.26))</f>
        <v>55.010413184999997</v>
      </c>
      <c r="M74" s="64">
        <f t="shared" si="2"/>
        <v>55.010413184999997</v>
      </c>
      <c r="N74" s="33" t="s">
        <v>288</v>
      </c>
    </row>
    <row r="75" spans="1:254" s="30" customFormat="1">
      <c r="A75" s="97"/>
      <c r="B75" s="33" t="s">
        <v>294</v>
      </c>
      <c r="C75" s="92" t="s">
        <v>706</v>
      </c>
      <c r="D75" s="33" t="s">
        <v>412</v>
      </c>
      <c r="E75" s="49">
        <v>44095</v>
      </c>
      <c r="F75" s="49">
        <v>44096</v>
      </c>
      <c r="G75" s="49">
        <v>44099</v>
      </c>
      <c r="H75" s="35"/>
      <c r="I75" s="67">
        <v>43.1</v>
      </c>
      <c r="J75" s="67">
        <v>0</v>
      </c>
      <c r="K75" s="67">
        <v>43.1</v>
      </c>
      <c r="L75" s="36">
        <f>+K75-((K75*0.127*0.125)+(K75*(1-0.127)*0.26))</f>
        <v>32.632949500000002</v>
      </c>
      <c r="M75" s="64">
        <f t="shared" si="2"/>
        <v>32.632949500000002</v>
      </c>
      <c r="N75" s="33" t="s">
        <v>288</v>
      </c>
    </row>
    <row r="76" spans="1:254" s="30" customFormat="1">
      <c r="A76" s="97" t="s">
        <v>246</v>
      </c>
      <c r="B76" s="33" t="s">
        <v>216</v>
      </c>
      <c r="C76" s="92" t="s">
        <v>456</v>
      </c>
      <c r="D76" s="33" t="s">
        <v>410</v>
      </c>
      <c r="E76" s="49">
        <v>44103</v>
      </c>
      <c r="F76" s="49">
        <v>44104</v>
      </c>
      <c r="G76" s="49">
        <v>44109</v>
      </c>
      <c r="H76" s="35"/>
      <c r="I76" s="67">
        <v>0</v>
      </c>
      <c r="J76" s="67">
        <v>0</v>
      </c>
      <c r="K76" s="67">
        <v>0</v>
      </c>
      <c r="L76" s="36">
        <f>+K76-((K76*0.082*0.125)+(K76*(1-0.082)*0.26))</f>
        <v>0</v>
      </c>
      <c r="M76" s="64">
        <f t="shared" si="2"/>
        <v>0</v>
      </c>
      <c r="N76" s="33" t="s">
        <v>247</v>
      </c>
    </row>
    <row r="77" spans="1:254" s="30" customFormat="1">
      <c r="A77" s="97" t="s">
        <v>233</v>
      </c>
      <c r="B77" s="33" t="s">
        <v>215</v>
      </c>
      <c r="C77" s="92" t="s">
        <v>457</v>
      </c>
      <c r="D77" s="33" t="s">
        <v>410</v>
      </c>
      <c r="E77" s="49">
        <v>44104</v>
      </c>
      <c r="F77" s="49">
        <v>44105</v>
      </c>
      <c r="G77" s="49">
        <v>44110</v>
      </c>
      <c r="H77" s="35"/>
      <c r="I77" s="67">
        <v>0</v>
      </c>
      <c r="J77" s="67">
        <v>0</v>
      </c>
      <c r="K77" s="67">
        <v>0</v>
      </c>
      <c r="L77" s="36">
        <f>+K77-((K77*0.3017*0.125)+(K77*(1-0.3017)*0.26))</f>
        <v>0</v>
      </c>
      <c r="M77" s="64">
        <f t="shared" si="2"/>
        <v>0</v>
      </c>
      <c r="N77" s="33" t="s">
        <v>248</v>
      </c>
    </row>
    <row r="78" spans="1:254" s="30" customFormat="1">
      <c r="A78" s="97" t="s">
        <v>234</v>
      </c>
      <c r="B78" s="33" t="s">
        <v>203</v>
      </c>
      <c r="C78" s="92" t="s">
        <v>445</v>
      </c>
      <c r="D78" s="33" t="s">
        <v>410</v>
      </c>
      <c r="E78" s="49">
        <v>44104</v>
      </c>
      <c r="F78" s="49">
        <v>44105</v>
      </c>
      <c r="G78" s="49">
        <v>44110</v>
      </c>
      <c r="H78" s="35"/>
      <c r="I78" s="67">
        <v>1.0163</v>
      </c>
      <c r="J78" s="67">
        <v>0</v>
      </c>
      <c r="K78" s="67">
        <v>1.0163</v>
      </c>
      <c r="L78" s="36">
        <f>+K78-((K78*0.5914*0.125)+(K78*(1-0.5914)*0.26))</f>
        <v>0.8332023757</v>
      </c>
      <c r="M78" s="64">
        <f t="shared" si="2"/>
        <v>0.8332023757</v>
      </c>
      <c r="N78" s="33" t="s">
        <v>248</v>
      </c>
    </row>
    <row r="79" spans="1:254" s="30" customFormat="1">
      <c r="A79" s="97" t="s">
        <v>235</v>
      </c>
      <c r="B79" s="33" t="s">
        <v>204</v>
      </c>
      <c r="C79" s="92" t="s">
        <v>446</v>
      </c>
      <c r="D79" s="33" t="s">
        <v>410</v>
      </c>
      <c r="E79" s="49">
        <v>44104</v>
      </c>
      <c r="F79" s="49">
        <v>44105</v>
      </c>
      <c r="G79" s="49">
        <v>44110</v>
      </c>
      <c r="H79" s="35"/>
      <c r="I79" s="67">
        <v>1.1539999999999999</v>
      </c>
      <c r="J79" s="67">
        <v>0</v>
      </c>
      <c r="K79" s="67">
        <v>1.1539999999999999</v>
      </c>
      <c r="L79" s="36">
        <f>+K79-((K79*0.0006*0.125)+(K79*(1-0.0006)*0.26))</f>
        <v>0.85405347399999987</v>
      </c>
      <c r="M79" s="64">
        <f t="shared" si="2"/>
        <v>0.85405347399999987</v>
      </c>
      <c r="N79" s="33" t="s">
        <v>248</v>
      </c>
    </row>
    <row r="80" spans="1:254" s="30" customFormat="1">
      <c r="A80" s="97" t="s">
        <v>238</v>
      </c>
      <c r="B80" s="33" t="s">
        <v>207</v>
      </c>
      <c r="C80" s="92" t="s">
        <v>447</v>
      </c>
      <c r="D80" s="33" t="s">
        <v>410</v>
      </c>
      <c r="E80" s="49">
        <v>44104</v>
      </c>
      <c r="F80" s="49">
        <v>44105</v>
      </c>
      <c r="G80" s="49">
        <v>44110</v>
      </c>
      <c r="H80" s="35"/>
      <c r="I80" s="67">
        <v>0.50719999999999998</v>
      </c>
      <c r="J80" s="67">
        <v>0</v>
      </c>
      <c r="K80" s="67">
        <v>0.50719999999999998</v>
      </c>
      <c r="L80" s="36">
        <f>+K80-((K80*0.9352*0.125)+(K80*(1-0.9352)*0.26))</f>
        <v>0.43936301439999997</v>
      </c>
      <c r="M80" s="64">
        <f t="shared" si="2"/>
        <v>0.43936301439999997</v>
      </c>
      <c r="N80" s="33" t="s">
        <v>248</v>
      </c>
    </row>
    <row r="81" spans="1:255" s="30" customFormat="1">
      <c r="A81" s="97" t="s">
        <v>236</v>
      </c>
      <c r="B81" s="33" t="s">
        <v>205</v>
      </c>
      <c r="C81" s="92" t="s">
        <v>448</v>
      </c>
      <c r="D81" s="33" t="s">
        <v>410</v>
      </c>
      <c r="E81" s="49">
        <v>44104</v>
      </c>
      <c r="F81" s="49">
        <v>44105</v>
      </c>
      <c r="G81" s="49">
        <v>44110</v>
      </c>
      <c r="H81" s="35"/>
      <c r="I81" s="67">
        <v>3.8864000000000001</v>
      </c>
      <c r="J81" s="67">
        <v>0</v>
      </c>
      <c r="K81" s="67">
        <v>3.8864000000000001</v>
      </c>
      <c r="L81" s="36">
        <f>+K81-((K81*0.49965*0.125)+(K81*(1-0.49965)*0.26))</f>
        <v>3.1380843675999999</v>
      </c>
      <c r="M81" s="64">
        <f t="shared" si="2"/>
        <v>3.1380843675999999</v>
      </c>
      <c r="N81" s="33" t="s">
        <v>248</v>
      </c>
    </row>
    <row r="82" spans="1:255" s="30" customFormat="1">
      <c r="A82" s="97" t="s">
        <v>237</v>
      </c>
      <c r="B82" s="33" t="s">
        <v>206</v>
      </c>
      <c r="C82" s="92" t="s">
        <v>449</v>
      </c>
      <c r="D82" s="33" t="s">
        <v>410</v>
      </c>
      <c r="E82" s="49">
        <v>44104</v>
      </c>
      <c r="F82" s="49">
        <v>44105</v>
      </c>
      <c r="G82" s="49">
        <v>44110</v>
      </c>
      <c r="H82" s="35"/>
      <c r="I82" s="67">
        <v>3.9935</v>
      </c>
      <c r="J82" s="67">
        <v>0</v>
      </c>
      <c r="K82" s="67">
        <v>3.9935</v>
      </c>
      <c r="L82" s="36">
        <f>+K82-((K82*0.49965*0.125)+(K82*(1-0.49965)*0.26))</f>
        <v>3.2245625571250001</v>
      </c>
      <c r="M82" s="64">
        <f t="shared" si="2"/>
        <v>3.2245625571250001</v>
      </c>
      <c r="N82" s="33" t="s">
        <v>248</v>
      </c>
      <c r="IU82" s="99"/>
    </row>
    <row r="83" spans="1:255" s="30" customFormat="1">
      <c r="A83" s="97"/>
      <c r="B83" s="33" t="s">
        <v>505</v>
      </c>
      <c r="C83" s="92" t="s">
        <v>506</v>
      </c>
      <c r="D83" s="33" t="s">
        <v>410</v>
      </c>
      <c r="E83" s="49">
        <v>44104</v>
      </c>
      <c r="F83" s="49">
        <v>44105</v>
      </c>
      <c r="G83" s="49">
        <v>44110</v>
      </c>
      <c r="H83" s="35"/>
      <c r="I83" s="67">
        <v>8.75</v>
      </c>
      <c r="J83" s="67">
        <v>3.4411271336671621</v>
      </c>
      <c r="K83" s="67">
        <v>5.3088728663328384</v>
      </c>
      <c r="L83" s="36">
        <f>+K83-((K83*0.000000000001*0.125)+(K83*(1-0.000000000001)*0.26))</f>
        <v>3.9285659210870172</v>
      </c>
      <c r="M83" s="64">
        <f t="shared" si="2"/>
        <v>7.3696930547541797</v>
      </c>
      <c r="N83" s="33" t="s">
        <v>248</v>
      </c>
    </row>
    <row r="84" spans="1:255" s="30" customFormat="1">
      <c r="A84" s="97" t="s">
        <v>243</v>
      </c>
      <c r="B84" s="33" t="s">
        <v>212</v>
      </c>
      <c r="C84" s="92" t="s">
        <v>450</v>
      </c>
      <c r="D84" s="33" t="s">
        <v>410</v>
      </c>
      <c r="E84" s="49">
        <v>44104</v>
      </c>
      <c r="F84" s="49">
        <v>44105</v>
      </c>
      <c r="G84" s="49">
        <v>44110</v>
      </c>
      <c r="H84" s="35"/>
      <c r="I84" s="67">
        <v>6.3555999999999999</v>
      </c>
      <c r="J84" s="67">
        <v>0</v>
      </c>
      <c r="K84" s="67">
        <v>6.3555999999999999</v>
      </c>
      <c r="L84" s="36">
        <f>+K84-((K84*0.000000000001*0.125)+(K84*(1-0.000000000001)*0.26))</f>
        <v>4.703144000000858</v>
      </c>
      <c r="M84" s="64">
        <f t="shared" si="2"/>
        <v>4.703144000000858</v>
      </c>
      <c r="N84" s="33" t="s">
        <v>248</v>
      </c>
    </row>
    <row r="85" spans="1:255" s="30" customFormat="1">
      <c r="A85" s="97" t="s">
        <v>239</v>
      </c>
      <c r="B85" s="33" t="s">
        <v>208</v>
      </c>
      <c r="C85" s="92" t="s">
        <v>451</v>
      </c>
      <c r="D85" s="33" t="s">
        <v>410</v>
      </c>
      <c r="E85" s="49">
        <v>44104</v>
      </c>
      <c r="F85" s="49">
        <v>44105</v>
      </c>
      <c r="G85" s="49">
        <v>44110</v>
      </c>
      <c r="H85" s="35"/>
      <c r="I85" s="67">
        <v>6.3273000000000001</v>
      </c>
      <c r="J85" s="67">
        <v>0</v>
      </c>
      <c r="K85" s="67">
        <v>6.3273000000000001</v>
      </c>
      <c r="L85" s="36">
        <f>+K85-((K85*0.0094*0.125)+(K85*(1-0.0094)*0.26))</f>
        <v>4.6902313436999998</v>
      </c>
      <c r="M85" s="64">
        <f t="shared" si="2"/>
        <v>4.6902313436999998</v>
      </c>
      <c r="N85" s="33" t="s">
        <v>248</v>
      </c>
    </row>
    <row r="86" spans="1:255" s="30" customFormat="1">
      <c r="A86" s="97" t="s">
        <v>244</v>
      </c>
      <c r="B86" s="33" t="s">
        <v>213</v>
      </c>
      <c r="C86" s="92" t="s">
        <v>452</v>
      </c>
      <c r="D86" s="33" t="s">
        <v>410</v>
      </c>
      <c r="E86" s="49">
        <v>44104</v>
      </c>
      <c r="F86" s="49">
        <v>44105</v>
      </c>
      <c r="G86" s="49">
        <v>44110</v>
      </c>
      <c r="H86" s="35"/>
      <c r="I86" s="67">
        <v>5.7820999999999998</v>
      </c>
      <c r="J86" s="67">
        <v>0</v>
      </c>
      <c r="K86" s="67">
        <v>5.7820999999999998</v>
      </c>
      <c r="L86" s="36">
        <f>+K86-((K86*0.0509*0.125)+(K86*(1-0.0509)*0.26))</f>
        <v>4.3184857001500001</v>
      </c>
      <c r="M86" s="64">
        <f t="shared" si="2"/>
        <v>4.3184857001500001</v>
      </c>
      <c r="N86" s="33" t="s">
        <v>248</v>
      </c>
    </row>
    <row r="87" spans="1:255" s="30" customFormat="1">
      <c r="A87" s="97" t="s">
        <v>241</v>
      </c>
      <c r="B87" s="33" t="s">
        <v>210</v>
      </c>
      <c r="C87" s="92" t="s">
        <v>458</v>
      </c>
      <c r="D87" s="33" t="s">
        <v>410</v>
      </c>
      <c r="E87" s="49">
        <v>44104</v>
      </c>
      <c r="F87" s="49">
        <v>44105</v>
      </c>
      <c r="G87" s="49">
        <v>44110</v>
      </c>
      <c r="H87" s="35"/>
      <c r="I87" s="67">
        <v>12.3733</v>
      </c>
      <c r="J87" s="67">
        <v>0.88078742730940596</v>
      </c>
      <c r="K87" s="67">
        <v>11.492512572690595</v>
      </c>
      <c r="L87" s="36">
        <f>+K87-((K87*0.0921*0.125)+(K87*(1-0.0921)*0.26))</f>
        <v>8.6473514588635894</v>
      </c>
      <c r="M87" s="64">
        <f t="shared" si="2"/>
        <v>9.5281388861729948</v>
      </c>
      <c r="N87" s="33" t="s">
        <v>248</v>
      </c>
    </row>
    <row r="88" spans="1:255" s="30" customFormat="1">
      <c r="A88" s="97" t="s">
        <v>245</v>
      </c>
      <c r="B88" s="33" t="s">
        <v>214</v>
      </c>
      <c r="C88" s="92" t="s">
        <v>453</v>
      </c>
      <c r="D88" s="33" t="s">
        <v>410</v>
      </c>
      <c r="E88" s="49">
        <v>44104</v>
      </c>
      <c r="F88" s="49">
        <v>44105</v>
      </c>
      <c r="G88" s="49">
        <v>44110</v>
      </c>
      <c r="H88" s="35"/>
      <c r="I88" s="67">
        <v>10.547599999999999</v>
      </c>
      <c r="J88" s="67">
        <v>0</v>
      </c>
      <c r="K88" s="67">
        <v>10.547599999999999</v>
      </c>
      <c r="L88" s="36">
        <f>+K88-((K88*0.078*0.125)+(K88*(1-0.078)*0.26))</f>
        <v>7.9162902279999994</v>
      </c>
      <c r="M88" s="64">
        <f t="shared" si="2"/>
        <v>7.9162902279999994</v>
      </c>
      <c r="N88" s="33" t="s">
        <v>248</v>
      </c>
    </row>
    <row r="89" spans="1:255" s="30" customFormat="1">
      <c r="A89" s="97" t="s">
        <v>242</v>
      </c>
      <c r="B89" s="33" t="s">
        <v>211</v>
      </c>
      <c r="C89" s="92" t="s">
        <v>459</v>
      </c>
      <c r="D89" s="33" t="s">
        <v>410</v>
      </c>
      <c r="E89" s="49">
        <v>44104</v>
      </c>
      <c r="F89" s="49">
        <v>44105</v>
      </c>
      <c r="G89" s="49">
        <v>44110</v>
      </c>
      <c r="H89" s="35"/>
      <c r="I89" s="67">
        <v>0</v>
      </c>
      <c r="J89" s="67">
        <v>0</v>
      </c>
      <c r="K89" s="67">
        <v>0</v>
      </c>
      <c r="L89" s="36">
        <f>+K89-((K89*0.1243*0.125)+(K89*(1-0.1243)*0.26))</f>
        <v>0</v>
      </c>
      <c r="M89" s="64">
        <f t="shared" si="2"/>
        <v>0</v>
      </c>
      <c r="N89" s="33" t="s">
        <v>248</v>
      </c>
    </row>
    <row r="90" spans="1:255" s="30" customFormat="1">
      <c r="A90" s="97" t="s">
        <v>240</v>
      </c>
      <c r="B90" s="33" t="s">
        <v>209</v>
      </c>
      <c r="C90" s="92" t="s">
        <v>706</v>
      </c>
      <c r="D90" s="33" t="s">
        <v>410</v>
      </c>
      <c r="E90" s="49">
        <v>44104</v>
      </c>
      <c r="F90" s="49">
        <v>44105</v>
      </c>
      <c r="G90" s="49">
        <v>44110</v>
      </c>
      <c r="H90" s="35"/>
      <c r="I90" s="67">
        <v>0</v>
      </c>
      <c r="J90" s="67">
        <v>0</v>
      </c>
      <c r="K90" s="67">
        <v>0</v>
      </c>
      <c r="L90" s="36">
        <f>+K90-((K90*0.127*0.125)+(K90*(1-0.127)*0.26))</f>
        <v>0</v>
      </c>
      <c r="M90" s="64">
        <f t="shared" si="2"/>
        <v>0</v>
      </c>
      <c r="N90" s="33" t="s">
        <v>248</v>
      </c>
    </row>
    <row r="91" spans="1:255" s="30" customFormat="1">
      <c r="A91" s="97" t="s">
        <v>226</v>
      </c>
      <c r="B91" s="33" t="s">
        <v>225</v>
      </c>
      <c r="C91" s="92" t="s">
        <v>454</v>
      </c>
      <c r="D91" s="33" t="s">
        <v>410</v>
      </c>
      <c r="E91" s="49">
        <v>44130</v>
      </c>
      <c r="F91" s="49">
        <v>44131</v>
      </c>
      <c r="G91" s="49">
        <v>44134</v>
      </c>
      <c r="H91" s="35"/>
      <c r="I91" s="67">
        <v>7.1940999999999997</v>
      </c>
      <c r="J91" s="67">
        <v>0</v>
      </c>
      <c r="K91" s="67">
        <v>7.1940999999999997</v>
      </c>
      <c r="L91" s="36">
        <f>+K91-((K91*0.2612*0.125)+(K91*(1-0.2612)*0.26))</f>
        <v>5.5773123542</v>
      </c>
      <c r="M91" s="64">
        <f t="shared" si="2"/>
        <v>5.5773123542</v>
      </c>
      <c r="N91" s="33" t="s">
        <v>249</v>
      </c>
    </row>
    <row r="92" spans="1:255" s="30" customFormat="1">
      <c r="A92" s="97" t="s">
        <v>220</v>
      </c>
      <c r="B92" s="33" t="s">
        <v>219</v>
      </c>
      <c r="C92" s="92" t="s">
        <v>485</v>
      </c>
      <c r="D92" s="33" t="s">
        <v>410</v>
      </c>
      <c r="E92" s="49">
        <v>44130</v>
      </c>
      <c r="F92" s="49">
        <v>44131</v>
      </c>
      <c r="G92" s="49">
        <v>44134</v>
      </c>
      <c r="H92" s="35"/>
      <c r="I92" s="67">
        <v>8.3063000000000002</v>
      </c>
      <c r="J92" s="67">
        <v>0</v>
      </c>
      <c r="K92" s="67">
        <v>8.3063000000000002</v>
      </c>
      <c r="L92" s="36">
        <f>+K92-((K92*0.000000000001*0.125)+(K92*(1-0.000000000001)*0.26))</f>
        <v>6.1466620000011218</v>
      </c>
      <c r="M92" s="64">
        <f t="shared" si="2"/>
        <v>6.1466620000011218</v>
      </c>
      <c r="N92" s="33" t="s">
        <v>249</v>
      </c>
    </row>
    <row r="93" spans="1:255" s="30" customFormat="1">
      <c r="A93" s="97" t="s">
        <v>222</v>
      </c>
      <c r="B93" s="33" t="s">
        <v>221</v>
      </c>
      <c r="C93" s="92" t="s">
        <v>484</v>
      </c>
      <c r="D93" s="33" t="s">
        <v>410</v>
      </c>
      <c r="E93" s="49">
        <v>44130</v>
      </c>
      <c r="F93" s="49">
        <v>44131</v>
      </c>
      <c r="G93" s="49">
        <v>44134</v>
      </c>
      <c r="H93" s="35"/>
      <c r="I93" s="67">
        <v>11.4251</v>
      </c>
      <c r="J93" s="67">
        <v>0</v>
      </c>
      <c r="K93" s="67">
        <v>11.4251</v>
      </c>
      <c r="L93" s="36">
        <f>+K93-((K93*0.000000000001*0.125)+(K93*(1-0.000000000001)*0.26))</f>
        <v>8.4545740000015428</v>
      </c>
      <c r="M93" s="64">
        <f t="shared" si="2"/>
        <v>8.4545740000015428</v>
      </c>
      <c r="N93" s="33" t="s">
        <v>249</v>
      </c>
    </row>
    <row r="94" spans="1:255" s="30" customFormat="1">
      <c r="A94" s="97"/>
      <c r="B94" s="33" t="s">
        <v>551</v>
      </c>
      <c r="C94" s="92" t="s">
        <v>552</v>
      </c>
      <c r="D94" s="33" t="s">
        <v>412</v>
      </c>
      <c r="E94" s="49">
        <v>44137</v>
      </c>
      <c r="F94" s="49">
        <v>44138</v>
      </c>
      <c r="G94" s="49">
        <v>44141</v>
      </c>
      <c r="H94" s="35"/>
      <c r="I94" s="67">
        <v>20</v>
      </c>
      <c r="J94" s="67">
        <v>0</v>
      </c>
      <c r="K94" s="67">
        <v>20</v>
      </c>
      <c r="L94" s="36">
        <f>+K94-((K94*0.0195*0.125)+(K94*(1-0.0195)*0.26))</f>
        <v>14.852650000000001</v>
      </c>
      <c r="M94" s="64">
        <f t="shared" si="2"/>
        <v>14.852650000000001</v>
      </c>
      <c r="N94" s="33" t="s">
        <v>288</v>
      </c>
    </row>
    <row r="95" spans="1:255" s="30" customFormat="1">
      <c r="A95" s="97" t="s">
        <v>246</v>
      </c>
      <c r="B95" s="33" t="s">
        <v>216</v>
      </c>
      <c r="C95" s="92" t="s">
        <v>456</v>
      </c>
      <c r="D95" s="33" t="s">
        <v>410</v>
      </c>
      <c r="E95" s="49">
        <v>44195</v>
      </c>
      <c r="F95" s="49">
        <v>44196</v>
      </c>
      <c r="G95" s="49">
        <v>44202</v>
      </c>
      <c r="H95" s="35"/>
      <c r="I95" s="67">
        <v>0</v>
      </c>
      <c r="J95" s="67">
        <v>0</v>
      </c>
      <c r="K95" s="67">
        <v>0</v>
      </c>
      <c r="L95" s="36">
        <f>+K95-((K95*0.082*0.125)+(K95*(1-0.082)*0.26))</f>
        <v>0</v>
      </c>
      <c r="M95" s="64">
        <f t="shared" si="2"/>
        <v>0</v>
      </c>
      <c r="N95" s="33" t="s">
        <v>247</v>
      </c>
    </row>
    <row r="96" spans="1:255" s="30" customFormat="1">
      <c r="A96" s="97" t="s">
        <v>233</v>
      </c>
      <c r="B96" s="33" t="s">
        <v>215</v>
      </c>
      <c r="C96" s="92" t="s">
        <v>457</v>
      </c>
      <c r="D96" s="33" t="s">
        <v>410</v>
      </c>
      <c r="E96" s="49">
        <v>44196</v>
      </c>
      <c r="F96" s="49">
        <v>44200</v>
      </c>
      <c r="G96" s="49">
        <v>44203</v>
      </c>
      <c r="H96" s="35"/>
      <c r="I96" s="67">
        <v>0</v>
      </c>
      <c r="J96" s="67">
        <v>0</v>
      </c>
      <c r="K96" s="67">
        <v>0</v>
      </c>
      <c r="L96" s="36">
        <f>+K96-((K96*0.3017*0.125)+(K96*(1-0.3017)*0.26))</f>
        <v>0</v>
      </c>
      <c r="M96" s="64">
        <f t="shared" si="2"/>
        <v>0</v>
      </c>
      <c r="N96" s="33" t="s">
        <v>248</v>
      </c>
    </row>
    <row r="97" spans="1:14" s="30" customFormat="1">
      <c r="A97" s="97" t="s">
        <v>234</v>
      </c>
      <c r="B97" s="33" t="s">
        <v>203</v>
      </c>
      <c r="C97" s="92" t="s">
        <v>445</v>
      </c>
      <c r="D97" s="33" t="s">
        <v>410</v>
      </c>
      <c r="E97" s="49">
        <v>44196</v>
      </c>
      <c r="F97" s="49">
        <v>44200</v>
      </c>
      <c r="G97" s="49">
        <v>44203</v>
      </c>
      <c r="H97" s="35"/>
      <c r="I97" s="67">
        <v>1.0163</v>
      </c>
      <c r="J97" s="67">
        <v>0</v>
      </c>
      <c r="K97" s="67">
        <v>1.0163</v>
      </c>
      <c r="L97" s="36">
        <f>+K97-((K97*0.5914*0.125)+(K97*(1-0.5914)*0.26))</f>
        <v>0.8332023757</v>
      </c>
      <c r="M97" s="64">
        <f t="shared" si="2"/>
        <v>0.8332023757</v>
      </c>
      <c r="N97" s="33" t="s">
        <v>248</v>
      </c>
    </row>
    <row r="98" spans="1:14" s="30" customFormat="1">
      <c r="A98" s="97" t="s">
        <v>235</v>
      </c>
      <c r="B98" s="33" t="s">
        <v>204</v>
      </c>
      <c r="C98" s="92" t="s">
        <v>446</v>
      </c>
      <c r="D98" s="33" t="s">
        <v>410</v>
      </c>
      <c r="E98" s="49">
        <v>44196</v>
      </c>
      <c r="F98" s="49">
        <v>44200</v>
      </c>
      <c r="G98" s="49">
        <v>44203</v>
      </c>
      <c r="H98" s="35"/>
      <c r="I98" s="67">
        <v>1.1539999999999999</v>
      </c>
      <c r="J98" s="67">
        <v>0</v>
      </c>
      <c r="K98" s="67">
        <v>1.1539999999999999</v>
      </c>
      <c r="L98" s="36">
        <f>+K98-((K98*0.0006*0.125)+(K98*(1-0.0006)*0.26))</f>
        <v>0.85405347399999987</v>
      </c>
      <c r="M98" s="64">
        <f t="shared" si="2"/>
        <v>0.85405347399999987</v>
      </c>
      <c r="N98" s="33" t="s">
        <v>248</v>
      </c>
    </row>
    <row r="99" spans="1:14" s="30" customFormat="1">
      <c r="A99" s="97" t="s">
        <v>238</v>
      </c>
      <c r="B99" s="33" t="s">
        <v>207</v>
      </c>
      <c r="C99" s="92" t="s">
        <v>447</v>
      </c>
      <c r="D99" s="33" t="s">
        <v>410</v>
      </c>
      <c r="E99" s="49">
        <v>44196</v>
      </c>
      <c r="F99" s="49">
        <v>44200</v>
      </c>
      <c r="G99" s="49">
        <v>44203</v>
      </c>
      <c r="H99" s="35"/>
      <c r="I99" s="67">
        <v>0.50719999999999998</v>
      </c>
      <c r="J99" s="67">
        <v>0</v>
      </c>
      <c r="K99" s="67">
        <v>0.50719999999999998</v>
      </c>
      <c r="L99" s="36">
        <f>+K99-((K99*0.9352*0.125)+(K99*(1-0.9352)*0.26))</f>
        <v>0.43936301439999997</v>
      </c>
      <c r="M99" s="64">
        <f t="shared" si="2"/>
        <v>0.43936301439999997</v>
      </c>
      <c r="N99" s="33" t="s">
        <v>248</v>
      </c>
    </row>
    <row r="100" spans="1:14" s="30" customFormat="1">
      <c r="A100" s="97" t="s">
        <v>236</v>
      </c>
      <c r="B100" s="33" t="s">
        <v>205</v>
      </c>
      <c r="C100" s="92" t="s">
        <v>448</v>
      </c>
      <c r="D100" s="33" t="s">
        <v>410</v>
      </c>
      <c r="E100" s="49">
        <v>44196</v>
      </c>
      <c r="F100" s="49">
        <v>44200</v>
      </c>
      <c r="G100" s="49">
        <v>44203</v>
      </c>
      <c r="H100" s="35"/>
      <c r="I100" s="67">
        <v>3.8864000000000001</v>
      </c>
      <c r="J100" s="67">
        <v>0</v>
      </c>
      <c r="K100" s="67">
        <v>3.8864000000000001</v>
      </c>
      <c r="L100" s="36">
        <f>+K100-((K100*0.49965*0.125)+(K100*(1-0.49965)*0.26))</f>
        <v>3.1380843675999999</v>
      </c>
      <c r="M100" s="64">
        <f t="shared" si="2"/>
        <v>3.1380843675999999</v>
      </c>
      <c r="N100" s="33" t="s">
        <v>248</v>
      </c>
    </row>
    <row r="101" spans="1:14" s="30" customFormat="1">
      <c r="A101" s="97" t="s">
        <v>237</v>
      </c>
      <c r="B101" s="33" t="s">
        <v>206</v>
      </c>
      <c r="C101" s="92" t="s">
        <v>449</v>
      </c>
      <c r="D101" s="33" t="s">
        <v>410</v>
      </c>
      <c r="E101" s="49">
        <v>44196</v>
      </c>
      <c r="F101" s="49">
        <v>44200</v>
      </c>
      <c r="G101" s="49">
        <v>44203</v>
      </c>
      <c r="H101" s="35"/>
      <c r="I101" s="67">
        <v>3.9935</v>
      </c>
      <c r="J101" s="67">
        <v>0</v>
      </c>
      <c r="K101" s="67">
        <v>3.9935</v>
      </c>
      <c r="L101" s="36">
        <f>+K101-((K101*0.49965*0.125)+(K101*(1-0.49965)*0.26))</f>
        <v>3.2245625571250001</v>
      </c>
      <c r="M101" s="64">
        <f t="shared" si="2"/>
        <v>3.2245625571250001</v>
      </c>
      <c r="N101" s="33" t="s">
        <v>248</v>
      </c>
    </row>
    <row r="102" spans="1:14" s="30" customFormat="1">
      <c r="A102" s="97"/>
      <c r="B102" s="33" t="s">
        <v>505</v>
      </c>
      <c r="C102" s="92" t="s">
        <v>506</v>
      </c>
      <c r="D102" s="33" t="s">
        <v>410</v>
      </c>
      <c r="E102" s="49">
        <v>44196</v>
      </c>
      <c r="F102" s="49">
        <v>44200</v>
      </c>
      <c r="G102" s="49">
        <v>44203</v>
      </c>
      <c r="H102" s="35"/>
      <c r="I102" s="67">
        <v>8.75</v>
      </c>
      <c r="J102" s="67">
        <v>2.6786936602507656</v>
      </c>
      <c r="K102" s="67">
        <v>6.0713063397492339</v>
      </c>
      <c r="L102" s="36">
        <f>+K102-((K102*0.000000000001*0.125)+(K102*(1-0.000000000001)*0.26))</f>
        <v>4.4927666914152526</v>
      </c>
      <c r="M102" s="64">
        <f t="shared" ref="M102:M133" si="3">L102+J102</f>
        <v>7.1714603516660187</v>
      </c>
      <c r="N102" s="33" t="s">
        <v>248</v>
      </c>
    </row>
    <row r="103" spans="1:14" s="30" customFormat="1">
      <c r="A103" s="97" t="s">
        <v>243</v>
      </c>
      <c r="B103" s="33" t="s">
        <v>212</v>
      </c>
      <c r="C103" s="92" t="s">
        <v>450</v>
      </c>
      <c r="D103" s="33" t="s">
        <v>410</v>
      </c>
      <c r="E103" s="49">
        <v>44196</v>
      </c>
      <c r="F103" s="49">
        <v>44200</v>
      </c>
      <c r="G103" s="49">
        <v>44203</v>
      </c>
      <c r="H103" s="35"/>
      <c r="I103" s="67">
        <v>6.3555999999999999</v>
      </c>
      <c r="J103" s="67">
        <v>0</v>
      </c>
      <c r="K103" s="67">
        <v>6.3555999999999999</v>
      </c>
      <c r="L103" s="36">
        <f>+K103-((K103*0.000000000001*0.125)+(K103*(1-0.000000000001)*0.26))</f>
        <v>4.703144000000858</v>
      </c>
      <c r="M103" s="64">
        <f t="shared" si="3"/>
        <v>4.703144000000858</v>
      </c>
      <c r="N103" s="33" t="s">
        <v>248</v>
      </c>
    </row>
    <row r="104" spans="1:14" s="30" customFormat="1">
      <c r="A104" s="97" t="s">
        <v>239</v>
      </c>
      <c r="B104" s="33" t="s">
        <v>208</v>
      </c>
      <c r="C104" s="92" t="s">
        <v>451</v>
      </c>
      <c r="D104" s="33" t="s">
        <v>410</v>
      </c>
      <c r="E104" s="49">
        <v>44196</v>
      </c>
      <c r="F104" s="49">
        <v>44200</v>
      </c>
      <c r="G104" s="49">
        <v>44203</v>
      </c>
      <c r="H104" s="35"/>
      <c r="I104" s="67">
        <v>6.3273000000000001</v>
      </c>
      <c r="J104" s="67">
        <v>0</v>
      </c>
      <c r="K104" s="67">
        <v>6.3273000000000001</v>
      </c>
      <c r="L104" s="36">
        <f>+K104-((K104*0.0094*0.125)+(K104*(1-0.0094)*0.26))</f>
        <v>4.6902313436999998</v>
      </c>
      <c r="M104" s="64">
        <f t="shared" si="3"/>
        <v>4.6902313436999998</v>
      </c>
      <c r="N104" s="33" t="s">
        <v>248</v>
      </c>
    </row>
    <row r="105" spans="1:14" s="30" customFormat="1">
      <c r="A105" s="97" t="s">
        <v>244</v>
      </c>
      <c r="B105" s="33" t="s">
        <v>213</v>
      </c>
      <c r="C105" s="92" t="s">
        <v>452</v>
      </c>
      <c r="D105" s="33" t="s">
        <v>410</v>
      </c>
      <c r="E105" s="49">
        <v>44196</v>
      </c>
      <c r="F105" s="49">
        <v>44200</v>
      </c>
      <c r="G105" s="49">
        <v>44203</v>
      </c>
      <c r="H105" s="35"/>
      <c r="I105" s="67">
        <v>5.7820999999999998</v>
      </c>
      <c r="J105" s="67">
        <v>0</v>
      </c>
      <c r="K105" s="67">
        <v>5.7820999999999998</v>
      </c>
      <c r="L105" s="36">
        <f>+K105-((K105*0.0509*0.125)+(K105*(1-0.0509)*0.26))</f>
        <v>4.3184857001500001</v>
      </c>
      <c r="M105" s="64">
        <f t="shared" si="3"/>
        <v>4.3184857001500001</v>
      </c>
      <c r="N105" s="33" t="s">
        <v>248</v>
      </c>
    </row>
    <row r="106" spans="1:14" s="30" customFormat="1">
      <c r="A106" s="97" t="s">
        <v>241</v>
      </c>
      <c r="B106" s="33" t="s">
        <v>210</v>
      </c>
      <c r="C106" s="92" t="s">
        <v>458</v>
      </c>
      <c r="D106" s="33" t="s">
        <v>410</v>
      </c>
      <c r="E106" s="49">
        <v>44196</v>
      </c>
      <c r="F106" s="49">
        <v>44200</v>
      </c>
      <c r="G106" s="49">
        <v>44203</v>
      </c>
      <c r="H106" s="35"/>
      <c r="I106" s="67">
        <v>12.3733</v>
      </c>
      <c r="J106" s="67">
        <v>0</v>
      </c>
      <c r="K106" s="67">
        <v>12.3733</v>
      </c>
      <c r="L106" s="36">
        <f>+K106-((K106*0.0921*0.125)+(K106*(1-0.0921)*0.26))</f>
        <v>9.3100854255499996</v>
      </c>
      <c r="M106" s="64">
        <f t="shared" si="3"/>
        <v>9.3100854255499996</v>
      </c>
      <c r="N106" s="33" t="s">
        <v>248</v>
      </c>
    </row>
    <row r="107" spans="1:14" s="30" customFormat="1">
      <c r="A107" s="97" t="s">
        <v>245</v>
      </c>
      <c r="B107" s="33" t="s">
        <v>214</v>
      </c>
      <c r="C107" s="92" t="s">
        <v>453</v>
      </c>
      <c r="D107" s="33" t="s">
        <v>410</v>
      </c>
      <c r="E107" s="49">
        <v>44196</v>
      </c>
      <c r="F107" s="49">
        <v>44200</v>
      </c>
      <c r="G107" s="49">
        <v>44203</v>
      </c>
      <c r="H107" s="35"/>
      <c r="I107" s="67">
        <v>10.547599999999999</v>
      </c>
      <c r="J107" s="67">
        <v>0</v>
      </c>
      <c r="K107" s="67">
        <v>10.547599999999999</v>
      </c>
      <c r="L107" s="36">
        <f>+K107-((K107*0.078*0.125)+(K107*(1-0.078)*0.26))</f>
        <v>7.9162902279999994</v>
      </c>
      <c r="M107" s="64">
        <f t="shared" si="3"/>
        <v>7.9162902279999994</v>
      </c>
      <c r="N107" s="33" t="s">
        <v>248</v>
      </c>
    </row>
    <row r="108" spans="1:14" s="30" customFormat="1">
      <c r="A108" s="97" t="s">
        <v>242</v>
      </c>
      <c r="B108" s="33" t="s">
        <v>211</v>
      </c>
      <c r="C108" s="92" t="s">
        <v>459</v>
      </c>
      <c r="D108" s="33" t="s">
        <v>410</v>
      </c>
      <c r="E108" s="49">
        <v>44196</v>
      </c>
      <c r="F108" s="49">
        <v>44200</v>
      </c>
      <c r="G108" s="49">
        <v>44203</v>
      </c>
      <c r="H108" s="35"/>
      <c r="I108" s="67">
        <v>0</v>
      </c>
      <c r="J108" s="67">
        <v>0</v>
      </c>
      <c r="K108" s="67">
        <v>0</v>
      </c>
      <c r="L108" s="36">
        <f>+K108-((K108*0.1243*0.125)+(K108*(1-0.1243)*0.26))</f>
        <v>0</v>
      </c>
      <c r="M108" s="64">
        <f t="shared" si="3"/>
        <v>0</v>
      </c>
      <c r="N108" s="33" t="s">
        <v>248</v>
      </c>
    </row>
    <row r="109" spans="1:14" s="30" customFormat="1">
      <c r="A109" s="97" t="s">
        <v>240</v>
      </c>
      <c r="B109" s="33" t="s">
        <v>209</v>
      </c>
      <c r="C109" s="92" t="s">
        <v>706</v>
      </c>
      <c r="D109" s="33" t="s">
        <v>410</v>
      </c>
      <c r="E109" s="49">
        <v>44196</v>
      </c>
      <c r="F109" s="49">
        <v>44200</v>
      </c>
      <c r="G109" s="49">
        <v>44203</v>
      </c>
      <c r="H109" s="35"/>
      <c r="I109" s="67">
        <v>5.5808</v>
      </c>
      <c r="J109" s="67">
        <v>0.99455091099551252</v>
      </c>
      <c r="K109" s="67">
        <v>4.5862490890044878</v>
      </c>
      <c r="L109" s="36">
        <f>+K109-((K109*0.127*0.125)+(K109*(1-0.127)*0.26))</f>
        <v>3.4724555664943026</v>
      </c>
      <c r="M109" s="64">
        <f t="shared" si="3"/>
        <v>4.4670064774898153</v>
      </c>
      <c r="N109" s="33" t="s">
        <v>248</v>
      </c>
    </row>
    <row r="110" spans="1:14" s="30" customFormat="1">
      <c r="A110" s="97" t="s">
        <v>226</v>
      </c>
      <c r="B110" s="33" t="s">
        <v>225</v>
      </c>
      <c r="C110" s="92" t="s">
        <v>454</v>
      </c>
      <c r="D110" s="33" t="s">
        <v>410</v>
      </c>
      <c r="E110" s="49">
        <v>44221</v>
      </c>
      <c r="F110" s="49">
        <v>44222</v>
      </c>
      <c r="G110" s="49">
        <v>44225</v>
      </c>
      <c r="H110" s="35"/>
      <c r="I110" s="67">
        <v>7.1940999999999997</v>
      </c>
      <c r="J110" s="67">
        <v>0</v>
      </c>
      <c r="K110" s="67">
        <v>7.1940999999999997</v>
      </c>
      <c r="L110" s="36">
        <f>+K110-((K110*0.282*0.125)+(K110*(1-0.282)*0.26))</f>
        <v>5.5975133869999993</v>
      </c>
      <c r="M110" s="64">
        <f t="shared" si="3"/>
        <v>5.5975133869999993</v>
      </c>
      <c r="N110" s="33" t="s">
        <v>249</v>
      </c>
    </row>
    <row r="111" spans="1:14" s="30" customFormat="1">
      <c r="A111" s="97" t="s">
        <v>224</v>
      </c>
      <c r="B111" s="33" t="s">
        <v>223</v>
      </c>
      <c r="C111" s="92" t="s">
        <v>488</v>
      </c>
      <c r="D111" s="33" t="s">
        <v>413</v>
      </c>
      <c r="E111" s="49">
        <v>44221</v>
      </c>
      <c r="F111" s="49">
        <v>44222</v>
      </c>
      <c r="G111" s="49">
        <v>44225</v>
      </c>
      <c r="H111" s="35"/>
      <c r="I111" s="67">
        <v>18.970600000000001</v>
      </c>
      <c r="J111" s="67">
        <v>0</v>
      </c>
      <c r="K111" s="67">
        <v>18.970600000000001</v>
      </c>
      <c r="L111" s="36">
        <f>+K111-((K111*0.000000000001*0.125)+(K111*(1-0.000000000001)*0.26))</f>
        <v>14.038244000002562</v>
      </c>
      <c r="M111" s="64">
        <f t="shared" si="3"/>
        <v>14.038244000002562</v>
      </c>
      <c r="N111" s="33" t="s">
        <v>250</v>
      </c>
    </row>
    <row r="112" spans="1:14" s="30" customFormat="1">
      <c r="A112" s="97" t="s">
        <v>220</v>
      </c>
      <c r="B112" s="33" t="s">
        <v>219</v>
      </c>
      <c r="C112" s="92" t="s">
        <v>485</v>
      </c>
      <c r="D112" s="33" t="s">
        <v>410</v>
      </c>
      <c r="E112" s="49">
        <v>44221</v>
      </c>
      <c r="F112" s="49">
        <v>44222</v>
      </c>
      <c r="G112" s="49">
        <v>44225</v>
      </c>
      <c r="H112" s="35"/>
      <c r="I112" s="67">
        <v>8.3063000000000002</v>
      </c>
      <c r="J112" s="67">
        <v>0</v>
      </c>
      <c r="K112" s="67">
        <v>8.3063000000000002</v>
      </c>
      <c r="L112" s="36">
        <f>+K112-((K112*0.003*0.125)+(K112*(1-0.003)*0.26))</f>
        <v>6.1500260514999994</v>
      </c>
      <c r="M112" s="64">
        <f t="shared" si="3"/>
        <v>6.1500260514999994</v>
      </c>
      <c r="N112" s="33" t="s">
        <v>249</v>
      </c>
    </row>
    <row r="113" spans="1:14" s="30" customFormat="1">
      <c r="A113" s="97" t="s">
        <v>222</v>
      </c>
      <c r="B113" s="33" t="s">
        <v>221</v>
      </c>
      <c r="C113" s="92" t="s">
        <v>484</v>
      </c>
      <c r="D113" s="33" t="s">
        <v>410</v>
      </c>
      <c r="E113" s="49">
        <v>44221</v>
      </c>
      <c r="F113" s="49">
        <v>44222</v>
      </c>
      <c r="G113" s="49">
        <v>44225</v>
      </c>
      <c r="H113" s="35"/>
      <c r="I113" s="67">
        <v>11.4251</v>
      </c>
      <c r="J113" s="67">
        <v>4.4224379999999996</v>
      </c>
      <c r="K113" s="67">
        <v>7.0026620000000008</v>
      </c>
      <c r="L113" s="36">
        <f>+K113-((K113*0.003*0.125)+(K113*(1-0.003)*0.26))</f>
        <v>5.1848059581100001</v>
      </c>
      <c r="M113" s="64">
        <f t="shared" si="3"/>
        <v>9.6072439581100006</v>
      </c>
      <c r="N113" s="33" t="s">
        <v>249</v>
      </c>
    </row>
    <row r="114" spans="1:14" s="30" customFormat="1">
      <c r="A114" s="97"/>
      <c r="B114" s="33" t="s">
        <v>486</v>
      </c>
      <c r="C114" s="92" t="s">
        <v>487</v>
      </c>
      <c r="D114" s="33" t="s">
        <v>413</v>
      </c>
      <c r="E114" s="49">
        <v>44221</v>
      </c>
      <c r="F114" s="49">
        <v>44222</v>
      </c>
      <c r="G114" s="49">
        <v>44225</v>
      </c>
      <c r="H114" s="35"/>
      <c r="I114" s="67">
        <v>22.2986</v>
      </c>
      <c r="J114" s="67">
        <v>14.248564630000001</v>
      </c>
      <c r="K114" s="67">
        <v>8.0500353699999998</v>
      </c>
      <c r="L114" s="36">
        <f>+K114-((K114*0.003*0.125)+(K114*(1-0.003)*0.26))</f>
        <v>5.9602864381248502</v>
      </c>
      <c r="M114" s="64">
        <f t="shared" si="3"/>
        <v>20.208851068124851</v>
      </c>
      <c r="N114" s="33" t="s">
        <v>250</v>
      </c>
    </row>
    <row r="115" spans="1:14" s="30" customFormat="1">
      <c r="A115" s="97"/>
      <c r="B115" s="33" t="s">
        <v>489</v>
      </c>
      <c r="C115" s="92" t="s">
        <v>521</v>
      </c>
      <c r="D115" s="33" t="s">
        <v>413</v>
      </c>
      <c r="E115" s="49">
        <v>44221</v>
      </c>
      <c r="F115" s="49">
        <v>44222</v>
      </c>
      <c r="G115" s="49">
        <v>44225</v>
      </c>
      <c r="H115" s="35"/>
      <c r="I115" s="67">
        <v>21.8705</v>
      </c>
      <c r="J115" s="67">
        <v>0.8565752000000012</v>
      </c>
      <c r="K115" s="67">
        <v>21.013924799999998</v>
      </c>
      <c r="L115" s="36">
        <f>+K115-((K115*0.248*0.125)+(K115*(1-0.248)*0.26))</f>
        <v>16.253850554303998</v>
      </c>
      <c r="M115" s="64">
        <f t="shared" si="3"/>
        <v>17.110425754304</v>
      </c>
      <c r="N115" s="33" t="s">
        <v>250</v>
      </c>
    </row>
    <row r="116" spans="1:14" s="30" customFormat="1">
      <c r="A116" s="97" t="s">
        <v>232</v>
      </c>
      <c r="B116" s="33" t="s">
        <v>218</v>
      </c>
      <c r="C116" s="92" t="s">
        <v>455</v>
      </c>
      <c r="D116" s="33" t="s">
        <v>413</v>
      </c>
      <c r="E116" s="49">
        <v>44221</v>
      </c>
      <c r="F116" s="49">
        <v>44222</v>
      </c>
      <c r="G116" s="49">
        <v>44225</v>
      </c>
      <c r="H116" s="35"/>
      <c r="I116" s="67">
        <v>23.13</v>
      </c>
      <c r="J116" s="67">
        <v>1.1607752899999964</v>
      </c>
      <c r="K116" s="67">
        <v>21.969224710000002</v>
      </c>
      <c r="L116" s="36">
        <f>+K116-((K116*0.248*0.125)+(K116*(1-0.248)*0.26))</f>
        <v>16.992755928690801</v>
      </c>
      <c r="M116" s="64">
        <f t="shared" si="3"/>
        <v>18.153531218690798</v>
      </c>
      <c r="N116" s="33" t="s">
        <v>250</v>
      </c>
    </row>
    <row r="117" spans="1:14" s="30" customFormat="1">
      <c r="A117" s="97"/>
      <c r="B117" s="33" t="s">
        <v>491</v>
      </c>
      <c r="C117" s="92" t="s">
        <v>672</v>
      </c>
      <c r="D117" s="33" t="s">
        <v>413</v>
      </c>
      <c r="E117" s="49">
        <v>44221</v>
      </c>
      <c r="F117" s="49">
        <v>44222</v>
      </c>
      <c r="G117" s="49">
        <v>44225</v>
      </c>
      <c r="H117" s="35"/>
      <c r="I117" s="67">
        <v>28.950099999999999</v>
      </c>
      <c r="J117" s="67">
        <v>0</v>
      </c>
      <c r="K117" s="67">
        <v>28.950099999999999</v>
      </c>
      <c r="L117" s="36">
        <f>+K117-((K117*0.167*0.125)+(K117*(1-0.167)*0.26))</f>
        <v>22.075754004499998</v>
      </c>
      <c r="M117" s="64">
        <f t="shared" si="3"/>
        <v>22.075754004499998</v>
      </c>
      <c r="N117" s="33" t="s">
        <v>250</v>
      </c>
    </row>
    <row r="118" spans="1:14" s="30" customFormat="1">
      <c r="A118" s="97"/>
      <c r="B118" s="33" t="s">
        <v>492</v>
      </c>
      <c r="C118" s="92" t="s">
        <v>494</v>
      </c>
      <c r="D118" s="33" t="s">
        <v>412</v>
      </c>
      <c r="E118" s="49">
        <v>44221</v>
      </c>
      <c r="F118" s="49">
        <v>44222</v>
      </c>
      <c r="G118" s="49">
        <v>44225</v>
      </c>
      <c r="H118" s="35"/>
      <c r="I118" s="67">
        <v>58.549700000000001</v>
      </c>
      <c r="J118" s="67">
        <v>0</v>
      </c>
      <c r="K118" s="67">
        <v>58.549700000000001</v>
      </c>
      <c r="L118" s="36">
        <f>+K118-((K118*0.167*0.125)+(K118*(1-0.167)*0.26))</f>
        <v>44.646780986500005</v>
      </c>
      <c r="M118" s="64">
        <f t="shared" si="3"/>
        <v>44.646780986500005</v>
      </c>
      <c r="N118" s="33" t="s">
        <v>495</v>
      </c>
    </row>
    <row r="119" spans="1:14" s="30" customFormat="1">
      <c r="A119" s="97"/>
      <c r="B119" s="33" t="s">
        <v>216</v>
      </c>
      <c r="C119" s="92" t="s">
        <v>456</v>
      </c>
      <c r="D119" s="33" t="s">
        <v>410</v>
      </c>
      <c r="E119" s="49">
        <v>44285</v>
      </c>
      <c r="F119" s="49">
        <v>44286</v>
      </c>
      <c r="G119" s="49">
        <v>44292</v>
      </c>
      <c r="H119" s="35"/>
      <c r="I119" s="67">
        <v>0</v>
      </c>
      <c r="J119" s="67">
        <v>0</v>
      </c>
      <c r="K119" s="67">
        <v>0</v>
      </c>
      <c r="L119" s="36">
        <f>+K119-((K119*0.058*0.125)+(K119*(1-0.058)*0.26))</f>
        <v>0</v>
      </c>
      <c r="M119" s="64">
        <f t="shared" si="3"/>
        <v>0</v>
      </c>
      <c r="N119" s="33" t="s">
        <v>247</v>
      </c>
    </row>
    <row r="120" spans="1:14" s="30" customFormat="1">
      <c r="A120" s="97"/>
      <c r="B120" s="33" t="s">
        <v>677</v>
      </c>
      <c r="C120" s="92" t="s">
        <v>693</v>
      </c>
      <c r="D120" s="33" t="s">
        <v>410</v>
      </c>
      <c r="E120" s="49">
        <v>44285</v>
      </c>
      <c r="F120" s="49">
        <v>44286</v>
      </c>
      <c r="G120" s="49">
        <v>44292</v>
      </c>
      <c r="H120" s="35"/>
      <c r="I120" s="67">
        <v>0.91623399999999999</v>
      </c>
      <c r="J120" s="67">
        <v>0</v>
      </c>
      <c r="K120" s="67">
        <v>0.91623414999999997</v>
      </c>
      <c r="L120" s="36">
        <f>+K120-((K120*0.00000000001*0.125)+(K120*(1-0.0000000001)*0.26))</f>
        <v>0.67801327102267672</v>
      </c>
      <c r="M120" s="64">
        <f t="shared" si="3"/>
        <v>0.67801327102267672</v>
      </c>
      <c r="N120" s="33" t="s">
        <v>247</v>
      </c>
    </row>
    <row r="121" spans="1:14" s="30" customFormat="1">
      <c r="A121" s="97"/>
      <c r="B121" s="33" t="s">
        <v>676</v>
      </c>
      <c r="C121" s="92" t="s">
        <v>692</v>
      </c>
      <c r="D121" s="33" t="s">
        <v>410</v>
      </c>
      <c r="E121" s="49">
        <v>44285</v>
      </c>
      <c r="F121" s="49">
        <v>44286</v>
      </c>
      <c r="G121" s="49">
        <v>44292</v>
      </c>
      <c r="H121" s="35"/>
      <c r="I121" s="67">
        <v>1.3129999999999999</v>
      </c>
      <c r="J121" s="67">
        <v>0</v>
      </c>
      <c r="K121" s="67">
        <v>1.3129999999999999</v>
      </c>
      <c r="L121" s="36">
        <f>+K121-((K121*0.065*0.125)+(K121*(1-0.065)*0.26))</f>
        <v>0.98314157499999999</v>
      </c>
      <c r="M121" s="64">
        <f t="shared" si="3"/>
        <v>0.98314157499999999</v>
      </c>
      <c r="N121" s="33" t="s">
        <v>247</v>
      </c>
    </row>
    <row r="122" spans="1:14" s="30" customFormat="1">
      <c r="A122" s="97"/>
      <c r="B122" s="33" t="s">
        <v>215</v>
      </c>
      <c r="C122" s="92" t="s">
        <v>457</v>
      </c>
      <c r="D122" s="33" t="s">
        <v>410</v>
      </c>
      <c r="E122" s="49">
        <v>44286</v>
      </c>
      <c r="F122" s="49">
        <v>44287</v>
      </c>
      <c r="G122" s="49">
        <v>44291</v>
      </c>
      <c r="H122" s="35"/>
      <c r="I122" s="67">
        <v>0</v>
      </c>
      <c r="J122" s="67">
        <v>0</v>
      </c>
      <c r="K122" s="67">
        <v>0</v>
      </c>
      <c r="L122" s="36">
        <f>+K122-((K122*0.272*0.125)+(K122*(1-0.272)*0.26))</f>
        <v>0</v>
      </c>
      <c r="M122" s="64">
        <f t="shared" si="3"/>
        <v>0</v>
      </c>
      <c r="N122" s="33" t="s">
        <v>248</v>
      </c>
    </row>
    <row r="123" spans="1:14" s="30" customFormat="1">
      <c r="A123" s="97"/>
      <c r="B123" s="33" t="s">
        <v>203</v>
      </c>
      <c r="C123" s="92" t="s">
        <v>445</v>
      </c>
      <c r="D123" s="33" t="s">
        <v>410</v>
      </c>
      <c r="E123" s="49">
        <v>44286</v>
      </c>
      <c r="F123" s="49">
        <v>44287</v>
      </c>
      <c r="G123" s="49">
        <v>44291</v>
      </c>
      <c r="H123" s="35"/>
      <c r="I123" s="67">
        <v>1.054</v>
      </c>
      <c r="J123" s="67">
        <v>0</v>
      </c>
      <c r="K123" s="67">
        <v>1.054</v>
      </c>
      <c r="L123" s="36">
        <f>+K123-((K123*0.511*0.125)+(K123*(1-0.511)*0.26))</f>
        <v>0.85267018999999999</v>
      </c>
      <c r="M123" s="64">
        <f t="shared" si="3"/>
        <v>0.85267018999999999</v>
      </c>
      <c r="N123" s="33" t="s">
        <v>248</v>
      </c>
    </row>
    <row r="124" spans="1:14" s="30" customFormat="1">
      <c r="A124" s="97"/>
      <c r="B124" s="33" t="s">
        <v>204</v>
      </c>
      <c r="C124" s="92" t="s">
        <v>446</v>
      </c>
      <c r="D124" s="33" t="s">
        <v>410</v>
      </c>
      <c r="E124" s="49">
        <v>44286</v>
      </c>
      <c r="F124" s="49">
        <v>44287</v>
      </c>
      <c r="G124" s="49">
        <v>44291</v>
      </c>
      <c r="H124" s="35"/>
      <c r="I124" s="67">
        <v>1.1649</v>
      </c>
      <c r="J124" s="67">
        <v>0</v>
      </c>
      <c r="K124" s="67">
        <v>1.1649</v>
      </c>
      <c r="L124" s="36">
        <f>+K124-((K124*0.002*0.125)+(K124*(1-0.002)*0.26))</f>
        <v>0.86234052300000008</v>
      </c>
      <c r="M124" s="64">
        <f t="shared" si="3"/>
        <v>0.86234052300000008</v>
      </c>
      <c r="N124" s="33" t="s">
        <v>248</v>
      </c>
    </row>
    <row r="125" spans="1:14" s="30" customFormat="1">
      <c r="A125" s="97"/>
      <c r="B125" s="33" t="s">
        <v>207</v>
      </c>
      <c r="C125" s="92" t="s">
        <v>447</v>
      </c>
      <c r="D125" s="33" t="s">
        <v>410</v>
      </c>
      <c r="E125" s="49">
        <v>44286</v>
      </c>
      <c r="F125" s="49">
        <v>44287</v>
      </c>
      <c r="G125" s="49">
        <v>44291</v>
      </c>
      <c r="H125" s="35"/>
      <c r="I125" s="67">
        <v>0.5282</v>
      </c>
      <c r="J125" s="67">
        <v>0</v>
      </c>
      <c r="K125" s="67">
        <v>0.5282</v>
      </c>
      <c r="L125" s="36">
        <f>+K125-((K125*0.885*0.125)+(K125*(1-0.9352)*0.26))</f>
        <v>0.46086876139999999</v>
      </c>
      <c r="M125" s="64">
        <f t="shared" si="3"/>
        <v>0.46086876139999999</v>
      </c>
      <c r="N125" s="33" t="s">
        <v>248</v>
      </c>
    </row>
    <row r="126" spans="1:14" s="30" customFormat="1">
      <c r="A126" s="97"/>
      <c r="B126" s="33" t="s">
        <v>205</v>
      </c>
      <c r="C126" s="92" t="s">
        <v>448</v>
      </c>
      <c r="D126" s="33" t="s">
        <v>410</v>
      </c>
      <c r="E126" s="49">
        <v>44286</v>
      </c>
      <c r="F126" s="49">
        <v>44287</v>
      </c>
      <c r="G126" s="49">
        <v>44291</v>
      </c>
      <c r="H126" s="35"/>
      <c r="I126" s="67">
        <v>3.9230999999999998</v>
      </c>
      <c r="J126" s="67">
        <v>0</v>
      </c>
      <c r="K126" s="67">
        <v>3.9230999999999998</v>
      </c>
      <c r="L126" s="36">
        <f>+K126-((K126*0.458*0.125)+(K126*(1-0.458)*0.26))</f>
        <v>3.1456592729999997</v>
      </c>
      <c r="M126" s="64">
        <f t="shared" si="3"/>
        <v>3.1456592729999997</v>
      </c>
      <c r="N126" s="33" t="s">
        <v>248</v>
      </c>
    </row>
    <row r="127" spans="1:14" s="30" customFormat="1">
      <c r="A127" s="97"/>
      <c r="B127" s="33" t="s">
        <v>206</v>
      </c>
      <c r="C127" s="92" t="s">
        <v>449</v>
      </c>
      <c r="D127" s="33" t="s">
        <v>410</v>
      </c>
      <c r="E127" s="49">
        <v>44286</v>
      </c>
      <c r="F127" s="49">
        <v>44287</v>
      </c>
      <c r="G127" s="49">
        <v>44291</v>
      </c>
      <c r="H127" s="35"/>
      <c r="I127" s="67">
        <v>3.7574000000000001</v>
      </c>
      <c r="J127" s="67">
        <v>0</v>
      </c>
      <c r="K127" s="67">
        <v>3.7574000000000001</v>
      </c>
      <c r="L127" s="36">
        <f>+K127-((K127*0.458*0.125)+(K127*(1-0.458)*0.26))</f>
        <v>3.0127960419999997</v>
      </c>
      <c r="M127" s="64">
        <f t="shared" si="3"/>
        <v>3.0127960419999997</v>
      </c>
      <c r="N127" s="33" t="s">
        <v>248</v>
      </c>
    </row>
    <row r="128" spans="1:14" s="30" customFormat="1">
      <c r="A128" s="97"/>
      <c r="B128" s="33" t="s">
        <v>505</v>
      </c>
      <c r="C128" s="92" t="s">
        <v>506</v>
      </c>
      <c r="D128" s="33" t="s">
        <v>410</v>
      </c>
      <c r="E128" s="49">
        <v>44286</v>
      </c>
      <c r="F128" s="49">
        <v>44287</v>
      </c>
      <c r="G128" s="49">
        <v>44291</v>
      </c>
      <c r="H128" s="35"/>
      <c r="I128" s="67">
        <v>3.8197999999999999</v>
      </c>
      <c r="J128" s="67">
        <v>0</v>
      </c>
      <c r="K128" s="67">
        <v>3.8197999999999999</v>
      </c>
      <c r="L128" s="36">
        <f>+K128-((K128*0.001*0.125)+(K128*(1-0.001)*0.26))</f>
        <v>2.8271676729999999</v>
      </c>
      <c r="M128" s="64">
        <f t="shared" si="3"/>
        <v>2.8271676729999999</v>
      </c>
      <c r="N128" s="33" t="s">
        <v>248</v>
      </c>
    </row>
    <row r="129" spans="1:14" s="30" customFormat="1">
      <c r="A129" s="97"/>
      <c r="B129" s="33" t="s">
        <v>212</v>
      </c>
      <c r="C129" s="92" t="s">
        <v>450</v>
      </c>
      <c r="D129" s="33" t="s">
        <v>410</v>
      </c>
      <c r="E129" s="49">
        <v>44286</v>
      </c>
      <c r="F129" s="49">
        <v>44287</v>
      </c>
      <c r="G129" s="49">
        <v>44291</v>
      </c>
      <c r="H129" s="35"/>
      <c r="I129" s="67">
        <v>7.1506999999999996</v>
      </c>
      <c r="J129" s="67">
        <v>0</v>
      </c>
      <c r="K129" s="67">
        <v>7.1506999999999996</v>
      </c>
      <c r="L129" s="36">
        <f>+K129-((K129*0.002*0.125)+(K129*(1-0.002)*0.26))</f>
        <v>5.2934486889999999</v>
      </c>
      <c r="M129" s="64">
        <f t="shared" si="3"/>
        <v>5.2934486889999999</v>
      </c>
      <c r="N129" s="33" t="s">
        <v>248</v>
      </c>
    </row>
    <row r="130" spans="1:14" s="30" customFormat="1">
      <c r="A130" s="97"/>
      <c r="B130" s="33" t="s">
        <v>208</v>
      </c>
      <c r="C130" s="92" t="s">
        <v>451</v>
      </c>
      <c r="D130" s="33" t="s">
        <v>410</v>
      </c>
      <c r="E130" s="49">
        <v>44286</v>
      </c>
      <c r="F130" s="49">
        <v>44287</v>
      </c>
      <c r="G130" s="49">
        <v>44291</v>
      </c>
      <c r="H130" s="35"/>
      <c r="I130" s="67">
        <v>7.4634</v>
      </c>
      <c r="J130" s="67">
        <v>0</v>
      </c>
      <c r="K130" s="67">
        <v>7.4634</v>
      </c>
      <c r="L130" s="36">
        <f>+K130-((K130*0.009*0.125)+(K130*(1-0.009)*0.26))</f>
        <v>5.5319840310000004</v>
      </c>
      <c r="M130" s="64">
        <f t="shared" si="3"/>
        <v>5.5319840310000004</v>
      </c>
      <c r="N130" s="33" t="s">
        <v>248</v>
      </c>
    </row>
    <row r="131" spans="1:14" s="30" customFormat="1">
      <c r="A131" s="97"/>
      <c r="B131" s="33" t="s">
        <v>213</v>
      </c>
      <c r="C131" s="92" t="s">
        <v>452</v>
      </c>
      <c r="D131" s="33" t="s">
        <v>410</v>
      </c>
      <c r="E131" s="49">
        <v>44286</v>
      </c>
      <c r="F131" s="49">
        <v>44287</v>
      </c>
      <c r="G131" s="49">
        <v>44291</v>
      </c>
      <c r="H131" s="35"/>
      <c r="I131" s="67">
        <v>6.2241</v>
      </c>
      <c r="J131" s="67">
        <v>0</v>
      </c>
      <c r="K131" s="67">
        <v>6.2241</v>
      </c>
      <c r="L131" s="36">
        <f>+K131-((K131*0.052*0.125)+(K131*(1-0.052)*0.26))</f>
        <v>4.6495271819999999</v>
      </c>
      <c r="M131" s="64">
        <f t="shared" si="3"/>
        <v>4.6495271819999999</v>
      </c>
      <c r="N131" s="33" t="s">
        <v>248</v>
      </c>
    </row>
    <row r="132" spans="1:14" s="30" customFormat="1">
      <c r="A132" s="97"/>
      <c r="B132" s="33" t="s">
        <v>210</v>
      </c>
      <c r="C132" s="92" t="s">
        <v>458</v>
      </c>
      <c r="D132" s="33" t="s">
        <v>410</v>
      </c>
      <c r="E132" s="49">
        <v>44286</v>
      </c>
      <c r="F132" s="49">
        <v>44287</v>
      </c>
      <c r="G132" s="49">
        <v>44291</v>
      </c>
      <c r="H132" s="35"/>
      <c r="I132" s="67">
        <v>8.2449999999999992</v>
      </c>
      <c r="J132" s="67">
        <v>0</v>
      </c>
      <c r="K132" s="67">
        <v>8.2449999999999992</v>
      </c>
      <c r="L132" s="36">
        <f>+K132-((K132*0.081*0.125)+(K132*(1-0.081)*0.26))</f>
        <v>6.1914590749999991</v>
      </c>
      <c r="M132" s="64">
        <f t="shared" si="3"/>
        <v>6.1914590749999991</v>
      </c>
      <c r="N132" s="33" t="s">
        <v>248</v>
      </c>
    </row>
    <row r="133" spans="1:14" s="30" customFormat="1">
      <c r="A133" s="97"/>
      <c r="B133" s="33" t="s">
        <v>214</v>
      </c>
      <c r="C133" s="92" t="s">
        <v>453</v>
      </c>
      <c r="D133" s="33" t="s">
        <v>410</v>
      </c>
      <c r="E133" s="49">
        <v>44286</v>
      </c>
      <c r="F133" s="49">
        <v>44287</v>
      </c>
      <c r="G133" s="49">
        <v>44291</v>
      </c>
      <c r="H133" s="35"/>
      <c r="I133" s="67">
        <v>10.4453</v>
      </c>
      <c r="J133" s="67">
        <v>0</v>
      </c>
      <c r="K133" s="67">
        <v>10.4453</v>
      </c>
      <c r="L133" s="36">
        <f>+K133-((K133*0.078*0.125)+(K133*(1-0.078)*0.26))</f>
        <v>7.8395110089999989</v>
      </c>
      <c r="M133" s="64">
        <f t="shared" si="3"/>
        <v>7.8395110089999989</v>
      </c>
      <c r="N133" s="33" t="s">
        <v>248</v>
      </c>
    </row>
    <row r="134" spans="1:14" s="30" customFormat="1">
      <c r="A134" s="97"/>
      <c r="B134" s="33" t="s">
        <v>211</v>
      </c>
      <c r="C134" s="92" t="s">
        <v>459</v>
      </c>
      <c r="D134" s="33" t="s">
        <v>410</v>
      </c>
      <c r="E134" s="49">
        <v>44286</v>
      </c>
      <c r="F134" s="49">
        <v>44287</v>
      </c>
      <c r="G134" s="49">
        <v>44291</v>
      </c>
      <c r="H134" s="35"/>
      <c r="I134" s="67">
        <v>0</v>
      </c>
      <c r="J134" s="67">
        <v>0</v>
      </c>
      <c r="K134" s="67">
        <v>0</v>
      </c>
      <c r="L134" s="36">
        <f>+K134-((K134*0.118*0.125)+(K134*(1-0.118)*0.26))</f>
        <v>0</v>
      </c>
      <c r="M134" s="64">
        <f>L134+J134</f>
        <v>0</v>
      </c>
      <c r="N134" s="33" t="s">
        <v>248</v>
      </c>
    </row>
    <row r="135" spans="1:14" s="30" customFormat="1">
      <c r="A135" s="97"/>
      <c r="B135" s="33" t="s">
        <v>209</v>
      </c>
      <c r="C135" s="92" t="s">
        <v>706</v>
      </c>
      <c r="D135" s="33" t="s">
        <v>410</v>
      </c>
      <c r="E135" s="49">
        <v>44286</v>
      </c>
      <c r="F135" s="49">
        <v>44287</v>
      </c>
      <c r="G135" s="49">
        <v>44291</v>
      </c>
      <c r="H135" s="35"/>
      <c r="I135" s="67">
        <v>7.4379999999999997</v>
      </c>
      <c r="J135" s="67">
        <v>0</v>
      </c>
      <c r="K135" s="67">
        <v>7.4379999999999997</v>
      </c>
      <c r="L135" s="36">
        <f>+K135-((K135*0.1598*0.125)+(K135*(1-0.1598)*0.26))</f>
        <v>5.6645799739999996</v>
      </c>
      <c r="M135" s="64">
        <f>L135+J135</f>
        <v>5.6645799739999996</v>
      </c>
      <c r="N135" s="33" t="s">
        <v>248</v>
      </c>
    </row>
    <row r="136" spans="1:14" s="30" customFormat="1">
      <c r="A136" s="97"/>
      <c r="B136" s="33" t="s">
        <v>678</v>
      </c>
      <c r="C136" s="92" t="s">
        <v>694</v>
      </c>
      <c r="D136" s="33" t="s">
        <v>410</v>
      </c>
      <c r="E136" s="49">
        <v>44286</v>
      </c>
      <c r="F136" s="49">
        <v>44287</v>
      </c>
      <c r="G136" s="49">
        <v>44291</v>
      </c>
      <c r="H136" s="35"/>
      <c r="I136" s="67">
        <v>5</v>
      </c>
      <c r="J136" s="67">
        <v>0.84889597093145253</v>
      </c>
      <c r="K136" s="67">
        <v>4.1511040290685477</v>
      </c>
      <c r="L136" s="36">
        <f>+K136-((K136*0.0003*0.125)+(K136*(1-0.0003)*0.26))</f>
        <v>3.0719851012239028</v>
      </c>
      <c r="M136" s="64">
        <f>L136+J136</f>
        <v>3.9208810721553551</v>
      </c>
      <c r="N136" s="33" t="s">
        <v>248</v>
      </c>
    </row>
    <row r="137" spans="1:14" s="30" customFormat="1">
      <c r="A137" s="97"/>
      <c r="B137" s="33" t="s">
        <v>225</v>
      </c>
      <c r="C137" s="92" t="s">
        <v>454</v>
      </c>
      <c r="D137" s="33" t="s">
        <v>410</v>
      </c>
      <c r="E137" s="49">
        <v>44312</v>
      </c>
      <c r="F137" s="49">
        <v>44313</v>
      </c>
      <c r="G137" s="49">
        <v>44316</v>
      </c>
      <c r="H137" s="35"/>
      <c r="I137" s="67">
        <v>7.4889999999999999</v>
      </c>
      <c r="J137" s="67">
        <v>0</v>
      </c>
      <c r="K137" s="67">
        <v>7.4889999999999999</v>
      </c>
      <c r="L137" s="36">
        <f>+K137-((K137*0.282*0.125)+(K137*(1-0.282)*0.26))</f>
        <v>5.82696623</v>
      </c>
      <c r="M137" s="64">
        <v>0</v>
      </c>
      <c r="N137" s="33" t="s">
        <v>249</v>
      </c>
    </row>
    <row r="138" spans="1:14" s="30" customFormat="1">
      <c r="A138" s="97"/>
      <c r="B138" s="33" t="s">
        <v>219</v>
      </c>
      <c r="C138" s="92" t="s">
        <v>485</v>
      </c>
      <c r="D138" s="33" t="s">
        <v>410</v>
      </c>
      <c r="E138" s="49">
        <v>44312</v>
      </c>
      <c r="F138" s="49">
        <v>44313</v>
      </c>
      <c r="G138" s="49">
        <v>44316</v>
      </c>
      <c r="H138" s="35"/>
      <c r="I138" s="67">
        <v>7.1856</v>
      </c>
      <c r="J138" s="67">
        <v>0</v>
      </c>
      <c r="K138" s="67">
        <v>7.1856</v>
      </c>
      <c r="L138" s="36">
        <f>+K138-((K138*0.003*0.125)+(K138*(1-0.003)*0.26))</f>
        <v>5.320254168</v>
      </c>
      <c r="M138" s="64">
        <v>0</v>
      </c>
      <c r="N138" s="33" t="s">
        <v>249</v>
      </c>
    </row>
    <row r="139" spans="1:14" s="30" customFormat="1">
      <c r="A139" s="97"/>
      <c r="B139" s="33" t="s">
        <v>221</v>
      </c>
      <c r="C139" s="92" t="s">
        <v>484</v>
      </c>
      <c r="D139" s="33" t="s">
        <v>410</v>
      </c>
      <c r="E139" s="49">
        <v>44312</v>
      </c>
      <c r="F139" s="49">
        <v>44313</v>
      </c>
      <c r="G139" s="49">
        <v>44316</v>
      </c>
      <c r="H139" s="35"/>
      <c r="I139" s="67">
        <v>0</v>
      </c>
      <c r="J139" s="67">
        <v>0</v>
      </c>
      <c r="K139" s="67">
        <v>0</v>
      </c>
      <c r="L139" s="36">
        <f>+K139-((K139*0.003*0.125)+(K139*(1-0.003)*0.26))</f>
        <v>0</v>
      </c>
      <c r="M139" s="64">
        <v>0</v>
      </c>
      <c r="N139" s="33" t="s">
        <v>249</v>
      </c>
    </row>
    <row r="140" spans="1:14" s="30" customFormat="1">
      <c r="A140" s="97"/>
      <c r="B140" s="33" t="s">
        <v>216</v>
      </c>
      <c r="C140" s="92" t="s">
        <v>456</v>
      </c>
      <c r="D140" s="33" t="s">
        <v>410</v>
      </c>
      <c r="E140" s="49">
        <v>44376</v>
      </c>
      <c r="F140" s="49">
        <v>44377</v>
      </c>
      <c r="G140" s="49">
        <v>44382</v>
      </c>
      <c r="H140" s="35"/>
      <c r="I140" s="67">
        <v>0</v>
      </c>
      <c r="J140" s="67">
        <v>0</v>
      </c>
      <c r="K140" s="67">
        <v>0</v>
      </c>
      <c r="L140" s="36">
        <f>+K140-((K140*0.058*0.125)+(K140*(1-0.058)*0.26))</f>
        <v>0</v>
      </c>
      <c r="M140" s="64">
        <f t="shared" ref="M140:M157" si="4">L140+J140</f>
        <v>0</v>
      </c>
      <c r="N140" s="33" t="s">
        <v>247</v>
      </c>
    </row>
    <row r="141" spans="1:14" s="30" customFormat="1">
      <c r="A141" s="97"/>
      <c r="B141" s="33" t="s">
        <v>677</v>
      </c>
      <c r="C141" s="92" t="s">
        <v>693</v>
      </c>
      <c r="D141" s="33" t="s">
        <v>410</v>
      </c>
      <c r="E141" s="49">
        <v>44376</v>
      </c>
      <c r="F141" s="49">
        <v>44377</v>
      </c>
      <c r="G141" s="49">
        <v>44382</v>
      </c>
      <c r="H141" s="35"/>
      <c r="I141" s="67">
        <v>4.2443749999999998</v>
      </c>
      <c r="J141" s="67">
        <v>0</v>
      </c>
      <c r="K141" s="67">
        <v>4.24437525</v>
      </c>
      <c r="L141" s="36">
        <f>+K141-((K141*0.00000000001*0.125)+(K141*(1-0.0000000001)*0.26))</f>
        <v>3.1408376851050481</v>
      </c>
      <c r="M141" s="64">
        <f t="shared" si="4"/>
        <v>3.1408376851050481</v>
      </c>
      <c r="N141" s="33" t="s">
        <v>247</v>
      </c>
    </row>
    <row r="142" spans="1:14" s="30" customFormat="1">
      <c r="A142" s="97"/>
      <c r="B142" s="33" t="s">
        <v>676</v>
      </c>
      <c r="C142" s="92" t="s">
        <v>692</v>
      </c>
      <c r="D142" s="33" t="s">
        <v>410</v>
      </c>
      <c r="E142" s="49">
        <v>44376</v>
      </c>
      <c r="F142" s="49">
        <v>44377</v>
      </c>
      <c r="G142" s="49">
        <v>44382</v>
      </c>
      <c r="H142" s="35"/>
      <c r="I142" s="67">
        <v>6.6812139999999998</v>
      </c>
      <c r="J142" s="67">
        <v>0</v>
      </c>
      <c r="K142" s="67">
        <v>6.68121367</v>
      </c>
      <c r="L142" s="36">
        <f>+K142-((K142*0.065*0.125)+(K142*(1-0.065)*0.26))</f>
        <v>5.0027257657542501</v>
      </c>
      <c r="M142" s="64">
        <f t="shared" si="4"/>
        <v>5.0027257657542501</v>
      </c>
      <c r="N142" s="33" t="s">
        <v>247</v>
      </c>
    </row>
    <row r="143" spans="1:14" s="30" customFormat="1">
      <c r="A143" s="97"/>
      <c r="B143" s="33" t="s">
        <v>215</v>
      </c>
      <c r="C143" s="92" t="s">
        <v>457</v>
      </c>
      <c r="D143" s="33" t="s">
        <v>410</v>
      </c>
      <c r="E143" s="49">
        <v>44377</v>
      </c>
      <c r="F143" s="49">
        <v>44378</v>
      </c>
      <c r="G143" s="49">
        <v>44383</v>
      </c>
      <c r="H143" s="35"/>
      <c r="I143" s="67">
        <v>0</v>
      </c>
      <c r="J143" s="67">
        <v>0</v>
      </c>
      <c r="K143" s="67">
        <v>0</v>
      </c>
      <c r="L143" s="36">
        <f>+K143-((K143*0.272*0.125)+(K143*(1-0.272)*0.26))</f>
        <v>0</v>
      </c>
      <c r="M143" s="64">
        <f t="shared" si="4"/>
        <v>0</v>
      </c>
      <c r="N143" s="33" t="s">
        <v>248</v>
      </c>
    </row>
    <row r="144" spans="1:14" s="30" customFormat="1">
      <c r="A144" s="97"/>
      <c r="B144" s="33" t="s">
        <v>203</v>
      </c>
      <c r="C144" s="92" t="s">
        <v>445</v>
      </c>
      <c r="D144" s="33" t="s">
        <v>410</v>
      </c>
      <c r="E144" s="49">
        <v>44377</v>
      </c>
      <c r="F144" s="49">
        <v>44378</v>
      </c>
      <c r="G144" s="49">
        <v>44383</v>
      </c>
      <c r="H144" s="35"/>
      <c r="I144" s="67">
        <v>1.054</v>
      </c>
      <c r="J144" s="67">
        <v>0</v>
      </c>
      <c r="K144" s="67">
        <v>1.054</v>
      </c>
      <c r="L144" s="36">
        <f>+K144-((K144*0.511*0.125)+(K144*(1-0.511)*0.26))</f>
        <v>0.85267018999999999</v>
      </c>
      <c r="M144" s="64">
        <f t="shared" si="4"/>
        <v>0.85267018999999999</v>
      </c>
      <c r="N144" s="33" t="s">
        <v>248</v>
      </c>
    </row>
    <row r="145" spans="1:14" s="30" customFormat="1">
      <c r="A145" s="97"/>
      <c r="B145" s="33" t="s">
        <v>204</v>
      </c>
      <c r="C145" s="92" t="s">
        <v>446</v>
      </c>
      <c r="D145" s="33" t="s">
        <v>410</v>
      </c>
      <c r="E145" s="49">
        <v>44377</v>
      </c>
      <c r="F145" s="49">
        <v>44378</v>
      </c>
      <c r="G145" s="49">
        <v>44383</v>
      </c>
      <c r="H145" s="35"/>
      <c r="I145" s="67">
        <v>1.1649</v>
      </c>
      <c r="J145" s="67">
        <v>0</v>
      </c>
      <c r="K145" s="67">
        <v>1.1649</v>
      </c>
      <c r="L145" s="36">
        <f>+K145-((K145*0.002*0.125)+(K145*(1-0.002)*0.26))</f>
        <v>0.86234052300000008</v>
      </c>
      <c r="M145" s="64">
        <f t="shared" si="4"/>
        <v>0.86234052300000008</v>
      </c>
      <c r="N145" s="33" t="s">
        <v>248</v>
      </c>
    </row>
    <row r="146" spans="1:14" s="30" customFormat="1">
      <c r="A146" s="97"/>
      <c r="B146" s="33" t="s">
        <v>207</v>
      </c>
      <c r="C146" s="92" t="s">
        <v>447</v>
      </c>
      <c r="D146" s="33" t="s">
        <v>410</v>
      </c>
      <c r="E146" s="49">
        <v>44377</v>
      </c>
      <c r="F146" s="49">
        <v>44378</v>
      </c>
      <c r="G146" s="49">
        <v>44383</v>
      </c>
      <c r="H146" s="35"/>
      <c r="I146" s="67">
        <v>0.5282</v>
      </c>
      <c r="J146" s="67">
        <v>0</v>
      </c>
      <c r="K146" s="67">
        <v>0.5282</v>
      </c>
      <c r="L146" s="36">
        <f>+K146-((K146*0.885*0.125)+(K146*(1-0.9352)*0.26))</f>
        <v>0.46086876139999999</v>
      </c>
      <c r="M146" s="64">
        <f t="shared" si="4"/>
        <v>0.46086876139999999</v>
      </c>
      <c r="N146" s="33" t="s">
        <v>248</v>
      </c>
    </row>
    <row r="147" spans="1:14" s="30" customFormat="1">
      <c r="A147" s="97"/>
      <c r="B147" s="33" t="s">
        <v>205</v>
      </c>
      <c r="C147" s="92" t="s">
        <v>448</v>
      </c>
      <c r="D147" s="33" t="s">
        <v>410</v>
      </c>
      <c r="E147" s="49">
        <v>44377</v>
      </c>
      <c r="F147" s="49">
        <v>44378</v>
      </c>
      <c r="G147" s="49">
        <v>44383</v>
      </c>
      <c r="H147" s="35"/>
      <c r="I147" s="67">
        <v>3.9230999999999998</v>
      </c>
      <c r="J147" s="67">
        <v>0</v>
      </c>
      <c r="K147" s="67">
        <v>3.9230999999999998</v>
      </c>
      <c r="L147" s="36">
        <f>+K147-((K147*0.458*0.125)+(K147*(1-0.458)*0.26))</f>
        <v>3.1456592729999997</v>
      </c>
      <c r="M147" s="64">
        <f t="shared" si="4"/>
        <v>3.1456592729999997</v>
      </c>
      <c r="N147" s="33" t="s">
        <v>248</v>
      </c>
    </row>
    <row r="148" spans="1:14" s="30" customFormat="1">
      <c r="A148" s="97"/>
      <c r="B148" s="33" t="s">
        <v>206</v>
      </c>
      <c r="C148" s="92" t="s">
        <v>449</v>
      </c>
      <c r="D148" s="33" t="s">
        <v>410</v>
      </c>
      <c r="E148" s="49">
        <v>44377</v>
      </c>
      <c r="F148" s="49">
        <v>44378</v>
      </c>
      <c r="G148" s="49">
        <v>44383</v>
      </c>
      <c r="H148" s="35"/>
      <c r="I148" s="67">
        <v>3.7574000000000001</v>
      </c>
      <c r="J148" s="67">
        <v>0</v>
      </c>
      <c r="K148" s="67">
        <v>3.7574000000000001</v>
      </c>
      <c r="L148" s="36">
        <f>+K148-((K148*0.458*0.125)+(K148*(1-0.458)*0.26))</f>
        <v>3.0127960419999997</v>
      </c>
      <c r="M148" s="64">
        <f t="shared" si="4"/>
        <v>3.0127960419999997</v>
      </c>
      <c r="N148" s="33" t="s">
        <v>248</v>
      </c>
    </row>
    <row r="149" spans="1:14" s="30" customFormat="1">
      <c r="A149" s="97"/>
      <c r="B149" s="33" t="s">
        <v>505</v>
      </c>
      <c r="C149" s="92" t="s">
        <v>506</v>
      </c>
      <c r="D149" s="33" t="s">
        <v>410</v>
      </c>
      <c r="E149" s="49">
        <v>44377</v>
      </c>
      <c r="F149" s="49">
        <v>44378</v>
      </c>
      <c r="G149" s="49">
        <v>44383</v>
      </c>
      <c r="H149" s="35"/>
      <c r="I149" s="67">
        <v>3.8197999999999999</v>
      </c>
      <c r="J149" s="67">
        <v>0</v>
      </c>
      <c r="K149" s="67">
        <v>3.8197999999999999</v>
      </c>
      <c r="L149" s="36">
        <f>+K149-((K149*0.001*0.125)+(K149*(1-0.001)*0.26))</f>
        <v>2.8271676729999999</v>
      </c>
      <c r="M149" s="64">
        <f t="shared" si="4"/>
        <v>2.8271676729999999</v>
      </c>
      <c r="N149" s="33" t="s">
        <v>248</v>
      </c>
    </row>
    <row r="150" spans="1:14" s="30" customFormat="1">
      <c r="A150" s="97"/>
      <c r="B150" s="33" t="s">
        <v>212</v>
      </c>
      <c r="C150" s="92" t="s">
        <v>450</v>
      </c>
      <c r="D150" s="33" t="s">
        <v>410</v>
      </c>
      <c r="E150" s="49">
        <v>44377</v>
      </c>
      <c r="F150" s="49">
        <v>44378</v>
      </c>
      <c r="G150" s="49">
        <v>44383</v>
      </c>
      <c r="H150" s="35"/>
      <c r="I150" s="67">
        <v>7.1506999999999996</v>
      </c>
      <c r="J150" s="67">
        <v>0</v>
      </c>
      <c r="K150" s="67">
        <v>7.1506999999999996</v>
      </c>
      <c r="L150" s="36">
        <f>+K150-((K150*0.002*0.125)+(K150*(1-0.002)*0.26))</f>
        <v>5.2934486889999999</v>
      </c>
      <c r="M150" s="64">
        <f t="shared" si="4"/>
        <v>5.2934486889999999</v>
      </c>
      <c r="N150" s="33" t="s">
        <v>248</v>
      </c>
    </row>
    <row r="151" spans="1:14" s="30" customFormat="1">
      <c r="A151" s="97"/>
      <c r="B151" s="33" t="s">
        <v>208</v>
      </c>
      <c r="C151" s="92" t="s">
        <v>451</v>
      </c>
      <c r="D151" s="33" t="s">
        <v>410</v>
      </c>
      <c r="E151" s="49">
        <v>44377</v>
      </c>
      <c r="F151" s="49">
        <v>44378</v>
      </c>
      <c r="G151" s="49">
        <v>44383</v>
      </c>
      <c r="H151" s="35"/>
      <c r="I151" s="67">
        <v>7.4634</v>
      </c>
      <c r="J151" s="67">
        <v>0</v>
      </c>
      <c r="K151" s="67">
        <v>7.4634</v>
      </c>
      <c r="L151" s="36">
        <f>+K151-((K151*0.009*0.125)+(K151*(1-0.009)*0.26))</f>
        <v>5.5319840310000004</v>
      </c>
      <c r="M151" s="64">
        <f t="shared" si="4"/>
        <v>5.5319840310000004</v>
      </c>
      <c r="N151" s="33" t="s">
        <v>248</v>
      </c>
    </row>
    <row r="152" spans="1:14" s="30" customFormat="1">
      <c r="A152" s="97"/>
      <c r="B152" s="33" t="s">
        <v>213</v>
      </c>
      <c r="C152" s="92" t="s">
        <v>452</v>
      </c>
      <c r="D152" s="33" t="s">
        <v>410</v>
      </c>
      <c r="E152" s="49">
        <v>44377</v>
      </c>
      <c r="F152" s="49">
        <v>44378</v>
      </c>
      <c r="G152" s="49">
        <v>44383</v>
      </c>
      <c r="H152" s="35"/>
      <c r="I152" s="67">
        <v>6.2241</v>
      </c>
      <c r="J152" s="67">
        <v>0</v>
      </c>
      <c r="K152" s="67">
        <v>6.2241</v>
      </c>
      <c r="L152" s="36">
        <f>+K152-((K152*0.052*0.125)+(K152*(1-0.052)*0.26))</f>
        <v>4.6495271819999999</v>
      </c>
      <c r="M152" s="64">
        <f t="shared" si="4"/>
        <v>4.6495271819999999</v>
      </c>
      <c r="N152" s="33" t="s">
        <v>248</v>
      </c>
    </row>
    <row r="153" spans="1:14" s="30" customFormat="1">
      <c r="A153" s="97"/>
      <c r="B153" s="33" t="s">
        <v>210</v>
      </c>
      <c r="C153" s="92" t="s">
        <v>458</v>
      </c>
      <c r="D153" s="33" t="s">
        <v>410</v>
      </c>
      <c r="E153" s="49">
        <v>44377</v>
      </c>
      <c r="F153" s="49">
        <v>44378</v>
      </c>
      <c r="G153" s="49">
        <v>44383</v>
      </c>
      <c r="H153" s="35"/>
      <c r="I153" s="67">
        <v>8.2449999999999992</v>
      </c>
      <c r="J153" s="67">
        <v>0</v>
      </c>
      <c r="K153" s="67">
        <v>8.2449999999999992</v>
      </c>
      <c r="L153" s="36">
        <f>+K153-((K153*0.081*0.125)+(K153*(1-0.081)*0.26))</f>
        <v>6.1914590749999991</v>
      </c>
      <c r="M153" s="64">
        <f t="shared" si="4"/>
        <v>6.1914590749999991</v>
      </c>
      <c r="N153" s="33" t="s">
        <v>248</v>
      </c>
    </row>
    <row r="154" spans="1:14" s="30" customFormat="1">
      <c r="A154" s="97"/>
      <c r="B154" s="33" t="s">
        <v>214</v>
      </c>
      <c r="C154" s="92" t="s">
        <v>453</v>
      </c>
      <c r="D154" s="33" t="s">
        <v>410</v>
      </c>
      <c r="E154" s="49">
        <v>44377</v>
      </c>
      <c r="F154" s="49">
        <v>44378</v>
      </c>
      <c r="G154" s="49">
        <v>44383</v>
      </c>
      <c r="H154" s="35"/>
      <c r="I154" s="67">
        <v>10.4453</v>
      </c>
      <c r="J154" s="67">
        <v>0</v>
      </c>
      <c r="K154" s="67">
        <v>10.4453</v>
      </c>
      <c r="L154" s="36">
        <f>+K154-((K154*0.078*0.125)+(K154*(1-0.078)*0.26))</f>
        <v>7.8395110089999989</v>
      </c>
      <c r="M154" s="64">
        <f t="shared" si="4"/>
        <v>7.8395110089999989</v>
      </c>
      <c r="N154" s="33" t="s">
        <v>248</v>
      </c>
    </row>
    <row r="155" spans="1:14" s="30" customFormat="1">
      <c r="A155" s="97"/>
      <c r="B155" s="33" t="s">
        <v>211</v>
      </c>
      <c r="C155" s="92" t="s">
        <v>459</v>
      </c>
      <c r="D155" s="33" t="s">
        <v>410</v>
      </c>
      <c r="E155" s="49">
        <v>44377</v>
      </c>
      <c r="F155" s="49">
        <v>44378</v>
      </c>
      <c r="G155" s="49">
        <v>44383</v>
      </c>
      <c r="H155" s="35"/>
      <c r="I155" s="67">
        <v>0</v>
      </c>
      <c r="J155" s="67">
        <v>0</v>
      </c>
      <c r="K155" s="67">
        <v>0</v>
      </c>
      <c r="L155" s="36">
        <f>+K155-((K155*0.118*0.125)+(K155*(1-0.118)*0.26))</f>
        <v>0</v>
      </c>
      <c r="M155" s="64">
        <f t="shared" si="4"/>
        <v>0</v>
      </c>
      <c r="N155" s="33" t="s">
        <v>248</v>
      </c>
    </row>
    <row r="156" spans="1:14" s="30" customFormat="1">
      <c r="A156" s="97"/>
      <c r="B156" s="33" t="s">
        <v>209</v>
      </c>
      <c r="C156" s="92" t="s">
        <v>706</v>
      </c>
      <c r="D156" s="33" t="s">
        <v>410</v>
      </c>
      <c r="E156" s="49">
        <v>44377</v>
      </c>
      <c r="F156" s="49">
        <v>44378</v>
      </c>
      <c r="G156" s="49">
        <v>44383</v>
      </c>
      <c r="H156" s="35"/>
      <c r="I156" s="67">
        <v>0</v>
      </c>
      <c r="J156" s="67">
        <v>0</v>
      </c>
      <c r="K156" s="67">
        <v>0</v>
      </c>
      <c r="L156" s="36">
        <f>+K156-((K156*0.1598*0.125)+(K156*(1-0.1598)*0.26))</f>
        <v>0</v>
      </c>
      <c r="M156" s="64">
        <f t="shared" si="4"/>
        <v>0</v>
      </c>
      <c r="N156" s="33" t="s">
        <v>248</v>
      </c>
    </row>
    <row r="157" spans="1:14" s="30" customFormat="1">
      <c r="A157" s="97"/>
      <c r="B157" s="33" t="s">
        <v>678</v>
      </c>
      <c r="C157" s="92" t="s">
        <v>694</v>
      </c>
      <c r="D157" s="33" t="s">
        <v>410</v>
      </c>
      <c r="E157" s="49">
        <v>44377</v>
      </c>
      <c r="F157" s="49">
        <v>44378</v>
      </c>
      <c r="G157" s="49">
        <v>44383</v>
      </c>
      <c r="H157" s="35"/>
      <c r="I157" s="67">
        <v>5</v>
      </c>
      <c r="J157" s="67">
        <v>0</v>
      </c>
      <c r="K157" s="67">
        <v>5</v>
      </c>
      <c r="L157" s="36">
        <f>+K157-((K157*0.0003*0.125)+(K157*(1-0.0003)*0.26))</f>
        <v>3.7002025000000001</v>
      </c>
      <c r="M157" s="64">
        <f t="shared" si="4"/>
        <v>3.7002025000000001</v>
      </c>
      <c r="N157" s="33" t="s">
        <v>248</v>
      </c>
    </row>
    <row r="158" spans="1:14" s="30" customFormat="1">
      <c r="A158" s="97"/>
      <c r="B158" s="33" t="s">
        <v>225</v>
      </c>
      <c r="C158" s="92" t="s">
        <v>454</v>
      </c>
      <c r="D158" s="33" t="s">
        <v>410</v>
      </c>
      <c r="E158" s="49">
        <v>44403</v>
      </c>
      <c r="F158" s="49">
        <v>44404</v>
      </c>
      <c r="G158" s="49">
        <v>44407</v>
      </c>
      <c r="H158" s="35"/>
      <c r="I158" s="67">
        <v>7.4889999999999999</v>
      </c>
      <c r="J158" s="67">
        <v>0</v>
      </c>
      <c r="K158" s="67">
        <v>7.4889999999999999</v>
      </c>
      <c r="L158" s="36">
        <f>+K158-((K158*0.2888*0.125)+(K158*(1-0.2888)*0.26))</f>
        <v>5.8338411319999999</v>
      </c>
      <c r="M158" s="64">
        <v>0</v>
      </c>
      <c r="N158" s="33" t="s">
        <v>249</v>
      </c>
    </row>
    <row r="159" spans="1:14" s="30" customFormat="1">
      <c r="A159" s="97"/>
      <c r="B159" s="33" t="s">
        <v>223</v>
      </c>
      <c r="C159" s="92" t="s">
        <v>488</v>
      </c>
      <c r="D159" s="33" t="s">
        <v>413</v>
      </c>
      <c r="E159" s="49">
        <v>44403</v>
      </c>
      <c r="F159" s="49">
        <v>44404</v>
      </c>
      <c r="G159" s="49">
        <v>44407</v>
      </c>
      <c r="H159" s="35"/>
      <c r="I159" s="67">
        <v>14.5716</v>
      </c>
      <c r="J159" s="67">
        <v>0</v>
      </c>
      <c r="K159" s="67">
        <v>14.5716</v>
      </c>
      <c r="L159" s="36">
        <f>+K159-((K159*0.000000000001*0.125)+(K159*(1-0.000000000001)*0.26))</f>
        <v>10.782984000001967</v>
      </c>
      <c r="M159" s="64">
        <v>0</v>
      </c>
      <c r="N159" s="33" t="s">
        <v>250</v>
      </c>
    </row>
    <row r="160" spans="1:14" s="30" customFormat="1">
      <c r="A160" s="97"/>
      <c r="B160" s="33" t="s">
        <v>219</v>
      </c>
      <c r="C160" s="92" t="s">
        <v>485</v>
      </c>
      <c r="D160" s="33" t="s">
        <v>410</v>
      </c>
      <c r="E160" s="49">
        <v>44403</v>
      </c>
      <c r="F160" s="49">
        <v>44404</v>
      </c>
      <c r="G160" s="49">
        <v>44407</v>
      </c>
      <c r="H160" s="35"/>
      <c r="I160" s="67">
        <v>7.1856</v>
      </c>
      <c r="J160" s="67">
        <v>0</v>
      </c>
      <c r="K160" s="67">
        <v>7.1856</v>
      </c>
      <c r="L160" s="36">
        <f>+K160-((K160*0.0032*0.125)+(K160*(1-0.0032)*0.26))</f>
        <v>5.3204481791999996</v>
      </c>
      <c r="M160" s="64">
        <v>0</v>
      </c>
      <c r="N160" s="33" t="s">
        <v>249</v>
      </c>
    </row>
    <row r="161" spans="1:255" s="30" customFormat="1">
      <c r="A161" s="97"/>
      <c r="B161" s="33" t="s">
        <v>221</v>
      </c>
      <c r="C161" s="92" t="s">
        <v>484</v>
      </c>
      <c r="D161" s="33" t="s">
        <v>410</v>
      </c>
      <c r="E161" s="49">
        <v>44403</v>
      </c>
      <c r="F161" s="49">
        <v>44404</v>
      </c>
      <c r="G161" s="49">
        <v>44407</v>
      </c>
      <c r="H161" s="35"/>
      <c r="I161" s="67">
        <v>0</v>
      </c>
      <c r="J161" s="67">
        <v>0</v>
      </c>
      <c r="K161" s="67">
        <v>0</v>
      </c>
      <c r="L161" s="36">
        <f>+K161-((K161*0.0032*0.125)+(K161*(1-0.0032)*0.26))</f>
        <v>0</v>
      </c>
      <c r="M161" s="64">
        <v>0</v>
      </c>
      <c r="N161" s="33" t="s">
        <v>249</v>
      </c>
    </row>
    <row r="162" spans="1:255" s="30" customFormat="1">
      <c r="A162" s="97"/>
      <c r="B162" s="33" t="s">
        <v>486</v>
      </c>
      <c r="C162" s="92" t="s">
        <v>487</v>
      </c>
      <c r="D162" s="33" t="s">
        <v>413</v>
      </c>
      <c r="E162" s="49">
        <v>44403</v>
      </c>
      <c r="F162" s="49">
        <v>44404</v>
      </c>
      <c r="G162" s="49">
        <v>44407</v>
      </c>
      <c r="H162" s="35"/>
      <c r="I162" s="67">
        <v>18.340699999999998</v>
      </c>
      <c r="J162" s="67">
        <v>0</v>
      </c>
      <c r="K162" s="67">
        <v>18.340699999999998</v>
      </c>
      <c r="L162" s="36">
        <f>+K162-((K162*0.0032*0.125)+(K162*(1-0.0032)*0.26))</f>
        <v>13.580041182399999</v>
      </c>
      <c r="M162" s="64">
        <v>0</v>
      </c>
      <c r="N162" s="33" t="s">
        <v>250</v>
      </c>
    </row>
    <row r="163" spans="1:255" s="30" customFormat="1">
      <c r="A163" s="97"/>
      <c r="B163" s="33" t="s">
        <v>489</v>
      </c>
      <c r="C163" s="92" t="s">
        <v>521</v>
      </c>
      <c r="D163" s="33" t="s">
        <v>413</v>
      </c>
      <c r="E163" s="49">
        <v>44403</v>
      </c>
      <c r="F163" s="49">
        <v>44404</v>
      </c>
      <c r="G163" s="49">
        <v>44407</v>
      </c>
      <c r="H163" s="35"/>
      <c r="I163" s="67">
        <v>20.966000000000001</v>
      </c>
      <c r="J163" s="67">
        <v>0</v>
      </c>
      <c r="K163" s="67">
        <v>20.966000000000001</v>
      </c>
      <c r="L163" s="36">
        <f>+K163-((K163*0.2441*0.125)+(K163*(1-0.2441)*0.26))</f>
        <v>16.205743081000001</v>
      </c>
      <c r="M163" s="64">
        <v>0</v>
      </c>
      <c r="N163" s="33" t="s">
        <v>250</v>
      </c>
    </row>
    <row r="164" spans="1:255" s="30" customFormat="1">
      <c r="A164" s="97"/>
      <c r="B164" s="33" t="s">
        <v>218</v>
      </c>
      <c r="C164" s="92" t="s">
        <v>455</v>
      </c>
      <c r="D164" s="33" t="s">
        <v>413</v>
      </c>
      <c r="E164" s="49">
        <v>44403</v>
      </c>
      <c r="F164" s="49">
        <v>44404</v>
      </c>
      <c r="G164" s="49">
        <v>44407</v>
      </c>
      <c r="H164" s="35"/>
      <c r="I164" s="67">
        <v>20.578800000000001</v>
      </c>
      <c r="J164" s="67">
        <v>0</v>
      </c>
      <c r="K164" s="67">
        <v>20.578800000000001</v>
      </c>
      <c r="L164" s="36">
        <f>+K164-((K164*0.2441*0.125)+(K164*(1-0.2441)*0.26))</f>
        <v>15.9064554858</v>
      </c>
      <c r="M164" s="64">
        <v>0</v>
      </c>
      <c r="N164" s="33" t="s">
        <v>250</v>
      </c>
    </row>
    <row r="165" spans="1:255" s="30" customFormat="1">
      <c r="A165" s="97"/>
      <c r="B165" s="33" t="s">
        <v>491</v>
      </c>
      <c r="C165" s="92" t="s">
        <v>671</v>
      </c>
      <c r="D165" s="33" t="s">
        <v>413</v>
      </c>
      <c r="E165" s="49">
        <v>44403</v>
      </c>
      <c r="F165" s="49">
        <v>44404</v>
      </c>
      <c r="G165" s="49">
        <v>44407</v>
      </c>
      <c r="H165" s="35"/>
      <c r="I165" s="67">
        <v>28.0093</v>
      </c>
      <c r="J165" s="67">
        <v>0</v>
      </c>
      <c r="K165" s="67">
        <v>28.0093</v>
      </c>
      <c r="L165" s="36">
        <f>+K165-((K165*0.1276*0.125)+(K165*(1-0.1276)*0.26))</f>
        <v>21.209370201799999</v>
      </c>
      <c r="M165" s="64">
        <v>0</v>
      </c>
      <c r="N165" s="33" t="s">
        <v>250</v>
      </c>
    </row>
    <row r="166" spans="1:255" s="30" customFormat="1">
      <c r="A166" s="97"/>
      <c r="B166" s="33" t="s">
        <v>293</v>
      </c>
      <c r="C166" s="92" t="s">
        <v>553</v>
      </c>
      <c r="D166" s="33" t="s">
        <v>412</v>
      </c>
      <c r="E166" s="49">
        <v>44452</v>
      </c>
      <c r="F166" s="49">
        <v>44453</v>
      </c>
      <c r="G166" s="49">
        <v>44456</v>
      </c>
      <c r="H166" s="35"/>
      <c r="I166" s="67">
        <v>7.16</v>
      </c>
      <c r="J166" s="67">
        <v>0</v>
      </c>
      <c r="K166" s="67">
        <v>7.16</v>
      </c>
      <c r="L166" s="36">
        <f>+K166-((K166*0.0000000001*0.125)+(K166*(1-0.0000000001)*0.26))</f>
        <v>5.2984000000966596</v>
      </c>
      <c r="M166" s="64">
        <f t="shared" ref="M166:M197" si="5">L166+J166</f>
        <v>5.2984000000966596</v>
      </c>
      <c r="N166" s="33" t="s">
        <v>288</v>
      </c>
    </row>
    <row r="167" spans="1:255" s="30" customFormat="1">
      <c r="A167" s="81"/>
      <c r="B167" s="33" t="s">
        <v>295</v>
      </c>
      <c r="C167" s="92" t="s">
        <v>461</v>
      </c>
      <c r="D167" s="33" t="s">
        <v>412</v>
      </c>
      <c r="E167" s="49">
        <v>44452</v>
      </c>
      <c r="F167" s="49">
        <v>44453</v>
      </c>
      <c r="G167" s="49">
        <v>44456</v>
      </c>
      <c r="H167" s="35"/>
      <c r="I167" s="67">
        <v>64.27</v>
      </c>
      <c r="J167" s="67">
        <v>0</v>
      </c>
      <c r="K167" s="67">
        <v>64.27</v>
      </c>
      <c r="L167" s="36">
        <f>+K167-((K167*0.28008*0.125)+(K167*(1-0.28008)*0.26))</f>
        <v>49.989900115999994</v>
      </c>
      <c r="M167" s="64">
        <f t="shared" si="5"/>
        <v>49.989900115999994</v>
      </c>
      <c r="N167" s="33" t="s">
        <v>288</v>
      </c>
      <c r="IU167" s="98"/>
    </row>
    <row r="168" spans="1:255" s="30" customFormat="1">
      <c r="A168" s="81"/>
      <c r="B168" s="33" t="s">
        <v>556</v>
      </c>
      <c r="C168" s="92" t="s">
        <v>560</v>
      </c>
      <c r="D168" s="33" t="s">
        <v>412</v>
      </c>
      <c r="E168" s="49">
        <v>44452</v>
      </c>
      <c r="F168" s="49">
        <v>44453</v>
      </c>
      <c r="G168" s="49">
        <v>44456</v>
      </c>
      <c r="H168" s="35"/>
      <c r="I168" s="67">
        <v>33.44</v>
      </c>
      <c r="J168" s="67">
        <v>0</v>
      </c>
      <c r="K168" s="67">
        <v>33.44</v>
      </c>
      <c r="L168" s="36">
        <f>+K168-((K168*0.4182*0.125)+(K168*(1-0.4182)*0.26))</f>
        <v>26.633522079999999</v>
      </c>
      <c r="M168" s="64">
        <f t="shared" si="5"/>
        <v>26.633522079999999</v>
      </c>
      <c r="N168" s="33" t="s">
        <v>288</v>
      </c>
    </row>
    <row r="169" spans="1:255" s="30" customFormat="1">
      <c r="A169" s="81"/>
      <c r="B169" s="33" t="s">
        <v>297</v>
      </c>
      <c r="C169" s="92" t="s">
        <v>463</v>
      </c>
      <c r="D169" s="33" t="s">
        <v>412</v>
      </c>
      <c r="E169" s="49">
        <v>44452</v>
      </c>
      <c r="F169" s="49">
        <v>44453</v>
      </c>
      <c r="G169" s="49">
        <v>44456</v>
      </c>
      <c r="H169" s="35"/>
      <c r="I169" s="67">
        <v>44.84</v>
      </c>
      <c r="J169" s="67">
        <v>0</v>
      </c>
      <c r="K169" s="67">
        <v>44.84</v>
      </c>
      <c r="L169" s="36">
        <f>+K169-((K169*0.7506*0.125)+(K169*(1-0.7506)*0.26))</f>
        <v>37.725282040000003</v>
      </c>
      <c r="M169" s="64">
        <f t="shared" si="5"/>
        <v>37.725282040000003</v>
      </c>
      <c r="N169" s="33" t="s">
        <v>288</v>
      </c>
    </row>
    <row r="170" spans="1:255" s="30" customFormat="1">
      <c r="A170" s="97"/>
      <c r="B170" s="33" t="s">
        <v>290</v>
      </c>
      <c r="C170" s="92" t="s">
        <v>460</v>
      </c>
      <c r="D170" s="33" t="s">
        <v>412</v>
      </c>
      <c r="E170" s="49">
        <v>44452</v>
      </c>
      <c r="F170" s="49">
        <v>44453</v>
      </c>
      <c r="G170" s="49">
        <v>44456</v>
      </c>
      <c r="H170" s="35"/>
      <c r="I170" s="67">
        <v>6.38</v>
      </c>
      <c r="J170" s="67">
        <v>0</v>
      </c>
      <c r="K170" s="67">
        <v>6.38</v>
      </c>
      <c r="L170" s="36">
        <f>+K170-((K170*0.447*0.125)+(K170*(1-0.447)*0.26))</f>
        <v>5.1062010999999998</v>
      </c>
      <c r="M170" s="64">
        <f t="shared" si="5"/>
        <v>5.1062010999999998</v>
      </c>
      <c r="N170" s="33" t="s">
        <v>288</v>
      </c>
      <c r="IU170" s="99"/>
    </row>
    <row r="171" spans="1:255" s="30" customFormat="1">
      <c r="A171" s="97"/>
      <c r="B171" s="33" t="s">
        <v>291</v>
      </c>
      <c r="C171" s="92" t="s">
        <v>462</v>
      </c>
      <c r="D171" s="33" t="s">
        <v>412</v>
      </c>
      <c r="E171" s="49">
        <v>44452</v>
      </c>
      <c r="F171" s="49">
        <v>44453</v>
      </c>
      <c r="G171" s="49">
        <v>44456</v>
      </c>
      <c r="H171" s="35"/>
      <c r="I171" s="67">
        <v>10.77</v>
      </c>
      <c r="J171" s="67">
        <v>0</v>
      </c>
      <c r="K171" s="67">
        <v>10.77</v>
      </c>
      <c r="L171" s="36">
        <f>+K171-((K171*0.0019*0.125)+(K171*(1-0.0019)*0.26))</f>
        <v>7.9725625049999991</v>
      </c>
      <c r="M171" s="64">
        <f t="shared" si="5"/>
        <v>7.9725625049999991</v>
      </c>
      <c r="N171" s="33" t="s">
        <v>288</v>
      </c>
    </row>
    <row r="172" spans="1:255" s="30" customFormat="1">
      <c r="A172" s="81"/>
      <c r="B172" s="33" t="s">
        <v>555</v>
      </c>
      <c r="C172" s="92" t="s">
        <v>559</v>
      </c>
      <c r="D172" s="33" t="s">
        <v>412</v>
      </c>
      <c r="E172" s="49">
        <v>44452</v>
      </c>
      <c r="F172" s="49">
        <v>44453</v>
      </c>
      <c r="G172" s="49">
        <v>44456</v>
      </c>
      <c r="H172" s="35"/>
      <c r="I172" s="67">
        <v>29.53</v>
      </c>
      <c r="J172" s="67">
        <v>0</v>
      </c>
      <c r="K172" s="67">
        <v>29.53</v>
      </c>
      <c r="L172" s="36">
        <f>+K172-((K172*0.0000000001*0.125)+(K172*(1-0.0000000001)*0.26))</f>
        <v>21.852200000398657</v>
      </c>
      <c r="M172" s="64">
        <f t="shared" si="5"/>
        <v>21.852200000398657</v>
      </c>
      <c r="N172" s="33" t="s">
        <v>288</v>
      </c>
    </row>
    <row r="173" spans="1:255" s="30" customFormat="1">
      <c r="A173" s="81"/>
      <c r="B173" s="33" t="s">
        <v>697</v>
      </c>
      <c r="C173" s="92" t="s">
        <v>699</v>
      </c>
      <c r="D173" s="33" t="s">
        <v>412</v>
      </c>
      <c r="E173" s="49">
        <v>44452</v>
      </c>
      <c r="F173" s="49">
        <v>44453</v>
      </c>
      <c r="G173" s="49">
        <v>44456</v>
      </c>
      <c r="H173" s="35"/>
      <c r="I173" s="67">
        <v>0</v>
      </c>
      <c r="J173" s="67">
        <v>0</v>
      </c>
      <c r="K173" s="67">
        <v>0</v>
      </c>
      <c r="L173" s="36">
        <f>+K173-((K173*0.000001*0.125)+(K173*(1-0.000001)*0.26))</f>
        <v>0</v>
      </c>
      <c r="M173" s="64">
        <f t="shared" si="5"/>
        <v>0</v>
      </c>
      <c r="N173" s="33" t="s">
        <v>288</v>
      </c>
      <c r="O173" s="100"/>
    </row>
    <row r="174" spans="1:255" s="30" customFormat="1">
      <c r="A174" s="81"/>
      <c r="B174" s="33" t="s">
        <v>554</v>
      </c>
      <c r="C174" s="92" t="s">
        <v>558</v>
      </c>
      <c r="D174" s="33" t="s">
        <v>412</v>
      </c>
      <c r="E174" s="49">
        <v>44452</v>
      </c>
      <c r="F174" s="49">
        <v>44453</v>
      </c>
      <c r="G174" s="49">
        <v>44456</v>
      </c>
      <c r="H174" s="35"/>
      <c r="I174" s="67">
        <v>19.91</v>
      </c>
      <c r="J174" s="67">
        <v>0</v>
      </c>
      <c r="K174" s="67">
        <v>19.91</v>
      </c>
      <c r="L174" s="36">
        <f>+K174-((K174*0.4234*0.125)+(K174*(1-0.4234)*0.26))</f>
        <v>15.87143569</v>
      </c>
      <c r="M174" s="64">
        <f t="shared" si="5"/>
        <v>15.87143569</v>
      </c>
      <c r="N174" s="33" t="s">
        <v>288</v>
      </c>
      <c r="IT174" s="99"/>
    </row>
    <row r="175" spans="1:255" s="30" customFormat="1">
      <c r="A175" s="81"/>
      <c r="B175" s="33" t="s">
        <v>292</v>
      </c>
      <c r="C175" s="92" t="s">
        <v>497</v>
      </c>
      <c r="D175" s="33" t="s">
        <v>412</v>
      </c>
      <c r="E175" s="49">
        <v>44452</v>
      </c>
      <c r="F175" s="49">
        <v>44453</v>
      </c>
      <c r="G175" s="49">
        <v>44456</v>
      </c>
      <c r="H175" s="35"/>
      <c r="I175" s="67">
        <v>1.45</v>
      </c>
      <c r="J175" s="67">
        <v>0</v>
      </c>
      <c r="K175" s="67">
        <v>1.45</v>
      </c>
      <c r="L175" s="36">
        <f>+K175-((K175*0.5961*0.125)+(K175*(1-0.5961)*0.26))</f>
        <v>1.1896865750000001</v>
      </c>
      <c r="M175" s="64">
        <f t="shared" si="5"/>
        <v>1.1896865750000001</v>
      </c>
      <c r="N175" s="33" t="s">
        <v>288</v>
      </c>
    </row>
    <row r="176" spans="1:255" s="30" customFormat="1">
      <c r="A176" s="81"/>
      <c r="B176" s="33" t="s">
        <v>698</v>
      </c>
      <c r="C176" s="101" t="s">
        <v>700</v>
      </c>
      <c r="D176" s="33" t="s">
        <v>412</v>
      </c>
      <c r="E176" s="49">
        <v>44452</v>
      </c>
      <c r="F176" s="49">
        <v>44453</v>
      </c>
      <c r="G176" s="49">
        <v>44456</v>
      </c>
      <c r="H176" s="35"/>
      <c r="I176" s="67">
        <v>0</v>
      </c>
      <c r="J176" s="67">
        <v>0</v>
      </c>
      <c r="K176" s="67">
        <v>0</v>
      </c>
      <c r="L176" s="36">
        <f>+K176-((K176*0.00001*0.125)+(K176*(1-0.000001)*0.26))</f>
        <v>0</v>
      </c>
      <c r="M176" s="64">
        <f t="shared" si="5"/>
        <v>0</v>
      </c>
      <c r="N176" s="33" t="s">
        <v>288</v>
      </c>
    </row>
    <row r="177" spans="1:255" s="30" customFormat="1">
      <c r="A177" s="81"/>
      <c r="B177" s="33" t="s">
        <v>557</v>
      </c>
      <c r="C177" s="92" t="s">
        <v>561</v>
      </c>
      <c r="D177" s="33" t="s">
        <v>412</v>
      </c>
      <c r="E177" s="49">
        <v>44452</v>
      </c>
      <c r="F177" s="49">
        <v>44453</v>
      </c>
      <c r="G177" s="49">
        <v>44456</v>
      </c>
      <c r="H177" s="35"/>
      <c r="I177" s="67">
        <v>13</v>
      </c>
      <c r="J177" s="67">
        <v>0</v>
      </c>
      <c r="K177" s="67">
        <v>13</v>
      </c>
      <c r="L177" s="36">
        <f>+K177-((K177*0.2128*0.125)+(K177*(1-0.2128)*0.26))</f>
        <v>9.9934639999999995</v>
      </c>
      <c r="M177" s="64">
        <f t="shared" si="5"/>
        <v>9.9934639999999995</v>
      </c>
      <c r="N177" s="33" t="s">
        <v>288</v>
      </c>
    </row>
    <row r="178" spans="1:255" s="30" customFormat="1">
      <c r="A178" s="81"/>
      <c r="B178" s="33" t="s">
        <v>296</v>
      </c>
      <c r="C178" s="92" t="s">
        <v>464</v>
      </c>
      <c r="D178" s="33" t="s">
        <v>412</v>
      </c>
      <c r="E178" s="49">
        <v>44452</v>
      </c>
      <c r="F178" s="49">
        <v>44453</v>
      </c>
      <c r="G178" s="49">
        <v>44456</v>
      </c>
      <c r="H178" s="35"/>
      <c r="I178" s="67">
        <v>51.38</v>
      </c>
      <c r="J178" s="67">
        <v>0</v>
      </c>
      <c r="K178" s="67">
        <v>51.38</v>
      </c>
      <c r="L178" s="36">
        <f>+K178-((K178*0.066*0.125)+(K178*(1-0.066)*0.26))</f>
        <v>38.4789958</v>
      </c>
      <c r="M178" s="64">
        <f t="shared" si="5"/>
        <v>38.4789958</v>
      </c>
      <c r="N178" s="33" t="s">
        <v>288</v>
      </c>
    </row>
    <row r="179" spans="1:255" s="30" customFormat="1">
      <c r="A179" s="81"/>
      <c r="B179" s="33" t="s">
        <v>294</v>
      </c>
      <c r="C179" s="92" t="s">
        <v>706</v>
      </c>
      <c r="D179" s="33" t="s">
        <v>412</v>
      </c>
      <c r="E179" s="49">
        <v>44452</v>
      </c>
      <c r="F179" s="49">
        <v>44453</v>
      </c>
      <c r="G179" s="49">
        <v>44456</v>
      </c>
      <c r="H179" s="35"/>
      <c r="I179" s="67">
        <v>43.29</v>
      </c>
      <c r="J179" s="67">
        <v>0</v>
      </c>
      <c r="K179" s="67">
        <v>43.29</v>
      </c>
      <c r="L179" s="36">
        <f>+K179-((K179*0.1445*0.125)+(K179*(1-0.1445)*0.26))</f>
        <v>32.879079675</v>
      </c>
      <c r="M179" s="64">
        <f t="shared" si="5"/>
        <v>32.879079675</v>
      </c>
      <c r="N179" s="33" t="s">
        <v>288</v>
      </c>
    </row>
    <row r="180" spans="1:255" s="30" customFormat="1">
      <c r="A180" s="81"/>
      <c r="B180" s="33" t="s">
        <v>216</v>
      </c>
      <c r="C180" s="92" t="s">
        <v>456</v>
      </c>
      <c r="D180" s="33" t="s">
        <v>410</v>
      </c>
      <c r="E180" s="49">
        <v>44468</v>
      </c>
      <c r="F180" s="49">
        <v>44469</v>
      </c>
      <c r="G180" s="49">
        <v>44474</v>
      </c>
      <c r="H180" s="35"/>
      <c r="I180" s="67">
        <v>0</v>
      </c>
      <c r="J180" s="67">
        <v>0</v>
      </c>
      <c r="K180" s="67">
        <v>0</v>
      </c>
      <c r="L180" s="36">
        <f>+K180-((K180*0.073*0.125)+(K180*(1-0.073)*0.26))</f>
        <v>0</v>
      </c>
      <c r="M180" s="64">
        <f t="shared" si="5"/>
        <v>0</v>
      </c>
      <c r="N180" s="33" t="s">
        <v>247</v>
      </c>
    </row>
    <row r="181" spans="1:255" s="30" customFormat="1">
      <c r="A181" s="81"/>
      <c r="B181" s="33" t="s">
        <v>677</v>
      </c>
      <c r="C181" s="92" t="s">
        <v>693</v>
      </c>
      <c r="D181" s="33" t="s">
        <v>410</v>
      </c>
      <c r="E181" s="49">
        <v>44468</v>
      </c>
      <c r="F181" s="49">
        <v>44469</v>
      </c>
      <c r="G181" s="49">
        <v>44474</v>
      </c>
      <c r="H181" s="35"/>
      <c r="I181" s="67">
        <v>0</v>
      </c>
      <c r="J181" s="67">
        <v>0</v>
      </c>
      <c r="K181" s="67">
        <v>0</v>
      </c>
      <c r="L181" s="36">
        <f>+K181-((K181*0.00000000001*0.125)+(K181*(1-0.0000000001)*0.26))</f>
        <v>0</v>
      </c>
      <c r="M181" s="64">
        <f t="shared" si="5"/>
        <v>0</v>
      </c>
      <c r="N181" s="33" t="s">
        <v>247</v>
      </c>
    </row>
    <row r="182" spans="1:255" s="30" customFormat="1">
      <c r="A182" s="81"/>
      <c r="B182" s="33" t="s">
        <v>676</v>
      </c>
      <c r="C182" s="92" t="s">
        <v>692</v>
      </c>
      <c r="D182" s="33" t="s">
        <v>410</v>
      </c>
      <c r="E182" s="49">
        <v>44468</v>
      </c>
      <c r="F182" s="49">
        <v>44469</v>
      </c>
      <c r="G182" s="49">
        <v>44474</v>
      </c>
      <c r="H182" s="35"/>
      <c r="I182" s="67">
        <v>6.4648279999999998</v>
      </c>
      <c r="J182" s="67">
        <v>0</v>
      </c>
      <c r="K182" s="67">
        <v>6.4648279999999998</v>
      </c>
      <c r="L182" s="36">
        <f>+K182-((K182*0.0856*0.125)+(K182*(1-0.0856)*0.26))</f>
        <v>4.8586802723679998</v>
      </c>
      <c r="M182" s="64">
        <f t="shared" si="5"/>
        <v>4.8586802723679998</v>
      </c>
      <c r="N182" s="33" t="s">
        <v>247</v>
      </c>
    </row>
    <row r="183" spans="1:255" s="30" customFormat="1">
      <c r="A183" s="81"/>
      <c r="B183" s="33" t="s">
        <v>215</v>
      </c>
      <c r="C183" s="92" t="s">
        <v>457</v>
      </c>
      <c r="D183" s="33" t="s">
        <v>410</v>
      </c>
      <c r="E183" s="34">
        <v>44469</v>
      </c>
      <c r="F183" s="34">
        <v>44470</v>
      </c>
      <c r="G183" s="34">
        <v>44475</v>
      </c>
      <c r="H183" s="35"/>
      <c r="I183" s="67">
        <v>0</v>
      </c>
      <c r="J183" s="67">
        <v>0</v>
      </c>
      <c r="K183" s="67">
        <v>0</v>
      </c>
      <c r="L183" s="36">
        <f>+K183-((K183*0.28008*0.125)+(K183*(1-0.28008)*0.26))</f>
        <v>0</v>
      </c>
      <c r="M183" s="64">
        <f t="shared" si="5"/>
        <v>0</v>
      </c>
      <c r="N183" s="33" t="s">
        <v>248</v>
      </c>
    </row>
    <row r="184" spans="1:255" s="30" customFormat="1">
      <c r="A184" s="81"/>
      <c r="B184" s="33" t="s">
        <v>203</v>
      </c>
      <c r="C184" s="92" t="s">
        <v>445</v>
      </c>
      <c r="D184" s="33" t="s">
        <v>410</v>
      </c>
      <c r="E184" s="34">
        <v>44469</v>
      </c>
      <c r="F184" s="34">
        <v>44470</v>
      </c>
      <c r="G184" s="34">
        <v>44475</v>
      </c>
      <c r="H184" s="75"/>
      <c r="I184" s="67">
        <v>1.054</v>
      </c>
      <c r="J184" s="67">
        <v>0</v>
      </c>
      <c r="K184" s="67">
        <v>1.054</v>
      </c>
      <c r="L184" s="36">
        <f>+K184-((K184*0.447*0.125)+(K184*(1-0.447)*0.26))</f>
        <v>0.84356363000000001</v>
      </c>
      <c r="M184" s="64">
        <f t="shared" si="5"/>
        <v>0.84356363000000001</v>
      </c>
      <c r="N184" s="33" t="s">
        <v>248</v>
      </c>
    </row>
    <row r="185" spans="1:255" s="30" customFormat="1">
      <c r="A185" s="81"/>
      <c r="B185" s="33" t="s">
        <v>204</v>
      </c>
      <c r="C185" s="92" t="s">
        <v>446</v>
      </c>
      <c r="D185" s="33" t="s">
        <v>410</v>
      </c>
      <c r="E185" s="34">
        <v>44469</v>
      </c>
      <c r="F185" s="34">
        <v>44470</v>
      </c>
      <c r="G185" s="34">
        <v>44475</v>
      </c>
      <c r="H185" s="35"/>
      <c r="I185" s="67">
        <v>1.1649</v>
      </c>
      <c r="J185" s="67">
        <v>0</v>
      </c>
      <c r="K185" s="67">
        <v>1.1649</v>
      </c>
      <c r="L185" s="36">
        <f>+K185-((K185*0.0019*0.125)+(K185*(1-0.0019)*0.26))</f>
        <v>0.86232479684999996</v>
      </c>
      <c r="M185" s="64">
        <f t="shared" si="5"/>
        <v>0.86232479684999996</v>
      </c>
      <c r="N185" s="33" t="s">
        <v>248</v>
      </c>
    </row>
    <row r="186" spans="1:255" s="30" customFormat="1">
      <c r="A186" s="81"/>
      <c r="B186" s="33" t="s">
        <v>207</v>
      </c>
      <c r="C186" s="92" t="s">
        <v>447</v>
      </c>
      <c r="D186" s="33" t="s">
        <v>410</v>
      </c>
      <c r="E186" s="34">
        <v>44469</v>
      </c>
      <c r="F186" s="34">
        <v>44470</v>
      </c>
      <c r="G186" s="34">
        <v>44475</v>
      </c>
      <c r="H186" s="35"/>
      <c r="I186" s="67">
        <v>0.5282</v>
      </c>
      <c r="J186" s="67">
        <v>0</v>
      </c>
      <c r="K186" s="67">
        <v>0.5282</v>
      </c>
      <c r="L186" s="36">
        <f>+K186-((K186*0.8672*0.125)+(K186*(1-0.8672)*0.26))</f>
        <v>0.4527054304</v>
      </c>
      <c r="M186" s="64">
        <f t="shared" si="5"/>
        <v>0.4527054304</v>
      </c>
      <c r="N186" s="33" t="s">
        <v>248</v>
      </c>
      <c r="IU186" s="99"/>
    </row>
    <row r="187" spans="1:255" s="30" customFormat="1">
      <c r="A187" s="59"/>
      <c r="B187" s="33" t="s">
        <v>678</v>
      </c>
      <c r="C187" s="92" t="s">
        <v>707</v>
      </c>
      <c r="D187" s="34" t="s">
        <v>410</v>
      </c>
      <c r="E187" s="34">
        <v>44469</v>
      </c>
      <c r="F187" s="34">
        <v>44470</v>
      </c>
      <c r="G187" s="34">
        <v>44475</v>
      </c>
      <c r="H187" s="33"/>
      <c r="I187" s="67">
        <v>5</v>
      </c>
      <c r="J187" s="67">
        <v>0</v>
      </c>
      <c r="K187" s="67">
        <v>5</v>
      </c>
      <c r="L187" s="64">
        <f>+K187-((K187*0.0003*0.125)+(K187*(1-0.0003)*0.26))</f>
        <v>3.7002025000000001</v>
      </c>
      <c r="M187" s="64">
        <f t="shared" si="5"/>
        <v>3.7002025000000001</v>
      </c>
      <c r="N187" s="33" t="s">
        <v>248</v>
      </c>
      <c r="IU187" s="33"/>
    </row>
    <row r="188" spans="1:255" s="30" customFormat="1">
      <c r="A188" s="81"/>
      <c r="B188" s="33" t="s">
        <v>205</v>
      </c>
      <c r="C188" s="92" t="s">
        <v>448</v>
      </c>
      <c r="D188" s="33" t="s">
        <v>410</v>
      </c>
      <c r="E188" s="34">
        <v>44469</v>
      </c>
      <c r="F188" s="34">
        <v>44470</v>
      </c>
      <c r="G188" s="34">
        <v>44475</v>
      </c>
      <c r="H188" s="35"/>
      <c r="I188" s="67">
        <v>3.9230999999999998</v>
      </c>
      <c r="J188" s="67">
        <v>0</v>
      </c>
      <c r="K188" s="67">
        <v>3.9230999999999998</v>
      </c>
      <c r="L188" s="36">
        <f>+K188-((K188*0.4234*0.125)+(K188*(1-0.4234)*0.26))</f>
        <v>3.1273344728999999</v>
      </c>
      <c r="M188" s="64">
        <f t="shared" si="5"/>
        <v>3.1273344728999999</v>
      </c>
      <c r="N188" s="33" t="s">
        <v>248</v>
      </c>
      <c r="IU188" s="98"/>
    </row>
    <row r="189" spans="1:255" s="30" customFormat="1">
      <c r="A189" s="81"/>
      <c r="B189" s="33" t="s">
        <v>206</v>
      </c>
      <c r="C189" s="92" t="s">
        <v>449</v>
      </c>
      <c r="D189" s="33" t="s">
        <v>410</v>
      </c>
      <c r="E189" s="34">
        <v>44469</v>
      </c>
      <c r="F189" s="34">
        <v>44470</v>
      </c>
      <c r="G189" s="34">
        <v>44475</v>
      </c>
      <c r="H189" s="35"/>
      <c r="I189" s="67">
        <v>3.7574000000000001</v>
      </c>
      <c r="J189" s="67">
        <v>0</v>
      </c>
      <c r="K189" s="67">
        <v>3.7574000000000001</v>
      </c>
      <c r="L189" s="36">
        <f>+K189-((K189*0.4234*0.125)+(K189*(1-0.4234)*0.26))</f>
        <v>2.9952452266000003</v>
      </c>
      <c r="M189" s="64">
        <f t="shared" si="5"/>
        <v>2.9952452266000003</v>
      </c>
      <c r="N189" s="33" t="s">
        <v>248</v>
      </c>
    </row>
    <row r="190" spans="1:255" s="30" customFormat="1">
      <c r="A190" s="81"/>
      <c r="B190" s="33" t="s">
        <v>505</v>
      </c>
      <c r="C190" s="92" t="s">
        <v>506</v>
      </c>
      <c r="D190" s="33" t="s">
        <v>410</v>
      </c>
      <c r="E190" s="34">
        <v>44469</v>
      </c>
      <c r="F190" s="34">
        <v>44470</v>
      </c>
      <c r="G190" s="34">
        <v>44475</v>
      </c>
      <c r="H190" s="35"/>
      <c r="I190" s="67">
        <v>3.8197999999999999</v>
      </c>
      <c r="J190" s="67">
        <v>0</v>
      </c>
      <c r="K190" s="67">
        <v>3.8197999999999999</v>
      </c>
      <c r="L190" s="36">
        <f>+K190-((K190*0.0215*0.125)+(K190*(1-0.0215)*0.26))</f>
        <v>2.8377389694999997</v>
      </c>
      <c r="M190" s="64">
        <f t="shared" si="5"/>
        <v>2.8377389694999997</v>
      </c>
      <c r="N190" s="33" t="s">
        <v>248</v>
      </c>
    </row>
    <row r="191" spans="1:255" s="30" customFormat="1">
      <c r="A191" s="39"/>
      <c r="B191" s="33" t="s">
        <v>212</v>
      </c>
      <c r="C191" s="92" t="s">
        <v>450</v>
      </c>
      <c r="D191" s="33" t="s">
        <v>410</v>
      </c>
      <c r="E191" s="34">
        <v>44469</v>
      </c>
      <c r="F191" s="34">
        <v>44470</v>
      </c>
      <c r="G191" s="34">
        <v>44475</v>
      </c>
      <c r="H191" s="35"/>
      <c r="I191" s="67">
        <v>7.1506999999999996</v>
      </c>
      <c r="J191" s="67">
        <v>0</v>
      </c>
      <c r="K191" s="67">
        <v>7.1506999999999996</v>
      </c>
      <c r="L191" s="36">
        <f>+K191-((K191*0.0024*0.125)+(K191*(1-0.0024)*0.26))</f>
        <v>5.2938348267999995</v>
      </c>
      <c r="M191" s="64">
        <f t="shared" si="5"/>
        <v>5.2938348267999995</v>
      </c>
      <c r="N191" s="33" t="s">
        <v>248</v>
      </c>
      <c r="IU191" s="98"/>
    </row>
    <row r="192" spans="1:255" s="30" customFormat="1">
      <c r="A192" s="81"/>
      <c r="B192" s="33" t="s">
        <v>208</v>
      </c>
      <c r="C192" s="92" t="s">
        <v>451</v>
      </c>
      <c r="D192" s="33" t="s">
        <v>410</v>
      </c>
      <c r="E192" s="34">
        <v>44469</v>
      </c>
      <c r="F192" s="34">
        <v>44470</v>
      </c>
      <c r="G192" s="34">
        <v>44475</v>
      </c>
      <c r="H192" s="35"/>
      <c r="I192" s="67">
        <v>7.4634</v>
      </c>
      <c r="J192" s="67">
        <v>0</v>
      </c>
      <c r="K192" s="67">
        <v>7.4634</v>
      </c>
      <c r="L192" s="36">
        <f>+K192-((K192*0.0055*0.125)+(K192*(1-0.0055)*0.26))</f>
        <v>5.5284575745</v>
      </c>
      <c r="M192" s="64">
        <f t="shared" si="5"/>
        <v>5.5284575745</v>
      </c>
      <c r="N192" s="33" t="s">
        <v>248</v>
      </c>
    </row>
    <row r="193" spans="1:255" s="30" customFormat="1">
      <c r="A193" s="81"/>
      <c r="B193" s="33" t="s">
        <v>213</v>
      </c>
      <c r="C193" s="92" t="s">
        <v>452</v>
      </c>
      <c r="D193" s="33" t="s">
        <v>410</v>
      </c>
      <c r="E193" s="34">
        <v>44469</v>
      </c>
      <c r="F193" s="34">
        <v>44470</v>
      </c>
      <c r="G193" s="34">
        <v>44475</v>
      </c>
      <c r="H193" s="35"/>
      <c r="I193" s="67">
        <v>6.2241</v>
      </c>
      <c r="J193" s="67">
        <v>0</v>
      </c>
      <c r="K193" s="67">
        <v>6.2241</v>
      </c>
      <c r="L193" s="36">
        <f>+K193-((K193*0.0529*0.125)+(K193*(1-0.0529)*0.26))</f>
        <v>4.6502834101500001</v>
      </c>
      <c r="M193" s="64">
        <f t="shared" si="5"/>
        <v>4.6502834101500001</v>
      </c>
      <c r="N193" s="33" t="s">
        <v>248</v>
      </c>
    </row>
    <row r="194" spans="1:255" s="30" customFormat="1">
      <c r="A194" s="81"/>
      <c r="B194" s="33" t="s">
        <v>210</v>
      </c>
      <c r="C194" s="92" t="s">
        <v>458</v>
      </c>
      <c r="D194" s="33" t="s">
        <v>410</v>
      </c>
      <c r="E194" s="34">
        <v>44469</v>
      </c>
      <c r="F194" s="34">
        <v>44470</v>
      </c>
      <c r="G194" s="34">
        <v>44475</v>
      </c>
      <c r="H194" s="35"/>
      <c r="I194" s="67">
        <v>8.2449999999999992</v>
      </c>
      <c r="J194" s="67">
        <v>0</v>
      </c>
      <c r="K194" s="67">
        <v>8.2449999999999992</v>
      </c>
      <c r="L194" s="36">
        <f>+K194-((K194*0.066*0.125)+(K194*(1-0.066)*0.26))</f>
        <v>6.1747629499999999</v>
      </c>
      <c r="M194" s="64">
        <f t="shared" si="5"/>
        <v>6.1747629499999999</v>
      </c>
      <c r="N194" s="33" t="s">
        <v>248</v>
      </c>
    </row>
    <row r="195" spans="1:255" s="30" customFormat="1">
      <c r="A195" s="81"/>
      <c r="B195" s="33" t="s">
        <v>214</v>
      </c>
      <c r="C195" s="92" t="s">
        <v>453</v>
      </c>
      <c r="D195" s="33" t="s">
        <v>410</v>
      </c>
      <c r="E195" s="34">
        <v>44469</v>
      </c>
      <c r="F195" s="34">
        <v>44470</v>
      </c>
      <c r="G195" s="34">
        <v>44475</v>
      </c>
      <c r="H195" s="35"/>
      <c r="I195" s="67">
        <v>10.4453</v>
      </c>
      <c r="J195" s="67">
        <v>0</v>
      </c>
      <c r="K195" s="67">
        <v>10.4453</v>
      </c>
      <c r="L195" s="36">
        <f>+K195-((K195*0.062*0.125)+(K195*(1-0.062)*0.26))</f>
        <v>7.8169491609999993</v>
      </c>
      <c r="M195" s="64">
        <f t="shared" si="5"/>
        <v>7.8169491609999993</v>
      </c>
      <c r="N195" s="33" t="s">
        <v>248</v>
      </c>
      <c r="IT195" s="99"/>
    </row>
    <row r="196" spans="1:255" s="30" customFormat="1">
      <c r="A196" s="81"/>
      <c r="B196" s="33" t="s">
        <v>211</v>
      </c>
      <c r="C196" s="92" t="s">
        <v>459</v>
      </c>
      <c r="D196" s="33" t="s">
        <v>410</v>
      </c>
      <c r="E196" s="34">
        <v>44469</v>
      </c>
      <c r="F196" s="34">
        <v>44470</v>
      </c>
      <c r="G196" s="34">
        <v>44475</v>
      </c>
      <c r="H196" s="35"/>
      <c r="I196" s="67">
        <v>0</v>
      </c>
      <c r="J196" s="67">
        <v>0</v>
      </c>
      <c r="K196" s="67">
        <v>0</v>
      </c>
      <c r="L196" s="36">
        <f>+K196-((K196*0.1125*0.125)+(K196*(1-0.1125)*0.26))</f>
        <v>0</v>
      </c>
      <c r="M196" s="64">
        <f t="shared" si="5"/>
        <v>0</v>
      </c>
      <c r="N196" s="33" t="s">
        <v>248</v>
      </c>
    </row>
    <row r="197" spans="1:255" s="30" customFormat="1">
      <c r="A197" s="81"/>
      <c r="B197" s="33" t="s">
        <v>209</v>
      </c>
      <c r="C197" s="92" t="s">
        <v>706</v>
      </c>
      <c r="D197" s="33" t="s">
        <v>410</v>
      </c>
      <c r="E197" s="34">
        <v>44469</v>
      </c>
      <c r="F197" s="34">
        <v>44470</v>
      </c>
      <c r="G197" s="34">
        <v>44475</v>
      </c>
      <c r="H197" s="35"/>
      <c r="I197" s="67">
        <v>0</v>
      </c>
      <c r="J197" s="67">
        <v>0</v>
      </c>
      <c r="K197" s="67">
        <v>0</v>
      </c>
      <c r="L197" s="36">
        <f>+K197-((K197*0.1445*0.125)+(K197*(1-0.1445)*0.26))</f>
        <v>0</v>
      </c>
      <c r="M197" s="64">
        <f t="shared" si="5"/>
        <v>0</v>
      </c>
      <c r="N197" s="33" t="s">
        <v>248</v>
      </c>
      <c r="IU197" s="99"/>
    </row>
    <row r="198" spans="1:255" s="30" customFormat="1">
      <c r="A198" s="97"/>
      <c r="B198" s="33" t="s">
        <v>225</v>
      </c>
      <c r="C198" s="92" t="s">
        <v>454</v>
      </c>
      <c r="D198" s="33" t="s">
        <v>410</v>
      </c>
      <c r="E198" s="49">
        <v>44494</v>
      </c>
      <c r="F198" s="49">
        <v>44495</v>
      </c>
      <c r="G198" s="49">
        <v>44498</v>
      </c>
      <c r="H198" s="35"/>
      <c r="I198" s="67">
        <v>7.4889999999999999</v>
      </c>
      <c r="J198" s="67">
        <v>0</v>
      </c>
      <c r="K198" s="67">
        <v>7.4889999999999999</v>
      </c>
      <c r="L198" s="36">
        <f>+K198-((K198*0.2888*0.125)+(K198*(1-0.2888)*0.26))</f>
        <v>5.8338411319999999</v>
      </c>
      <c r="M198" s="64">
        <v>0</v>
      </c>
      <c r="N198" s="33" t="s">
        <v>249</v>
      </c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</row>
    <row r="199" spans="1:255" s="30" customFormat="1">
      <c r="A199" s="97"/>
      <c r="B199" s="33" t="s">
        <v>219</v>
      </c>
      <c r="C199" s="92" t="s">
        <v>485</v>
      </c>
      <c r="D199" s="33" t="s">
        <v>410</v>
      </c>
      <c r="E199" s="49">
        <v>44494</v>
      </c>
      <c r="F199" s="49">
        <v>44495</v>
      </c>
      <c r="G199" s="49">
        <v>44498</v>
      </c>
      <c r="H199" s="35"/>
      <c r="I199" s="67">
        <v>7.1856</v>
      </c>
      <c r="J199" s="67">
        <v>0</v>
      </c>
      <c r="K199" s="67">
        <v>7.1856</v>
      </c>
      <c r="L199" s="36">
        <f>+K199-((K199*0.0032*0.125)+(K199*(1-0.0032)*0.26))</f>
        <v>5.3204481791999996</v>
      </c>
      <c r="M199" s="64">
        <v>0</v>
      </c>
      <c r="N199" s="33" t="s">
        <v>249</v>
      </c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99"/>
    </row>
    <row r="200" spans="1:255" s="30" customFormat="1">
      <c r="A200" s="81"/>
      <c r="B200" s="33" t="s">
        <v>221</v>
      </c>
      <c r="C200" s="92" t="s">
        <v>484</v>
      </c>
      <c r="D200" s="33" t="s">
        <v>410</v>
      </c>
      <c r="E200" s="49">
        <v>44494</v>
      </c>
      <c r="F200" s="49">
        <v>44495</v>
      </c>
      <c r="G200" s="49">
        <v>44498</v>
      </c>
      <c r="H200" s="35"/>
      <c r="I200" s="67">
        <v>0</v>
      </c>
      <c r="J200" s="67">
        <v>0</v>
      </c>
      <c r="K200" s="67">
        <v>0</v>
      </c>
      <c r="L200" s="36">
        <f>+K200-((K200*0.0032*0.125)+(K200*(1-0.0032)*0.26))</f>
        <v>0</v>
      </c>
      <c r="M200" s="64">
        <v>0</v>
      </c>
      <c r="N200" s="33" t="s">
        <v>249</v>
      </c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82"/>
      <c r="IU200" s="99"/>
    </row>
    <row r="201" spans="1:255">
      <c r="A201" s="50"/>
      <c r="B201" s="33" t="s">
        <v>551</v>
      </c>
      <c r="C201" s="92" t="s">
        <v>552</v>
      </c>
      <c r="D201" s="33" t="s">
        <v>412</v>
      </c>
      <c r="E201" s="68">
        <v>44494</v>
      </c>
      <c r="F201" s="68">
        <v>44495</v>
      </c>
      <c r="G201" s="68">
        <v>44498</v>
      </c>
      <c r="H201" s="35"/>
      <c r="I201" s="67">
        <v>20</v>
      </c>
      <c r="J201" s="67">
        <v>0</v>
      </c>
      <c r="K201" s="67">
        <v>20</v>
      </c>
      <c r="L201" s="36">
        <f>+K201-((K201*0.0838*0.125)+(K201*(1-0.0838)*0.26))</f>
        <v>15.026259999999999</v>
      </c>
      <c r="M201" s="64">
        <f t="shared" ref="M201:M219" si="6">L201+J201</f>
        <v>15.026259999999999</v>
      </c>
      <c r="N201" s="67" t="s">
        <v>288</v>
      </c>
      <c r="IT201" s="74"/>
      <c r="IU201" s="15"/>
    </row>
    <row r="202" spans="1:255">
      <c r="A202" s="50"/>
      <c r="B202" s="33" t="s">
        <v>216</v>
      </c>
      <c r="C202" s="92" t="s">
        <v>456</v>
      </c>
      <c r="D202" s="33" t="s">
        <v>410</v>
      </c>
      <c r="E202" s="68">
        <v>44560</v>
      </c>
      <c r="F202" s="68">
        <v>44561</v>
      </c>
      <c r="G202" s="68">
        <v>44566</v>
      </c>
      <c r="H202" s="35"/>
      <c r="I202" s="67">
        <v>0</v>
      </c>
      <c r="J202" s="67">
        <v>0</v>
      </c>
      <c r="K202" s="67">
        <v>0</v>
      </c>
      <c r="L202" s="36">
        <f>+K202-((K202*0.073*0.125)+(K202*(1-0.073)*0.26))</f>
        <v>0</v>
      </c>
      <c r="M202" s="64">
        <f t="shared" si="6"/>
        <v>0</v>
      </c>
      <c r="N202" s="67" t="s">
        <v>247</v>
      </c>
      <c r="IT202" s="74"/>
      <c r="IU202" s="15"/>
    </row>
    <row r="203" spans="1:255">
      <c r="A203" s="50"/>
      <c r="B203" s="33" t="s">
        <v>677</v>
      </c>
      <c r="C203" s="92" t="s">
        <v>693</v>
      </c>
      <c r="D203" s="33" t="s">
        <v>410</v>
      </c>
      <c r="E203" s="68">
        <v>44560</v>
      </c>
      <c r="F203" s="68">
        <v>44561</v>
      </c>
      <c r="G203" s="68">
        <v>44566</v>
      </c>
      <c r="H203" s="35"/>
      <c r="I203" s="67">
        <v>0</v>
      </c>
      <c r="J203" s="67">
        <v>0</v>
      </c>
      <c r="K203" s="67">
        <v>0</v>
      </c>
      <c r="L203" s="36">
        <f>+K203-((K203*0.00000000001*0.125)+(K203*(1-0.0000000001)*0.26))</f>
        <v>0</v>
      </c>
      <c r="M203" s="64">
        <f t="shared" si="6"/>
        <v>0</v>
      </c>
      <c r="N203" s="67" t="s">
        <v>247</v>
      </c>
      <c r="IT203" s="74"/>
      <c r="IU203" s="15"/>
    </row>
    <row r="204" spans="1:255">
      <c r="A204" s="50"/>
      <c r="B204" s="33" t="s">
        <v>676</v>
      </c>
      <c r="C204" s="92" t="s">
        <v>692</v>
      </c>
      <c r="D204" s="33" t="s">
        <v>410</v>
      </c>
      <c r="E204" s="68">
        <v>44560</v>
      </c>
      <c r="F204" s="68">
        <v>44561</v>
      </c>
      <c r="G204" s="68">
        <v>44566</v>
      </c>
      <c r="H204" s="35"/>
      <c r="I204" s="67">
        <v>6.3929999999999998</v>
      </c>
      <c r="J204" s="67">
        <v>0</v>
      </c>
      <c r="K204" s="67">
        <v>6.3929999999999998</v>
      </c>
      <c r="L204" s="36">
        <f>+K204-((K204*0.0856*0.125)+(K204*(1-0.0856)*0.26))</f>
        <v>4.8046975080000003</v>
      </c>
      <c r="M204" s="64">
        <f t="shared" si="6"/>
        <v>4.8046975080000003</v>
      </c>
      <c r="N204" s="67" t="s">
        <v>247</v>
      </c>
      <c r="IT204" s="74"/>
      <c r="IU204" s="15"/>
    </row>
    <row r="205" spans="1:255">
      <c r="A205" s="81"/>
      <c r="B205" s="33" t="s">
        <v>215</v>
      </c>
      <c r="C205" s="92" t="s">
        <v>457</v>
      </c>
      <c r="D205" s="33" t="s">
        <v>410</v>
      </c>
      <c r="E205" s="34">
        <v>44561</v>
      </c>
      <c r="F205" s="34">
        <v>44564</v>
      </c>
      <c r="G205" s="34">
        <v>44567</v>
      </c>
      <c r="H205" s="35"/>
      <c r="I205" s="67">
        <v>0</v>
      </c>
      <c r="J205" s="67">
        <v>0</v>
      </c>
      <c r="K205" s="67">
        <v>0</v>
      </c>
      <c r="L205" s="36">
        <f>+K205-((K205*0.28008*0.125)+(K205*(1-0.28008)*0.26))</f>
        <v>0</v>
      </c>
      <c r="M205" s="64">
        <f t="shared" si="6"/>
        <v>0</v>
      </c>
      <c r="N205" s="33" t="s">
        <v>248</v>
      </c>
    </row>
    <row r="206" spans="1:255">
      <c r="A206" s="81"/>
      <c r="B206" s="33" t="s">
        <v>203</v>
      </c>
      <c r="C206" s="92" t="s">
        <v>445</v>
      </c>
      <c r="D206" s="33" t="s">
        <v>410</v>
      </c>
      <c r="E206" s="34">
        <v>44561</v>
      </c>
      <c r="F206" s="34">
        <v>44564</v>
      </c>
      <c r="G206" s="34">
        <v>44567</v>
      </c>
      <c r="H206" s="75"/>
      <c r="I206" s="67">
        <f>VLOOKUP(B206,[2]NAVPRICE_20220104010609_FPNO_20!$A$8:$J$2258,9,FALSE)</f>
        <v>1.054</v>
      </c>
      <c r="J206" s="67">
        <v>0</v>
      </c>
      <c r="K206" s="67">
        <v>1.054</v>
      </c>
      <c r="L206" s="36">
        <f>+K206-((K206*0.447*0.125)+(K206*(1-0.447)*0.26))</f>
        <v>0.84356363000000001</v>
      </c>
      <c r="M206" s="64">
        <f t="shared" si="6"/>
        <v>0.84356363000000001</v>
      </c>
      <c r="N206" s="33" t="s">
        <v>248</v>
      </c>
      <c r="IT206" s="15"/>
    </row>
    <row r="207" spans="1:255">
      <c r="A207" s="81"/>
      <c r="B207" s="33" t="s">
        <v>204</v>
      </c>
      <c r="C207" s="92" t="s">
        <v>446</v>
      </c>
      <c r="D207" s="33" t="s">
        <v>410</v>
      </c>
      <c r="E207" s="34">
        <v>44561</v>
      </c>
      <c r="F207" s="34">
        <v>44564</v>
      </c>
      <c r="G207" s="34">
        <v>44567</v>
      </c>
      <c r="H207" s="35"/>
      <c r="I207" s="67">
        <f>VLOOKUP(B207,[2]NAVPRICE_20220104010609_FPNO_20!$A$8:$J$2258,9,FALSE)</f>
        <v>1.1649</v>
      </c>
      <c r="J207" s="67">
        <v>0</v>
      </c>
      <c r="K207" s="67">
        <v>1.1649</v>
      </c>
      <c r="L207" s="36">
        <f>+K207-((K207*0.0019*0.125)+(K207*(1-0.0019)*0.26))</f>
        <v>0.86232479684999996</v>
      </c>
      <c r="M207" s="64">
        <f t="shared" si="6"/>
        <v>0.86232479684999996</v>
      </c>
      <c r="N207" s="33" t="s">
        <v>248</v>
      </c>
    </row>
    <row r="208" spans="1:255">
      <c r="A208" s="81"/>
      <c r="B208" s="33" t="s">
        <v>207</v>
      </c>
      <c r="C208" s="92" t="s">
        <v>447</v>
      </c>
      <c r="D208" s="33" t="s">
        <v>410</v>
      </c>
      <c r="E208" s="34">
        <v>44561</v>
      </c>
      <c r="F208" s="34">
        <v>44564</v>
      </c>
      <c r="G208" s="34">
        <v>44567</v>
      </c>
      <c r="H208" s="35"/>
      <c r="I208" s="67">
        <f>VLOOKUP(B208,[2]NAVPRICE_20220104010609_FPNO_20!$A$8:$J$2258,9,FALSE)</f>
        <v>0.5282</v>
      </c>
      <c r="J208" s="67">
        <v>0</v>
      </c>
      <c r="K208" s="67">
        <v>0.5282</v>
      </c>
      <c r="L208" s="36">
        <f>+K208-((K208*0.8672*0.125)+(K208*(1-0.8672)*0.26))</f>
        <v>0.4527054304</v>
      </c>
      <c r="M208" s="64">
        <f t="shared" si="6"/>
        <v>0.4527054304</v>
      </c>
      <c r="N208" s="33" t="s">
        <v>248</v>
      </c>
    </row>
    <row r="209" spans="1:255">
      <c r="A209" s="102"/>
      <c r="B209" s="33" t="s">
        <v>678</v>
      </c>
      <c r="C209" s="92" t="s">
        <v>707</v>
      </c>
      <c r="D209" s="34" t="s">
        <v>410</v>
      </c>
      <c r="E209" s="34">
        <v>44561</v>
      </c>
      <c r="F209" s="34">
        <v>44564</v>
      </c>
      <c r="G209" s="34">
        <v>44567</v>
      </c>
      <c r="H209" s="33"/>
      <c r="I209" s="67">
        <f>VLOOKUP(B209,[2]NAVPRICE_20220104010609_FPNO_20!$A$8:$J$2258,9,FALSE)</f>
        <v>5</v>
      </c>
      <c r="J209" s="67">
        <v>0</v>
      </c>
      <c r="K209" s="45">
        <v>5</v>
      </c>
      <c r="L209" s="64">
        <f>+K209-((K209*0.0003*0.125)+(K209*(1-0.0003)*0.26))</f>
        <v>3.7002025000000001</v>
      </c>
      <c r="M209" s="64">
        <f t="shared" si="6"/>
        <v>3.7002025000000001</v>
      </c>
      <c r="N209" s="33" t="s">
        <v>248</v>
      </c>
      <c r="IU209" s="80"/>
    </row>
    <row r="210" spans="1:255">
      <c r="A210" s="81"/>
      <c r="B210" s="33" t="s">
        <v>205</v>
      </c>
      <c r="C210" s="92" t="s">
        <v>448</v>
      </c>
      <c r="D210" s="33" t="s">
        <v>410</v>
      </c>
      <c r="E210" s="34">
        <v>44561</v>
      </c>
      <c r="F210" s="34">
        <v>44564</v>
      </c>
      <c r="G210" s="34">
        <v>44567</v>
      </c>
      <c r="H210" s="35"/>
      <c r="I210" s="67">
        <f>VLOOKUP(B210,[2]NAVPRICE_20220104010609_FPNO_20!$A$8:$J$2258,9,FALSE)</f>
        <v>3.9230999999999998</v>
      </c>
      <c r="J210" s="67">
        <v>0</v>
      </c>
      <c r="K210" s="67">
        <v>3.9230999999999998</v>
      </c>
      <c r="L210" s="36">
        <f>+K210-((K210*0.4234*0.125)+(K210*(1-0.4234)*0.26))</f>
        <v>3.1273344728999999</v>
      </c>
      <c r="M210" s="64">
        <f t="shared" si="6"/>
        <v>3.1273344728999999</v>
      </c>
      <c r="N210" s="33" t="s">
        <v>248</v>
      </c>
    </row>
    <row r="211" spans="1:255">
      <c r="A211" s="81"/>
      <c r="B211" s="33" t="s">
        <v>206</v>
      </c>
      <c r="C211" s="92" t="s">
        <v>449</v>
      </c>
      <c r="D211" s="33" t="s">
        <v>410</v>
      </c>
      <c r="E211" s="34">
        <v>44561</v>
      </c>
      <c r="F211" s="34">
        <v>44564</v>
      </c>
      <c r="G211" s="34">
        <v>44567</v>
      </c>
      <c r="H211" s="35"/>
      <c r="I211" s="67">
        <f>VLOOKUP(B211,[2]NAVPRICE_20220104010609_FPNO_20!$A$8:$J$2258,9,FALSE)</f>
        <v>3.7574000000000001</v>
      </c>
      <c r="J211" s="67">
        <v>0</v>
      </c>
      <c r="K211" s="67">
        <v>3.7574000000000001</v>
      </c>
      <c r="L211" s="36">
        <f>+K211-((K211*0.4234*0.125)+(K211*(1-0.4234)*0.26))</f>
        <v>2.9952452266000003</v>
      </c>
      <c r="M211" s="64">
        <f t="shared" si="6"/>
        <v>2.9952452266000003</v>
      </c>
      <c r="N211" s="33" t="s">
        <v>248</v>
      </c>
    </row>
    <row r="212" spans="1:255">
      <c r="A212" s="81"/>
      <c r="B212" s="33" t="s">
        <v>505</v>
      </c>
      <c r="C212" s="92" t="s">
        <v>506</v>
      </c>
      <c r="D212" s="33" t="s">
        <v>410</v>
      </c>
      <c r="E212" s="34">
        <v>44561</v>
      </c>
      <c r="F212" s="34">
        <v>44564</v>
      </c>
      <c r="G212" s="34">
        <v>44567</v>
      </c>
      <c r="H212" s="35"/>
      <c r="I212" s="67">
        <f>VLOOKUP(B212,[2]NAVPRICE_20220104010609_FPNO_20!$A$8:$J$2258,9,FALSE)</f>
        <v>3.8197999999999999</v>
      </c>
      <c r="J212" s="67">
        <v>0</v>
      </c>
      <c r="K212" s="67">
        <v>3.8197999999999999</v>
      </c>
      <c r="L212" s="36">
        <f>+K212-((K212*0.0215*0.125)+(K212*(1-0.0215)*0.26))</f>
        <v>2.8377389694999997</v>
      </c>
      <c r="M212" s="64">
        <f t="shared" si="6"/>
        <v>2.8377389694999997</v>
      </c>
      <c r="N212" s="33" t="s">
        <v>248</v>
      </c>
    </row>
    <row r="213" spans="1:255">
      <c r="A213" s="81"/>
      <c r="B213" s="33" t="s">
        <v>212</v>
      </c>
      <c r="C213" s="92" t="s">
        <v>450</v>
      </c>
      <c r="D213" s="33" t="s">
        <v>410</v>
      </c>
      <c r="E213" s="34">
        <v>44561</v>
      </c>
      <c r="F213" s="34">
        <v>44564</v>
      </c>
      <c r="G213" s="34">
        <v>44567</v>
      </c>
      <c r="H213" s="35"/>
      <c r="I213" s="67">
        <f>VLOOKUP(B213,[2]NAVPRICE_20220104010609_FPNO_20!$A$8:$J$2258,9,FALSE)</f>
        <v>7.1506999999999996</v>
      </c>
      <c r="J213" s="67">
        <v>0</v>
      </c>
      <c r="K213" s="67">
        <v>7.1506999999999996</v>
      </c>
      <c r="L213" s="36">
        <f>+K213-((K213*0.0024*0.125)+(K213*(1-0.0024)*0.26))</f>
        <v>5.2938348267999995</v>
      </c>
      <c r="M213" s="64">
        <f t="shared" si="6"/>
        <v>5.2938348267999995</v>
      </c>
      <c r="N213" s="33" t="s">
        <v>248</v>
      </c>
    </row>
    <row r="214" spans="1:255">
      <c r="A214" s="81"/>
      <c r="B214" s="33" t="s">
        <v>208</v>
      </c>
      <c r="C214" s="92" t="s">
        <v>451</v>
      </c>
      <c r="D214" s="33" t="s">
        <v>410</v>
      </c>
      <c r="E214" s="34">
        <v>44561</v>
      </c>
      <c r="F214" s="34">
        <v>44564</v>
      </c>
      <c r="G214" s="34">
        <v>44567</v>
      </c>
      <c r="H214" s="35"/>
      <c r="I214" s="67">
        <f>VLOOKUP(B214,[2]NAVPRICE_20220104010609_FPNO_20!$A$8:$J$2258,9,FALSE)</f>
        <v>7.4634</v>
      </c>
      <c r="J214" s="67">
        <v>0</v>
      </c>
      <c r="K214" s="67">
        <v>7.4634</v>
      </c>
      <c r="L214" s="36">
        <f>+K214-((K214*0.0055*0.125)+(K214*(1-0.0055)*0.26))</f>
        <v>5.5284575745</v>
      </c>
      <c r="M214" s="64">
        <f t="shared" si="6"/>
        <v>5.5284575745</v>
      </c>
      <c r="N214" s="33" t="s">
        <v>248</v>
      </c>
      <c r="IT214" s="15"/>
    </row>
    <row r="215" spans="1:255">
      <c r="A215" s="81"/>
      <c r="B215" s="33" t="s">
        <v>213</v>
      </c>
      <c r="C215" s="92" t="s">
        <v>452</v>
      </c>
      <c r="D215" s="33" t="s">
        <v>410</v>
      </c>
      <c r="E215" s="34">
        <v>44561</v>
      </c>
      <c r="F215" s="34">
        <v>44564</v>
      </c>
      <c r="G215" s="34">
        <v>44567</v>
      </c>
      <c r="H215" s="35"/>
      <c r="I215" s="67">
        <f>VLOOKUP(B215,[2]NAVPRICE_20220104010609_FPNO_20!$A$8:$J$2258,9,FALSE)</f>
        <v>6.2241</v>
      </c>
      <c r="J215" s="67">
        <v>0</v>
      </c>
      <c r="K215" s="67">
        <v>6.2241</v>
      </c>
      <c r="L215" s="36">
        <f>+K215-((K215*0.0529*0.125)+(K215*(1-0.0529)*0.26))</f>
        <v>4.6502834101500001</v>
      </c>
      <c r="M215" s="64">
        <f t="shared" si="6"/>
        <v>4.6502834101500001</v>
      </c>
      <c r="N215" s="33" t="s">
        <v>248</v>
      </c>
      <c r="IT215" s="15"/>
    </row>
    <row r="216" spans="1:255">
      <c r="A216" s="81"/>
      <c r="B216" s="33" t="s">
        <v>210</v>
      </c>
      <c r="C216" s="92" t="s">
        <v>458</v>
      </c>
      <c r="D216" s="33" t="s">
        <v>410</v>
      </c>
      <c r="E216" s="34">
        <v>44561</v>
      </c>
      <c r="F216" s="34">
        <v>44564</v>
      </c>
      <c r="G216" s="34">
        <v>44567</v>
      </c>
      <c r="H216" s="35"/>
      <c r="I216" s="67">
        <f>VLOOKUP(B216,[2]NAVPRICE_20220104010609_FPNO_20!$A$8:$J$2258,9,FALSE)</f>
        <v>8.2449999999999992</v>
      </c>
      <c r="J216" s="67">
        <v>0</v>
      </c>
      <c r="K216" s="67">
        <v>8.2449999999999992</v>
      </c>
      <c r="L216" s="36">
        <f>+K216-((K216*0.066*0.125)+(K216*(1-0.066)*0.26))</f>
        <v>6.1747629499999999</v>
      </c>
      <c r="M216" s="64">
        <f t="shared" si="6"/>
        <v>6.1747629499999999</v>
      </c>
      <c r="N216" s="33" t="s">
        <v>248</v>
      </c>
      <c r="IT216" s="15"/>
    </row>
    <row r="217" spans="1:255">
      <c r="A217" s="81"/>
      <c r="B217" s="33" t="s">
        <v>214</v>
      </c>
      <c r="C217" s="92" t="s">
        <v>453</v>
      </c>
      <c r="D217" s="33" t="s">
        <v>410</v>
      </c>
      <c r="E217" s="34">
        <v>44561</v>
      </c>
      <c r="F217" s="34">
        <v>44564</v>
      </c>
      <c r="G217" s="34">
        <v>44567</v>
      </c>
      <c r="H217" s="35"/>
      <c r="I217" s="67">
        <f>VLOOKUP(B217,[2]NAVPRICE_20220104010609_FPNO_20!$A$8:$J$2258,9,FALSE)</f>
        <v>10.4453</v>
      </c>
      <c r="J217" s="67">
        <v>0</v>
      </c>
      <c r="K217" s="67">
        <v>10.4453</v>
      </c>
      <c r="L217" s="36">
        <f>+K217-((K217*0.062*0.125)+(K217*(1-0.062)*0.26))</f>
        <v>7.8169491609999993</v>
      </c>
      <c r="M217" s="64">
        <f t="shared" si="6"/>
        <v>7.8169491609999993</v>
      </c>
      <c r="N217" s="33" t="s">
        <v>248</v>
      </c>
      <c r="IT217" s="15"/>
    </row>
    <row r="218" spans="1:255">
      <c r="A218" s="81"/>
      <c r="B218" s="33" t="s">
        <v>211</v>
      </c>
      <c r="C218" s="92" t="s">
        <v>459</v>
      </c>
      <c r="D218" s="33" t="s">
        <v>410</v>
      </c>
      <c r="E218" s="34">
        <v>44561</v>
      </c>
      <c r="F218" s="34">
        <v>44564</v>
      </c>
      <c r="G218" s="34">
        <v>44567</v>
      </c>
      <c r="H218" s="35"/>
      <c r="I218" s="67">
        <v>0</v>
      </c>
      <c r="J218" s="67">
        <v>0</v>
      </c>
      <c r="K218" s="67">
        <v>0</v>
      </c>
      <c r="L218" s="36">
        <f>+K218-((K218*0.1125*0.125)+(K218*(1-0.1125)*0.26))</f>
        <v>0</v>
      </c>
      <c r="M218" s="64">
        <f t="shared" si="6"/>
        <v>0</v>
      </c>
      <c r="N218" s="33" t="s">
        <v>248</v>
      </c>
    </row>
    <row r="219" spans="1:255">
      <c r="A219" s="81"/>
      <c r="B219" s="33" t="s">
        <v>209</v>
      </c>
      <c r="C219" s="92" t="s">
        <v>706</v>
      </c>
      <c r="D219" s="33" t="s">
        <v>410</v>
      </c>
      <c r="E219" s="34">
        <v>44561</v>
      </c>
      <c r="F219" s="34">
        <v>44564</v>
      </c>
      <c r="G219" s="34">
        <v>44567</v>
      </c>
      <c r="H219" s="35"/>
      <c r="I219" s="67">
        <v>0</v>
      </c>
      <c r="J219" s="67">
        <v>0</v>
      </c>
      <c r="K219" s="67">
        <v>0</v>
      </c>
      <c r="L219" s="36">
        <f>+K219-((K219*0.1445*0.125)+(K219*(1-0.1445)*0.26))</f>
        <v>0</v>
      </c>
      <c r="M219" s="64">
        <f t="shared" si="6"/>
        <v>0</v>
      </c>
      <c r="N219" s="33" t="s">
        <v>248</v>
      </c>
    </row>
    <row r="220" spans="1:255">
      <c r="A220" s="115"/>
      <c r="B220" s="33" t="s">
        <v>225</v>
      </c>
      <c r="C220" s="92" t="s">
        <v>454</v>
      </c>
      <c r="D220" s="33" t="s">
        <v>410</v>
      </c>
      <c r="E220" s="49">
        <v>44586</v>
      </c>
      <c r="F220" s="49">
        <v>44587</v>
      </c>
      <c r="G220" s="49">
        <v>44592</v>
      </c>
      <c r="H220" s="35"/>
      <c r="I220" s="67">
        <v>7.4889999999999999</v>
      </c>
      <c r="J220" s="67">
        <v>0</v>
      </c>
      <c r="K220" s="67">
        <v>7.4889999999999999</v>
      </c>
      <c r="L220" s="36">
        <f>+K220-((K220*0.2659*0.125)+(K220*(1-0.2659)*0.26))</f>
        <v>5.8106888884999996</v>
      </c>
      <c r="M220" s="64">
        <v>0</v>
      </c>
      <c r="N220" s="33" t="s">
        <v>249</v>
      </c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</row>
    <row r="221" spans="1:255">
      <c r="A221" s="115"/>
      <c r="B221" s="33" t="s">
        <v>223</v>
      </c>
      <c r="C221" s="92" t="s">
        <v>488</v>
      </c>
      <c r="D221" s="33" t="s">
        <v>413</v>
      </c>
      <c r="E221" s="49">
        <v>44586</v>
      </c>
      <c r="F221" s="49">
        <v>44587</v>
      </c>
      <c r="G221" s="49">
        <v>44592</v>
      </c>
      <c r="H221" s="35"/>
      <c r="I221" s="67">
        <v>14.5716</v>
      </c>
      <c r="J221" s="67">
        <v>0</v>
      </c>
      <c r="K221" s="67">
        <v>14.5716</v>
      </c>
      <c r="L221" s="36">
        <f>+K221-((K221*0.000000000001*0.125)+(K221*(1-0.000000000001)*0.26))</f>
        <v>10.782984000001967</v>
      </c>
      <c r="M221" s="64">
        <v>0</v>
      </c>
      <c r="N221" s="33" t="s">
        <v>250</v>
      </c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</row>
    <row r="222" spans="1:255">
      <c r="A222" s="117"/>
      <c r="B222" s="33" t="s">
        <v>223</v>
      </c>
      <c r="C222" s="92" t="s">
        <v>488</v>
      </c>
      <c r="D222" s="33" t="s">
        <v>413</v>
      </c>
      <c r="E222" s="49">
        <v>44586</v>
      </c>
      <c r="F222" s="49">
        <v>44587</v>
      </c>
      <c r="G222" s="49">
        <v>44957</v>
      </c>
      <c r="H222" s="35"/>
      <c r="I222" s="67">
        <v>14.5716</v>
      </c>
      <c r="J222" s="67">
        <v>0</v>
      </c>
      <c r="K222" s="67">
        <v>14.5716</v>
      </c>
      <c r="L222" s="36">
        <f>+K222-((K222*0.000000000001*0.125)+(K222*(1-0.000000000001)*0.26))</f>
        <v>10.782984000001967</v>
      </c>
      <c r="M222" s="64">
        <v>0</v>
      </c>
      <c r="N222" s="33" t="s">
        <v>250</v>
      </c>
    </row>
    <row r="223" spans="1:255">
      <c r="A223" s="115"/>
      <c r="B223" s="33" t="s">
        <v>219</v>
      </c>
      <c r="C223" s="92" t="s">
        <v>485</v>
      </c>
      <c r="D223" s="33" t="s">
        <v>410</v>
      </c>
      <c r="E223" s="49">
        <v>44586</v>
      </c>
      <c r="F223" s="49">
        <v>44587</v>
      </c>
      <c r="G223" s="49">
        <v>44592</v>
      </c>
      <c r="H223" s="35"/>
      <c r="I223" s="67">
        <v>7.1856</v>
      </c>
      <c r="J223" s="67">
        <v>0</v>
      </c>
      <c r="K223" s="67">
        <v>7.1856</v>
      </c>
      <c r="L223" s="36">
        <f>+K223-((K223*0.002*0.125)+(K223*(1-0.002)*0.26))</f>
        <v>5.3192841120000001</v>
      </c>
      <c r="M223" s="64">
        <v>0</v>
      </c>
      <c r="N223" s="33" t="s">
        <v>249</v>
      </c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6"/>
    </row>
    <row r="224" spans="1:255">
      <c r="A224" s="115"/>
      <c r="B224" s="33" t="s">
        <v>221</v>
      </c>
      <c r="C224" s="92" t="s">
        <v>484</v>
      </c>
      <c r="D224" s="33" t="s">
        <v>410</v>
      </c>
      <c r="E224" s="49">
        <v>44586</v>
      </c>
      <c r="F224" s="49">
        <v>44587</v>
      </c>
      <c r="G224" s="49">
        <v>44592</v>
      </c>
      <c r="H224" s="35"/>
      <c r="I224" s="67">
        <v>0</v>
      </c>
      <c r="J224" s="67">
        <v>0</v>
      </c>
      <c r="K224" s="67">
        <v>0</v>
      </c>
      <c r="L224" s="36">
        <f>+K224-((K224*0.002*0.125)+(K224*(1-0.002)*0.26))</f>
        <v>0</v>
      </c>
      <c r="M224" s="64">
        <v>0</v>
      </c>
      <c r="N224" s="33" t="s">
        <v>249</v>
      </c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6"/>
    </row>
    <row r="225" spans="1:255">
      <c r="A225" s="115"/>
      <c r="B225" s="33" t="s">
        <v>486</v>
      </c>
      <c r="C225" s="92" t="s">
        <v>487</v>
      </c>
      <c r="D225" s="49" t="s">
        <v>413</v>
      </c>
      <c r="E225" s="49">
        <v>44586</v>
      </c>
      <c r="F225" s="49">
        <v>44587</v>
      </c>
      <c r="G225" s="49">
        <v>44592</v>
      </c>
      <c r="H225" s="67"/>
      <c r="I225" s="67">
        <v>18.340699999999998</v>
      </c>
      <c r="J225" s="67">
        <v>4.0354381599999991</v>
      </c>
      <c r="K225" s="67">
        <v>14.305261839999998</v>
      </c>
      <c r="L225" s="36">
        <f>+K225-((K225*0.002*0.125)+(K225*(1-0.002)*0.26))</f>
        <v>10.589756182296798</v>
      </c>
      <c r="M225" s="64">
        <v>0</v>
      </c>
      <c r="N225" s="33" t="s">
        <v>250</v>
      </c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73"/>
    </row>
    <row r="226" spans="1:255">
      <c r="A226" s="117"/>
      <c r="B226" s="33" t="s">
        <v>486</v>
      </c>
      <c r="C226" s="92" t="s">
        <v>487</v>
      </c>
      <c r="D226" s="49" t="s">
        <v>413</v>
      </c>
      <c r="E226" s="49">
        <v>44586</v>
      </c>
      <c r="F226" s="49">
        <v>44587</v>
      </c>
      <c r="G226" s="49">
        <v>44957</v>
      </c>
      <c r="H226" s="67"/>
      <c r="I226" s="67">
        <v>18.340699999999998</v>
      </c>
      <c r="J226" s="67">
        <v>4.0354381599999991</v>
      </c>
      <c r="K226" s="67">
        <v>14.305261839999998</v>
      </c>
      <c r="L226" s="36">
        <f>+K226-((K226*0.002*0.125)+(K226*(1-0.002)*0.26))</f>
        <v>10.589756182296798</v>
      </c>
      <c r="M226" s="64">
        <v>0</v>
      </c>
      <c r="N226" s="33" t="s">
        <v>250</v>
      </c>
      <c r="IU226" s="74"/>
    </row>
    <row r="227" spans="1:255">
      <c r="A227" s="115"/>
      <c r="B227" s="33" t="s">
        <v>489</v>
      </c>
      <c r="C227" s="92" t="s">
        <v>521</v>
      </c>
      <c r="D227" s="49" t="s">
        <v>413</v>
      </c>
      <c r="E227" s="49">
        <v>44586</v>
      </c>
      <c r="F227" s="49">
        <v>44587</v>
      </c>
      <c r="G227" s="49">
        <v>44592</v>
      </c>
      <c r="H227" s="67"/>
      <c r="I227" s="67">
        <v>20.966000000000001</v>
      </c>
      <c r="J227" s="67">
        <v>0</v>
      </c>
      <c r="K227" s="67">
        <v>20.966000000000001</v>
      </c>
      <c r="L227" s="36">
        <f>+K227-((K227*0.2436*0.125)+(K227*(1-0.2436)*0.26))</f>
        <v>16.204327876000001</v>
      </c>
      <c r="M227" s="64">
        <v>0</v>
      </c>
      <c r="N227" s="33" t="s">
        <v>250</v>
      </c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73"/>
      <c r="IU227" s="74"/>
    </row>
    <row r="228" spans="1:255">
      <c r="A228" s="117"/>
      <c r="B228" s="33" t="s">
        <v>489</v>
      </c>
      <c r="C228" s="92" t="s">
        <v>521</v>
      </c>
      <c r="D228" s="49" t="s">
        <v>413</v>
      </c>
      <c r="E228" s="49">
        <v>44586</v>
      </c>
      <c r="F228" s="49">
        <v>44587</v>
      </c>
      <c r="G228" s="49">
        <v>44957</v>
      </c>
      <c r="H228" s="67"/>
      <c r="I228" s="67">
        <v>20.966000000000001</v>
      </c>
      <c r="J228" s="67">
        <v>0</v>
      </c>
      <c r="K228" s="67">
        <v>20.966000000000001</v>
      </c>
      <c r="L228" s="36">
        <f>+K228-((K228*0.2436*0.125)+(K228*(1-0.2436)*0.26))</f>
        <v>16.204327876000001</v>
      </c>
      <c r="M228" s="64">
        <v>0</v>
      </c>
      <c r="N228" s="33" t="s">
        <v>250</v>
      </c>
    </row>
    <row r="229" spans="1:255">
      <c r="A229" s="115"/>
      <c r="B229" s="33" t="s">
        <v>218</v>
      </c>
      <c r="C229" s="92" t="s">
        <v>455</v>
      </c>
      <c r="D229" s="33" t="s">
        <v>413</v>
      </c>
      <c r="E229" s="49">
        <v>44586</v>
      </c>
      <c r="F229" s="49">
        <v>44587</v>
      </c>
      <c r="G229" s="49">
        <v>44592</v>
      </c>
      <c r="H229" s="35"/>
      <c r="I229" s="67">
        <v>20.578800000000001</v>
      </c>
      <c r="J229" s="67">
        <v>0</v>
      </c>
      <c r="K229" s="67">
        <v>20.578800000000001</v>
      </c>
      <c r="L229" s="36">
        <f>+K229-((K229*0.2436*0.125)+(K229*(1-0.2436)*0.26))</f>
        <v>15.9050664168</v>
      </c>
      <c r="M229" s="64">
        <v>0</v>
      </c>
      <c r="N229" s="33" t="s">
        <v>250</v>
      </c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5"/>
    </row>
    <row r="230" spans="1:255">
      <c r="A230" s="117"/>
      <c r="B230" s="33" t="s">
        <v>218</v>
      </c>
      <c r="C230" s="92" t="s">
        <v>455</v>
      </c>
      <c r="D230" s="33" t="s">
        <v>413</v>
      </c>
      <c r="E230" s="49">
        <v>44586</v>
      </c>
      <c r="F230" s="49">
        <v>44587</v>
      </c>
      <c r="G230" s="49">
        <v>44957</v>
      </c>
      <c r="H230" s="35"/>
      <c r="I230" s="67">
        <v>20.578800000000001</v>
      </c>
      <c r="J230" s="67">
        <v>0</v>
      </c>
      <c r="K230" s="67">
        <v>20.578800000000001</v>
      </c>
      <c r="L230" s="36">
        <f>+K230-((K230*0.2436*0.125)+(K230*(1-0.2436)*0.26))</f>
        <v>15.9050664168</v>
      </c>
      <c r="M230" s="64">
        <v>0</v>
      </c>
      <c r="N230" s="33" t="s">
        <v>250</v>
      </c>
    </row>
    <row r="231" spans="1:255">
      <c r="A231" s="115"/>
      <c r="B231" s="62" t="s">
        <v>492</v>
      </c>
      <c r="C231" s="93" t="s">
        <v>494</v>
      </c>
      <c r="D231" s="62" t="s">
        <v>412</v>
      </c>
      <c r="E231" s="49">
        <v>44586</v>
      </c>
      <c r="F231" s="49">
        <v>44587</v>
      </c>
      <c r="G231" s="49">
        <v>44592</v>
      </c>
      <c r="H231" s="63"/>
      <c r="I231" s="67">
        <v>57.813299999999998</v>
      </c>
      <c r="J231" s="67">
        <v>0</v>
      </c>
      <c r="K231" s="67">
        <v>57.813299999999998</v>
      </c>
      <c r="L231" s="36">
        <f>+K231-((K231*0.1248*0.125)+(K231*(1-0.1248)*0.26))</f>
        <v>43.755880478400002</v>
      </c>
      <c r="M231" s="64">
        <f t="shared" ref="M231:M252" si="7">L231+J231</f>
        <v>43.755880478400002</v>
      </c>
      <c r="N231" s="65" t="s">
        <v>495</v>
      </c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  <c r="FI231" s="66"/>
      <c r="FJ231" s="66"/>
      <c r="FK231" s="66"/>
      <c r="FL231" s="66"/>
      <c r="FM231" s="66"/>
      <c r="FN231" s="66"/>
      <c r="FO231" s="66"/>
      <c r="FP231" s="66"/>
      <c r="FQ231" s="66"/>
      <c r="FR231" s="66"/>
      <c r="FS231" s="66"/>
      <c r="FT231" s="66"/>
      <c r="FU231" s="66"/>
      <c r="FV231" s="66"/>
      <c r="FW231" s="66"/>
      <c r="FX231" s="66"/>
      <c r="FY231" s="66"/>
      <c r="FZ231" s="66"/>
      <c r="GA231" s="66"/>
      <c r="GB231" s="66"/>
      <c r="GC231" s="66"/>
      <c r="GD231" s="66"/>
      <c r="GE231" s="66"/>
      <c r="GF231" s="66"/>
      <c r="GG231" s="66"/>
      <c r="GH231" s="66"/>
      <c r="GI231" s="66"/>
      <c r="GJ231" s="66"/>
      <c r="GK231" s="66"/>
      <c r="GL231" s="66"/>
      <c r="GM231" s="66"/>
      <c r="GN231" s="66"/>
      <c r="GO231" s="66"/>
      <c r="GP231" s="66"/>
      <c r="GQ231" s="66"/>
      <c r="GR231" s="66"/>
      <c r="GS231" s="66"/>
      <c r="GT231" s="66"/>
      <c r="GU231" s="66"/>
      <c r="GV231" s="66"/>
      <c r="GW231" s="66"/>
      <c r="GX231" s="66"/>
      <c r="GY231" s="66"/>
      <c r="GZ231" s="66"/>
      <c r="HA231" s="66"/>
      <c r="HB231" s="66"/>
      <c r="HC231" s="66"/>
      <c r="HD231" s="66"/>
      <c r="HE231" s="66"/>
      <c r="HF231" s="66"/>
      <c r="HG231" s="66"/>
      <c r="HH231" s="66"/>
      <c r="HI231" s="66"/>
      <c r="HJ231" s="66"/>
      <c r="HK231" s="66"/>
      <c r="HL231" s="66"/>
      <c r="HM231" s="66"/>
      <c r="HN231" s="66"/>
      <c r="HO231" s="66"/>
      <c r="HP231" s="66"/>
      <c r="HQ231" s="66"/>
      <c r="HR231" s="66"/>
      <c r="HS231" s="66"/>
      <c r="HT231" s="66"/>
      <c r="HU231" s="66"/>
      <c r="HV231" s="66"/>
      <c r="HW231" s="66"/>
      <c r="HX231" s="66"/>
      <c r="HY231" s="66"/>
      <c r="HZ231" s="66"/>
      <c r="IA231" s="66"/>
      <c r="IB231" s="66"/>
      <c r="IC231" s="66"/>
      <c r="ID231" s="66"/>
      <c r="IE231" s="66"/>
      <c r="IF231" s="66"/>
      <c r="IG231" s="66"/>
      <c r="IH231" s="66"/>
      <c r="II231" s="66"/>
      <c r="IJ231" s="66"/>
      <c r="IK231" s="66"/>
      <c r="IL231" s="66"/>
      <c r="IM231" s="66"/>
      <c r="IN231" s="66"/>
      <c r="IO231" s="66"/>
      <c r="IP231" s="66"/>
      <c r="IQ231" s="66"/>
      <c r="IR231" s="66"/>
      <c r="IS231" s="66"/>
      <c r="IT231" s="66"/>
      <c r="IU231" s="15"/>
    </row>
    <row r="232" spans="1:255">
      <c r="A232" s="117"/>
      <c r="B232" s="62" t="s">
        <v>216</v>
      </c>
      <c r="C232" s="93" t="s">
        <v>456</v>
      </c>
      <c r="D232" s="62" t="s">
        <v>410</v>
      </c>
      <c r="E232" s="49">
        <v>44650</v>
      </c>
      <c r="F232" s="49">
        <v>44651</v>
      </c>
      <c r="G232" s="49">
        <v>44656</v>
      </c>
      <c r="H232" s="63"/>
      <c r="I232" s="67">
        <v>0</v>
      </c>
      <c r="J232" s="67">
        <v>0</v>
      </c>
      <c r="K232" s="67">
        <v>0</v>
      </c>
      <c r="L232" s="36">
        <f>+K232-((K232*0.0806*0.125)+(K232*(1-0.0806)*0.26))</f>
        <v>0</v>
      </c>
      <c r="M232" s="64">
        <f t="shared" si="7"/>
        <v>0</v>
      </c>
      <c r="N232" s="65" t="s">
        <v>247</v>
      </c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  <c r="DS232" s="66"/>
      <c r="DT232" s="66"/>
      <c r="DU232" s="66"/>
      <c r="DV232" s="66"/>
      <c r="DW232" s="66"/>
      <c r="DX232" s="66"/>
      <c r="DY232" s="66"/>
      <c r="DZ232" s="66"/>
      <c r="EA232" s="66"/>
      <c r="EB232" s="66"/>
      <c r="EC232" s="66"/>
      <c r="ED232" s="66"/>
      <c r="EE232" s="66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66"/>
      <c r="EW232" s="66"/>
      <c r="EX232" s="66"/>
      <c r="EY232" s="66"/>
      <c r="EZ232" s="66"/>
      <c r="FA232" s="66"/>
      <c r="FB232" s="66"/>
      <c r="FC232" s="66"/>
      <c r="FD232" s="66"/>
      <c r="FE232" s="66"/>
      <c r="FF232" s="66"/>
      <c r="FG232" s="66"/>
      <c r="FH232" s="66"/>
      <c r="FI232" s="66"/>
      <c r="FJ232" s="66"/>
      <c r="FK232" s="66"/>
      <c r="FL232" s="66"/>
      <c r="FM232" s="66"/>
      <c r="FN232" s="66"/>
      <c r="FO232" s="66"/>
      <c r="FP232" s="66"/>
      <c r="FQ232" s="66"/>
      <c r="FR232" s="66"/>
      <c r="FS232" s="66"/>
      <c r="FT232" s="66"/>
      <c r="FU232" s="66"/>
      <c r="FV232" s="66"/>
      <c r="FW232" s="66"/>
      <c r="FX232" s="66"/>
      <c r="FY232" s="66"/>
      <c r="FZ232" s="66"/>
      <c r="GA232" s="66"/>
      <c r="GB232" s="66"/>
      <c r="GC232" s="66"/>
      <c r="GD232" s="66"/>
      <c r="GE232" s="66"/>
      <c r="GF232" s="66"/>
      <c r="GG232" s="66"/>
      <c r="GH232" s="66"/>
      <c r="GI232" s="66"/>
      <c r="GJ232" s="66"/>
      <c r="GK232" s="66"/>
      <c r="GL232" s="66"/>
      <c r="GM232" s="66"/>
      <c r="GN232" s="66"/>
      <c r="GO232" s="66"/>
      <c r="GP232" s="66"/>
      <c r="GQ232" s="66"/>
      <c r="GR232" s="66"/>
      <c r="GS232" s="66"/>
      <c r="GT232" s="66"/>
      <c r="GU232" s="66"/>
      <c r="GV232" s="66"/>
      <c r="GW232" s="66"/>
      <c r="GX232" s="66"/>
      <c r="GY232" s="66"/>
      <c r="GZ232" s="66"/>
      <c r="HA232" s="66"/>
      <c r="HB232" s="66"/>
      <c r="HC232" s="66"/>
      <c r="HD232" s="66"/>
      <c r="HE232" s="66"/>
      <c r="HF232" s="66"/>
      <c r="HG232" s="66"/>
      <c r="HH232" s="66"/>
      <c r="HI232" s="66"/>
      <c r="HJ232" s="66"/>
      <c r="HK232" s="66"/>
      <c r="HL232" s="66"/>
      <c r="HM232" s="66"/>
      <c r="HN232" s="66"/>
      <c r="HO232" s="66"/>
      <c r="HP232" s="66"/>
      <c r="HQ232" s="66"/>
      <c r="HR232" s="66"/>
      <c r="HS232" s="66"/>
      <c r="HT232" s="66"/>
      <c r="HU232" s="66"/>
      <c r="HV232" s="66"/>
      <c r="HW232" s="66"/>
      <c r="HX232" s="66"/>
      <c r="HY232" s="66"/>
      <c r="HZ232" s="66"/>
      <c r="IA232" s="66"/>
      <c r="IB232" s="66"/>
      <c r="IC232" s="66"/>
      <c r="ID232" s="66"/>
      <c r="IE232" s="66"/>
      <c r="IF232" s="66"/>
      <c r="IG232" s="66"/>
      <c r="IH232" s="66"/>
      <c r="II232" s="66"/>
      <c r="IJ232" s="66"/>
      <c r="IK232" s="66"/>
      <c r="IL232" s="66"/>
      <c r="IM232" s="66"/>
      <c r="IN232" s="66"/>
      <c r="IO232" s="66"/>
      <c r="IP232" s="66"/>
      <c r="IQ232" s="66"/>
      <c r="IR232" s="66"/>
      <c r="IS232" s="66"/>
      <c r="IT232" s="66"/>
      <c r="IU232" s="15"/>
    </row>
    <row r="233" spans="1:255">
      <c r="A233" s="117"/>
      <c r="B233" s="62" t="s">
        <v>677</v>
      </c>
      <c r="C233" s="93" t="s">
        <v>693</v>
      </c>
      <c r="D233" s="62" t="s">
        <v>410</v>
      </c>
      <c r="E233" s="49">
        <v>44650</v>
      </c>
      <c r="F233" s="49">
        <v>44651</v>
      </c>
      <c r="G233" s="49">
        <v>44656</v>
      </c>
      <c r="H233" s="63"/>
      <c r="I233" s="67">
        <v>9.6163999999999999E-2</v>
      </c>
      <c r="J233" s="67">
        <v>0</v>
      </c>
      <c r="K233" s="67">
        <v>9.6163970000000001E-2</v>
      </c>
      <c r="L233" s="36">
        <f>+K233-((K233*0.00000000001*0.125)+(K233*(1-0.0000000001)*0.26))</f>
        <v>7.1161337802380056E-2</v>
      </c>
      <c r="M233" s="64">
        <f t="shared" si="7"/>
        <v>7.1161337802380056E-2</v>
      </c>
      <c r="N233" s="65" t="s">
        <v>247</v>
      </c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  <c r="DS233" s="66"/>
      <c r="DT233" s="66"/>
      <c r="DU233" s="66"/>
      <c r="DV233" s="66"/>
      <c r="DW233" s="66"/>
      <c r="DX233" s="66"/>
      <c r="DY233" s="66"/>
      <c r="DZ233" s="66"/>
      <c r="EA233" s="66"/>
      <c r="EB233" s="66"/>
      <c r="EC233" s="66"/>
      <c r="ED233" s="66"/>
      <c r="EE233" s="66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66"/>
      <c r="EW233" s="66"/>
      <c r="EX233" s="66"/>
      <c r="EY233" s="66"/>
      <c r="EZ233" s="66"/>
      <c r="FA233" s="66"/>
      <c r="FB233" s="66"/>
      <c r="FC233" s="66"/>
      <c r="FD233" s="66"/>
      <c r="FE233" s="66"/>
      <c r="FF233" s="66"/>
      <c r="FG233" s="66"/>
      <c r="FH233" s="66"/>
      <c r="FI233" s="66"/>
      <c r="FJ233" s="66"/>
      <c r="FK233" s="66"/>
      <c r="FL233" s="66"/>
      <c r="FM233" s="66"/>
      <c r="FN233" s="66"/>
      <c r="FO233" s="66"/>
      <c r="FP233" s="66"/>
      <c r="FQ233" s="66"/>
      <c r="FR233" s="66"/>
      <c r="FS233" s="66"/>
      <c r="FT233" s="66"/>
      <c r="FU233" s="66"/>
      <c r="FV233" s="66"/>
      <c r="FW233" s="66"/>
      <c r="FX233" s="66"/>
      <c r="FY233" s="66"/>
      <c r="FZ233" s="66"/>
      <c r="GA233" s="66"/>
      <c r="GB233" s="66"/>
      <c r="GC233" s="66"/>
      <c r="GD233" s="66"/>
      <c r="GE233" s="66"/>
      <c r="GF233" s="66"/>
      <c r="GG233" s="66"/>
      <c r="GH233" s="66"/>
      <c r="GI233" s="66"/>
      <c r="GJ233" s="66"/>
      <c r="GK233" s="66"/>
      <c r="GL233" s="66"/>
      <c r="GM233" s="66"/>
      <c r="GN233" s="66"/>
      <c r="GO233" s="66"/>
      <c r="GP233" s="66"/>
      <c r="GQ233" s="66"/>
      <c r="GR233" s="66"/>
      <c r="GS233" s="66"/>
      <c r="GT233" s="66"/>
      <c r="GU233" s="66"/>
      <c r="GV233" s="66"/>
      <c r="GW233" s="66"/>
      <c r="GX233" s="66"/>
      <c r="GY233" s="66"/>
      <c r="GZ233" s="66"/>
      <c r="HA233" s="66"/>
      <c r="HB233" s="66"/>
      <c r="HC233" s="66"/>
      <c r="HD233" s="66"/>
      <c r="HE233" s="66"/>
      <c r="HF233" s="66"/>
      <c r="HG233" s="66"/>
      <c r="HH233" s="66"/>
      <c r="HI233" s="66"/>
      <c r="HJ233" s="66"/>
      <c r="HK233" s="66"/>
      <c r="HL233" s="66"/>
      <c r="HM233" s="66"/>
      <c r="HN233" s="66"/>
      <c r="HO233" s="66"/>
      <c r="HP233" s="66"/>
      <c r="HQ233" s="66"/>
      <c r="HR233" s="66"/>
      <c r="HS233" s="66"/>
      <c r="HT233" s="66"/>
      <c r="HU233" s="66"/>
      <c r="HV233" s="66"/>
      <c r="HW233" s="66"/>
      <c r="HX233" s="66"/>
      <c r="HY233" s="66"/>
      <c r="HZ233" s="66"/>
      <c r="IA233" s="66"/>
      <c r="IB233" s="66"/>
      <c r="IC233" s="66"/>
      <c r="ID233" s="66"/>
      <c r="IE233" s="66"/>
      <c r="IF233" s="66"/>
      <c r="IG233" s="66"/>
      <c r="IH233" s="66"/>
      <c r="II233" s="66"/>
      <c r="IJ233" s="66"/>
      <c r="IK233" s="66"/>
      <c r="IL233" s="66"/>
      <c r="IM233" s="66"/>
      <c r="IN233" s="66"/>
      <c r="IO233" s="66"/>
      <c r="IP233" s="66"/>
      <c r="IQ233" s="66"/>
      <c r="IR233" s="66"/>
      <c r="IS233" s="66"/>
      <c r="IT233" s="66"/>
      <c r="IU233" s="15"/>
    </row>
    <row r="234" spans="1:255">
      <c r="A234" s="117"/>
      <c r="B234" s="62" t="s">
        <v>676</v>
      </c>
      <c r="C234" s="93" t="s">
        <v>692</v>
      </c>
      <c r="D234" s="62" t="s">
        <v>410</v>
      </c>
      <c r="E234" s="49">
        <v>44650</v>
      </c>
      <c r="F234" s="49">
        <v>44651</v>
      </c>
      <c r="G234" s="49">
        <v>44656</v>
      </c>
      <c r="H234" s="63"/>
      <c r="I234" s="67">
        <v>7.5609929999999999</v>
      </c>
      <c r="J234" s="67">
        <v>0</v>
      </c>
      <c r="K234" s="67">
        <v>7.5609930800000003</v>
      </c>
      <c r="L234" s="36">
        <f>+K234-((K234*0.0602*0.125)+(K234*(1-0.0602)*0.26))</f>
        <v>5.6565830699611599</v>
      </c>
      <c r="M234" s="64">
        <f t="shared" si="7"/>
        <v>5.6565830699611599</v>
      </c>
      <c r="N234" s="65" t="s">
        <v>247</v>
      </c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  <c r="DS234" s="66"/>
      <c r="DT234" s="66"/>
      <c r="DU234" s="66"/>
      <c r="DV234" s="66"/>
      <c r="DW234" s="66"/>
      <c r="DX234" s="66"/>
      <c r="DY234" s="66"/>
      <c r="DZ234" s="66"/>
      <c r="EA234" s="66"/>
      <c r="EB234" s="66"/>
      <c r="EC234" s="66"/>
      <c r="ED234" s="66"/>
      <c r="EE234" s="66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66"/>
      <c r="EW234" s="66"/>
      <c r="EX234" s="66"/>
      <c r="EY234" s="66"/>
      <c r="EZ234" s="66"/>
      <c r="FA234" s="66"/>
      <c r="FB234" s="66"/>
      <c r="FC234" s="66"/>
      <c r="FD234" s="66"/>
      <c r="FE234" s="66"/>
      <c r="FF234" s="66"/>
      <c r="FG234" s="66"/>
      <c r="FH234" s="66"/>
      <c r="FI234" s="66"/>
      <c r="FJ234" s="66"/>
      <c r="FK234" s="66"/>
      <c r="FL234" s="66"/>
      <c r="FM234" s="66"/>
      <c r="FN234" s="66"/>
      <c r="FO234" s="66"/>
      <c r="FP234" s="66"/>
      <c r="FQ234" s="66"/>
      <c r="FR234" s="66"/>
      <c r="FS234" s="66"/>
      <c r="FT234" s="66"/>
      <c r="FU234" s="66"/>
      <c r="FV234" s="66"/>
      <c r="FW234" s="66"/>
      <c r="FX234" s="66"/>
      <c r="FY234" s="66"/>
      <c r="FZ234" s="66"/>
      <c r="GA234" s="66"/>
      <c r="GB234" s="66"/>
      <c r="GC234" s="66"/>
      <c r="GD234" s="66"/>
      <c r="GE234" s="66"/>
      <c r="GF234" s="66"/>
      <c r="GG234" s="66"/>
      <c r="GH234" s="66"/>
      <c r="GI234" s="66"/>
      <c r="GJ234" s="66"/>
      <c r="GK234" s="66"/>
      <c r="GL234" s="66"/>
      <c r="GM234" s="66"/>
      <c r="GN234" s="66"/>
      <c r="GO234" s="66"/>
      <c r="GP234" s="66"/>
      <c r="GQ234" s="66"/>
      <c r="GR234" s="66"/>
      <c r="GS234" s="66"/>
      <c r="GT234" s="66"/>
      <c r="GU234" s="66"/>
      <c r="GV234" s="66"/>
      <c r="GW234" s="66"/>
      <c r="GX234" s="66"/>
      <c r="GY234" s="66"/>
      <c r="GZ234" s="66"/>
      <c r="HA234" s="66"/>
      <c r="HB234" s="66"/>
      <c r="HC234" s="66"/>
      <c r="HD234" s="66"/>
      <c r="HE234" s="66"/>
      <c r="HF234" s="66"/>
      <c r="HG234" s="66"/>
      <c r="HH234" s="66"/>
      <c r="HI234" s="66"/>
      <c r="HJ234" s="66"/>
      <c r="HK234" s="66"/>
      <c r="HL234" s="66"/>
      <c r="HM234" s="66"/>
      <c r="HN234" s="66"/>
      <c r="HO234" s="66"/>
      <c r="HP234" s="66"/>
      <c r="HQ234" s="66"/>
      <c r="HR234" s="66"/>
      <c r="HS234" s="66"/>
      <c r="HT234" s="66"/>
      <c r="HU234" s="66"/>
      <c r="HV234" s="66"/>
      <c r="HW234" s="66"/>
      <c r="HX234" s="66"/>
      <c r="HY234" s="66"/>
      <c r="HZ234" s="66"/>
      <c r="IA234" s="66"/>
      <c r="IB234" s="66"/>
      <c r="IC234" s="66"/>
      <c r="ID234" s="66"/>
      <c r="IE234" s="66"/>
      <c r="IF234" s="66"/>
      <c r="IG234" s="66"/>
      <c r="IH234" s="66"/>
      <c r="II234" s="66"/>
      <c r="IJ234" s="66"/>
      <c r="IK234" s="66"/>
      <c r="IL234" s="66"/>
      <c r="IM234" s="66"/>
      <c r="IN234" s="66"/>
      <c r="IO234" s="66"/>
      <c r="IP234" s="66"/>
      <c r="IQ234" s="66"/>
      <c r="IR234" s="66"/>
      <c r="IS234" s="66"/>
      <c r="IT234" s="66"/>
      <c r="IU234" s="15"/>
    </row>
    <row r="235" spans="1:255">
      <c r="A235" s="117"/>
      <c r="B235" s="62" t="s">
        <v>215</v>
      </c>
      <c r="C235" s="93" t="s">
        <v>457</v>
      </c>
      <c r="D235" s="62" t="s">
        <v>410</v>
      </c>
      <c r="E235" s="49">
        <v>44651</v>
      </c>
      <c r="F235" s="49">
        <v>44652</v>
      </c>
      <c r="G235" s="49">
        <v>44657</v>
      </c>
      <c r="H235" s="63"/>
      <c r="I235" s="67">
        <v>0</v>
      </c>
      <c r="J235" s="67">
        <v>0</v>
      </c>
      <c r="K235" s="67">
        <v>0</v>
      </c>
      <c r="L235" s="36">
        <f>+K235-((K235*0.2774*0.125)+(K235*(1-0.2774)*0.26))</f>
        <v>0</v>
      </c>
      <c r="M235" s="64">
        <f t="shared" si="7"/>
        <v>0</v>
      </c>
      <c r="N235" s="65" t="s">
        <v>248</v>
      </c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  <c r="FF235" s="66"/>
      <c r="FG235" s="66"/>
      <c r="FH235" s="66"/>
      <c r="FI235" s="66"/>
      <c r="FJ235" s="66"/>
      <c r="FK235" s="66"/>
      <c r="FL235" s="66"/>
      <c r="FM235" s="66"/>
      <c r="FN235" s="66"/>
      <c r="FO235" s="66"/>
      <c r="FP235" s="66"/>
      <c r="FQ235" s="66"/>
      <c r="FR235" s="66"/>
      <c r="FS235" s="66"/>
      <c r="FT235" s="66"/>
      <c r="FU235" s="66"/>
      <c r="FV235" s="66"/>
      <c r="FW235" s="66"/>
      <c r="FX235" s="66"/>
      <c r="FY235" s="66"/>
      <c r="FZ235" s="66"/>
      <c r="GA235" s="66"/>
      <c r="GB235" s="66"/>
      <c r="GC235" s="66"/>
      <c r="GD235" s="66"/>
      <c r="GE235" s="66"/>
      <c r="GF235" s="66"/>
      <c r="GG235" s="66"/>
      <c r="GH235" s="66"/>
      <c r="GI235" s="66"/>
      <c r="GJ235" s="66"/>
      <c r="GK235" s="66"/>
      <c r="GL235" s="66"/>
      <c r="GM235" s="66"/>
      <c r="GN235" s="66"/>
      <c r="GO235" s="66"/>
      <c r="GP235" s="66"/>
      <c r="GQ235" s="66"/>
      <c r="GR235" s="66"/>
      <c r="GS235" s="66"/>
      <c r="GT235" s="66"/>
      <c r="GU235" s="66"/>
      <c r="GV235" s="66"/>
      <c r="GW235" s="66"/>
      <c r="GX235" s="66"/>
      <c r="GY235" s="66"/>
      <c r="GZ235" s="66"/>
      <c r="HA235" s="66"/>
      <c r="HB235" s="66"/>
      <c r="HC235" s="66"/>
      <c r="HD235" s="66"/>
      <c r="HE235" s="66"/>
      <c r="HF235" s="66"/>
      <c r="HG235" s="66"/>
      <c r="HH235" s="66"/>
      <c r="HI235" s="66"/>
      <c r="HJ235" s="66"/>
      <c r="HK235" s="66"/>
      <c r="HL235" s="66"/>
      <c r="HM235" s="66"/>
      <c r="HN235" s="66"/>
      <c r="HO235" s="66"/>
      <c r="HP235" s="66"/>
      <c r="HQ235" s="66"/>
      <c r="HR235" s="66"/>
      <c r="HS235" s="66"/>
      <c r="HT235" s="66"/>
      <c r="HU235" s="66"/>
      <c r="HV235" s="66"/>
      <c r="HW235" s="66"/>
      <c r="HX235" s="66"/>
      <c r="HY235" s="66"/>
      <c r="HZ235" s="66"/>
      <c r="IA235" s="66"/>
      <c r="IB235" s="66"/>
      <c r="IC235" s="66"/>
      <c r="ID235" s="66"/>
      <c r="IE235" s="66"/>
      <c r="IF235" s="66"/>
      <c r="IG235" s="66"/>
      <c r="IH235" s="66"/>
      <c r="II235" s="66"/>
      <c r="IJ235" s="66"/>
      <c r="IK235" s="66"/>
      <c r="IL235" s="66"/>
      <c r="IM235" s="66"/>
      <c r="IN235" s="66"/>
      <c r="IO235" s="66"/>
      <c r="IP235" s="66"/>
      <c r="IQ235" s="66"/>
      <c r="IR235" s="66"/>
      <c r="IS235" s="66"/>
      <c r="IT235" s="66"/>
      <c r="IU235" s="15"/>
    </row>
    <row r="236" spans="1:255">
      <c r="A236" s="117"/>
      <c r="B236" s="62" t="s">
        <v>203</v>
      </c>
      <c r="C236" s="93" t="s">
        <v>445</v>
      </c>
      <c r="D236" s="62" t="s">
        <v>410</v>
      </c>
      <c r="E236" s="49">
        <v>44651</v>
      </c>
      <c r="F236" s="49">
        <v>44652</v>
      </c>
      <c r="G236" s="49">
        <v>44657</v>
      </c>
      <c r="H236" s="63"/>
      <c r="I236" s="67">
        <v>1.0188999999999999</v>
      </c>
      <c r="J236" s="67">
        <v>0</v>
      </c>
      <c r="K236" s="67">
        <v>1.0188999999999999</v>
      </c>
      <c r="L236" s="36">
        <f>+K236-((K236*0.4594*0.125)+(K236*(1-0.4594)*0.26))</f>
        <v>0.81717715909999988</v>
      </c>
      <c r="M236" s="64">
        <f t="shared" si="7"/>
        <v>0.81717715909999988</v>
      </c>
      <c r="N236" s="65" t="s">
        <v>248</v>
      </c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  <c r="FF236" s="66"/>
      <c r="FG236" s="66"/>
      <c r="FH236" s="66"/>
      <c r="FI236" s="66"/>
      <c r="FJ236" s="66"/>
      <c r="FK236" s="66"/>
      <c r="FL236" s="66"/>
      <c r="FM236" s="66"/>
      <c r="FN236" s="66"/>
      <c r="FO236" s="66"/>
      <c r="FP236" s="66"/>
      <c r="FQ236" s="66"/>
      <c r="FR236" s="66"/>
      <c r="FS236" s="66"/>
      <c r="FT236" s="66"/>
      <c r="FU236" s="66"/>
      <c r="FV236" s="66"/>
      <c r="FW236" s="66"/>
      <c r="FX236" s="66"/>
      <c r="FY236" s="66"/>
      <c r="FZ236" s="66"/>
      <c r="GA236" s="66"/>
      <c r="GB236" s="66"/>
      <c r="GC236" s="66"/>
      <c r="GD236" s="66"/>
      <c r="GE236" s="66"/>
      <c r="GF236" s="66"/>
      <c r="GG236" s="66"/>
      <c r="GH236" s="66"/>
      <c r="GI236" s="66"/>
      <c r="GJ236" s="66"/>
      <c r="GK236" s="66"/>
      <c r="GL236" s="66"/>
      <c r="GM236" s="66"/>
      <c r="GN236" s="66"/>
      <c r="GO236" s="66"/>
      <c r="GP236" s="66"/>
      <c r="GQ236" s="66"/>
      <c r="GR236" s="66"/>
      <c r="GS236" s="66"/>
      <c r="GT236" s="66"/>
      <c r="GU236" s="66"/>
      <c r="GV236" s="66"/>
      <c r="GW236" s="66"/>
      <c r="GX236" s="66"/>
      <c r="GY236" s="66"/>
      <c r="GZ236" s="66"/>
      <c r="HA236" s="66"/>
      <c r="HB236" s="66"/>
      <c r="HC236" s="66"/>
      <c r="HD236" s="66"/>
      <c r="HE236" s="66"/>
      <c r="HF236" s="66"/>
      <c r="HG236" s="66"/>
      <c r="HH236" s="66"/>
      <c r="HI236" s="66"/>
      <c r="HJ236" s="66"/>
      <c r="HK236" s="66"/>
      <c r="HL236" s="66"/>
      <c r="HM236" s="66"/>
      <c r="HN236" s="66"/>
      <c r="HO236" s="66"/>
      <c r="HP236" s="66"/>
      <c r="HQ236" s="66"/>
      <c r="HR236" s="66"/>
      <c r="HS236" s="66"/>
      <c r="HT236" s="66"/>
      <c r="HU236" s="66"/>
      <c r="HV236" s="66"/>
      <c r="HW236" s="66"/>
      <c r="HX236" s="66"/>
      <c r="HY236" s="66"/>
      <c r="HZ236" s="66"/>
      <c r="IA236" s="66"/>
      <c r="IB236" s="66"/>
      <c r="IC236" s="66"/>
      <c r="ID236" s="66"/>
      <c r="IE236" s="66"/>
      <c r="IF236" s="66"/>
      <c r="IG236" s="66"/>
      <c r="IH236" s="66"/>
      <c r="II236" s="66"/>
      <c r="IJ236" s="66"/>
      <c r="IK236" s="66"/>
      <c r="IL236" s="66"/>
      <c r="IM236" s="66"/>
      <c r="IN236" s="66"/>
      <c r="IO236" s="66"/>
      <c r="IP236" s="66"/>
      <c r="IQ236" s="66"/>
      <c r="IR236" s="66"/>
      <c r="IS236" s="66"/>
      <c r="IT236" s="66"/>
      <c r="IU236" s="15"/>
    </row>
    <row r="237" spans="1:255">
      <c r="A237" s="117"/>
      <c r="B237" s="62" t="s">
        <v>204</v>
      </c>
      <c r="C237" s="93" t="s">
        <v>446</v>
      </c>
      <c r="D237" s="62" t="s">
        <v>410</v>
      </c>
      <c r="E237" s="49">
        <v>44651</v>
      </c>
      <c r="F237" s="49">
        <v>44652</v>
      </c>
      <c r="G237" s="49">
        <v>44657</v>
      </c>
      <c r="H237" s="63"/>
      <c r="I237" s="67">
        <v>1.1577</v>
      </c>
      <c r="J237" s="67">
        <v>0</v>
      </c>
      <c r="K237" s="67">
        <v>1.1577</v>
      </c>
      <c r="L237" s="36">
        <f>+K237-((K237*0.0171*0.125)+(K237*(1-0.0171)*0.26))</f>
        <v>0.85937055044999999</v>
      </c>
      <c r="M237" s="64">
        <f t="shared" si="7"/>
        <v>0.85937055044999999</v>
      </c>
      <c r="N237" s="65" t="s">
        <v>248</v>
      </c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  <c r="FF237" s="66"/>
      <c r="FG237" s="66"/>
      <c r="FH237" s="66"/>
      <c r="FI237" s="66"/>
      <c r="FJ237" s="66"/>
      <c r="FK237" s="66"/>
      <c r="FL237" s="66"/>
      <c r="FM237" s="66"/>
      <c r="FN237" s="66"/>
      <c r="FO237" s="66"/>
      <c r="FP237" s="66"/>
      <c r="FQ237" s="66"/>
      <c r="FR237" s="66"/>
      <c r="FS237" s="66"/>
      <c r="FT237" s="66"/>
      <c r="FU237" s="66"/>
      <c r="FV237" s="66"/>
      <c r="FW237" s="66"/>
      <c r="FX237" s="66"/>
      <c r="FY237" s="66"/>
      <c r="FZ237" s="66"/>
      <c r="GA237" s="66"/>
      <c r="GB237" s="66"/>
      <c r="GC237" s="66"/>
      <c r="GD237" s="66"/>
      <c r="GE237" s="66"/>
      <c r="GF237" s="66"/>
      <c r="GG237" s="66"/>
      <c r="GH237" s="66"/>
      <c r="GI237" s="66"/>
      <c r="GJ237" s="66"/>
      <c r="GK237" s="66"/>
      <c r="GL237" s="66"/>
      <c r="GM237" s="66"/>
      <c r="GN237" s="66"/>
      <c r="GO237" s="66"/>
      <c r="GP237" s="66"/>
      <c r="GQ237" s="66"/>
      <c r="GR237" s="66"/>
      <c r="GS237" s="66"/>
      <c r="GT237" s="66"/>
      <c r="GU237" s="66"/>
      <c r="GV237" s="66"/>
      <c r="GW237" s="66"/>
      <c r="GX237" s="66"/>
      <c r="GY237" s="66"/>
      <c r="GZ237" s="66"/>
      <c r="HA237" s="66"/>
      <c r="HB237" s="66"/>
      <c r="HC237" s="66"/>
      <c r="HD237" s="66"/>
      <c r="HE237" s="66"/>
      <c r="HF237" s="66"/>
      <c r="HG237" s="66"/>
      <c r="HH237" s="66"/>
      <c r="HI237" s="66"/>
      <c r="HJ237" s="66"/>
      <c r="HK237" s="66"/>
      <c r="HL237" s="66"/>
      <c r="HM237" s="66"/>
      <c r="HN237" s="66"/>
      <c r="HO237" s="66"/>
      <c r="HP237" s="66"/>
      <c r="HQ237" s="66"/>
      <c r="HR237" s="66"/>
      <c r="HS237" s="66"/>
      <c r="HT237" s="66"/>
      <c r="HU237" s="66"/>
      <c r="HV237" s="66"/>
      <c r="HW237" s="66"/>
      <c r="HX237" s="66"/>
      <c r="HY237" s="66"/>
      <c r="HZ237" s="66"/>
      <c r="IA237" s="66"/>
      <c r="IB237" s="66"/>
      <c r="IC237" s="66"/>
      <c r="ID237" s="66"/>
      <c r="IE237" s="66"/>
      <c r="IF237" s="66"/>
      <c r="IG237" s="66"/>
      <c r="IH237" s="66"/>
      <c r="II237" s="66"/>
      <c r="IJ237" s="66"/>
      <c r="IK237" s="66"/>
      <c r="IL237" s="66"/>
      <c r="IM237" s="66"/>
      <c r="IN237" s="66"/>
      <c r="IO237" s="66"/>
      <c r="IP237" s="66"/>
      <c r="IQ237" s="66"/>
      <c r="IR237" s="66"/>
      <c r="IS237" s="66"/>
      <c r="IT237" s="66"/>
      <c r="IU237" s="15"/>
    </row>
    <row r="238" spans="1:255">
      <c r="A238" s="117"/>
      <c r="B238" s="62" t="s">
        <v>207</v>
      </c>
      <c r="C238" s="93" t="s">
        <v>447</v>
      </c>
      <c r="D238" s="62" t="s">
        <v>410</v>
      </c>
      <c r="E238" s="49">
        <v>44651</v>
      </c>
      <c r="F238" s="49">
        <v>44652</v>
      </c>
      <c r="G238" s="49">
        <v>44657</v>
      </c>
      <c r="H238" s="63"/>
      <c r="I238" s="67">
        <v>0.50470000000000004</v>
      </c>
      <c r="J238" s="67">
        <v>0</v>
      </c>
      <c r="K238" s="67">
        <v>0.50470000000000004</v>
      </c>
      <c r="L238" s="36">
        <f>+K238-((K238*0.8388*0.125)+(K238*(1-0.8388)*0.26))</f>
        <v>0.43062921860000003</v>
      </c>
      <c r="M238" s="64">
        <f t="shared" si="7"/>
        <v>0.43062921860000003</v>
      </c>
      <c r="N238" s="65" t="s">
        <v>248</v>
      </c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  <c r="DS238" s="66"/>
      <c r="DT238" s="66"/>
      <c r="DU238" s="66"/>
      <c r="DV238" s="66"/>
      <c r="DW238" s="66"/>
      <c r="DX238" s="66"/>
      <c r="DY238" s="66"/>
      <c r="DZ238" s="66"/>
      <c r="EA238" s="66"/>
      <c r="EB238" s="66"/>
      <c r="EC238" s="66"/>
      <c r="ED238" s="66"/>
      <c r="EE238" s="66"/>
      <c r="EF238" s="66"/>
      <c r="EG238" s="66"/>
      <c r="EH238" s="66"/>
      <c r="EI238" s="66"/>
      <c r="EJ238" s="66"/>
      <c r="EK238" s="66"/>
      <c r="EL238" s="66"/>
      <c r="EM238" s="66"/>
      <c r="EN238" s="66"/>
      <c r="EO238" s="66"/>
      <c r="EP238" s="66"/>
      <c r="EQ238" s="66"/>
      <c r="ER238" s="66"/>
      <c r="ES238" s="66"/>
      <c r="ET238" s="66"/>
      <c r="EU238" s="66"/>
      <c r="EV238" s="66"/>
      <c r="EW238" s="66"/>
      <c r="EX238" s="66"/>
      <c r="EY238" s="66"/>
      <c r="EZ238" s="66"/>
      <c r="FA238" s="66"/>
      <c r="FB238" s="66"/>
      <c r="FC238" s="66"/>
      <c r="FD238" s="66"/>
      <c r="FE238" s="66"/>
      <c r="FF238" s="66"/>
      <c r="FG238" s="66"/>
      <c r="FH238" s="66"/>
      <c r="FI238" s="66"/>
      <c r="FJ238" s="66"/>
      <c r="FK238" s="66"/>
      <c r="FL238" s="66"/>
      <c r="FM238" s="66"/>
      <c r="FN238" s="66"/>
      <c r="FO238" s="66"/>
      <c r="FP238" s="66"/>
      <c r="FQ238" s="66"/>
      <c r="FR238" s="66"/>
      <c r="FS238" s="66"/>
      <c r="FT238" s="66"/>
      <c r="FU238" s="66"/>
      <c r="FV238" s="66"/>
      <c r="FW238" s="66"/>
      <c r="FX238" s="66"/>
      <c r="FY238" s="66"/>
      <c r="FZ238" s="66"/>
      <c r="GA238" s="66"/>
      <c r="GB238" s="66"/>
      <c r="GC238" s="66"/>
      <c r="GD238" s="66"/>
      <c r="GE238" s="66"/>
      <c r="GF238" s="66"/>
      <c r="GG238" s="66"/>
      <c r="GH238" s="66"/>
      <c r="GI238" s="66"/>
      <c r="GJ238" s="66"/>
      <c r="GK238" s="66"/>
      <c r="GL238" s="66"/>
      <c r="GM238" s="66"/>
      <c r="GN238" s="66"/>
      <c r="GO238" s="66"/>
      <c r="GP238" s="66"/>
      <c r="GQ238" s="66"/>
      <c r="GR238" s="66"/>
      <c r="GS238" s="66"/>
      <c r="GT238" s="66"/>
      <c r="GU238" s="66"/>
      <c r="GV238" s="66"/>
      <c r="GW238" s="66"/>
      <c r="GX238" s="66"/>
      <c r="GY238" s="66"/>
      <c r="GZ238" s="66"/>
      <c r="HA238" s="66"/>
      <c r="HB238" s="66"/>
      <c r="HC238" s="66"/>
      <c r="HD238" s="66"/>
      <c r="HE238" s="66"/>
      <c r="HF238" s="66"/>
      <c r="HG238" s="66"/>
      <c r="HH238" s="66"/>
      <c r="HI238" s="66"/>
      <c r="HJ238" s="66"/>
      <c r="HK238" s="66"/>
      <c r="HL238" s="66"/>
      <c r="HM238" s="66"/>
      <c r="HN238" s="66"/>
      <c r="HO238" s="66"/>
      <c r="HP238" s="66"/>
      <c r="HQ238" s="66"/>
      <c r="HR238" s="66"/>
      <c r="HS238" s="66"/>
      <c r="HT238" s="66"/>
      <c r="HU238" s="66"/>
      <c r="HV238" s="66"/>
      <c r="HW238" s="66"/>
      <c r="HX238" s="66"/>
      <c r="HY238" s="66"/>
      <c r="HZ238" s="66"/>
      <c r="IA238" s="66"/>
      <c r="IB238" s="66"/>
      <c r="IC238" s="66"/>
      <c r="ID238" s="66"/>
      <c r="IE238" s="66"/>
      <c r="IF238" s="66"/>
      <c r="IG238" s="66"/>
      <c r="IH238" s="66"/>
      <c r="II238" s="66"/>
      <c r="IJ238" s="66"/>
      <c r="IK238" s="66"/>
      <c r="IL238" s="66"/>
      <c r="IM238" s="66"/>
      <c r="IN238" s="66"/>
      <c r="IO238" s="66"/>
      <c r="IP238" s="66"/>
      <c r="IQ238" s="66"/>
      <c r="IR238" s="66"/>
      <c r="IS238" s="66"/>
      <c r="IT238" s="66"/>
      <c r="IU238" s="15"/>
    </row>
    <row r="239" spans="1:255">
      <c r="A239" s="117"/>
      <c r="B239" s="62" t="s">
        <v>678</v>
      </c>
      <c r="C239" s="93" t="s">
        <v>707</v>
      </c>
      <c r="D239" s="62" t="s">
        <v>410</v>
      </c>
      <c r="E239" s="49">
        <v>44651</v>
      </c>
      <c r="F239" s="49">
        <v>44652</v>
      </c>
      <c r="G239" s="49">
        <v>44657</v>
      </c>
      <c r="H239" s="63"/>
      <c r="I239" s="67">
        <v>6.3014999999999999</v>
      </c>
      <c r="J239" s="67">
        <v>0</v>
      </c>
      <c r="K239" s="67">
        <v>6.3014999999999999</v>
      </c>
      <c r="L239" s="36">
        <f>+K239-((K239*0.0000001*0.125)+(K239*(1-0.0000001)*0.26))</f>
        <v>4.66311008507025</v>
      </c>
      <c r="M239" s="64">
        <f t="shared" si="7"/>
        <v>4.66311008507025</v>
      </c>
      <c r="N239" s="65" t="s">
        <v>248</v>
      </c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  <c r="AQ239" s="66"/>
      <c r="AR239" s="66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6"/>
      <c r="CG239" s="66"/>
      <c r="CH239" s="66"/>
      <c r="CI239" s="66"/>
      <c r="CJ239" s="66"/>
      <c r="CK239" s="66"/>
      <c r="CL239" s="66"/>
      <c r="CM239" s="66"/>
      <c r="CN239" s="66"/>
      <c r="CO239" s="66"/>
      <c r="CP239" s="66"/>
      <c r="CQ239" s="66"/>
      <c r="CR239" s="66"/>
      <c r="CS239" s="66"/>
      <c r="CT239" s="66"/>
      <c r="CU239" s="66"/>
      <c r="CV239" s="66"/>
      <c r="CW239" s="66"/>
      <c r="CX239" s="66"/>
      <c r="CY239" s="66"/>
      <c r="CZ239" s="66"/>
      <c r="DA239" s="66"/>
      <c r="DB239" s="66"/>
      <c r="DC239" s="66"/>
      <c r="DD239" s="66"/>
      <c r="DE239" s="66"/>
      <c r="DF239" s="66"/>
      <c r="DG239" s="66"/>
      <c r="DH239" s="66"/>
      <c r="DI239" s="66"/>
      <c r="DJ239" s="66"/>
      <c r="DK239" s="66"/>
      <c r="DL239" s="66"/>
      <c r="DM239" s="66"/>
      <c r="DN239" s="66"/>
      <c r="DO239" s="66"/>
      <c r="DP239" s="66"/>
      <c r="DQ239" s="66"/>
      <c r="DR239" s="66"/>
      <c r="DS239" s="66"/>
      <c r="DT239" s="66"/>
      <c r="DU239" s="66"/>
      <c r="DV239" s="66"/>
      <c r="DW239" s="66"/>
      <c r="DX239" s="66"/>
      <c r="DY239" s="66"/>
      <c r="DZ239" s="66"/>
      <c r="EA239" s="66"/>
      <c r="EB239" s="66"/>
      <c r="EC239" s="66"/>
      <c r="ED239" s="66"/>
      <c r="EE239" s="66"/>
      <c r="EF239" s="66"/>
      <c r="EG239" s="66"/>
      <c r="EH239" s="66"/>
      <c r="EI239" s="66"/>
      <c r="EJ239" s="66"/>
      <c r="EK239" s="66"/>
      <c r="EL239" s="66"/>
      <c r="EM239" s="66"/>
      <c r="EN239" s="66"/>
      <c r="EO239" s="66"/>
      <c r="EP239" s="66"/>
      <c r="EQ239" s="66"/>
      <c r="ER239" s="66"/>
      <c r="ES239" s="66"/>
      <c r="ET239" s="66"/>
      <c r="EU239" s="66"/>
      <c r="EV239" s="66"/>
      <c r="EW239" s="66"/>
      <c r="EX239" s="66"/>
      <c r="EY239" s="66"/>
      <c r="EZ239" s="66"/>
      <c r="FA239" s="66"/>
      <c r="FB239" s="66"/>
      <c r="FC239" s="66"/>
      <c r="FD239" s="66"/>
      <c r="FE239" s="66"/>
      <c r="FF239" s="66"/>
      <c r="FG239" s="66"/>
      <c r="FH239" s="66"/>
      <c r="FI239" s="66"/>
      <c r="FJ239" s="66"/>
      <c r="FK239" s="66"/>
      <c r="FL239" s="66"/>
      <c r="FM239" s="66"/>
      <c r="FN239" s="66"/>
      <c r="FO239" s="66"/>
      <c r="FP239" s="66"/>
      <c r="FQ239" s="66"/>
      <c r="FR239" s="66"/>
      <c r="FS239" s="66"/>
      <c r="FT239" s="66"/>
      <c r="FU239" s="66"/>
      <c r="FV239" s="66"/>
      <c r="FW239" s="66"/>
      <c r="FX239" s="66"/>
      <c r="FY239" s="66"/>
      <c r="FZ239" s="66"/>
      <c r="GA239" s="66"/>
      <c r="GB239" s="66"/>
      <c r="GC239" s="66"/>
      <c r="GD239" s="66"/>
      <c r="GE239" s="66"/>
      <c r="GF239" s="66"/>
      <c r="GG239" s="66"/>
      <c r="GH239" s="66"/>
      <c r="GI239" s="66"/>
      <c r="GJ239" s="66"/>
      <c r="GK239" s="66"/>
      <c r="GL239" s="66"/>
      <c r="GM239" s="66"/>
      <c r="GN239" s="66"/>
      <c r="GO239" s="66"/>
      <c r="GP239" s="66"/>
      <c r="GQ239" s="66"/>
      <c r="GR239" s="66"/>
      <c r="GS239" s="66"/>
      <c r="GT239" s="66"/>
      <c r="GU239" s="66"/>
      <c r="GV239" s="66"/>
      <c r="GW239" s="66"/>
      <c r="GX239" s="66"/>
      <c r="GY239" s="66"/>
      <c r="GZ239" s="66"/>
      <c r="HA239" s="66"/>
      <c r="HB239" s="66"/>
      <c r="HC239" s="66"/>
      <c r="HD239" s="66"/>
      <c r="HE239" s="66"/>
      <c r="HF239" s="66"/>
      <c r="HG239" s="66"/>
      <c r="HH239" s="66"/>
      <c r="HI239" s="66"/>
      <c r="HJ239" s="66"/>
      <c r="HK239" s="66"/>
      <c r="HL239" s="66"/>
      <c r="HM239" s="66"/>
      <c r="HN239" s="66"/>
      <c r="HO239" s="66"/>
      <c r="HP239" s="66"/>
      <c r="HQ239" s="66"/>
      <c r="HR239" s="66"/>
      <c r="HS239" s="66"/>
      <c r="HT239" s="66"/>
      <c r="HU239" s="66"/>
      <c r="HV239" s="66"/>
      <c r="HW239" s="66"/>
      <c r="HX239" s="66"/>
      <c r="HY239" s="66"/>
      <c r="HZ239" s="66"/>
      <c r="IA239" s="66"/>
      <c r="IB239" s="66"/>
      <c r="IC239" s="66"/>
      <c r="ID239" s="66"/>
      <c r="IE239" s="66"/>
      <c r="IF239" s="66"/>
      <c r="IG239" s="66"/>
      <c r="IH239" s="66"/>
      <c r="II239" s="66"/>
      <c r="IJ239" s="66"/>
      <c r="IK239" s="66"/>
      <c r="IL239" s="66"/>
      <c r="IM239" s="66"/>
      <c r="IN239" s="66"/>
      <c r="IO239" s="66"/>
      <c r="IP239" s="66"/>
      <c r="IQ239" s="66"/>
      <c r="IR239" s="66"/>
      <c r="IS239" s="66"/>
      <c r="IT239" s="66"/>
      <c r="IU239" s="15"/>
    </row>
    <row r="240" spans="1:255">
      <c r="A240" s="117"/>
      <c r="B240" s="62" t="s">
        <v>205</v>
      </c>
      <c r="C240" s="93" t="s">
        <v>448</v>
      </c>
      <c r="D240" s="62" t="s">
        <v>410</v>
      </c>
      <c r="E240" s="49">
        <v>44651</v>
      </c>
      <c r="F240" s="49">
        <v>44652</v>
      </c>
      <c r="G240" s="49">
        <v>44657</v>
      </c>
      <c r="H240" s="63"/>
      <c r="I240" s="67">
        <v>3.7671999999999999</v>
      </c>
      <c r="J240" s="67">
        <v>0</v>
      </c>
      <c r="K240" s="67">
        <v>3.7671999999999999</v>
      </c>
      <c r="L240" s="36">
        <f>+K240-((K240*0.4288*0.125)+(K240*(1-0.4288)*0.26))</f>
        <v>3.0058036736</v>
      </c>
      <c r="M240" s="64">
        <f t="shared" si="7"/>
        <v>3.0058036736</v>
      </c>
      <c r="N240" s="65" t="s">
        <v>248</v>
      </c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6"/>
      <c r="CJ240" s="66"/>
      <c r="CK240" s="66"/>
      <c r="CL240" s="66"/>
      <c r="CM240" s="66"/>
      <c r="CN240" s="66"/>
      <c r="CO240" s="66"/>
      <c r="CP240" s="66"/>
      <c r="CQ240" s="66"/>
      <c r="CR240" s="66"/>
      <c r="CS240" s="66"/>
      <c r="CT240" s="66"/>
      <c r="CU240" s="66"/>
      <c r="CV240" s="66"/>
      <c r="CW240" s="66"/>
      <c r="CX240" s="66"/>
      <c r="CY240" s="66"/>
      <c r="CZ240" s="66"/>
      <c r="DA240" s="66"/>
      <c r="DB240" s="66"/>
      <c r="DC240" s="66"/>
      <c r="DD240" s="66"/>
      <c r="DE240" s="66"/>
      <c r="DF240" s="66"/>
      <c r="DG240" s="66"/>
      <c r="DH240" s="66"/>
      <c r="DI240" s="66"/>
      <c r="DJ240" s="66"/>
      <c r="DK240" s="66"/>
      <c r="DL240" s="66"/>
      <c r="DM240" s="66"/>
      <c r="DN240" s="66"/>
      <c r="DO240" s="66"/>
      <c r="DP240" s="66"/>
      <c r="DQ240" s="66"/>
      <c r="DR240" s="66"/>
      <c r="DS240" s="66"/>
      <c r="DT240" s="66"/>
      <c r="DU240" s="66"/>
      <c r="DV240" s="66"/>
      <c r="DW240" s="66"/>
      <c r="DX240" s="66"/>
      <c r="DY240" s="66"/>
      <c r="DZ240" s="66"/>
      <c r="EA240" s="66"/>
      <c r="EB240" s="66"/>
      <c r="EC240" s="66"/>
      <c r="ED240" s="66"/>
      <c r="EE240" s="66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66"/>
      <c r="EW240" s="66"/>
      <c r="EX240" s="66"/>
      <c r="EY240" s="66"/>
      <c r="EZ240" s="66"/>
      <c r="FA240" s="66"/>
      <c r="FB240" s="66"/>
      <c r="FC240" s="66"/>
      <c r="FD240" s="66"/>
      <c r="FE240" s="66"/>
      <c r="FF240" s="66"/>
      <c r="FG240" s="66"/>
      <c r="FH240" s="66"/>
      <c r="FI240" s="66"/>
      <c r="FJ240" s="66"/>
      <c r="FK240" s="66"/>
      <c r="FL240" s="66"/>
      <c r="FM240" s="66"/>
      <c r="FN240" s="66"/>
      <c r="FO240" s="66"/>
      <c r="FP240" s="66"/>
      <c r="FQ240" s="66"/>
      <c r="FR240" s="66"/>
      <c r="FS240" s="66"/>
      <c r="FT240" s="66"/>
      <c r="FU240" s="66"/>
      <c r="FV240" s="66"/>
      <c r="FW240" s="66"/>
      <c r="FX240" s="66"/>
      <c r="FY240" s="66"/>
      <c r="FZ240" s="66"/>
      <c r="GA240" s="66"/>
      <c r="GB240" s="66"/>
      <c r="GC240" s="66"/>
      <c r="GD240" s="66"/>
      <c r="GE240" s="66"/>
      <c r="GF240" s="66"/>
      <c r="GG240" s="66"/>
      <c r="GH240" s="66"/>
      <c r="GI240" s="66"/>
      <c r="GJ240" s="66"/>
      <c r="GK240" s="66"/>
      <c r="GL240" s="66"/>
      <c r="GM240" s="66"/>
      <c r="GN240" s="66"/>
      <c r="GO240" s="66"/>
      <c r="GP240" s="66"/>
      <c r="GQ240" s="66"/>
      <c r="GR240" s="66"/>
      <c r="GS240" s="66"/>
      <c r="GT240" s="66"/>
      <c r="GU240" s="66"/>
      <c r="GV240" s="66"/>
      <c r="GW240" s="66"/>
      <c r="GX240" s="66"/>
      <c r="GY240" s="66"/>
      <c r="GZ240" s="66"/>
      <c r="HA240" s="66"/>
      <c r="HB240" s="66"/>
      <c r="HC240" s="66"/>
      <c r="HD240" s="66"/>
      <c r="HE240" s="66"/>
      <c r="HF240" s="66"/>
      <c r="HG240" s="66"/>
      <c r="HH240" s="66"/>
      <c r="HI240" s="66"/>
      <c r="HJ240" s="66"/>
      <c r="HK240" s="66"/>
      <c r="HL240" s="66"/>
      <c r="HM240" s="66"/>
      <c r="HN240" s="66"/>
      <c r="HO240" s="66"/>
      <c r="HP240" s="66"/>
      <c r="HQ240" s="66"/>
      <c r="HR240" s="66"/>
      <c r="HS240" s="66"/>
      <c r="HT240" s="66"/>
      <c r="HU240" s="66"/>
      <c r="HV240" s="66"/>
      <c r="HW240" s="66"/>
      <c r="HX240" s="66"/>
      <c r="HY240" s="66"/>
      <c r="HZ240" s="66"/>
      <c r="IA240" s="66"/>
      <c r="IB240" s="66"/>
      <c r="IC240" s="66"/>
      <c r="ID240" s="66"/>
      <c r="IE240" s="66"/>
      <c r="IF240" s="66"/>
      <c r="IG240" s="66"/>
      <c r="IH240" s="66"/>
      <c r="II240" s="66"/>
      <c r="IJ240" s="66"/>
      <c r="IK240" s="66"/>
      <c r="IL240" s="66"/>
      <c r="IM240" s="66"/>
      <c r="IN240" s="66"/>
      <c r="IO240" s="66"/>
      <c r="IP240" s="66"/>
      <c r="IQ240" s="66"/>
      <c r="IR240" s="66"/>
      <c r="IS240" s="66"/>
      <c r="IT240" s="66"/>
      <c r="IU240" s="15"/>
    </row>
    <row r="241" spans="1:255">
      <c r="A241" s="117"/>
      <c r="B241" s="62" t="s">
        <v>206</v>
      </c>
      <c r="C241" s="93" t="s">
        <v>449</v>
      </c>
      <c r="D241" s="62" t="s">
        <v>410</v>
      </c>
      <c r="E241" s="49">
        <v>44651</v>
      </c>
      <c r="F241" s="49">
        <v>44652</v>
      </c>
      <c r="G241" s="49">
        <v>44657</v>
      </c>
      <c r="H241" s="63"/>
      <c r="I241" s="67">
        <v>3.9217</v>
      </c>
      <c r="J241" s="67">
        <v>0</v>
      </c>
      <c r="K241" s="67">
        <v>3.9217</v>
      </c>
      <c r="L241" s="36">
        <f>+K241-((K241*0.4288*0.125)+(K241*(1-0.4288)*0.26))</f>
        <v>3.1290773696</v>
      </c>
      <c r="M241" s="64">
        <f t="shared" si="7"/>
        <v>3.1290773696</v>
      </c>
      <c r="N241" s="65" t="s">
        <v>248</v>
      </c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6"/>
      <c r="CJ241" s="66"/>
      <c r="CK241" s="66"/>
      <c r="CL241" s="66"/>
      <c r="CM241" s="66"/>
      <c r="CN241" s="66"/>
      <c r="CO241" s="66"/>
      <c r="CP241" s="66"/>
      <c r="CQ241" s="66"/>
      <c r="CR241" s="66"/>
      <c r="CS241" s="66"/>
      <c r="CT241" s="66"/>
      <c r="CU241" s="66"/>
      <c r="CV241" s="66"/>
      <c r="CW241" s="66"/>
      <c r="CX241" s="66"/>
      <c r="CY241" s="66"/>
      <c r="CZ241" s="66"/>
      <c r="DA241" s="66"/>
      <c r="DB241" s="66"/>
      <c r="DC241" s="66"/>
      <c r="DD241" s="66"/>
      <c r="DE241" s="66"/>
      <c r="DF241" s="66"/>
      <c r="DG241" s="66"/>
      <c r="DH241" s="66"/>
      <c r="DI241" s="66"/>
      <c r="DJ241" s="66"/>
      <c r="DK241" s="66"/>
      <c r="DL241" s="66"/>
      <c r="DM241" s="66"/>
      <c r="DN241" s="66"/>
      <c r="DO241" s="66"/>
      <c r="DP241" s="66"/>
      <c r="DQ241" s="66"/>
      <c r="DR241" s="66"/>
      <c r="DS241" s="66"/>
      <c r="DT241" s="66"/>
      <c r="DU241" s="66"/>
      <c r="DV241" s="66"/>
      <c r="DW241" s="66"/>
      <c r="DX241" s="66"/>
      <c r="DY241" s="66"/>
      <c r="DZ241" s="66"/>
      <c r="EA241" s="66"/>
      <c r="EB241" s="66"/>
      <c r="EC241" s="66"/>
      <c r="ED241" s="66"/>
      <c r="EE241" s="66"/>
      <c r="EF241" s="66"/>
      <c r="EG241" s="66"/>
      <c r="EH241" s="66"/>
      <c r="EI241" s="66"/>
      <c r="EJ241" s="66"/>
      <c r="EK241" s="66"/>
      <c r="EL241" s="66"/>
      <c r="EM241" s="66"/>
      <c r="EN241" s="66"/>
      <c r="EO241" s="66"/>
      <c r="EP241" s="66"/>
      <c r="EQ241" s="66"/>
      <c r="ER241" s="66"/>
      <c r="ES241" s="66"/>
      <c r="ET241" s="66"/>
      <c r="EU241" s="66"/>
      <c r="EV241" s="66"/>
      <c r="EW241" s="66"/>
      <c r="EX241" s="66"/>
      <c r="EY241" s="66"/>
      <c r="EZ241" s="66"/>
      <c r="FA241" s="66"/>
      <c r="FB241" s="66"/>
      <c r="FC241" s="66"/>
      <c r="FD241" s="66"/>
      <c r="FE241" s="66"/>
      <c r="FF241" s="66"/>
      <c r="FG241" s="66"/>
      <c r="FH241" s="66"/>
      <c r="FI241" s="66"/>
      <c r="FJ241" s="66"/>
      <c r="FK241" s="66"/>
      <c r="FL241" s="66"/>
      <c r="FM241" s="66"/>
      <c r="FN241" s="66"/>
      <c r="FO241" s="66"/>
      <c r="FP241" s="66"/>
      <c r="FQ241" s="66"/>
      <c r="FR241" s="66"/>
      <c r="FS241" s="66"/>
      <c r="FT241" s="66"/>
      <c r="FU241" s="66"/>
      <c r="FV241" s="66"/>
      <c r="FW241" s="66"/>
      <c r="FX241" s="66"/>
      <c r="FY241" s="66"/>
      <c r="FZ241" s="66"/>
      <c r="GA241" s="66"/>
      <c r="GB241" s="66"/>
      <c r="GC241" s="66"/>
      <c r="GD241" s="66"/>
      <c r="GE241" s="66"/>
      <c r="GF241" s="66"/>
      <c r="GG241" s="66"/>
      <c r="GH241" s="66"/>
      <c r="GI241" s="66"/>
      <c r="GJ241" s="66"/>
      <c r="GK241" s="66"/>
      <c r="GL241" s="66"/>
      <c r="GM241" s="66"/>
      <c r="GN241" s="66"/>
      <c r="GO241" s="66"/>
      <c r="GP241" s="66"/>
      <c r="GQ241" s="66"/>
      <c r="GR241" s="66"/>
      <c r="GS241" s="66"/>
      <c r="GT241" s="66"/>
      <c r="GU241" s="66"/>
      <c r="GV241" s="66"/>
      <c r="GW241" s="66"/>
      <c r="GX241" s="66"/>
      <c r="GY241" s="66"/>
      <c r="GZ241" s="66"/>
      <c r="HA241" s="66"/>
      <c r="HB241" s="66"/>
      <c r="HC241" s="66"/>
      <c r="HD241" s="66"/>
      <c r="HE241" s="66"/>
      <c r="HF241" s="66"/>
      <c r="HG241" s="66"/>
      <c r="HH241" s="66"/>
      <c r="HI241" s="66"/>
      <c r="HJ241" s="66"/>
      <c r="HK241" s="66"/>
      <c r="HL241" s="66"/>
      <c r="HM241" s="66"/>
      <c r="HN241" s="66"/>
      <c r="HO241" s="66"/>
      <c r="HP241" s="66"/>
      <c r="HQ241" s="66"/>
      <c r="HR241" s="66"/>
      <c r="HS241" s="66"/>
      <c r="HT241" s="66"/>
      <c r="HU241" s="66"/>
      <c r="HV241" s="66"/>
      <c r="HW241" s="66"/>
      <c r="HX241" s="66"/>
      <c r="HY241" s="66"/>
      <c r="HZ241" s="66"/>
      <c r="IA241" s="66"/>
      <c r="IB241" s="66"/>
      <c r="IC241" s="66"/>
      <c r="ID241" s="66"/>
      <c r="IE241" s="66"/>
      <c r="IF241" s="66"/>
      <c r="IG241" s="66"/>
      <c r="IH241" s="66"/>
      <c r="II241" s="66"/>
      <c r="IJ241" s="66"/>
      <c r="IK241" s="66"/>
      <c r="IL241" s="66"/>
      <c r="IM241" s="66"/>
      <c r="IN241" s="66"/>
      <c r="IO241" s="66"/>
      <c r="IP241" s="66"/>
      <c r="IQ241" s="66"/>
      <c r="IR241" s="66"/>
      <c r="IS241" s="66"/>
      <c r="IT241" s="66"/>
      <c r="IU241" s="15"/>
    </row>
    <row r="242" spans="1:255">
      <c r="A242" s="117"/>
      <c r="B242" s="62" t="s">
        <v>505</v>
      </c>
      <c r="C242" s="93" t="s">
        <v>506</v>
      </c>
      <c r="D242" s="62" t="s">
        <v>410</v>
      </c>
      <c r="E242" s="49">
        <v>44651</v>
      </c>
      <c r="F242" s="49">
        <v>44652</v>
      </c>
      <c r="G242" s="49">
        <v>44657</v>
      </c>
      <c r="H242" s="63"/>
      <c r="I242" s="67">
        <v>4.9448999999999996</v>
      </c>
      <c r="J242" s="67">
        <v>0</v>
      </c>
      <c r="K242" s="67">
        <v>4.9448999999999996</v>
      </c>
      <c r="L242" s="36">
        <f>+K242-((K242*0.0344*0.125)+(K242*(1-0.0344)*0.26))</f>
        <v>3.6821901155999992</v>
      </c>
      <c r="M242" s="64">
        <f t="shared" si="7"/>
        <v>3.6821901155999992</v>
      </c>
      <c r="N242" s="65" t="s">
        <v>248</v>
      </c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6"/>
      <c r="CJ242" s="66"/>
      <c r="CK242" s="66"/>
      <c r="CL242" s="66"/>
      <c r="CM242" s="66"/>
      <c r="CN242" s="66"/>
      <c r="CO242" s="66"/>
      <c r="CP242" s="66"/>
      <c r="CQ242" s="66"/>
      <c r="CR242" s="66"/>
      <c r="CS242" s="66"/>
      <c r="CT242" s="66"/>
      <c r="CU242" s="66"/>
      <c r="CV242" s="66"/>
      <c r="CW242" s="66"/>
      <c r="CX242" s="66"/>
      <c r="CY242" s="66"/>
      <c r="CZ242" s="66"/>
      <c r="DA242" s="66"/>
      <c r="DB242" s="66"/>
      <c r="DC242" s="66"/>
      <c r="DD242" s="66"/>
      <c r="DE242" s="66"/>
      <c r="DF242" s="66"/>
      <c r="DG242" s="66"/>
      <c r="DH242" s="66"/>
      <c r="DI242" s="66"/>
      <c r="DJ242" s="66"/>
      <c r="DK242" s="66"/>
      <c r="DL242" s="66"/>
      <c r="DM242" s="66"/>
      <c r="DN242" s="66"/>
      <c r="DO242" s="66"/>
      <c r="DP242" s="66"/>
      <c r="DQ242" s="66"/>
      <c r="DR242" s="66"/>
      <c r="DS242" s="66"/>
      <c r="DT242" s="66"/>
      <c r="DU242" s="66"/>
      <c r="DV242" s="66"/>
      <c r="DW242" s="66"/>
      <c r="DX242" s="66"/>
      <c r="DY242" s="66"/>
      <c r="DZ242" s="66"/>
      <c r="EA242" s="66"/>
      <c r="EB242" s="66"/>
      <c r="EC242" s="66"/>
      <c r="ED242" s="66"/>
      <c r="EE242" s="66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66"/>
      <c r="EW242" s="66"/>
      <c r="EX242" s="66"/>
      <c r="EY242" s="66"/>
      <c r="EZ242" s="66"/>
      <c r="FA242" s="66"/>
      <c r="FB242" s="66"/>
      <c r="FC242" s="66"/>
      <c r="FD242" s="66"/>
      <c r="FE242" s="66"/>
      <c r="FF242" s="66"/>
      <c r="FG242" s="66"/>
      <c r="FH242" s="66"/>
      <c r="FI242" s="66"/>
      <c r="FJ242" s="66"/>
      <c r="FK242" s="66"/>
      <c r="FL242" s="66"/>
      <c r="FM242" s="66"/>
      <c r="FN242" s="66"/>
      <c r="FO242" s="66"/>
      <c r="FP242" s="66"/>
      <c r="FQ242" s="66"/>
      <c r="FR242" s="66"/>
      <c r="FS242" s="66"/>
      <c r="FT242" s="66"/>
      <c r="FU242" s="66"/>
      <c r="FV242" s="66"/>
      <c r="FW242" s="66"/>
      <c r="FX242" s="66"/>
      <c r="FY242" s="66"/>
      <c r="FZ242" s="66"/>
      <c r="GA242" s="66"/>
      <c r="GB242" s="66"/>
      <c r="GC242" s="66"/>
      <c r="GD242" s="66"/>
      <c r="GE242" s="66"/>
      <c r="GF242" s="66"/>
      <c r="GG242" s="66"/>
      <c r="GH242" s="66"/>
      <c r="GI242" s="66"/>
      <c r="GJ242" s="66"/>
      <c r="GK242" s="66"/>
      <c r="GL242" s="66"/>
      <c r="GM242" s="66"/>
      <c r="GN242" s="66"/>
      <c r="GO242" s="66"/>
      <c r="GP242" s="66"/>
      <c r="GQ242" s="66"/>
      <c r="GR242" s="66"/>
      <c r="GS242" s="66"/>
      <c r="GT242" s="66"/>
      <c r="GU242" s="66"/>
      <c r="GV242" s="66"/>
      <c r="GW242" s="66"/>
      <c r="GX242" s="66"/>
      <c r="GY242" s="66"/>
      <c r="GZ242" s="66"/>
      <c r="HA242" s="66"/>
      <c r="HB242" s="66"/>
      <c r="HC242" s="66"/>
      <c r="HD242" s="66"/>
      <c r="HE242" s="66"/>
      <c r="HF242" s="66"/>
      <c r="HG242" s="66"/>
      <c r="HH242" s="66"/>
      <c r="HI242" s="66"/>
      <c r="HJ242" s="66"/>
      <c r="HK242" s="66"/>
      <c r="HL242" s="66"/>
      <c r="HM242" s="66"/>
      <c r="HN242" s="66"/>
      <c r="HO242" s="66"/>
      <c r="HP242" s="66"/>
      <c r="HQ242" s="66"/>
      <c r="HR242" s="66"/>
      <c r="HS242" s="66"/>
      <c r="HT242" s="66"/>
      <c r="HU242" s="66"/>
      <c r="HV242" s="66"/>
      <c r="HW242" s="66"/>
      <c r="HX242" s="66"/>
      <c r="HY242" s="66"/>
      <c r="HZ242" s="66"/>
      <c r="IA242" s="66"/>
      <c r="IB242" s="66"/>
      <c r="IC242" s="66"/>
      <c r="ID242" s="66"/>
      <c r="IE242" s="66"/>
      <c r="IF242" s="66"/>
      <c r="IG242" s="66"/>
      <c r="IH242" s="66"/>
      <c r="II242" s="66"/>
      <c r="IJ242" s="66"/>
      <c r="IK242" s="66"/>
      <c r="IL242" s="66"/>
      <c r="IM242" s="66"/>
      <c r="IN242" s="66"/>
      <c r="IO242" s="66"/>
      <c r="IP242" s="66"/>
      <c r="IQ242" s="66"/>
      <c r="IR242" s="66"/>
      <c r="IS242" s="66"/>
      <c r="IT242" s="66"/>
      <c r="IU242" s="15"/>
    </row>
    <row r="243" spans="1:255">
      <c r="A243" s="117"/>
      <c r="B243" s="62" t="s">
        <v>212</v>
      </c>
      <c r="C243" s="93" t="s">
        <v>450</v>
      </c>
      <c r="D243" s="62" t="s">
        <v>410</v>
      </c>
      <c r="E243" s="49">
        <v>44651</v>
      </c>
      <c r="F243" s="49">
        <v>44652</v>
      </c>
      <c r="G243" s="49">
        <v>44657</v>
      </c>
      <c r="H243" s="63"/>
      <c r="I243" s="67">
        <v>7.9353999999999996</v>
      </c>
      <c r="J243" s="67">
        <v>0</v>
      </c>
      <c r="K243" s="67">
        <v>7.9353999999999996</v>
      </c>
      <c r="L243" s="36">
        <f>+K243-((K243*0.0000000000001*0.125)+(K243*(1-0.0000000000000001)*0.26))</f>
        <v>5.8721959999999012</v>
      </c>
      <c r="M243" s="64">
        <f t="shared" si="7"/>
        <v>5.8721959999999012</v>
      </c>
      <c r="N243" s="65" t="s">
        <v>248</v>
      </c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  <c r="FF243" s="66"/>
      <c r="FG243" s="66"/>
      <c r="FH243" s="66"/>
      <c r="FI243" s="66"/>
      <c r="FJ243" s="66"/>
      <c r="FK243" s="66"/>
      <c r="FL243" s="66"/>
      <c r="FM243" s="66"/>
      <c r="FN243" s="66"/>
      <c r="FO243" s="66"/>
      <c r="FP243" s="66"/>
      <c r="FQ243" s="66"/>
      <c r="FR243" s="66"/>
      <c r="FS243" s="66"/>
      <c r="FT243" s="66"/>
      <c r="FU243" s="66"/>
      <c r="FV243" s="66"/>
      <c r="FW243" s="66"/>
      <c r="FX243" s="66"/>
      <c r="FY243" s="66"/>
      <c r="FZ243" s="66"/>
      <c r="GA243" s="66"/>
      <c r="GB243" s="66"/>
      <c r="GC243" s="66"/>
      <c r="GD243" s="66"/>
      <c r="GE243" s="66"/>
      <c r="GF243" s="66"/>
      <c r="GG243" s="66"/>
      <c r="GH243" s="66"/>
      <c r="GI243" s="66"/>
      <c r="GJ243" s="66"/>
      <c r="GK243" s="66"/>
      <c r="GL243" s="66"/>
      <c r="GM243" s="66"/>
      <c r="GN243" s="66"/>
      <c r="GO243" s="66"/>
      <c r="GP243" s="66"/>
      <c r="GQ243" s="66"/>
      <c r="GR243" s="66"/>
      <c r="GS243" s="66"/>
      <c r="GT243" s="66"/>
      <c r="GU243" s="66"/>
      <c r="GV243" s="66"/>
      <c r="GW243" s="66"/>
      <c r="GX243" s="66"/>
      <c r="GY243" s="66"/>
      <c r="GZ243" s="66"/>
      <c r="HA243" s="66"/>
      <c r="HB243" s="66"/>
      <c r="HC243" s="66"/>
      <c r="HD243" s="66"/>
      <c r="HE243" s="66"/>
      <c r="HF243" s="66"/>
      <c r="HG243" s="66"/>
      <c r="HH243" s="66"/>
      <c r="HI243" s="66"/>
      <c r="HJ243" s="66"/>
      <c r="HK243" s="66"/>
      <c r="HL243" s="66"/>
      <c r="HM243" s="66"/>
      <c r="HN243" s="66"/>
      <c r="HO243" s="66"/>
      <c r="HP243" s="66"/>
      <c r="HQ243" s="66"/>
      <c r="HR243" s="66"/>
      <c r="HS243" s="66"/>
      <c r="HT243" s="66"/>
      <c r="HU243" s="66"/>
      <c r="HV243" s="66"/>
      <c r="HW243" s="66"/>
      <c r="HX243" s="66"/>
      <c r="HY243" s="66"/>
      <c r="HZ243" s="66"/>
      <c r="IA243" s="66"/>
      <c r="IB243" s="66"/>
      <c r="IC243" s="66"/>
      <c r="ID243" s="66"/>
      <c r="IE243" s="66"/>
      <c r="IF243" s="66"/>
      <c r="IG243" s="66"/>
      <c r="IH243" s="66"/>
      <c r="II243" s="66"/>
      <c r="IJ243" s="66"/>
      <c r="IK243" s="66"/>
      <c r="IL243" s="66"/>
      <c r="IM243" s="66"/>
      <c r="IN243" s="66"/>
      <c r="IO243" s="66"/>
      <c r="IP243" s="66"/>
      <c r="IQ243" s="66"/>
      <c r="IR243" s="66"/>
      <c r="IS243" s="66"/>
      <c r="IT243" s="66"/>
      <c r="IU243" s="15"/>
    </row>
    <row r="244" spans="1:255">
      <c r="A244" s="117"/>
      <c r="B244" s="62" t="s">
        <v>208</v>
      </c>
      <c r="C244" s="93" t="s">
        <v>451</v>
      </c>
      <c r="D244" s="62" t="s">
        <v>410</v>
      </c>
      <c r="E244" s="49">
        <v>44651</v>
      </c>
      <c r="F244" s="49">
        <v>44652</v>
      </c>
      <c r="G244" s="49">
        <v>44657</v>
      </c>
      <c r="H244" s="63"/>
      <c r="I244" s="67">
        <v>0</v>
      </c>
      <c r="J244" s="67">
        <v>0</v>
      </c>
      <c r="K244" s="67">
        <v>0</v>
      </c>
      <c r="L244" s="36">
        <f>+K244-((K244*0.0164*0.125)+(K244*(1-0.0164)*0.26))</f>
        <v>0</v>
      </c>
      <c r="M244" s="64">
        <f t="shared" si="7"/>
        <v>0</v>
      </c>
      <c r="N244" s="65" t="s">
        <v>248</v>
      </c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  <c r="FF244" s="66"/>
      <c r="FG244" s="66"/>
      <c r="FH244" s="66"/>
      <c r="FI244" s="66"/>
      <c r="FJ244" s="66"/>
      <c r="FK244" s="66"/>
      <c r="FL244" s="66"/>
      <c r="FM244" s="66"/>
      <c r="FN244" s="66"/>
      <c r="FO244" s="66"/>
      <c r="FP244" s="66"/>
      <c r="FQ244" s="66"/>
      <c r="FR244" s="66"/>
      <c r="FS244" s="66"/>
      <c r="FT244" s="66"/>
      <c r="FU244" s="66"/>
      <c r="FV244" s="66"/>
      <c r="FW244" s="66"/>
      <c r="FX244" s="66"/>
      <c r="FY244" s="66"/>
      <c r="FZ244" s="66"/>
      <c r="GA244" s="66"/>
      <c r="GB244" s="66"/>
      <c r="GC244" s="66"/>
      <c r="GD244" s="66"/>
      <c r="GE244" s="66"/>
      <c r="GF244" s="66"/>
      <c r="GG244" s="66"/>
      <c r="GH244" s="66"/>
      <c r="GI244" s="66"/>
      <c r="GJ244" s="66"/>
      <c r="GK244" s="66"/>
      <c r="GL244" s="66"/>
      <c r="GM244" s="66"/>
      <c r="GN244" s="66"/>
      <c r="GO244" s="66"/>
      <c r="GP244" s="66"/>
      <c r="GQ244" s="66"/>
      <c r="GR244" s="66"/>
      <c r="GS244" s="66"/>
      <c r="GT244" s="66"/>
      <c r="GU244" s="66"/>
      <c r="GV244" s="66"/>
      <c r="GW244" s="66"/>
      <c r="GX244" s="66"/>
      <c r="GY244" s="66"/>
      <c r="GZ244" s="66"/>
      <c r="HA244" s="66"/>
      <c r="HB244" s="66"/>
      <c r="HC244" s="66"/>
      <c r="HD244" s="66"/>
      <c r="HE244" s="66"/>
      <c r="HF244" s="66"/>
      <c r="HG244" s="66"/>
      <c r="HH244" s="66"/>
      <c r="HI244" s="66"/>
      <c r="HJ244" s="66"/>
      <c r="HK244" s="66"/>
      <c r="HL244" s="66"/>
      <c r="HM244" s="66"/>
      <c r="HN244" s="66"/>
      <c r="HO244" s="66"/>
      <c r="HP244" s="66"/>
      <c r="HQ244" s="66"/>
      <c r="HR244" s="66"/>
      <c r="HS244" s="66"/>
      <c r="HT244" s="66"/>
      <c r="HU244" s="66"/>
      <c r="HV244" s="66"/>
      <c r="HW244" s="66"/>
      <c r="HX244" s="66"/>
      <c r="HY244" s="66"/>
      <c r="HZ244" s="66"/>
      <c r="IA244" s="66"/>
      <c r="IB244" s="66"/>
      <c r="IC244" s="66"/>
      <c r="ID244" s="66"/>
      <c r="IE244" s="66"/>
      <c r="IF244" s="66"/>
      <c r="IG244" s="66"/>
      <c r="IH244" s="66"/>
      <c r="II244" s="66"/>
      <c r="IJ244" s="66"/>
      <c r="IK244" s="66"/>
      <c r="IL244" s="66"/>
      <c r="IM244" s="66"/>
      <c r="IN244" s="66"/>
      <c r="IO244" s="66"/>
      <c r="IP244" s="66"/>
      <c r="IQ244" s="66"/>
      <c r="IR244" s="66"/>
      <c r="IS244" s="66"/>
      <c r="IT244" s="66"/>
      <c r="IU244" s="15"/>
    </row>
    <row r="245" spans="1:255">
      <c r="A245" s="117"/>
      <c r="B245" s="62" t="s">
        <v>213</v>
      </c>
      <c r="C245" s="93" t="s">
        <v>452</v>
      </c>
      <c r="D245" s="62" t="s">
        <v>410</v>
      </c>
      <c r="E245" s="49">
        <v>44651</v>
      </c>
      <c r="F245" s="49">
        <v>44652</v>
      </c>
      <c r="G245" s="49">
        <v>44657</v>
      </c>
      <c r="H245" s="63"/>
      <c r="I245" s="67">
        <v>6.1369999999999996</v>
      </c>
      <c r="J245" s="67">
        <v>0</v>
      </c>
      <c r="K245" s="67">
        <v>6.1369999999999996</v>
      </c>
      <c r="L245" s="36">
        <f>+K245-((K245*0.0566*0.125)+(K245*(1-0.0566)*0.26))</f>
        <v>4.588272817</v>
      </c>
      <c r="M245" s="64">
        <f t="shared" si="7"/>
        <v>4.588272817</v>
      </c>
      <c r="N245" s="65" t="s">
        <v>248</v>
      </c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  <c r="FF245" s="66"/>
      <c r="FG245" s="66"/>
      <c r="FH245" s="66"/>
      <c r="FI245" s="66"/>
      <c r="FJ245" s="66"/>
      <c r="FK245" s="66"/>
      <c r="FL245" s="66"/>
      <c r="FM245" s="66"/>
      <c r="FN245" s="66"/>
      <c r="FO245" s="66"/>
      <c r="FP245" s="66"/>
      <c r="FQ245" s="66"/>
      <c r="FR245" s="66"/>
      <c r="FS245" s="66"/>
      <c r="FT245" s="66"/>
      <c r="FU245" s="66"/>
      <c r="FV245" s="66"/>
      <c r="FW245" s="66"/>
      <c r="FX245" s="66"/>
      <c r="FY245" s="66"/>
      <c r="FZ245" s="66"/>
      <c r="GA245" s="66"/>
      <c r="GB245" s="66"/>
      <c r="GC245" s="66"/>
      <c r="GD245" s="66"/>
      <c r="GE245" s="66"/>
      <c r="GF245" s="66"/>
      <c r="GG245" s="66"/>
      <c r="GH245" s="66"/>
      <c r="GI245" s="66"/>
      <c r="GJ245" s="66"/>
      <c r="GK245" s="66"/>
      <c r="GL245" s="66"/>
      <c r="GM245" s="66"/>
      <c r="GN245" s="66"/>
      <c r="GO245" s="66"/>
      <c r="GP245" s="66"/>
      <c r="GQ245" s="66"/>
      <c r="GR245" s="66"/>
      <c r="GS245" s="66"/>
      <c r="GT245" s="66"/>
      <c r="GU245" s="66"/>
      <c r="GV245" s="66"/>
      <c r="GW245" s="66"/>
      <c r="GX245" s="66"/>
      <c r="GY245" s="66"/>
      <c r="GZ245" s="66"/>
      <c r="HA245" s="66"/>
      <c r="HB245" s="66"/>
      <c r="HC245" s="66"/>
      <c r="HD245" s="66"/>
      <c r="HE245" s="66"/>
      <c r="HF245" s="66"/>
      <c r="HG245" s="66"/>
      <c r="HH245" s="66"/>
      <c r="HI245" s="66"/>
      <c r="HJ245" s="66"/>
      <c r="HK245" s="66"/>
      <c r="HL245" s="66"/>
      <c r="HM245" s="66"/>
      <c r="HN245" s="66"/>
      <c r="HO245" s="66"/>
      <c r="HP245" s="66"/>
      <c r="HQ245" s="66"/>
      <c r="HR245" s="66"/>
      <c r="HS245" s="66"/>
      <c r="HT245" s="66"/>
      <c r="HU245" s="66"/>
      <c r="HV245" s="66"/>
      <c r="HW245" s="66"/>
      <c r="HX245" s="66"/>
      <c r="HY245" s="66"/>
      <c r="HZ245" s="66"/>
      <c r="IA245" s="66"/>
      <c r="IB245" s="66"/>
      <c r="IC245" s="66"/>
      <c r="ID245" s="66"/>
      <c r="IE245" s="66"/>
      <c r="IF245" s="66"/>
      <c r="IG245" s="66"/>
      <c r="IH245" s="66"/>
      <c r="II245" s="66"/>
      <c r="IJ245" s="66"/>
      <c r="IK245" s="66"/>
      <c r="IL245" s="66"/>
      <c r="IM245" s="66"/>
      <c r="IN245" s="66"/>
      <c r="IO245" s="66"/>
      <c r="IP245" s="66"/>
      <c r="IQ245" s="66"/>
      <c r="IR245" s="66"/>
      <c r="IS245" s="66"/>
      <c r="IT245" s="66"/>
      <c r="IU245" s="15"/>
    </row>
    <row r="246" spans="1:255">
      <c r="A246" s="117"/>
      <c r="B246" s="62" t="s">
        <v>210</v>
      </c>
      <c r="C246" s="93" t="s">
        <v>458</v>
      </c>
      <c r="D246" s="62" t="s">
        <v>410</v>
      </c>
      <c r="E246" s="49">
        <v>44651</v>
      </c>
      <c r="F246" s="49">
        <v>44652</v>
      </c>
      <c r="G246" s="49">
        <v>44657</v>
      </c>
      <c r="H246" s="63"/>
      <c r="I246" s="67">
        <v>7.7209000000000003</v>
      </c>
      <c r="J246" s="67">
        <v>0</v>
      </c>
      <c r="K246" s="67">
        <v>7.7209000000000003</v>
      </c>
      <c r="L246" s="36">
        <f>+K246-((K246*0.0586*0.125)+(K246*(1-0.0586)*0.26))</f>
        <v>5.7745460398999997</v>
      </c>
      <c r="M246" s="64">
        <f t="shared" si="7"/>
        <v>5.7745460398999997</v>
      </c>
      <c r="N246" s="65" t="s">
        <v>248</v>
      </c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  <c r="FF246" s="66"/>
      <c r="FG246" s="66"/>
      <c r="FH246" s="66"/>
      <c r="FI246" s="66"/>
      <c r="FJ246" s="66"/>
      <c r="FK246" s="66"/>
      <c r="FL246" s="66"/>
      <c r="FM246" s="66"/>
      <c r="FN246" s="66"/>
      <c r="FO246" s="66"/>
      <c r="FP246" s="66"/>
      <c r="FQ246" s="66"/>
      <c r="FR246" s="66"/>
      <c r="FS246" s="66"/>
      <c r="FT246" s="66"/>
      <c r="FU246" s="66"/>
      <c r="FV246" s="66"/>
      <c r="FW246" s="66"/>
      <c r="FX246" s="66"/>
      <c r="FY246" s="66"/>
      <c r="FZ246" s="66"/>
      <c r="GA246" s="66"/>
      <c r="GB246" s="66"/>
      <c r="GC246" s="66"/>
      <c r="GD246" s="66"/>
      <c r="GE246" s="66"/>
      <c r="GF246" s="66"/>
      <c r="GG246" s="66"/>
      <c r="GH246" s="66"/>
      <c r="GI246" s="66"/>
      <c r="GJ246" s="66"/>
      <c r="GK246" s="66"/>
      <c r="GL246" s="66"/>
      <c r="GM246" s="66"/>
      <c r="GN246" s="66"/>
      <c r="GO246" s="66"/>
      <c r="GP246" s="66"/>
      <c r="GQ246" s="66"/>
      <c r="GR246" s="66"/>
      <c r="GS246" s="66"/>
      <c r="GT246" s="66"/>
      <c r="GU246" s="66"/>
      <c r="GV246" s="66"/>
      <c r="GW246" s="66"/>
      <c r="GX246" s="66"/>
      <c r="GY246" s="66"/>
      <c r="GZ246" s="66"/>
      <c r="HA246" s="66"/>
      <c r="HB246" s="66"/>
      <c r="HC246" s="66"/>
      <c r="HD246" s="66"/>
      <c r="HE246" s="66"/>
      <c r="HF246" s="66"/>
      <c r="HG246" s="66"/>
      <c r="HH246" s="66"/>
      <c r="HI246" s="66"/>
      <c r="HJ246" s="66"/>
      <c r="HK246" s="66"/>
      <c r="HL246" s="66"/>
      <c r="HM246" s="66"/>
      <c r="HN246" s="66"/>
      <c r="HO246" s="66"/>
      <c r="HP246" s="66"/>
      <c r="HQ246" s="66"/>
      <c r="HR246" s="66"/>
      <c r="HS246" s="66"/>
      <c r="HT246" s="66"/>
      <c r="HU246" s="66"/>
      <c r="HV246" s="66"/>
      <c r="HW246" s="66"/>
      <c r="HX246" s="66"/>
      <c r="HY246" s="66"/>
      <c r="HZ246" s="66"/>
      <c r="IA246" s="66"/>
      <c r="IB246" s="66"/>
      <c r="IC246" s="66"/>
      <c r="ID246" s="66"/>
      <c r="IE246" s="66"/>
      <c r="IF246" s="66"/>
      <c r="IG246" s="66"/>
      <c r="IH246" s="66"/>
      <c r="II246" s="66"/>
      <c r="IJ246" s="66"/>
      <c r="IK246" s="66"/>
      <c r="IL246" s="66"/>
      <c r="IM246" s="66"/>
      <c r="IN246" s="66"/>
      <c r="IO246" s="66"/>
      <c r="IP246" s="66"/>
      <c r="IQ246" s="66"/>
      <c r="IR246" s="66"/>
      <c r="IS246" s="66"/>
      <c r="IT246" s="66"/>
      <c r="IU246" s="15"/>
    </row>
    <row r="247" spans="1:255">
      <c r="A247" s="117"/>
      <c r="B247" s="62" t="s">
        <v>214</v>
      </c>
      <c r="C247" s="93" t="s">
        <v>453</v>
      </c>
      <c r="D247" s="62" t="s">
        <v>410</v>
      </c>
      <c r="E247" s="49">
        <v>44651</v>
      </c>
      <c r="F247" s="49">
        <v>44652</v>
      </c>
      <c r="G247" s="49">
        <v>44657</v>
      </c>
      <c r="H247" s="63"/>
      <c r="I247" s="67">
        <v>10.9472</v>
      </c>
      <c r="J247" s="67">
        <v>0</v>
      </c>
      <c r="K247" s="67">
        <v>10.9472</v>
      </c>
      <c r="L247" s="36">
        <f>+K247-((K247*0.04723*0.125)+(K247*(1-0.0473)*0.26))</f>
        <v>8.1709271335999993</v>
      </c>
      <c r="M247" s="64">
        <f t="shared" si="7"/>
        <v>8.1709271335999993</v>
      </c>
      <c r="N247" s="65" t="s">
        <v>248</v>
      </c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  <c r="CG247" s="66"/>
      <c r="CH247" s="66"/>
      <c r="CI247" s="66"/>
      <c r="CJ247" s="66"/>
      <c r="CK247" s="66"/>
      <c r="CL247" s="66"/>
      <c r="CM247" s="66"/>
      <c r="CN247" s="66"/>
      <c r="CO247" s="66"/>
      <c r="CP247" s="66"/>
      <c r="CQ247" s="66"/>
      <c r="CR247" s="66"/>
      <c r="CS247" s="66"/>
      <c r="CT247" s="66"/>
      <c r="CU247" s="66"/>
      <c r="CV247" s="66"/>
      <c r="CW247" s="66"/>
      <c r="CX247" s="66"/>
      <c r="CY247" s="66"/>
      <c r="CZ247" s="66"/>
      <c r="DA247" s="66"/>
      <c r="DB247" s="66"/>
      <c r="DC247" s="66"/>
      <c r="DD247" s="66"/>
      <c r="DE247" s="66"/>
      <c r="DF247" s="66"/>
      <c r="DG247" s="66"/>
      <c r="DH247" s="66"/>
      <c r="DI247" s="66"/>
      <c r="DJ247" s="66"/>
      <c r="DK247" s="66"/>
      <c r="DL247" s="66"/>
      <c r="DM247" s="66"/>
      <c r="DN247" s="66"/>
      <c r="DO247" s="66"/>
      <c r="DP247" s="66"/>
      <c r="DQ247" s="66"/>
      <c r="DR247" s="66"/>
      <c r="DS247" s="66"/>
      <c r="DT247" s="66"/>
      <c r="DU247" s="66"/>
      <c r="DV247" s="66"/>
      <c r="DW247" s="66"/>
      <c r="DX247" s="66"/>
      <c r="DY247" s="66"/>
      <c r="DZ247" s="66"/>
      <c r="EA247" s="66"/>
      <c r="EB247" s="66"/>
      <c r="EC247" s="66"/>
      <c r="ED247" s="66"/>
      <c r="EE247" s="66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66"/>
      <c r="EW247" s="66"/>
      <c r="EX247" s="66"/>
      <c r="EY247" s="66"/>
      <c r="EZ247" s="66"/>
      <c r="FA247" s="66"/>
      <c r="FB247" s="66"/>
      <c r="FC247" s="66"/>
      <c r="FD247" s="66"/>
      <c r="FE247" s="66"/>
      <c r="FF247" s="66"/>
      <c r="FG247" s="66"/>
      <c r="FH247" s="66"/>
      <c r="FI247" s="66"/>
      <c r="FJ247" s="66"/>
      <c r="FK247" s="66"/>
      <c r="FL247" s="66"/>
      <c r="FM247" s="66"/>
      <c r="FN247" s="66"/>
      <c r="FO247" s="66"/>
      <c r="FP247" s="66"/>
      <c r="FQ247" s="66"/>
      <c r="FR247" s="66"/>
      <c r="FS247" s="66"/>
      <c r="FT247" s="66"/>
      <c r="FU247" s="66"/>
      <c r="FV247" s="66"/>
      <c r="FW247" s="66"/>
      <c r="FX247" s="66"/>
      <c r="FY247" s="66"/>
      <c r="FZ247" s="66"/>
      <c r="GA247" s="66"/>
      <c r="GB247" s="66"/>
      <c r="GC247" s="66"/>
      <c r="GD247" s="66"/>
      <c r="GE247" s="66"/>
      <c r="GF247" s="66"/>
      <c r="GG247" s="66"/>
      <c r="GH247" s="66"/>
      <c r="GI247" s="66"/>
      <c r="GJ247" s="66"/>
      <c r="GK247" s="66"/>
      <c r="GL247" s="66"/>
      <c r="GM247" s="66"/>
      <c r="GN247" s="66"/>
      <c r="GO247" s="66"/>
      <c r="GP247" s="66"/>
      <c r="GQ247" s="66"/>
      <c r="GR247" s="66"/>
      <c r="GS247" s="66"/>
      <c r="GT247" s="66"/>
      <c r="GU247" s="66"/>
      <c r="GV247" s="66"/>
      <c r="GW247" s="66"/>
      <c r="GX247" s="66"/>
      <c r="GY247" s="66"/>
      <c r="GZ247" s="66"/>
      <c r="HA247" s="66"/>
      <c r="HB247" s="66"/>
      <c r="HC247" s="66"/>
      <c r="HD247" s="66"/>
      <c r="HE247" s="66"/>
      <c r="HF247" s="66"/>
      <c r="HG247" s="66"/>
      <c r="HH247" s="66"/>
      <c r="HI247" s="66"/>
      <c r="HJ247" s="66"/>
      <c r="HK247" s="66"/>
      <c r="HL247" s="66"/>
      <c r="HM247" s="66"/>
      <c r="HN247" s="66"/>
      <c r="HO247" s="66"/>
      <c r="HP247" s="66"/>
      <c r="HQ247" s="66"/>
      <c r="HR247" s="66"/>
      <c r="HS247" s="66"/>
      <c r="HT247" s="66"/>
      <c r="HU247" s="66"/>
      <c r="HV247" s="66"/>
      <c r="HW247" s="66"/>
      <c r="HX247" s="66"/>
      <c r="HY247" s="66"/>
      <c r="HZ247" s="66"/>
      <c r="IA247" s="66"/>
      <c r="IB247" s="66"/>
      <c r="IC247" s="66"/>
      <c r="ID247" s="66"/>
      <c r="IE247" s="66"/>
      <c r="IF247" s="66"/>
      <c r="IG247" s="66"/>
      <c r="IH247" s="66"/>
      <c r="II247" s="66"/>
      <c r="IJ247" s="66"/>
      <c r="IK247" s="66"/>
      <c r="IL247" s="66"/>
      <c r="IM247" s="66"/>
      <c r="IN247" s="66"/>
      <c r="IO247" s="66"/>
      <c r="IP247" s="66"/>
      <c r="IQ247" s="66"/>
      <c r="IR247" s="66"/>
      <c r="IS247" s="66"/>
      <c r="IT247" s="66"/>
      <c r="IU247" s="15"/>
    </row>
    <row r="248" spans="1:255">
      <c r="A248" s="117"/>
      <c r="B248" s="62" t="s">
        <v>211</v>
      </c>
      <c r="C248" s="93" t="s">
        <v>459</v>
      </c>
      <c r="D248" s="62" t="s">
        <v>410</v>
      </c>
      <c r="E248" s="49">
        <v>44651</v>
      </c>
      <c r="F248" s="49">
        <v>44652</v>
      </c>
      <c r="G248" s="49">
        <v>44657</v>
      </c>
      <c r="H248" s="63"/>
      <c r="I248" s="67">
        <v>0</v>
      </c>
      <c r="J248" s="67">
        <v>0</v>
      </c>
      <c r="K248" s="67">
        <v>0</v>
      </c>
      <c r="L248" s="36">
        <f>+K248-((K248*0.1726*0.125)+(K248*(1-0.1726)*0.26))</f>
        <v>0</v>
      </c>
      <c r="M248" s="64">
        <f t="shared" si="7"/>
        <v>0</v>
      </c>
      <c r="N248" s="65" t="s">
        <v>248</v>
      </c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  <c r="CG248" s="66"/>
      <c r="CH248" s="66"/>
      <c r="CI248" s="66"/>
      <c r="CJ248" s="66"/>
      <c r="CK248" s="66"/>
      <c r="CL248" s="66"/>
      <c r="CM248" s="66"/>
      <c r="CN248" s="66"/>
      <c r="CO248" s="66"/>
      <c r="CP248" s="66"/>
      <c r="CQ248" s="66"/>
      <c r="CR248" s="66"/>
      <c r="CS248" s="66"/>
      <c r="CT248" s="66"/>
      <c r="CU248" s="66"/>
      <c r="CV248" s="66"/>
      <c r="CW248" s="66"/>
      <c r="CX248" s="66"/>
      <c r="CY248" s="66"/>
      <c r="CZ248" s="66"/>
      <c r="DA248" s="66"/>
      <c r="DB248" s="66"/>
      <c r="DC248" s="66"/>
      <c r="DD248" s="66"/>
      <c r="DE248" s="66"/>
      <c r="DF248" s="66"/>
      <c r="DG248" s="66"/>
      <c r="DH248" s="66"/>
      <c r="DI248" s="66"/>
      <c r="DJ248" s="66"/>
      <c r="DK248" s="66"/>
      <c r="DL248" s="66"/>
      <c r="DM248" s="66"/>
      <c r="DN248" s="66"/>
      <c r="DO248" s="66"/>
      <c r="DP248" s="66"/>
      <c r="DQ248" s="66"/>
      <c r="DR248" s="66"/>
      <c r="DS248" s="66"/>
      <c r="DT248" s="66"/>
      <c r="DU248" s="66"/>
      <c r="DV248" s="66"/>
      <c r="DW248" s="66"/>
      <c r="DX248" s="66"/>
      <c r="DY248" s="66"/>
      <c r="DZ248" s="66"/>
      <c r="EA248" s="66"/>
      <c r="EB248" s="66"/>
      <c r="EC248" s="66"/>
      <c r="ED248" s="66"/>
      <c r="EE248" s="66"/>
      <c r="EF248" s="66"/>
      <c r="EG248" s="66"/>
      <c r="EH248" s="66"/>
      <c r="EI248" s="66"/>
      <c r="EJ248" s="66"/>
      <c r="EK248" s="66"/>
      <c r="EL248" s="66"/>
      <c r="EM248" s="66"/>
      <c r="EN248" s="66"/>
      <c r="EO248" s="66"/>
      <c r="EP248" s="66"/>
      <c r="EQ248" s="66"/>
      <c r="ER248" s="66"/>
      <c r="ES248" s="66"/>
      <c r="ET248" s="66"/>
      <c r="EU248" s="66"/>
      <c r="EV248" s="66"/>
      <c r="EW248" s="66"/>
      <c r="EX248" s="66"/>
      <c r="EY248" s="66"/>
      <c r="EZ248" s="66"/>
      <c r="FA248" s="66"/>
      <c r="FB248" s="66"/>
      <c r="FC248" s="66"/>
      <c r="FD248" s="66"/>
      <c r="FE248" s="66"/>
      <c r="FF248" s="66"/>
      <c r="FG248" s="66"/>
      <c r="FH248" s="66"/>
      <c r="FI248" s="66"/>
      <c r="FJ248" s="66"/>
      <c r="FK248" s="66"/>
      <c r="FL248" s="66"/>
      <c r="FM248" s="66"/>
      <c r="FN248" s="66"/>
      <c r="FO248" s="66"/>
      <c r="FP248" s="66"/>
      <c r="FQ248" s="66"/>
      <c r="FR248" s="66"/>
      <c r="FS248" s="66"/>
      <c r="FT248" s="66"/>
      <c r="FU248" s="66"/>
      <c r="FV248" s="66"/>
      <c r="FW248" s="66"/>
      <c r="FX248" s="66"/>
      <c r="FY248" s="66"/>
      <c r="FZ248" s="66"/>
      <c r="GA248" s="66"/>
      <c r="GB248" s="66"/>
      <c r="GC248" s="66"/>
      <c r="GD248" s="66"/>
      <c r="GE248" s="66"/>
      <c r="GF248" s="66"/>
      <c r="GG248" s="66"/>
      <c r="GH248" s="66"/>
      <c r="GI248" s="66"/>
      <c r="GJ248" s="66"/>
      <c r="GK248" s="66"/>
      <c r="GL248" s="66"/>
      <c r="GM248" s="66"/>
      <c r="GN248" s="66"/>
      <c r="GO248" s="66"/>
      <c r="GP248" s="66"/>
      <c r="GQ248" s="66"/>
      <c r="GR248" s="66"/>
      <c r="GS248" s="66"/>
      <c r="GT248" s="66"/>
      <c r="GU248" s="66"/>
      <c r="GV248" s="66"/>
      <c r="GW248" s="66"/>
      <c r="GX248" s="66"/>
      <c r="GY248" s="66"/>
      <c r="GZ248" s="66"/>
      <c r="HA248" s="66"/>
      <c r="HB248" s="66"/>
      <c r="HC248" s="66"/>
      <c r="HD248" s="66"/>
      <c r="HE248" s="66"/>
      <c r="HF248" s="66"/>
      <c r="HG248" s="66"/>
      <c r="HH248" s="66"/>
      <c r="HI248" s="66"/>
      <c r="HJ248" s="66"/>
      <c r="HK248" s="66"/>
      <c r="HL248" s="66"/>
      <c r="HM248" s="66"/>
      <c r="HN248" s="66"/>
      <c r="HO248" s="66"/>
      <c r="HP248" s="66"/>
      <c r="HQ248" s="66"/>
      <c r="HR248" s="66"/>
      <c r="HS248" s="66"/>
      <c r="HT248" s="66"/>
      <c r="HU248" s="66"/>
      <c r="HV248" s="66"/>
      <c r="HW248" s="66"/>
      <c r="HX248" s="66"/>
      <c r="HY248" s="66"/>
      <c r="HZ248" s="66"/>
      <c r="IA248" s="66"/>
      <c r="IB248" s="66"/>
      <c r="IC248" s="66"/>
      <c r="ID248" s="66"/>
      <c r="IE248" s="66"/>
      <c r="IF248" s="66"/>
      <c r="IG248" s="66"/>
      <c r="IH248" s="66"/>
      <c r="II248" s="66"/>
      <c r="IJ248" s="66"/>
      <c r="IK248" s="66"/>
      <c r="IL248" s="66"/>
      <c r="IM248" s="66"/>
      <c r="IN248" s="66"/>
      <c r="IO248" s="66"/>
      <c r="IP248" s="66"/>
      <c r="IQ248" s="66"/>
      <c r="IR248" s="66"/>
      <c r="IS248" s="66"/>
      <c r="IT248" s="66"/>
      <c r="IU248" s="15"/>
    </row>
    <row r="249" spans="1:255">
      <c r="A249" s="117"/>
      <c r="B249" s="62" t="s">
        <v>209</v>
      </c>
      <c r="C249" s="93" t="s">
        <v>706</v>
      </c>
      <c r="D249" s="62" t="s">
        <v>410</v>
      </c>
      <c r="E249" s="49">
        <v>44651</v>
      </c>
      <c r="F249" s="49">
        <v>44652</v>
      </c>
      <c r="G249" s="49">
        <v>44657</v>
      </c>
      <c r="H249" s="63"/>
      <c r="I249" s="67">
        <v>0</v>
      </c>
      <c r="J249" s="67">
        <v>0</v>
      </c>
      <c r="K249" s="67">
        <v>0</v>
      </c>
      <c r="L249" s="36">
        <f>+K249-((K249*0.1127*0.125)+(K249*(1-0.1127)*0.26))</f>
        <v>0</v>
      </c>
      <c r="M249" s="64">
        <f t="shared" si="7"/>
        <v>0</v>
      </c>
      <c r="N249" s="65" t="s">
        <v>248</v>
      </c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/>
      <c r="BV249" s="66"/>
      <c r="BW249" s="66"/>
      <c r="BX249" s="66"/>
      <c r="BY249" s="66"/>
      <c r="BZ249" s="66"/>
      <c r="CA249" s="66"/>
      <c r="CB249" s="66"/>
      <c r="CC249" s="66"/>
      <c r="CD249" s="66"/>
      <c r="CE249" s="66"/>
      <c r="CF249" s="66"/>
      <c r="CG249" s="66"/>
      <c r="CH249" s="66"/>
      <c r="CI249" s="66"/>
      <c r="CJ249" s="66"/>
      <c r="CK249" s="66"/>
      <c r="CL249" s="66"/>
      <c r="CM249" s="66"/>
      <c r="CN249" s="66"/>
      <c r="CO249" s="66"/>
      <c r="CP249" s="66"/>
      <c r="CQ249" s="66"/>
      <c r="CR249" s="66"/>
      <c r="CS249" s="66"/>
      <c r="CT249" s="66"/>
      <c r="CU249" s="66"/>
      <c r="CV249" s="66"/>
      <c r="CW249" s="66"/>
      <c r="CX249" s="66"/>
      <c r="CY249" s="66"/>
      <c r="CZ249" s="66"/>
      <c r="DA249" s="66"/>
      <c r="DB249" s="66"/>
      <c r="DC249" s="66"/>
      <c r="DD249" s="66"/>
      <c r="DE249" s="66"/>
      <c r="DF249" s="66"/>
      <c r="DG249" s="66"/>
      <c r="DH249" s="66"/>
      <c r="DI249" s="66"/>
      <c r="DJ249" s="66"/>
      <c r="DK249" s="66"/>
      <c r="DL249" s="66"/>
      <c r="DM249" s="66"/>
      <c r="DN249" s="66"/>
      <c r="DO249" s="66"/>
      <c r="DP249" s="66"/>
      <c r="DQ249" s="66"/>
      <c r="DR249" s="66"/>
      <c r="DS249" s="66"/>
      <c r="DT249" s="66"/>
      <c r="DU249" s="66"/>
      <c r="DV249" s="66"/>
      <c r="DW249" s="66"/>
      <c r="DX249" s="66"/>
      <c r="DY249" s="66"/>
      <c r="DZ249" s="66"/>
      <c r="EA249" s="66"/>
      <c r="EB249" s="66"/>
      <c r="EC249" s="66"/>
      <c r="ED249" s="66"/>
      <c r="EE249" s="66"/>
      <c r="EF249" s="66"/>
      <c r="EG249" s="66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66"/>
      <c r="ES249" s="66"/>
      <c r="ET249" s="66"/>
      <c r="EU249" s="66"/>
      <c r="EV249" s="66"/>
      <c r="EW249" s="66"/>
      <c r="EX249" s="66"/>
      <c r="EY249" s="66"/>
      <c r="EZ249" s="66"/>
      <c r="FA249" s="66"/>
      <c r="FB249" s="66"/>
      <c r="FC249" s="66"/>
      <c r="FD249" s="66"/>
      <c r="FE249" s="66"/>
      <c r="FF249" s="66"/>
      <c r="FG249" s="66"/>
      <c r="FH249" s="66"/>
      <c r="FI249" s="66"/>
      <c r="FJ249" s="66"/>
      <c r="FK249" s="66"/>
      <c r="FL249" s="66"/>
      <c r="FM249" s="66"/>
      <c r="FN249" s="66"/>
      <c r="FO249" s="66"/>
      <c r="FP249" s="66"/>
      <c r="FQ249" s="66"/>
      <c r="FR249" s="66"/>
      <c r="FS249" s="66"/>
      <c r="FT249" s="66"/>
      <c r="FU249" s="66"/>
      <c r="FV249" s="66"/>
      <c r="FW249" s="66"/>
      <c r="FX249" s="66"/>
      <c r="FY249" s="66"/>
      <c r="FZ249" s="66"/>
      <c r="GA249" s="66"/>
      <c r="GB249" s="66"/>
      <c r="GC249" s="66"/>
      <c r="GD249" s="66"/>
      <c r="GE249" s="66"/>
      <c r="GF249" s="66"/>
      <c r="GG249" s="66"/>
      <c r="GH249" s="66"/>
      <c r="GI249" s="66"/>
      <c r="GJ249" s="66"/>
      <c r="GK249" s="66"/>
      <c r="GL249" s="66"/>
      <c r="GM249" s="66"/>
      <c r="GN249" s="66"/>
      <c r="GO249" s="66"/>
      <c r="GP249" s="66"/>
      <c r="GQ249" s="66"/>
      <c r="GR249" s="66"/>
      <c r="GS249" s="66"/>
      <c r="GT249" s="66"/>
      <c r="GU249" s="66"/>
      <c r="GV249" s="66"/>
      <c r="GW249" s="66"/>
      <c r="GX249" s="66"/>
      <c r="GY249" s="66"/>
      <c r="GZ249" s="66"/>
      <c r="HA249" s="66"/>
      <c r="HB249" s="66"/>
      <c r="HC249" s="66"/>
      <c r="HD249" s="66"/>
      <c r="HE249" s="66"/>
      <c r="HF249" s="66"/>
      <c r="HG249" s="66"/>
      <c r="HH249" s="66"/>
      <c r="HI249" s="66"/>
      <c r="HJ249" s="66"/>
      <c r="HK249" s="66"/>
      <c r="HL249" s="66"/>
      <c r="HM249" s="66"/>
      <c r="HN249" s="66"/>
      <c r="HO249" s="66"/>
      <c r="HP249" s="66"/>
      <c r="HQ249" s="66"/>
      <c r="HR249" s="66"/>
      <c r="HS249" s="66"/>
      <c r="HT249" s="66"/>
      <c r="HU249" s="66"/>
      <c r="HV249" s="66"/>
      <c r="HW249" s="66"/>
      <c r="HX249" s="66"/>
      <c r="HY249" s="66"/>
      <c r="HZ249" s="66"/>
      <c r="IA249" s="66"/>
      <c r="IB249" s="66"/>
      <c r="IC249" s="66"/>
      <c r="ID249" s="66"/>
      <c r="IE249" s="66"/>
      <c r="IF249" s="66"/>
      <c r="IG249" s="66"/>
      <c r="IH249" s="66"/>
      <c r="II249" s="66"/>
      <c r="IJ249" s="66"/>
      <c r="IK249" s="66"/>
      <c r="IL249" s="66"/>
      <c r="IM249" s="66"/>
      <c r="IN249" s="66"/>
      <c r="IO249" s="66"/>
      <c r="IP249" s="66"/>
      <c r="IQ249" s="66"/>
      <c r="IR249" s="66"/>
      <c r="IS249" s="66"/>
      <c r="IT249" s="66"/>
      <c r="IU249" s="15"/>
    </row>
    <row r="250" spans="1:255">
      <c r="A250" s="81"/>
      <c r="B250" s="33" t="s">
        <v>225</v>
      </c>
      <c r="C250" s="92" t="s">
        <v>454</v>
      </c>
      <c r="D250" s="33" t="s">
        <v>410</v>
      </c>
      <c r="E250" s="49">
        <v>44676</v>
      </c>
      <c r="F250" s="49">
        <v>44677</v>
      </c>
      <c r="G250" s="49">
        <v>44680</v>
      </c>
      <c r="H250" s="35"/>
      <c r="I250" s="67">
        <v>7.8878000000000004</v>
      </c>
      <c r="J250" s="67">
        <v>0</v>
      </c>
      <c r="K250" s="67">
        <v>7.8878000000000004</v>
      </c>
      <c r="L250" s="36">
        <f>+K250-((K250*0.2659*0.125)+(K250*(1-0.2659)*0.26))</f>
        <v>6.1201164126999998</v>
      </c>
      <c r="M250" s="64">
        <f t="shared" si="7"/>
        <v>6.1201164126999998</v>
      </c>
      <c r="N250" s="33" t="s">
        <v>249</v>
      </c>
    </row>
    <row r="251" spans="1:255">
      <c r="A251" s="81"/>
      <c r="B251" s="33" t="s">
        <v>219</v>
      </c>
      <c r="C251" s="92" t="s">
        <v>485</v>
      </c>
      <c r="D251" s="33" t="s">
        <v>410</v>
      </c>
      <c r="E251" s="49">
        <v>44676</v>
      </c>
      <c r="F251" s="49">
        <v>44677</v>
      </c>
      <c r="G251" s="49">
        <v>44680</v>
      </c>
      <c r="H251" s="35"/>
      <c r="I251" s="67">
        <v>8.4312000000000005</v>
      </c>
      <c r="J251" s="67">
        <v>0</v>
      </c>
      <c r="K251" s="67">
        <v>8.4312000000000005</v>
      </c>
      <c r="L251" s="36">
        <f>+K251-((K251*0.002*0.125)+(K251*(1-0.002)*0.26))</f>
        <v>6.2413644240000004</v>
      </c>
      <c r="M251" s="64">
        <f t="shared" si="7"/>
        <v>6.2413644240000004</v>
      </c>
      <c r="N251" s="33" t="s">
        <v>249</v>
      </c>
    </row>
    <row r="252" spans="1:255">
      <c r="A252" s="81"/>
      <c r="B252" s="33" t="s">
        <v>221</v>
      </c>
      <c r="C252" s="92" t="s">
        <v>484</v>
      </c>
      <c r="D252" s="33" t="s">
        <v>410</v>
      </c>
      <c r="E252" s="49">
        <v>44676</v>
      </c>
      <c r="F252" s="49">
        <v>44677</v>
      </c>
      <c r="G252" s="49">
        <v>44680</v>
      </c>
      <c r="H252" s="35"/>
      <c r="I252" s="67">
        <v>0</v>
      </c>
      <c r="J252" s="67">
        <v>0</v>
      </c>
      <c r="K252" s="67">
        <v>0</v>
      </c>
      <c r="L252" s="36">
        <f>+K252-((K252*0.002*0.125)+(K252*(1-0.002)*0.26))</f>
        <v>0</v>
      </c>
      <c r="M252" s="64">
        <f t="shared" si="7"/>
        <v>0</v>
      </c>
      <c r="N252" s="33" t="s">
        <v>249</v>
      </c>
    </row>
    <row r="253" spans="1:255">
      <c r="A253" s="81"/>
      <c r="B253" s="33" t="s">
        <v>216</v>
      </c>
      <c r="C253" s="92" t="s">
        <v>456</v>
      </c>
      <c r="D253" s="33" t="s">
        <v>410</v>
      </c>
      <c r="E253" s="49">
        <v>44741</v>
      </c>
      <c r="F253" s="49">
        <v>44742</v>
      </c>
      <c r="G253" s="49">
        <v>44747</v>
      </c>
      <c r="H253" s="35"/>
      <c r="I253" s="67">
        <v>0</v>
      </c>
      <c r="J253" s="67">
        <v>0</v>
      </c>
      <c r="K253" s="67">
        <v>0</v>
      </c>
      <c r="L253" s="36">
        <v>0</v>
      </c>
      <c r="M253" s="64">
        <v>0</v>
      </c>
      <c r="N253" s="33" t="s">
        <v>247</v>
      </c>
    </row>
    <row r="254" spans="1:255">
      <c r="A254" s="81"/>
      <c r="B254" s="33" t="s">
        <v>677</v>
      </c>
      <c r="C254" s="92" t="s">
        <v>693</v>
      </c>
      <c r="D254" s="33" t="s">
        <v>410</v>
      </c>
      <c r="E254" s="49">
        <v>44741</v>
      </c>
      <c r="F254" s="49">
        <v>44742</v>
      </c>
      <c r="G254" s="49">
        <v>44747</v>
      </c>
      <c r="H254" s="35"/>
      <c r="I254" s="67">
        <v>11.120502999999999</v>
      </c>
      <c r="J254" s="67">
        <v>0</v>
      </c>
      <c r="K254" s="67">
        <v>11.120502999999999</v>
      </c>
      <c r="L254" s="36">
        <f>+K254-((K254*0.00000000001*0.125)+(K254*(1-0.0000000001)*0.26))</f>
        <v>8.2291722202752329</v>
      </c>
      <c r="M254" s="64">
        <v>8.2291722202752329</v>
      </c>
      <c r="N254" s="33" t="s">
        <v>247</v>
      </c>
    </row>
    <row r="255" spans="1:255">
      <c r="A255" s="81"/>
      <c r="B255" s="33" t="s">
        <v>676</v>
      </c>
      <c r="C255" s="92" t="s">
        <v>692</v>
      </c>
      <c r="D255" s="33" t="s">
        <v>410</v>
      </c>
      <c r="E255" s="49">
        <v>44741</v>
      </c>
      <c r="F255" s="49">
        <v>44742</v>
      </c>
      <c r="G255" s="49">
        <v>44747</v>
      </c>
      <c r="H255" s="35"/>
      <c r="I255" s="67">
        <v>6.81515</v>
      </c>
      <c r="J255" s="67">
        <v>0</v>
      </c>
      <c r="K255" s="67">
        <v>6.81515</v>
      </c>
      <c r="L255" s="36">
        <f>+K255-((K255*0.0602*0.125)+(K255*(1-0.0602)*0.26))</f>
        <v>5.0985977240500002</v>
      </c>
      <c r="M255" s="64">
        <v>5.0985977240500002</v>
      </c>
      <c r="N255" s="33" t="s">
        <v>247</v>
      </c>
    </row>
    <row r="256" spans="1:255">
      <c r="A256" s="115"/>
      <c r="B256" s="33" t="s">
        <v>215</v>
      </c>
      <c r="C256" s="92" t="s">
        <v>457</v>
      </c>
      <c r="D256" s="33" t="s">
        <v>410</v>
      </c>
      <c r="E256" s="34">
        <v>44742</v>
      </c>
      <c r="F256" s="34">
        <v>44743</v>
      </c>
      <c r="G256" s="34">
        <v>44748</v>
      </c>
      <c r="H256" s="35"/>
      <c r="I256" s="67">
        <v>0</v>
      </c>
      <c r="J256" s="67">
        <v>0</v>
      </c>
      <c r="K256" s="67">
        <v>0</v>
      </c>
      <c r="L256" s="36">
        <f>+K256-((K256*0.2774*0.125)+(K256*(1-0.2774)*0.26))</f>
        <v>0</v>
      </c>
      <c r="M256" s="64">
        <f t="shared" ref="M256:M319" si="8">L256+J256</f>
        <v>0</v>
      </c>
      <c r="N256" s="33" t="s">
        <v>248</v>
      </c>
    </row>
    <row r="257" spans="1:255">
      <c r="A257" s="115"/>
      <c r="B257" s="33" t="s">
        <v>203</v>
      </c>
      <c r="C257" s="92" t="s">
        <v>445</v>
      </c>
      <c r="D257" s="33" t="s">
        <v>410</v>
      </c>
      <c r="E257" s="34">
        <v>44742</v>
      </c>
      <c r="F257" s="34">
        <v>44743</v>
      </c>
      <c r="G257" s="34">
        <v>44748</v>
      </c>
      <c r="H257" s="75"/>
      <c r="I257" s="67">
        <v>1.0188999999999999</v>
      </c>
      <c r="J257" s="67">
        <v>0</v>
      </c>
      <c r="K257" s="67">
        <v>1.0188999999999999</v>
      </c>
      <c r="L257" s="36">
        <f>+K257-((K257*0.4594*0.125)+(K257*(1-0.4594)*0.26))</f>
        <v>0.81717715909999988</v>
      </c>
      <c r="M257" s="64">
        <f t="shared" si="8"/>
        <v>0.81717715909999988</v>
      </c>
      <c r="N257" s="33" t="s">
        <v>248</v>
      </c>
    </row>
    <row r="258" spans="1:255">
      <c r="A258" s="115"/>
      <c r="B258" s="33" t="s">
        <v>204</v>
      </c>
      <c r="C258" s="92" t="s">
        <v>446</v>
      </c>
      <c r="D258" s="33" t="s">
        <v>410</v>
      </c>
      <c r="E258" s="34">
        <v>44742</v>
      </c>
      <c r="F258" s="34">
        <v>44743</v>
      </c>
      <c r="G258" s="34">
        <v>44748</v>
      </c>
      <c r="H258" s="35"/>
      <c r="I258" s="67">
        <v>1.1577</v>
      </c>
      <c r="J258" s="67">
        <v>0</v>
      </c>
      <c r="K258" s="67">
        <v>1.1577</v>
      </c>
      <c r="L258" s="36">
        <f>+K258-((K258*0.0171*0.125)+(K258*(1-0.0171)*0.26))</f>
        <v>0.85937055044999999</v>
      </c>
      <c r="M258" s="64">
        <f t="shared" si="8"/>
        <v>0.85937055044999999</v>
      </c>
      <c r="N258" s="33" t="s">
        <v>248</v>
      </c>
    </row>
    <row r="259" spans="1:255">
      <c r="A259" s="115"/>
      <c r="B259" s="33" t="s">
        <v>207</v>
      </c>
      <c r="C259" s="92" t="s">
        <v>447</v>
      </c>
      <c r="D259" s="33" t="s">
        <v>410</v>
      </c>
      <c r="E259" s="34">
        <v>44742</v>
      </c>
      <c r="F259" s="34">
        <v>44743</v>
      </c>
      <c r="G259" s="34">
        <v>44748</v>
      </c>
      <c r="H259" s="35"/>
      <c r="I259" s="67">
        <v>0.50470000000000004</v>
      </c>
      <c r="J259" s="67">
        <v>0</v>
      </c>
      <c r="K259" s="67">
        <v>0.50470000000000004</v>
      </c>
      <c r="L259" s="36">
        <f>+K259-((K259*0.8388*0.125)+(K259*(1-0.8388)*0.26))</f>
        <v>0.43062921860000003</v>
      </c>
      <c r="M259" s="64">
        <f t="shared" si="8"/>
        <v>0.43062921860000003</v>
      </c>
      <c r="N259" s="33" t="s">
        <v>248</v>
      </c>
    </row>
    <row r="260" spans="1:255">
      <c r="A260" s="115"/>
      <c r="B260" s="62" t="s">
        <v>678</v>
      </c>
      <c r="C260" s="92" t="s">
        <v>707</v>
      </c>
      <c r="D260" s="34" t="s">
        <v>410</v>
      </c>
      <c r="E260" s="34">
        <v>44742</v>
      </c>
      <c r="F260" s="34">
        <v>44743</v>
      </c>
      <c r="G260" s="34">
        <v>44748</v>
      </c>
      <c r="H260" s="33"/>
      <c r="I260" s="67">
        <v>6.3014999999999999</v>
      </c>
      <c r="J260" s="67">
        <v>0</v>
      </c>
      <c r="K260" s="67">
        <v>6.3014999999999999</v>
      </c>
      <c r="L260" s="64">
        <f>+K260-((K260*0.0000001*0.125)+(K260*(1-0.0000001)*0.26))</f>
        <v>4.66311008507025</v>
      </c>
      <c r="M260" s="64">
        <f t="shared" si="8"/>
        <v>4.66311008507025</v>
      </c>
      <c r="N260" s="33" t="s">
        <v>248</v>
      </c>
      <c r="IU260" s="15"/>
    </row>
    <row r="261" spans="1:255">
      <c r="A261" s="115"/>
      <c r="B261" s="33" t="s">
        <v>205</v>
      </c>
      <c r="C261" s="92" t="s">
        <v>448</v>
      </c>
      <c r="D261" s="33" t="s">
        <v>410</v>
      </c>
      <c r="E261" s="34">
        <v>44742</v>
      </c>
      <c r="F261" s="34">
        <v>44743</v>
      </c>
      <c r="G261" s="34">
        <v>44748</v>
      </c>
      <c r="H261" s="35"/>
      <c r="I261" s="67">
        <v>3.7671999999999999</v>
      </c>
      <c r="J261" s="67">
        <v>0</v>
      </c>
      <c r="K261" s="67">
        <v>3.7671999999999999</v>
      </c>
      <c r="L261" s="36">
        <f>+K261-((K261*0.4288*0.125)+(K261*(1-0.4288)*0.26))</f>
        <v>3.0058036736</v>
      </c>
      <c r="M261" s="64">
        <f t="shared" si="8"/>
        <v>3.0058036736</v>
      </c>
      <c r="N261" s="33" t="s">
        <v>248</v>
      </c>
    </row>
    <row r="262" spans="1:255">
      <c r="A262" s="115"/>
      <c r="B262" s="33" t="s">
        <v>206</v>
      </c>
      <c r="C262" s="92" t="s">
        <v>449</v>
      </c>
      <c r="D262" s="33" t="s">
        <v>410</v>
      </c>
      <c r="E262" s="34">
        <v>44742</v>
      </c>
      <c r="F262" s="34">
        <v>44743</v>
      </c>
      <c r="G262" s="34">
        <v>44748</v>
      </c>
      <c r="H262" s="35"/>
      <c r="I262" s="67">
        <v>3.9217</v>
      </c>
      <c r="J262" s="67">
        <v>0</v>
      </c>
      <c r="K262" s="67">
        <v>3.9217</v>
      </c>
      <c r="L262" s="36">
        <f>+K262-((K262*0.4288*0.125)+(K262*(1-0.4288)*0.26))</f>
        <v>3.1290773696</v>
      </c>
      <c r="M262" s="64">
        <f t="shared" si="8"/>
        <v>3.1290773696</v>
      </c>
      <c r="N262" s="33" t="s">
        <v>248</v>
      </c>
    </row>
    <row r="263" spans="1:255">
      <c r="A263" s="115"/>
      <c r="B263" s="33" t="s">
        <v>505</v>
      </c>
      <c r="C263" s="92" t="s">
        <v>506</v>
      </c>
      <c r="D263" s="33" t="s">
        <v>410</v>
      </c>
      <c r="E263" s="34">
        <v>44742</v>
      </c>
      <c r="F263" s="34">
        <v>44743</v>
      </c>
      <c r="G263" s="34">
        <v>44748</v>
      </c>
      <c r="H263" s="35"/>
      <c r="I263" s="67">
        <v>4.9448999999999996</v>
      </c>
      <c r="J263" s="67">
        <v>0</v>
      </c>
      <c r="K263" s="67">
        <v>4.9448999999999996</v>
      </c>
      <c r="L263" s="36">
        <f>+K263-((K263*0.0344*0.125)+(K263*(1-0.0344)*0.26))</f>
        <v>3.6821901155999992</v>
      </c>
      <c r="M263" s="64">
        <f t="shared" si="8"/>
        <v>3.6821901155999992</v>
      </c>
      <c r="N263" s="33" t="s">
        <v>248</v>
      </c>
    </row>
    <row r="264" spans="1:255">
      <c r="A264" s="115"/>
      <c r="B264" s="33" t="s">
        <v>212</v>
      </c>
      <c r="C264" s="92" t="s">
        <v>450</v>
      </c>
      <c r="D264" s="33" t="s">
        <v>410</v>
      </c>
      <c r="E264" s="34">
        <v>44742</v>
      </c>
      <c r="F264" s="34">
        <v>44743</v>
      </c>
      <c r="G264" s="34">
        <v>44748</v>
      </c>
      <c r="H264" s="35"/>
      <c r="I264" s="67">
        <v>7.9353999999999996</v>
      </c>
      <c r="J264" s="67">
        <v>0</v>
      </c>
      <c r="K264" s="67">
        <v>7.9353999999999996</v>
      </c>
      <c r="L264" s="36">
        <f>+K264-((K264*0.0000000000001*0.125)+(K264*(1-0.0000000000000001)*0.26))</f>
        <v>5.8721959999999012</v>
      </c>
      <c r="M264" s="64">
        <f t="shared" si="8"/>
        <v>5.8721959999999012</v>
      </c>
      <c r="N264" s="33" t="s">
        <v>248</v>
      </c>
    </row>
    <row r="265" spans="1:255">
      <c r="A265" s="115"/>
      <c r="B265" s="33" t="s">
        <v>208</v>
      </c>
      <c r="C265" s="92" t="s">
        <v>451</v>
      </c>
      <c r="D265" s="33" t="s">
        <v>410</v>
      </c>
      <c r="E265" s="34">
        <v>44742</v>
      </c>
      <c r="F265" s="34">
        <v>44743</v>
      </c>
      <c r="G265" s="34">
        <v>44748</v>
      </c>
      <c r="H265" s="35"/>
      <c r="I265" s="67">
        <v>0</v>
      </c>
      <c r="J265" s="67">
        <v>0</v>
      </c>
      <c r="K265" s="67">
        <v>0</v>
      </c>
      <c r="L265" s="36">
        <f>+K265-((K265*0.0164*0.125)+(K265*(1-0.0164)*0.26))</f>
        <v>0</v>
      </c>
      <c r="M265" s="64">
        <f t="shared" si="8"/>
        <v>0</v>
      </c>
      <c r="N265" s="33" t="s">
        <v>248</v>
      </c>
    </row>
    <row r="266" spans="1:255">
      <c r="A266" s="115"/>
      <c r="B266" s="33" t="s">
        <v>213</v>
      </c>
      <c r="C266" s="92" t="s">
        <v>452</v>
      </c>
      <c r="D266" s="33" t="s">
        <v>410</v>
      </c>
      <c r="E266" s="34">
        <v>44742</v>
      </c>
      <c r="F266" s="34">
        <v>44743</v>
      </c>
      <c r="G266" s="34">
        <v>44748</v>
      </c>
      <c r="H266" s="35"/>
      <c r="I266" s="67">
        <v>6.1369999999999996</v>
      </c>
      <c r="J266" s="67">
        <v>0</v>
      </c>
      <c r="K266" s="67">
        <v>6.1369999999999996</v>
      </c>
      <c r="L266" s="36">
        <f>+K266-((K266*0.0566*0.125)+(K266*(1-0.0566)*0.26))</f>
        <v>4.588272817</v>
      </c>
      <c r="M266" s="64">
        <f t="shared" si="8"/>
        <v>4.588272817</v>
      </c>
      <c r="N266" s="33" t="s">
        <v>248</v>
      </c>
    </row>
    <row r="267" spans="1:255">
      <c r="A267" s="115"/>
      <c r="B267" s="33" t="s">
        <v>210</v>
      </c>
      <c r="C267" s="92" t="s">
        <v>458</v>
      </c>
      <c r="D267" s="33" t="s">
        <v>410</v>
      </c>
      <c r="E267" s="34">
        <v>44742</v>
      </c>
      <c r="F267" s="34">
        <v>44743</v>
      </c>
      <c r="G267" s="34">
        <v>44748</v>
      </c>
      <c r="H267" s="35"/>
      <c r="I267" s="67">
        <v>7.7209000000000003</v>
      </c>
      <c r="J267" s="67">
        <v>0</v>
      </c>
      <c r="K267" s="67">
        <v>7.7209000000000003</v>
      </c>
      <c r="L267" s="36">
        <f>+K267-((K267*0.0586*0.125)+(K267*(1-0.0586)*0.26))</f>
        <v>5.7745460398999997</v>
      </c>
      <c r="M267" s="64">
        <f t="shared" si="8"/>
        <v>5.7745460398999997</v>
      </c>
      <c r="N267" s="33" t="s">
        <v>248</v>
      </c>
    </row>
    <row r="268" spans="1:255">
      <c r="A268" s="115"/>
      <c r="B268" s="33" t="s">
        <v>214</v>
      </c>
      <c r="C268" s="92" t="s">
        <v>453</v>
      </c>
      <c r="D268" s="33" t="s">
        <v>410</v>
      </c>
      <c r="E268" s="34">
        <v>44742</v>
      </c>
      <c r="F268" s="34">
        <v>44743</v>
      </c>
      <c r="G268" s="34">
        <v>44748</v>
      </c>
      <c r="H268" s="35"/>
      <c r="I268" s="67">
        <v>10.9472</v>
      </c>
      <c r="J268" s="67">
        <v>0</v>
      </c>
      <c r="K268" s="67">
        <v>10.9472</v>
      </c>
      <c r="L268" s="36">
        <f>+K268-((K268*0.04723*0.125)+(K268*(1-0.0473)*0.26))</f>
        <v>8.1709271335999993</v>
      </c>
      <c r="M268" s="64">
        <f t="shared" si="8"/>
        <v>8.1709271335999993</v>
      </c>
      <c r="N268" s="33" t="s">
        <v>248</v>
      </c>
    </row>
    <row r="269" spans="1:255">
      <c r="A269" s="115"/>
      <c r="B269" s="62" t="s">
        <v>211</v>
      </c>
      <c r="C269" s="92" t="s">
        <v>459</v>
      </c>
      <c r="D269" s="33" t="s">
        <v>410</v>
      </c>
      <c r="E269" s="34">
        <v>44742</v>
      </c>
      <c r="F269" s="34">
        <v>44743</v>
      </c>
      <c r="G269" s="34">
        <v>44748</v>
      </c>
      <c r="H269" s="35"/>
      <c r="I269" s="67">
        <v>0</v>
      </c>
      <c r="J269" s="67">
        <v>0</v>
      </c>
      <c r="K269" s="67">
        <v>0</v>
      </c>
      <c r="L269" s="36">
        <f>+K269-((K269*0.1726*0.125)+(K269*(1-0.1726)*0.26))</f>
        <v>0</v>
      </c>
      <c r="M269" s="64">
        <f t="shared" si="8"/>
        <v>0</v>
      </c>
      <c r="N269" s="33" t="s">
        <v>248</v>
      </c>
    </row>
    <row r="270" spans="1:255">
      <c r="A270" s="115"/>
      <c r="B270" s="33" t="s">
        <v>209</v>
      </c>
      <c r="C270" s="92" t="s">
        <v>706</v>
      </c>
      <c r="D270" s="33" t="s">
        <v>410</v>
      </c>
      <c r="E270" s="34">
        <v>44742</v>
      </c>
      <c r="F270" s="34">
        <v>44743</v>
      </c>
      <c r="G270" s="34">
        <v>44748</v>
      </c>
      <c r="H270" s="35"/>
      <c r="I270" s="67">
        <v>0</v>
      </c>
      <c r="J270" s="67">
        <v>0</v>
      </c>
      <c r="K270" s="67">
        <v>0</v>
      </c>
      <c r="L270" s="36">
        <f>+K270-((K270*0.1127*0.125)+(K270*(1-0.1127)*0.26))</f>
        <v>0</v>
      </c>
      <c r="M270" s="64">
        <f t="shared" si="8"/>
        <v>0</v>
      </c>
      <c r="N270" s="33" t="s">
        <v>248</v>
      </c>
    </row>
    <row r="271" spans="1:255" s="18" customFormat="1">
      <c r="A271" s="12"/>
      <c r="B271" s="134" t="s">
        <v>225</v>
      </c>
      <c r="C271" s="127" t="s">
        <v>454</v>
      </c>
      <c r="D271" s="128" t="s">
        <v>410</v>
      </c>
      <c r="E271" s="129">
        <v>44767</v>
      </c>
      <c r="F271" s="129">
        <v>44768</v>
      </c>
      <c r="G271" s="129">
        <v>44771</v>
      </c>
      <c r="H271" s="130"/>
      <c r="I271" s="131">
        <v>7.8878000000000004</v>
      </c>
      <c r="J271" s="131">
        <v>0</v>
      </c>
      <c r="K271" s="131">
        <v>7.8878000000000004</v>
      </c>
      <c r="L271" s="47">
        <f>+K271-((K271*0.258*0.125)+(K271*(1-0.258)*0.26))</f>
        <v>6.1117040740000004</v>
      </c>
      <c r="M271" s="132">
        <f t="shared" si="8"/>
        <v>6.1117040740000004</v>
      </c>
      <c r="N271" s="128" t="s">
        <v>249</v>
      </c>
    </row>
    <row r="272" spans="1:255" s="18" customFormat="1">
      <c r="A272" s="13"/>
      <c r="B272" s="134" t="s">
        <v>223</v>
      </c>
      <c r="C272" s="127" t="s">
        <v>488</v>
      </c>
      <c r="D272" s="128" t="s">
        <v>413</v>
      </c>
      <c r="E272" s="129">
        <v>44767</v>
      </c>
      <c r="F272" s="129">
        <v>44768</v>
      </c>
      <c r="G272" s="129">
        <v>44771</v>
      </c>
      <c r="H272" s="130"/>
      <c r="I272" s="131">
        <v>17.754799999999999</v>
      </c>
      <c r="J272" s="131">
        <v>0</v>
      </c>
      <c r="K272" s="131">
        <v>17.754799999999999</v>
      </c>
      <c r="L272" s="47">
        <f>+K272-((K272*0.000000000001*0.125)+(K272*(1-0.000000000001)*0.26))</f>
        <v>13.138552000002395</v>
      </c>
      <c r="M272" s="132">
        <f t="shared" si="8"/>
        <v>13.138552000002395</v>
      </c>
      <c r="N272" s="128" t="s">
        <v>250</v>
      </c>
    </row>
    <row r="273" spans="1:14" s="18" customFormat="1">
      <c r="A273" s="12"/>
      <c r="B273" s="134" t="s">
        <v>219</v>
      </c>
      <c r="C273" s="127" t="s">
        <v>485</v>
      </c>
      <c r="D273" s="128" t="s">
        <v>410</v>
      </c>
      <c r="E273" s="129">
        <v>44767</v>
      </c>
      <c r="F273" s="129">
        <v>44768</v>
      </c>
      <c r="G273" s="129">
        <v>44771</v>
      </c>
      <c r="H273" s="130"/>
      <c r="I273" s="131">
        <v>8.4312000000000005</v>
      </c>
      <c r="J273" s="131">
        <v>0</v>
      </c>
      <c r="K273" s="131">
        <v>8.4312000000000005</v>
      </c>
      <c r="L273" s="47">
        <f>+K273-((K273*0.004*0.125)+(K273*(1-0.004)*0.26))</f>
        <v>6.2436408480000001</v>
      </c>
      <c r="M273" s="132">
        <f t="shared" si="8"/>
        <v>6.2436408480000001</v>
      </c>
      <c r="N273" s="128" t="s">
        <v>249</v>
      </c>
    </row>
    <row r="274" spans="1:14" s="18" customFormat="1">
      <c r="A274" s="12"/>
      <c r="B274" s="134" t="s">
        <v>221</v>
      </c>
      <c r="C274" s="127" t="s">
        <v>484</v>
      </c>
      <c r="D274" s="128" t="s">
        <v>410</v>
      </c>
      <c r="E274" s="129">
        <v>44767</v>
      </c>
      <c r="F274" s="129">
        <v>44768</v>
      </c>
      <c r="G274" s="129">
        <v>44771</v>
      </c>
      <c r="H274" s="130"/>
      <c r="I274" s="131">
        <v>0</v>
      </c>
      <c r="J274" s="131">
        <v>0</v>
      </c>
      <c r="K274" s="131">
        <v>0</v>
      </c>
      <c r="L274" s="47">
        <f>+K274-((K274*0.004*0.125)+(K274*(1-0.004)*0.26))</f>
        <v>0</v>
      </c>
      <c r="M274" s="132">
        <f t="shared" si="8"/>
        <v>0</v>
      </c>
      <c r="N274" s="128" t="s">
        <v>249</v>
      </c>
    </row>
    <row r="275" spans="1:14" s="18" customFormat="1">
      <c r="A275" s="13"/>
      <c r="B275" s="134" t="s">
        <v>486</v>
      </c>
      <c r="C275" s="127" t="s">
        <v>487</v>
      </c>
      <c r="D275" s="129" t="s">
        <v>413</v>
      </c>
      <c r="E275" s="129">
        <v>44767</v>
      </c>
      <c r="F275" s="129">
        <v>44768</v>
      </c>
      <c r="G275" s="129">
        <v>44771</v>
      </c>
      <c r="H275" s="131"/>
      <c r="I275" s="131">
        <v>22.758800000000001</v>
      </c>
      <c r="J275" s="131">
        <v>0</v>
      </c>
      <c r="K275" s="131">
        <v>22.758800000000001</v>
      </c>
      <c r="L275" s="47">
        <f>+K275-((K275*0.004*0.125)+(K275*(1-0.004)*0.26))</f>
        <v>16.853801752000003</v>
      </c>
      <c r="M275" s="132">
        <f t="shared" si="8"/>
        <v>16.853801752000003</v>
      </c>
      <c r="N275" s="128" t="s">
        <v>250</v>
      </c>
    </row>
    <row r="276" spans="1:14" s="18" customFormat="1">
      <c r="A276" s="13"/>
      <c r="B276" s="134" t="s">
        <v>489</v>
      </c>
      <c r="C276" s="127" t="s">
        <v>521</v>
      </c>
      <c r="D276" s="129" t="s">
        <v>413</v>
      </c>
      <c r="E276" s="129">
        <v>44767</v>
      </c>
      <c r="F276" s="129">
        <v>44768</v>
      </c>
      <c r="G276" s="129">
        <v>44771</v>
      </c>
      <c r="H276" s="131"/>
      <c r="I276" s="131">
        <v>21.545400000000001</v>
      </c>
      <c r="J276" s="131">
        <v>0</v>
      </c>
      <c r="K276" s="131">
        <v>21.545400000000001</v>
      </c>
      <c r="L276" s="47">
        <f>+K276-((K276*0.243*0.125)+(K276*(1-0.243)*0.26))</f>
        <v>16.650392846999999</v>
      </c>
      <c r="M276" s="132">
        <f t="shared" si="8"/>
        <v>16.650392846999999</v>
      </c>
      <c r="N276" s="128" t="s">
        <v>250</v>
      </c>
    </row>
    <row r="277" spans="1:14" s="18" customFormat="1">
      <c r="A277" s="13"/>
      <c r="B277" s="134" t="s">
        <v>218</v>
      </c>
      <c r="C277" s="127" t="s">
        <v>455</v>
      </c>
      <c r="D277" s="128" t="s">
        <v>413</v>
      </c>
      <c r="E277" s="129">
        <v>44767</v>
      </c>
      <c r="F277" s="129">
        <v>44768</v>
      </c>
      <c r="G277" s="129">
        <v>44771</v>
      </c>
      <c r="H277" s="130"/>
      <c r="I277" s="131">
        <v>22.955400000000001</v>
      </c>
      <c r="J277" s="131">
        <v>0</v>
      </c>
      <c r="K277" s="131">
        <v>22.955400000000001</v>
      </c>
      <c r="L277" s="47">
        <f>+K277-((K277*0.243*0.125)+(K277*(1-0.243)*0.26))</f>
        <v>17.740047897</v>
      </c>
      <c r="M277" s="132">
        <f t="shared" si="8"/>
        <v>17.740047897</v>
      </c>
      <c r="N277" s="128" t="s">
        <v>250</v>
      </c>
    </row>
    <row r="278" spans="1:14" s="18" customFormat="1">
      <c r="A278" s="13"/>
      <c r="B278" s="134" t="s">
        <v>491</v>
      </c>
      <c r="C278" s="127" t="s">
        <v>671</v>
      </c>
      <c r="D278" s="128" t="s">
        <v>413</v>
      </c>
      <c r="E278" s="129">
        <v>44767</v>
      </c>
      <c r="F278" s="129">
        <v>44768</v>
      </c>
      <c r="G278" s="129">
        <v>44771</v>
      </c>
      <c r="H278" s="130"/>
      <c r="I278" s="131">
        <v>22.955400000000001</v>
      </c>
      <c r="J278" s="131">
        <v>0</v>
      </c>
      <c r="K278" s="131">
        <v>30.020399999999999</v>
      </c>
      <c r="L278" s="47">
        <f>+K278-((K278*0.243*0.125)+(K278*(1-0.243)*0.26))</f>
        <v>23.199915221999998</v>
      </c>
      <c r="M278" s="132">
        <f t="shared" si="8"/>
        <v>23.199915221999998</v>
      </c>
      <c r="N278" s="128" t="s">
        <v>250</v>
      </c>
    </row>
    <row r="279" spans="1:14" s="18" customFormat="1">
      <c r="A279" s="13"/>
      <c r="B279" s="134" t="s">
        <v>293</v>
      </c>
      <c r="C279" s="127" t="s">
        <v>553</v>
      </c>
      <c r="D279" s="128" t="s">
        <v>412</v>
      </c>
      <c r="E279" s="129">
        <v>44823</v>
      </c>
      <c r="F279" s="129">
        <v>44824</v>
      </c>
      <c r="G279" s="129">
        <v>44827</v>
      </c>
      <c r="H279" s="130"/>
      <c r="I279" s="131">
        <v>0</v>
      </c>
      <c r="J279" s="131">
        <v>0</v>
      </c>
      <c r="K279" s="131">
        <v>0</v>
      </c>
      <c r="L279" s="47">
        <f>+K279-((K279*0.0000000001*0.125)+(K279*(1-0.0000000001)*0.26))</f>
        <v>0</v>
      </c>
      <c r="M279" s="132">
        <f t="shared" si="8"/>
        <v>0</v>
      </c>
      <c r="N279" s="128" t="s">
        <v>288</v>
      </c>
    </row>
    <row r="280" spans="1:14" s="18" customFormat="1">
      <c r="A280" s="13"/>
      <c r="B280" s="134" t="s">
        <v>295</v>
      </c>
      <c r="C280" s="127" t="s">
        <v>461</v>
      </c>
      <c r="D280" s="128" t="s">
        <v>412</v>
      </c>
      <c r="E280" s="129">
        <v>44823</v>
      </c>
      <c r="F280" s="129">
        <v>44824</v>
      </c>
      <c r="G280" s="129">
        <v>44827</v>
      </c>
      <c r="H280" s="130"/>
      <c r="I280" s="131">
        <v>73.98</v>
      </c>
      <c r="J280" s="131">
        <v>0</v>
      </c>
      <c r="K280" s="131">
        <v>73.98</v>
      </c>
      <c r="L280" s="47">
        <f>+K280-((K280*0.275*0.125)+(K280*(1-0.275)*0.26))</f>
        <v>57.491707500000004</v>
      </c>
      <c r="M280" s="132">
        <f t="shared" si="8"/>
        <v>57.491707500000004</v>
      </c>
      <c r="N280" s="128" t="s">
        <v>288</v>
      </c>
    </row>
    <row r="281" spans="1:14" s="18" customFormat="1">
      <c r="A281" s="13"/>
      <c r="B281" s="134" t="s">
        <v>556</v>
      </c>
      <c r="C281" s="127" t="s">
        <v>560</v>
      </c>
      <c r="D281" s="128" t="s">
        <v>412</v>
      </c>
      <c r="E281" s="129">
        <v>44823</v>
      </c>
      <c r="F281" s="129">
        <v>44824</v>
      </c>
      <c r="G281" s="129">
        <v>44827</v>
      </c>
      <c r="H281" s="130"/>
      <c r="I281" s="131">
        <v>43.14</v>
      </c>
      <c r="J281" s="131">
        <v>0</v>
      </c>
      <c r="K281" s="131">
        <v>43.14</v>
      </c>
      <c r="L281" s="47">
        <f>+K281-((K281*0.4415*0.125)+(K281*(1-0.4415)*0.26))</f>
        <v>34.494851850000003</v>
      </c>
      <c r="M281" s="132">
        <f t="shared" si="8"/>
        <v>34.494851850000003</v>
      </c>
      <c r="N281" s="128" t="s">
        <v>288</v>
      </c>
    </row>
    <row r="282" spans="1:14" s="18" customFormat="1">
      <c r="A282" s="13"/>
      <c r="B282" s="134" t="s">
        <v>297</v>
      </c>
      <c r="C282" s="127" t="s">
        <v>463</v>
      </c>
      <c r="D282" s="128" t="s">
        <v>412</v>
      </c>
      <c r="E282" s="129">
        <v>44823</v>
      </c>
      <c r="F282" s="129">
        <v>44824</v>
      </c>
      <c r="G282" s="129">
        <v>44827</v>
      </c>
      <c r="H282" s="130"/>
      <c r="I282" s="131">
        <v>51.16</v>
      </c>
      <c r="J282" s="131">
        <v>0</v>
      </c>
      <c r="K282" s="131">
        <v>51.16</v>
      </c>
      <c r="L282" s="47">
        <f>+K282-((K282*0.837*0.125)+(K282*(1-0.837)*0.26))</f>
        <v>43.639224200000001</v>
      </c>
      <c r="M282" s="132">
        <f t="shared" si="8"/>
        <v>43.639224200000001</v>
      </c>
      <c r="N282" s="128" t="s">
        <v>288</v>
      </c>
    </row>
    <row r="283" spans="1:14" s="18" customFormat="1">
      <c r="A283" s="13"/>
      <c r="B283" s="134" t="s">
        <v>290</v>
      </c>
      <c r="C283" s="127" t="s">
        <v>460</v>
      </c>
      <c r="D283" s="128" t="s">
        <v>412</v>
      </c>
      <c r="E283" s="129">
        <v>44823</v>
      </c>
      <c r="F283" s="129">
        <v>44824</v>
      </c>
      <c r="G283" s="129">
        <v>44827</v>
      </c>
      <c r="H283" s="130"/>
      <c r="I283" s="131">
        <v>4.2699999999999996</v>
      </c>
      <c r="J283" s="131">
        <v>0</v>
      </c>
      <c r="K283" s="131">
        <v>4.2699999999999996</v>
      </c>
      <c r="L283" s="47">
        <f>+K283-((K283*0.547*0.125)+(K283*(1-0.547)*0.26))</f>
        <v>3.4751181499999997</v>
      </c>
      <c r="M283" s="132">
        <f t="shared" si="8"/>
        <v>3.4751181499999997</v>
      </c>
      <c r="N283" s="128" t="s">
        <v>288</v>
      </c>
    </row>
    <row r="284" spans="1:14" s="18" customFormat="1">
      <c r="A284" s="13"/>
      <c r="B284" s="134" t="s">
        <v>291</v>
      </c>
      <c r="C284" s="127" t="s">
        <v>462</v>
      </c>
      <c r="D284" s="128" t="s">
        <v>412</v>
      </c>
      <c r="E284" s="129">
        <v>44823</v>
      </c>
      <c r="F284" s="129">
        <v>44824</v>
      </c>
      <c r="G284" s="129">
        <v>44827</v>
      </c>
      <c r="H284" s="130"/>
      <c r="I284" s="131">
        <v>10.29</v>
      </c>
      <c r="J284" s="131">
        <v>0</v>
      </c>
      <c r="K284" s="131">
        <v>10.29</v>
      </c>
      <c r="L284" s="47">
        <f>+K284-((K284*0.017*0.125)+(K284*(1-0.017)*0.26))</f>
        <v>7.6382155499999991</v>
      </c>
      <c r="M284" s="132">
        <f t="shared" si="8"/>
        <v>7.6382155499999991</v>
      </c>
      <c r="N284" s="128" t="s">
        <v>288</v>
      </c>
    </row>
    <row r="285" spans="1:14" s="18" customFormat="1">
      <c r="A285" s="13"/>
      <c r="B285" s="134" t="s">
        <v>555</v>
      </c>
      <c r="C285" s="127" t="s">
        <v>559</v>
      </c>
      <c r="D285" s="128" t="s">
        <v>412</v>
      </c>
      <c r="E285" s="129">
        <v>44823</v>
      </c>
      <c r="F285" s="129">
        <v>44824</v>
      </c>
      <c r="G285" s="129">
        <v>44827</v>
      </c>
      <c r="H285" s="130"/>
      <c r="I285" s="131">
        <v>27.9</v>
      </c>
      <c r="J285" s="131">
        <v>0</v>
      </c>
      <c r="K285" s="131">
        <v>27.9</v>
      </c>
      <c r="L285" s="47">
        <f>+K285-((K285*0.0000000001*0.125)+(K285*(1-0.0000000001)*0.26))</f>
        <v>20.646000000376649</v>
      </c>
      <c r="M285" s="132">
        <f t="shared" si="8"/>
        <v>20.646000000376649</v>
      </c>
      <c r="N285" s="128" t="s">
        <v>288</v>
      </c>
    </row>
    <row r="286" spans="1:14" s="18" customFormat="1">
      <c r="A286" s="13"/>
      <c r="B286" s="134" t="s">
        <v>697</v>
      </c>
      <c r="C286" s="127" t="s">
        <v>699</v>
      </c>
      <c r="D286" s="128" t="s">
        <v>412</v>
      </c>
      <c r="E286" s="129">
        <v>44823</v>
      </c>
      <c r="F286" s="129">
        <v>44824</v>
      </c>
      <c r="G286" s="129">
        <v>44827</v>
      </c>
      <c r="H286" s="130"/>
      <c r="I286" s="131">
        <v>0.09</v>
      </c>
      <c r="J286" s="131">
        <v>0</v>
      </c>
      <c r="K286" s="131">
        <v>0.09</v>
      </c>
      <c r="L286" s="47">
        <f>+K286-((K286*0.000001*0.125)+(K286*(1-0.000001)*0.26))</f>
        <v>6.6600012149999999E-2</v>
      </c>
      <c r="M286" s="132">
        <f t="shared" si="8"/>
        <v>6.6600012149999999E-2</v>
      </c>
      <c r="N286" s="128" t="s">
        <v>288</v>
      </c>
    </row>
    <row r="287" spans="1:14" s="18" customFormat="1">
      <c r="A287" s="13"/>
      <c r="B287" s="134" t="s">
        <v>554</v>
      </c>
      <c r="C287" s="127" t="s">
        <v>558</v>
      </c>
      <c r="D287" s="128" t="s">
        <v>412</v>
      </c>
      <c r="E287" s="129">
        <v>44823</v>
      </c>
      <c r="F287" s="129">
        <v>44824</v>
      </c>
      <c r="G287" s="129">
        <v>44827</v>
      </c>
      <c r="H287" s="130"/>
      <c r="I287" s="131">
        <v>20.350000000000001</v>
      </c>
      <c r="J287" s="131">
        <v>0</v>
      </c>
      <c r="K287" s="131">
        <v>20.350000000000001</v>
      </c>
      <c r="L287" s="47">
        <f>+K287-((K287*0.4545*0.125)+(K287*(1-0.4545)*0.26))</f>
        <v>16.307625125000001</v>
      </c>
      <c r="M287" s="132">
        <f t="shared" si="8"/>
        <v>16.307625125000001</v>
      </c>
      <c r="N287" s="128" t="s">
        <v>288</v>
      </c>
    </row>
    <row r="288" spans="1:14" s="18" customFormat="1">
      <c r="A288" s="13"/>
      <c r="B288" s="134" t="s">
        <v>292</v>
      </c>
      <c r="C288" s="127" t="s">
        <v>497</v>
      </c>
      <c r="D288" s="128" t="s">
        <v>412</v>
      </c>
      <c r="E288" s="129">
        <v>44823</v>
      </c>
      <c r="F288" s="129">
        <v>44824</v>
      </c>
      <c r="G288" s="129">
        <v>44827</v>
      </c>
      <c r="H288" s="130"/>
      <c r="I288" s="131">
        <v>1.24</v>
      </c>
      <c r="J288" s="131">
        <v>0</v>
      </c>
      <c r="K288" s="131">
        <v>1.24</v>
      </c>
      <c r="L288" s="47">
        <f>+K288-((K288*0.572*0.125)+(K288*(1-0.572)*0.26))</f>
        <v>1.0133528000000001</v>
      </c>
      <c r="M288" s="132">
        <f t="shared" si="8"/>
        <v>1.0133528000000001</v>
      </c>
      <c r="N288" s="128" t="s">
        <v>288</v>
      </c>
    </row>
    <row r="289" spans="1:255" s="18" customFormat="1">
      <c r="A289" s="13"/>
      <c r="B289" s="134" t="s">
        <v>698</v>
      </c>
      <c r="C289" s="127" t="s">
        <v>717</v>
      </c>
      <c r="D289" s="128" t="s">
        <v>412</v>
      </c>
      <c r="E289" s="129">
        <v>44823</v>
      </c>
      <c r="F289" s="129">
        <v>44824</v>
      </c>
      <c r="G289" s="129">
        <v>44827</v>
      </c>
      <c r="H289" s="130"/>
      <c r="I289" s="131">
        <v>0</v>
      </c>
      <c r="J289" s="131">
        <v>0</v>
      </c>
      <c r="K289" s="131">
        <v>0</v>
      </c>
      <c r="L289" s="47">
        <f>+K289-((K289*0.00001*0.125)+(K289*(1-0.000001)*0.26))</f>
        <v>0</v>
      </c>
      <c r="M289" s="132">
        <f t="shared" si="8"/>
        <v>0</v>
      </c>
      <c r="N289" s="128" t="s">
        <v>288</v>
      </c>
    </row>
    <row r="290" spans="1:255" s="18" customFormat="1">
      <c r="A290" s="13"/>
      <c r="B290" s="134" t="s">
        <v>557</v>
      </c>
      <c r="C290" s="127" t="s">
        <v>561</v>
      </c>
      <c r="D290" s="128" t="s">
        <v>412</v>
      </c>
      <c r="E290" s="129">
        <v>44823</v>
      </c>
      <c r="F290" s="129">
        <v>44824</v>
      </c>
      <c r="G290" s="129">
        <v>44827</v>
      </c>
      <c r="H290" s="130"/>
      <c r="I290" s="131">
        <v>25.87</v>
      </c>
      <c r="J290" s="131">
        <v>0</v>
      </c>
      <c r="K290" s="131">
        <v>25.87</v>
      </c>
      <c r="L290" s="47">
        <f>+K290-((K290*0.172*0.125)+(K290*(1-0.172)*0.26))</f>
        <v>19.744501400000001</v>
      </c>
      <c r="M290" s="132">
        <f t="shared" si="8"/>
        <v>19.744501400000001</v>
      </c>
      <c r="N290" s="128" t="s">
        <v>288</v>
      </c>
    </row>
    <row r="291" spans="1:255" s="18" customFormat="1">
      <c r="A291" s="13"/>
      <c r="B291" s="134" t="s">
        <v>296</v>
      </c>
      <c r="C291" s="127" t="s">
        <v>464</v>
      </c>
      <c r="D291" s="128" t="s">
        <v>412</v>
      </c>
      <c r="E291" s="129">
        <v>44823</v>
      </c>
      <c r="F291" s="129">
        <v>44824</v>
      </c>
      <c r="G291" s="129">
        <v>44827</v>
      </c>
      <c r="H291" s="130"/>
      <c r="I291" s="131">
        <v>52.85</v>
      </c>
      <c r="J291" s="131">
        <v>0</v>
      </c>
      <c r="K291" s="131">
        <v>52.85</v>
      </c>
      <c r="L291" s="47">
        <f>+K291-((K291*0.07*0.125)+(K291*(1-0.07)*0.26))</f>
        <v>39.608432499999999</v>
      </c>
      <c r="M291" s="132">
        <f t="shared" si="8"/>
        <v>39.608432499999999</v>
      </c>
      <c r="N291" s="128" t="s">
        <v>288</v>
      </c>
    </row>
    <row r="292" spans="1:255" s="18" customFormat="1">
      <c r="A292" s="13"/>
      <c r="B292" s="134" t="s">
        <v>294</v>
      </c>
      <c r="C292" s="127" t="s">
        <v>706</v>
      </c>
      <c r="D292" s="128" t="s">
        <v>412</v>
      </c>
      <c r="E292" s="129">
        <v>44823</v>
      </c>
      <c r="F292" s="129">
        <v>44824</v>
      </c>
      <c r="G292" s="129">
        <v>44827</v>
      </c>
      <c r="H292" s="130"/>
      <c r="I292" s="131">
        <v>58.28</v>
      </c>
      <c r="J292" s="131">
        <v>0</v>
      </c>
      <c r="K292" s="131">
        <v>58.28</v>
      </c>
      <c r="L292" s="47">
        <f>+K292-((K292*0.101*0.125)+(K292*(1-0.101)*0.26))</f>
        <v>43.921847800000002</v>
      </c>
      <c r="M292" s="132">
        <f t="shared" si="8"/>
        <v>43.921847800000002</v>
      </c>
      <c r="N292" s="128" t="s">
        <v>288</v>
      </c>
    </row>
    <row r="293" spans="1:255" s="18" customFormat="1">
      <c r="A293" s="13"/>
      <c r="B293" s="33" t="s">
        <v>801</v>
      </c>
      <c r="C293" s="92" t="s">
        <v>802</v>
      </c>
      <c r="D293" s="33" t="s">
        <v>410</v>
      </c>
      <c r="E293" s="49">
        <v>44833</v>
      </c>
      <c r="F293" s="49">
        <v>44834</v>
      </c>
      <c r="G293" s="49">
        <v>44839</v>
      </c>
      <c r="H293" s="130"/>
      <c r="I293" s="131">
        <v>3.3959999999999999</v>
      </c>
      <c r="J293" s="67">
        <v>0</v>
      </c>
      <c r="K293" s="131">
        <v>3.3959999999999999</v>
      </c>
      <c r="L293" s="36">
        <f>+K293-((K293*0.00000000001*0.125)+(K293*(1-0.0000000001)*0.26))</f>
        <v>2.5130400000840507</v>
      </c>
      <c r="M293" s="64">
        <f t="shared" si="8"/>
        <v>2.5130400000840507</v>
      </c>
      <c r="N293" s="33" t="s">
        <v>247</v>
      </c>
    </row>
    <row r="294" spans="1:255" s="18" customFormat="1">
      <c r="A294" s="13"/>
      <c r="B294" s="134" t="s">
        <v>216</v>
      </c>
      <c r="C294" s="127" t="s">
        <v>456</v>
      </c>
      <c r="D294" s="128" t="s">
        <v>410</v>
      </c>
      <c r="E294" s="129">
        <v>44833</v>
      </c>
      <c r="F294" s="129">
        <v>44834</v>
      </c>
      <c r="G294" s="129">
        <v>44839</v>
      </c>
      <c r="H294" s="130"/>
      <c r="I294" s="131">
        <v>0</v>
      </c>
      <c r="J294" s="131">
        <v>0</v>
      </c>
      <c r="K294" s="131">
        <v>0</v>
      </c>
      <c r="L294" s="47">
        <f>+K294-((K294*0.096*0.125)+(K294*(1-0.096)*0.26))</f>
        <v>0</v>
      </c>
      <c r="M294" s="132">
        <f t="shared" si="8"/>
        <v>0</v>
      </c>
      <c r="N294" s="128" t="s">
        <v>247</v>
      </c>
    </row>
    <row r="295" spans="1:255" s="18" customFormat="1">
      <c r="A295" s="13"/>
      <c r="B295" s="134" t="s">
        <v>677</v>
      </c>
      <c r="C295" s="127" t="s">
        <v>693</v>
      </c>
      <c r="D295" s="128" t="s">
        <v>410</v>
      </c>
      <c r="E295" s="129">
        <v>44833</v>
      </c>
      <c r="F295" s="129">
        <v>44834</v>
      </c>
      <c r="G295" s="129">
        <v>44839</v>
      </c>
      <c r="H295" s="130"/>
      <c r="I295" s="131">
        <v>4.8689999999999997E-2</v>
      </c>
      <c r="J295" s="131">
        <v>0</v>
      </c>
      <c r="K295" s="131">
        <v>4.8689999999999997E-2</v>
      </c>
      <c r="L295" s="47">
        <f>+K295-((K295*0.00000000001*0.125)+(K295*(1-0.0000000001)*0.26))</f>
        <v>3.6030600001205074E-2</v>
      </c>
      <c r="M295" s="132">
        <f t="shared" si="8"/>
        <v>3.6030600001205074E-2</v>
      </c>
      <c r="N295" s="128" t="s">
        <v>247</v>
      </c>
    </row>
    <row r="296" spans="1:255" s="18" customFormat="1">
      <c r="A296" s="13"/>
      <c r="B296" s="134" t="s">
        <v>676</v>
      </c>
      <c r="C296" s="127" t="s">
        <v>692</v>
      </c>
      <c r="D296" s="128" t="s">
        <v>410</v>
      </c>
      <c r="E296" s="129">
        <v>44833</v>
      </c>
      <c r="F296" s="129">
        <v>44834</v>
      </c>
      <c r="G296" s="129">
        <v>44839</v>
      </c>
      <c r="H296" s="130"/>
      <c r="I296" s="131">
        <v>7.7209979999999998</v>
      </c>
      <c r="J296" s="131">
        <v>0</v>
      </c>
      <c r="K296" s="131">
        <v>7.7209979999999998</v>
      </c>
      <c r="L296" s="47">
        <f>+K296-((K296*0.0215*0.125)+(K296*(1-0.0215)*0.26))</f>
        <v>5.7359487166949998</v>
      </c>
      <c r="M296" s="132">
        <f t="shared" si="8"/>
        <v>5.7359487166949998</v>
      </c>
      <c r="N296" s="128" t="s">
        <v>247</v>
      </c>
    </row>
    <row r="297" spans="1:255" s="18" customFormat="1">
      <c r="A297" s="13"/>
      <c r="B297" s="134" t="s">
        <v>215</v>
      </c>
      <c r="C297" s="127" t="s">
        <v>457</v>
      </c>
      <c r="D297" s="128" t="s">
        <v>410</v>
      </c>
      <c r="E297" s="129">
        <v>44834</v>
      </c>
      <c r="F297" s="129">
        <v>44837</v>
      </c>
      <c r="G297" s="129">
        <v>44840</v>
      </c>
      <c r="H297" s="130"/>
      <c r="I297" s="131">
        <v>0</v>
      </c>
      <c r="J297" s="131">
        <v>0</v>
      </c>
      <c r="K297" s="131">
        <v>0</v>
      </c>
      <c r="L297" s="47">
        <f>+K297-((K297*0.275*0.125)+(K297*(1-0.275)*0.26))</f>
        <v>0</v>
      </c>
      <c r="M297" s="132">
        <f t="shared" si="8"/>
        <v>0</v>
      </c>
      <c r="N297" s="128" t="s">
        <v>248</v>
      </c>
    </row>
    <row r="298" spans="1:255" s="18" customFormat="1">
      <c r="A298" s="13"/>
      <c r="B298" s="134" t="s">
        <v>203</v>
      </c>
      <c r="C298" s="127" t="s">
        <v>445</v>
      </c>
      <c r="D298" s="128" t="s">
        <v>410</v>
      </c>
      <c r="E298" s="129">
        <v>44834</v>
      </c>
      <c r="F298" s="129">
        <v>44837</v>
      </c>
      <c r="G298" s="129">
        <v>44840</v>
      </c>
      <c r="H298" s="130"/>
      <c r="I298" s="131">
        <v>1.0188999999999999</v>
      </c>
      <c r="J298" s="131">
        <v>0</v>
      </c>
      <c r="K298" s="131">
        <v>1.0188999999999999</v>
      </c>
      <c r="L298" s="47">
        <f>+K298-((K298*0.547*0.125)+(K298*(1-0.547)*0.26))</f>
        <v>0.82922667049999998</v>
      </c>
      <c r="M298" s="132">
        <f t="shared" si="8"/>
        <v>0.82922667049999998</v>
      </c>
      <c r="N298" s="128" t="s">
        <v>248</v>
      </c>
    </row>
    <row r="299" spans="1:255" s="18" customFormat="1">
      <c r="A299" s="13"/>
      <c r="B299" s="134" t="s">
        <v>204</v>
      </c>
      <c r="C299" s="127" t="s">
        <v>446</v>
      </c>
      <c r="D299" s="128" t="s">
        <v>410</v>
      </c>
      <c r="E299" s="129">
        <v>44834</v>
      </c>
      <c r="F299" s="129">
        <v>44837</v>
      </c>
      <c r="G299" s="129">
        <v>44840</v>
      </c>
      <c r="H299" s="130"/>
      <c r="I299" s="131">
        <v>1.1577</v>
      </c>
      <c r="J299" s="131">
        <v>0</v>
      </c>
      <c r="K299" s="131">
        <v>1.1577</v>
      </c>
      <c r="L299" s="47">
        <f>+K299-((K299*0.017*0.125)+(K299*(1-0.017)*0.26))</f>
        <v>0.85935492150000004</v>
      </c>
      <c r="M299" s="132">
        <f t="shared" si="8"/>
        <v>0.85935492150000004</v>
      </c>
      <c r="N299" s="128" t="s">
        <v>248</v>
      </c>
    </row>
    <row r="300" spans="1:255" s="18" customFormat="1">
      <c r="A300" s="13"/>
      <c r="B300" s="134" t="s">
        <v>207</v>
      </c>
      <c r="C300" s="127" t="s">
        <v>447</v>
      </c>
      <c r="D300" s="128" t="s">
        <v>410</v>
      </c>
      <c r="E300" s="129">
        <v>44834</v>
      </c>
      <c r="F300" s="129">
        <v>44837</v>
      </c>
      <c r="G300" s="129">
        <v>44840</v>
      </c>
      <c r="H300" s="130"/>
      <c r="I300" s="131">
        <v>0.50470000000000004</v>
      </c>
      <c r="J300" s="131">
        <v>0</v>
      </c>
      <c r="K300" s="131">
        <v>0.50470000000000004</v>
      </c>
      <c r="L300" s="47">
        <f>+K300-((K300*0.8075*0.125)+(K300*(1-0.8075)*0.26))</f>
        <v>0.42849660875000006</v>
      </c>
      <c r="M300" s="132">
        <f t="shared" si="8"/>
        <v>0.42849660875000006</v>
      </c>
      <c r="N300" s="128" t="s">
        <v>248</v>
      </c>
    </row>
    <row r="301" spans="1:255" s="18" customFormat="1">
      <c r="A301" s="13"/>
      <c r="B301" s="134" t="s">
        <v>678</v>
      </c>
      <c r="C301" s="127" t="s">
        <v>707</v>
      </c>
      <c r="D301" s="128" t="s">
        <v>410</v>
      </c>
      <c r="E301" s="129">
        <v>44834</v>
      </c>
      <c r="F301" s="129">
        <v>44837</v>
      </c>
      <c r="G301" s="129">
        <v>44840</v>
      </c>
      <c r="H301" s="130"/>
      <c r="I301" s="131">
        <v>6.3014999999999999</v>
      </c>
      <c r="J301" s="131">
        <v>0</v>
      </c>
      <c r="K301" s="131">
        <v>6.3014999999999999</v>
      </c>
      <c r="L301" s="47">
        <f>+K301-((K301*0.2985*0.125)+(K301*(1-0.2985)*0.26))</f>
        <v>4.9170446962499996</v>
      </c>
      <c r="M301" s="132">
        <f t="shared" si="8"/>
        <v>4.9170446962499996</v>
      </c>
      <c r="N301" s="128" t="s">
        <v>248</v>
      </c>
      <c r="IU301" s="150"/>
    </row>
    <row r="302" spans="1:255" s="18" customFormat="1">
      <c r="A302" s="13"/>
      <c r="B302" s="134" t="s">
        <v>205</v>
      </c>
      <c r="C302" s="127" t="s">
        <v>448</v>
      </c>
      <c r="D302" s="128" t="s">
        <v>410</v>
      </c>
      <c r="E302" s="129">
        <v>44834</v>
      </c>
      <c r="F302" s="129">
        <v>44837</v>
      </c>
      <c r="G302" s="129">
        <v>44840</v>
      </c>
      <c r="H302" s="130"/>
      <c r="I302" s="131">
        <v>3.7671999999999999</v>
      </c>
      <c r="J302" s="131">
        <v>0</v>
      </c>
      <c r="K302" s="131">
        <v>3.7671999999999999</v>
      </c>
      <c r="L302" s="47">
        <f>+K302-((K302*0.4545*0.125)+(K302*(1-0.4545)*0.26))</f>
        <v>3.0188739739999999</v>
      </c>
      <c r="M302" s="132">
        <f t="shared" si="8"/>
        <v>3.0188739739999999</v>
      </c>
      <c r="N302" s="128" t="s">
        <v>248</v>
      </c>
    </row>
    <row r="303" spans="1:255" s="18" customFormat="1">
      <c r="A303" s="13"/>
      <c r="B303" s="134" t="s">
        <v>206</v>
      </c>
      <c r="C303" s="127" t="s">
        <v>449</v>
      </c>
      <c r="D303" s="128" t="s">
        <v>410</v>
      </c>
      <c r="E303" s="129">
        <v>44834</v>
      </c>
      <c r="F303" s="129">
        <v>44837</v>
      </c>
      <c r="G303" s="129">
        <v>44840</v>
      </c>
      <c r="H303" s="130"/>
      <c r="I303" s="131">
        <v>3.9217</v>
      </c>
      <c r="J303" s="131">
        <v>0</v>
      </c>
      <c r="K303" s="131">
        <v>3.9217</v>
      </c>
      <c r="L303" s="47">
        <f>+K303-((K303*0.4545*0.125)+(K303*(1-0.4545)*0.26))</f>
        <v>3.1426837077499998</v>
      </c>
      <c r="M303" s="132">
        <f t="shared" si="8"/>
        <v>3.1426837077499998</v>
      </c>
      <c r="N303" s="128" t="s">
        <v>248</v>
      </c>
    </row>
    <row r="304" spans="1:255" s="18" customFormat="1">
      <c r="A304" s="13"/>
      <c r="B304" s="134" t="s">
        <v>505</v>
      </c>
      <c r="C304" s="127" t="s">
        <v>506</v>
      </c>
      <c r="D304" s="128" t="s">
        <v>410</v>
      </c>
      <c r="E304" s="129">
        <v>44834</v>
      </c>
      <c r="F304" s="129">
        <v>44837</v>
      </c>
      <c r="G304" s="129">
        <v>44840</v>
      </c>
      <c r="H304" s="130"/>
      <c r="I304" s="131">
        <v>4.9448999999999996</v>
      </c>
      <c r="J304" s="131">
        <v>0</v>
      </c>
      <c r="K304" s="131">
        <v>4.9448999999999996</v>
      </c>
      <c r="L304" s="47">
        <f>+K304-((K304*0.0245*0.125)+(K304*(1-0.0245)*0.26))</f>
        <v>3.6755812567499992</v>
      </c>
      <c r="M304" s="132">
        <f t="shared" si="8"/>
        <v>3.6755812567499992</v>
      </c>
      <c r="N304" s="128" t="s">
        <v>248</v>
      </c>
    </row>
    <row r="305" spans="1:14" s="18" customFormat="1">
      <c r="A305" s="13"/>
      <c r="B305" s="134" t="s">
        <v>212</v>
      </c>
      <c r="C305" s="127" t="s">
        <v>450</v>
      </c>
      <c r="D305" s="128" t="s">
        <v>410</v>
      </c>
      <c r="E305" s="129">
        <v>44834</v>
      </c>
      <c r="F305" s="129">
        <v>44837</v>
      </c>
      <c r="G305" s="129">
        <v>44840</v>
      </c>
      <c r="H305" s="130"/>
      <c r="I305" s="131">
        <v>7.9353999999999996</v>
      </c>
      <c r="J305" s="131">
        <v>0</v>
      </c>
      <c r="K305" s="131">
        <v>7.9353999999999996</v>
      </c>
      <c r="L305" s="47">
        <f>+K305-((K305*0.00000001*0.125)+(K305*(1-0.000000001)*0.26))</f>
        <v>5.8721959921439542</v>
      </c>
      <c r="M305" s="132">
        <f t="shared" si="8"/>
        <v>5.8721959921439542</v>
      </c>
      <c r="N305" s="128" t="s">
        <v>248</v>
      </c>
    </row>
    <row r="306" spans="1:14" s="18" customFormat="1">
      <c r="A306" s="13"/>
      <c r="B306" s="134" t="s">
        <v>208</v>
      </c>
      <c r="C306" s="127" t="s">
        <v>451</v>
      </c>
      <c r="D306" s="128" t="s">
        <v>410</v>
      </c>
      <c r="E306" s="129">
        <v>44834</v>
      </c>
      <c r="F306" s="129">
        <v>44837</v>
      </c>
      <c r="G306" s="129">
        <v>44840</v>
      </c>
      <c r="H306" s="130"/>
      <c r="I306" s="131">
        <v>0</v>
      </c>
      <c r="J306" s="131">
        <v>0</v>
      </c>
      <c r="K306" s="131">
        <v>0</v>
      </c>
      <c r="L306" s="47">
        <f>+K306-((K306*0.0295*0.125)+(K306*(1-0.0295)*0.26))</f>
        <v>0</v>
      </c>
      <c r="M306" s="132">
        <f t="shared" si="8"/>
        <v>0</v>
      </c>
      <c r="N306" s="128" t="s">
        <v>248</v>
      </c>
    </row>
    <row r="307" spans="1:14" s="18" customFormat="1">
      <c r="A307" s="13"/>
      <c r="B307" s="134" t="s">
        <v>213</v>
      </c>
      <c r="C307" s="127" t="s">
        <v>452</v>
      </c>
      <c r="D307" s="128" t="s">
        <v>410</v>
      </c>
      <c r="E307" s="129">
        <v>44834</v>
      </c>
      <c r="F307" s="129">
        <v>44837</v>
      </c>
      <c r="G307" s="129">
        <v>44840</v>
      </c>
      <c r="H307" s="130"/>
      <c r="I307" s="131">
        <v>6.1369999999999996</v>
      </c>
      <c r="J307" s="131">
        <v>0</v>
      </c>
      <c r="K307" s="131">
        <v>6.1369999999999996</v>
      </c>
      <c r="L307" s="47">
        <f>+K307-((K307*0.0555*0.125)+(K307*(1-0.0555)*0.26))</f>
        <v>4.5873614724999996</v>
      </c>
      <c r="M307" s="132">
        <f t="shared" si="8"/>
        <v>4.5873614724999996</v>
      </c>
      <c r="N307" s="128" t="s">
        <v>248</v>
      </c>
    </row>
    <row r="308" spans="1:14" s="18" customFormat="1">
      <c r="A308" s="13"/>
      <c r="B308" s="134" t="s">
        <v>210</v>
      </c>
      <c r="C308" s="127" t="s">
        <v>458</v>
      </c>
      <c r="D308" s="128" t="s">
        <v>410</v>
      </c>
      <c r="E308" s="129">
        <v>44834</v>
      </c>
      <c r="F308" s="129">
        <v>44837</v>
      </c>
      <c r="G308" s="129">
        <v>44840</v>
      </c>
      <c r="H308" s="130"/>
      <c r="I308" s="131">
        <v>7.7209000000000003</v>
      </c>
      <c r="J308" s="131">
        <v>0</v>
      </c>
      <c r="K308" s="131">
        <v>7.7209000000000003</v>
      </c>
      <c r="L308" s="47">
        <f>+K308-((K308*0.07*0.125)+(K308*(1-0.07)*0.26))</f>
        <v>5.7864285049999999</v>
      </c>
      <c r="M308" s="132">
        <f t="shared" si="8"/>
        <v>5.7864285049999999</v>
      </c>
      <c r="N308" s="128" t="s">
        <v>248</v>
      </c>
    </row>
    <row r="309" spans="1:14" s="18" customFormat="1">
      <c r="A309" s="13"/>
      <c r="B309" s="134" t="s">
        <v>214</v>
      </c>
      <c r="C309" s="127" t="s">
        <v>453</v>
      </c>
      <c r="D309" s="128" t="s">
        <v>410</v>
      </c>
      <c r="E309" s="129">
        <v>44834</v>
      </c>
      <c r="F309" s="129">
        <v>44837</v>
      </c>
      <c r="G309" s="129">
        <v>44840</v>
      </c>
      <c r="H309" s="130"/>
      <c r="I309" s="131">
        <v>10.9472</v>
      </c>
      <c r="J309" s="131">
        <v>0</v>
      </c>
      <c r="K309" s="131">
        <v>10.9472</v>
      </c>
      <c r="L309" s="47">
        <f>+K309-((K309*0.0415*0.125)+(K309*(1-0.0415)*0.26))</f>
        <v>8.1622596880000007</v>
      </c>
      <c r="M309" s="132">
        <f t="shared" si="8"/>
        <v>8.1622596880000007</v>
      </c>
      <c r="N309" s="128" t="s">
        <v>248</v>
      </c>
    </row>
    <row r="310" spans="1:14" s="18" customFormat="1">
      <c r="A310" s="13"/>
      <c r="B310" s="134" t="s">
        <v>211</v>
      </c>
      <c r="C310" s="127" t="s">
        <v>459</v>
      </c>
      <c r="D310" s="128" t="s">
        <v>410</v>
      </c>
      <c r="E310" s="129">
        <v>44834</v>
      </c>
      <c r="F310" s="129">
        <v>44837</v>
      </c>
      <c r="G310" s="129">
        <v>44840</v>
      </c>
      <c r="H310" s="130"/>
      <c r="I310" s="131">
        <v>0</v>
      </c>
      <c r="J310" s="131">
        <v>0</v>
      </c>
      <c r="K310" s="131">
        <v>0</v>
      </c>
      <c r="L310" s="47">
        <f>+K310-((K310*0.204*0.125)+(K310*(1-0.204)*0.26))</f>
        <v>0</v>
      </c>
      <c r="M310" s="132">
        <f t="shared" si="8"/>
        <v>0</v>
      </c>
      <c r="N310" s="128" t="s">
        <v>248</v>
      </c>
    </row>
    <row r="311" spans="1:14" s="18" customFormat="1">
      <c r="A311" s="13"/>
      <c r="B311" s="134" t="s">
        <v>209</v>
      </c>
      <c r="C311" s="127" t="s">
        <v>706</v>
      </c>
      <c r="D311" s="128" t="s">
        <v>410</v>
      </c>
      <c r="E311" s="129">
        <v>44834</v>
      </c>
      <c r="F311" s="129">
        <v>44837</v>
      </c>
      <c r="G311" s="129">
        <v>44840</v>
      </c>
      <c r="H311" s="130"/>
      <c r="I311" s="131">
        <v>0</v>
      </c>
      <c r="J311" s="131">
        <v>0</v>
      </c>
      <c r="K311" s="131">
        <v>0</v>
      </c>
      <c r="L311" s="47">
        <f>+K311-((K311*0.101*0.125)+(K311*(1-0.101)*0.26))</f>
        <v>0</v>
      </c>
      <c r="M311" s="132">
        <f t="shared" si="8"/>
        <v>0</v>
      </c>
      <c r="N311" s="128" t="s">
        <v>248</v>
      </c>
    </row>
    <row r="312" spans="1:14" s="18" customFormat="1">
      <c r="A312" s="13"/>
      <c r="B312" s="134" t="s">
        <v>225</v>
      </c>
      <c r="C312" s="127" t="s">
        <v>454</v>
      </c>
      <c r="D312" s="128" t="s">
        <v>410</v>
      </c>
      <c r="E312" s="129">
        <v>44859</v>
      </c>
      <c r="F312" s="129">
        <v>44860</v>
      </c>
      <c r="G312" s="129">
        <v>44865</v>
      </c>
      <c r="H312" s="130"/>
      <c r="I312" s="131">
        <v>7.8878000000000004</v>
      </c>
      <c r="J312" s="131">
        <v>0</v>
      </c>
      <c r="K312" s="131">
        <v>7.8878000000000004</v>
      </c>
      <c r="L312" s="47">
        <f>+K312-((K312*0.258*0.125)+(K312*(1-0.258)*0.26))</f>
        <v>6.1117040740000004</v>
      </c>
      <c r="M312" s="132">
        <f t="shared" si="8"/>
        <v>6.1117040740000004</v>
      </c>
      <c r="N312" s="128" t="s">
        <v>249</v>
      </c>
    </row>
    <row r="313" spans="1:14" s="18" customFormat="1">
      <c r="A313" s="13"/>
      <c r="B313" s="134" t="s">
        <v>219</v>
      </c>
      <c r="C313" s="127" t="s">
        <v>485</v>
      </c>
      <c r="D313" s="128" t="s">
        <v>410</v>
      </c>
      <c r="E313" s="129">
        <v>44859</v>
      </c>
      <c r="F313" s="129">
        <v>44860</v>
      </c>
      <c r="G313" s="129">
        <v>44865</v>
      </c>
      <c r="H313" s="130"/>
      <c r="I313" s="131">
        <v>8.4312000000000005</v>
      </c>
      <c r="J313" s="131">
        <v>0</v>
      </c>
      <c r="K313" s="131">
        <v>8.4312000000000005</v>
      </c>
      <c r="L313" s="47">
        <f>+K313-((K313*0.004*0.125)+(K313*(1-0.004)*0.26))</f>
        <v>6.2436408480000001</v>
      </c>
      <c r="M313" s="132">
        <f t="shared" si="8"/>
        <v>6.2436408480000001</v>
      </c>
      <c r="N313" s="128" t="s">
        <v>249</v>
      </c>
    </row>
    <row r="314" spans="1:14" s="18" customFormat="1">
      <c r="A314" s="144"/>
      <c r="B314" s="62" t="s">
        <v>221</v>
      </c>
      <c r="C314" s="92" t="s">
        <v>484</v>
      </c>
      <c r="D314" s="33" t="s">
        <v>410</v>
      </c>
      <c r="E314" s="49">
        <v>44859</v>
      </c>
      <c r="F314" s="49">
        <v>44860</v>
      </c>
      <c r="G314" s="49">
        <v>44865</v>
      </c>
      <c r="H314" s="35"/>
      <c r="I314" s="67">
        <v>0</v>
      </c>
      <c r="J314" s="67">
        <v>0</v>
      </c>
      <c r="K314" s="67">
        <v>0</v>
      </c>
      <c r="L314" s="36">
        <f>+K314-((K314*0.004*0.125)+(K314*(1-0.004)*0.26))</f>
        <v>0</v>
      </c>
      <c r="M314" s="64">
        <f t="shared" si="8"/>
        <v>0</v>
      </c>
      <c r="N314" s="33" t="s">
        <v>249</v>
      </c>
    </row>
    <row r="315" spans="1:14" s="18" customFormat="1">
      <c r="A315" s="144"/>
      <c r="B315" s="62" t="s">
        <v>551</v>
      </c>
      <c r="C315" s="92" t="s">
        <v>552</v>
      </c>
      <c r="D315" s="33" t="s">
        <v>412</v>
      </c>
      <c r="E315" s="49">
        <v>44872</v>
      </c>
      <c r="F315" s="49">
        <v>44873</v>
      </c>
      <c r="G315" s="49">
        <v>44875</v>
      </c>
      <c r="H315" s="35"/>
      <c r="I315" s="67">
        <v>20</v>
      </c>
      <c r="J315" s="67">
        <v>0</v>
      </c>
      <c r="K315" s="67">
        <v>20</v>
      </c>
      <c r="L315" s="36">
        <f>+K315-((K315*0.073*0.125)+(K315*(1-0.073)*0.26))</f>
        <v>14.9971</v>
      </c>
      <c r="M315" s="64">
        <f t="shared" si="8"/>
        <v>14.9971</v>
      </c>
      <c r="N315" s="33" t="s">
        <v>288</v>
      </c>
    </row>
    <row r="316" spans="1:14">
      <c r="A316" s="144"/>
      <c r="B316" s="33" t="s">
        <v>801</v>
      </c>
      <c r="C316" s="92" t="s">
        <v>802</v>
      </c>
      <c r="D316" s="49" t="s">
        <v>410</v>
      </c>
      <c r="E316" s="49">
        <v>44924</v>
      </c>
      <c r="F316" s="49">
        <v>44925</v>
      </c>
      <c r="G316" s="49">
        <v>44930</v>
      </c>
      <c r="H316" s="33"/>
      <c r="I316" s="67">
        <v>0</v>
      </c>
      <c r="J316" s="67">
        <v>0</v>
      </c>
      <c r="K316" s="67">
        <v>0</v>
      </c>
      <c r="L316" s="36">
        <f>+K316-((K316*0.00000000001*0.125)+(K316*(1-0.0000000001)*0.26))</f>
        <v>0</v>
      </c>
      <c r="M316" s="64">
        <f t="shared" si="8"/>
        <v>0</v>
      </c>
      <c r="N316" s="33" t="s">
        <v>247</v>
      </c>
    </row>
    <row r="317" spans="1:14">
      <c r="A317" s="144"/>
      <c r="B317" s="33" t="s">
        <v>216</v>
      </c>
      <c r="C317" s="92" t="s">
        <v>456</v>
      </c>
      <c r="D317" s="33" t="s">
        <v>410</v>
      </c>
      <c r="E317" s="49">
        <v>44924</v>
      </c>
      <c r="F317" s="49">
        <v>44925</v>
      </c>
      <c r="G317" s="49">
        <v>44930</v>
      </c>
      <c r="H317" s="35"/>
      <c r="I317" s="67">
        <v>0</v>
      </c>
      <c r="J317" s="67">
        <v>0</v>
      </c>
      <c r="K317" s="67">
        <v>0</v>
      </c>
      <c r="L317" s="36">
        <f>+K317-((K317*0.096*0.125)+(K317*(1-0.096)*0.26))</f>
        <v>0</v>
      </c>
      <c r="M317" s="64">
        <f t="shared" si="8"/>
        <v>0</v>
      </c>
      <c r="N317" s="33" t="s">
        <v>247</v>
      </c>
    </row>
    <row r="318" spans="1:14">
      <c r="A318" s="144"/>
      <c r="B318" s="33" t="s">
        <v>677</v>
      </c>
      <c r="C318" s="92" t="s">
        <v>693</v>
      </c>
      <c r="D318" s="49" t="s">
        <v>410</v>
      </c>
      <c r="E318" s="49">
        <v>44924</v>
      </c>
      <c r="F318" s="49">
        <v>44925</v>
      </c>
      <c r="G318" s="49">
        <v>44930</v>
      </c>
      <c r="H318" s="67"/>
      <c r="I318" s="67">
        <v>0</v>
      </c>
      <c r="J318" s="67">
        <v>0</v>
      </c>
      <c r="K318" s="67">
        <v>0</v>
      </c>
      <c r="L318" s="36">
        <f>+K318-((K318*0.00000000001*0.125)+(K318*(1-0.0000000001)*0.26))</f>
        <v>0</v>
      </c>
      <c r="M318" s="64">
        <f t="shared" si="8"/>
        <v>0</v>
      </c>
      <c r="N318" s="33" t="s">
        <v>247</v>
      </c>
    </row>
    <row r="319" spans="1:14">
      <c r="A319" s="144"/>
      <c r="B319" s="33" t="s">
        <v>676</v>
      </c>
      <c r="C319" s="92" t="s">
        <v>692</v>
      </c>
      <c r="D319" s="49" t="s">
        <v>410</v>
      </c>
      <c r="E319" s="49">
        <v>44924</v>
      </c>
      <c r="F319" s="49">
        <v>44925</v>
      </c>
      <c r="G319" s="49">
        <v>44930</v>
      </c>
      <c r="H319" s="67"/>
      <c r="I319" s="67">
        <v>7.6649456300000001</v>
      </c>
      <c r="J319" s="67">
        <v>0</v>
      </c>
      <c r="K319" s="67">
        <v>7.6649456300000001</v>
      </c>
      <c r="L319" s="36">
        <f>+K319-((K319*0.0215*0.125)+(K319*(1-0.0215)*0.26))</f>
        <v>5.6943072708910751</v>
      </c>
      <c r="M319" s="64">
        <f t="shared" si="8"/>
        <v>5.6943072708910751</v>
      </c>
      <c r="N319" s="33" t="s">
        <v>247</v>
      </c>
    </row>
    <row r="320" spans="1:14">
      <c r="A320" s="144"/>
      <c r="B320" s="33" t="s">
        <v>215</v>
      </c>
      <c r="C320" s="92" t="s">
        <v>457</v>
      </c>
      <c r="D320" s="33" t="s">
        <v>410</v>
      </c>
      <c r="E320" s="34">
        <v>44925</v>
      </c>
      <c r="F320" s="34">
        <v>44928</v>
      </c>
      <c r="G320" s="34">
        <v>44931</v>
      </c>
      <c r="H320" s="35"/>
      <c r="I320" s="67">
        <v>0</v>
      </c>
      <c r="J320" s="67">
        <v>0</v>
      </c>
      <c r="K320" s="67">
        <v>0</v>
      </c>
      <c r="L320" s="36">
        <f>+K320-((K320*0.275*0.125)+(K320*(1-0.275)*0.26))</f>
        <v>0</v>
      </c>
      <c r="M320" s="64">
        <f t="shared" ref="M320:M383" si="9">L320+J320</f>
        <v>0</v>
      </c>
      <c r="N320" s="33" t="s">
        <v>248</v>
      </c>
    </row>
    <row r="321" spans="1:14">
      <c r="A321" s="144"/>
      <c r="B321" s="33" t="s">
        <v>203</v>
      </c>
      <c r="C321" s="92" t="s">
        <v>445</v>
      </c>
      <c r="D321" s="33" t="s">
        <v>410</v>
      </c>
      <c r="E321" s="34">
        <v>44925</v>
      </c>
      <c r="F321" s="34">
        <v>44928</v>
      </c>
      <c r="G321" s="34">
        <v>44931</v>
      </c>
      <c r="H321" s="75"/>
      <c r="I321" s="67">
        <v>1.0188999999999999</v>
      </c>
      <c r="J321" s="67">
        <v>0</v>
      </c>
      <c r="K321" s="67">
        <v>1.0188999999999999</v>
      </c>
      <c r="L321" s="36">
        <f>+K321-((K321*0.547*0.125)+(K321*(1-0.547)*0.26))</f>
        <v>0.82922667049999998</v>
      </c>
      <c r="M321" s="64">
        <f t="shared" si="9"/>
        <v>0.82922667049999998</v>
      </c>
      <c r="N321" s="33" t="s">
        <v>248</v>
      </c>
    </row>
    <row r="322" spans="1:14">
      <c r="A322" s="144"/>
      <c r="B322" s="33" t="s">
        <v>204</v>
      </c>
      <c r="C322" s="92" t="s">
        <v>446</v>
      </c>
      <c r="D322" s="33" t="s">
        <v>410</v>
      </c>
      <c r="E322" s="34">
        <v>44925</v>
      </c>
      <c r="F322" s="34">
        <v>44928</v>
      </c>
      <c r="G322" s="34">
        <v>44931</v>
      </c>
      <c r="H322" s="35"/>
      <c r="I322" s="67">
        <v>1.1577</v>
      </c>
      <c r="J322" s="67">
        <v>0</v>
      </c>
      <c r="K322" s="67">
        <v>1.1577</v>
      </c>
      <c r="L322" s="36">
        <f>+K322-((K322*0.017*0.125)+(K322*(1-0.017)*0.26))</f>
        <v>0.85935492150000004</v>
      </c>
      <c r="M322" s="64">
        <f t="shared" si="9"/>
        <v>0.85935492150000004</v>
      </c>
      <c r="N322" s="33" t="s">
        <v>248</v>
      </c>
    </row>
    <row r="323" spans="1:14">
      <c r="A323" s="144"/>
      <c r="B323" s="33" t="s">
        <v>207</v>
      </c>
      <c r="C323" s="92" t="s">
        <v>447</v>
      </c>
      <c r="D323" s="33" t="s">
        <v>410</v>
      </c>
      <c r="E323" s="34">
        <v>44925</v>
      </c>
      <c r="F323" s="34">
        <v>44928</v>
      </c>
      <c r="G323" s="34">
        <v>44931</v>
      </c>
      <c r="H323" s="35"/>
      <c r="I323" s="67">
        <v>0.50470000000000004</v>
      </c>
      <c r="J323" s="67">
        <v>0</v>
      </c>
      <c r="K323" s="67">
        <v>0.50470000000000004</v>
      </c>
      <c r="L323" s="36">
        <f>+K323-((K323*0.8075*0.125)+(K323*(1-0.8075)*0.26))</f>
        <v>0.42849660875000006</v>
      </c>
      <c r="M323" s="64">
        <f t="shared" si="9"/>
        <v>0.42849660875000006</v>
      </c>
      <c r="N323" s="33" t="s">
        <v>248</v>
      </c>
    </row>
    <row r="324" spans="1:14">
      <c r="A324" s="144"/>
      <c r="B324" s="33" t="s">
        <v>678</v>
      </c>
      <c r="C324" s="92" t="s">
        <v>707</v>
      </c>
      <c r="D324" s="34" t="s">
        <v>410</v>
      </c>
      <c r="E324" s="34">
        <v>44925</v>
      </c>
      <c r="F324" s="34">
        <v>44928</v>
      </c>
      <c r="G324" s="34">
        <v>44931</v>
      </c>
      <c r="H324" s="33"/>
      <c r="I324" s="67">
        <v>6.3014999999999999</v>
      </c>
      <c r="J324" s="67">
        <v>0</v>
      </c>
      <c r="K324" s="67">
        <v>6.3014999999999999</v>
      </c>
      <c r="L324" s="64">
        <f>+K324-((K324*0.2985*0.125)+(K324*(1-0.2985)*0.26))</f>
        <v>4.9170446962499996</v>
      </c>
      <c r="M324" s="64">
        <f t="shared" si="9"/>
        <v>4.9170446962499996</v>
      </c>
      <c r="N324" s="33" t="s">
        <v>248</v>
      </c>
    </row>
    <row r="325" spans="1:14">
      <c r="A325" s="82"/>
      <c r="B325" s="33" t="s">
        <v>205</v>
      </c>
      <c r="C325" s="92" t="s">
        <v>448</v>
      </c>
      <c r="D325" s="33" t="s">
        <v>410</v>
      </c>
      <c r="E325" s="34">
        <v>44925</v>
      </c>
      <c r="F325" s="34">
        <v>44928</v>
      </c>
      <c r="G325" s="34">
        <v>44931</v>
      </c>
      <c r="H325" s="35"/>
      <c r="I325" s="67">
        <v>3.7671999999999999</v>
      </c>
      <c r="J325" s="67">
        <v>0</v>
      </c>
      <c r="K325" s="67">
        <v>3.7671999999999999</v>
      </c>
      <c r="L325" s="36">
        <f>+K325-((K325*0.4545*0.125)+(K325*(1-0.4545)*0.26))</f>
        <v>3.0188739739999999</v>
      </c>
      <c r="M325" s="64">
        <f t="shared" si="9"/>
        <v>3.0188739739999999</v>
      </c>
      <c r="N325" s="33" t="s">
        <v>248</v>
      </c>
    </row>
    <row r="326" spans="1:14">
      <c r="A326" s="82"/>
      <c r="B326" s="33" t="s">
        <v>206</v>
      </c>
      <c r="C326" s="92" t="s">
        <v>449</v>
      </c>
      <c r="D326" s="33" t="s">
        <v>410</v>
      </c>
      <c r="E326" s="34">
        <v>44925</v>
      </c>
      <c r="F326" s="34">
        <v>44928</v>
      </c>
      <c r="G326" s="34">
        <v>44931</v>
      </c>
      <c r="H326" s="35"/>
      <c r="I326" s="67">
        <v>3.9217</v>
      </c>
      <c r="J326" s="67">
        <v>0</v>
      </c>
      <c r="K326" s="67">
        <v>3.9217</v>
      </c>
      <c r="L326" s="36">
        <f>+K326-((K326*0.4545*0.125)+(K326*(1-0.4545)*0.26))</f>
        <v>3.1426837077499998</v>
      </c>
      <c r="M326" s="64">
        <f t="shared" si="9"/>
        <v>3.1426837077499998</v>
      </c>
      <c r="N326" s="33" t="s">
        <v>248</v>
      </c>
    </row>
    <row r="327" spans="1:14">
      <c r="A327" s="96"/>
      <c r="B327" s="33" t="s">
        <v>505</v>
      </c>
      <c r="C327" s="92" t="s">
        <v>506</v>
      </c>
      <c r="D327" s="33" t="s">
        <v>410</v>
      </c>
      <c r="E327" s="34">
        <v>44925</v>
      </c>
      <c r="F327" s="34">
        <v>44928</v>
      </c>
      <c r="G327" s="34">
        <v>44931</v>
      </c>
      <c r="H327" s="35"/>
      <c r="I327" s="67">
        <v>4.9448999999999996</v>
      </c>
      <c r="J327" s="67">
        <v>0</v>
      </c>
      <c r="K327" s="67">
        <v>4.9448999999999996</v>
      </c>
      <c r="L327" s="36">
        <f>+K327-((K327*0.0245*0.125)+(K327*(1-0.0245)*0.26))</f>
        <v>3.6755812567499992</v>
      </c>
      <c r="M327" s="64">
        <f t="shared" si="9"/>
        <v>3.6755812567499992</v>
      </c>
      <c r="N327" s="33" t="s">
        <v>248</v>
      </c>
    </row>
    <row r="328" spans="1:14">
      <c r="A328" s="82"/>
      <c r="B328" s="33" t="s">
        <v>212</v>
      </c>
      <c r="C328" s="92" t="s">
        <v>450</v>
      </c>
      <c r="D328" s="33" t="s">
        <v>410</v>
      </c>
      <c r="E328" s="34">
        <v>44925</v>
      </c>
      <c r="F328" s="34">
        <v>44928</v>
      </c>
      <c r="G328" s="34">
        <v>44931</v>
      </c>
      <c r="H328" s="35"/>
      <c r="I328" s="67">
        <v>7.9353999999999996</v>
      </c>
      <c r="J328" s="67">
        <v>0</v>
      </c>
      <c r="K328" s="67">
        <v>7.9353999999999996</v>
      </c>
      <c r="L328" s="36">
        <f>+K328-((K328*0.00000001*0.125)+(K328*(1-0.000000001)*0.26))</f>
        <v>5.8721959921439542</v>
      </c>
      <c r="M328" s="64">
        <f t="shared" si="9"/>
        <v>5.8721959921439542</v>
      </c>
      <c r="N328" s="33" t="s">
        <v>248</v>
      </c>
    </row>
    <row r="329" spans="1:14">
      <c r="A329" s="82"/>
      <c r="B329" s="33" t="s">
        <v>208</v>
      </c>
      <c r="C329" s="92" t="s">
        <v>451</v>
      </c>
      <c r="D329" s="33" t="s">
        <v>410</v>
      </c>
      <c r="E329" s="34">
        <v>44925</v>
      </c>
      <c r="F329" s="34">
        <v>44928</v>
      </c>
      <c r="G329" s="34">
        <v>44931</v>
      </c>
      <c r="H329" s="35"/>
      <c r="I329" s="67">
        <v>0</v>
      </c>
      <c r="J329" s="67">
        <v>0</v>
      </c>
      <c r="K329" s="67">
        <v>0</v>
      </c>
      <c r="L329" s="36">
        <f>+K329-((K329*0.0295*0.125)+(K329*(1-0.0295)*0.26))</f>
        <v>0</v>
      </c>
      <c r="M329" s="64">
        <f t="shared" si="9"/>
        <v>0</v>
      </c>
      <c r="N329" s="33" t="s">
        <v>248</v>
      </c>
    </row>
    <row r="330" spans="1:14">
      <c r="A330" s="144"/>
      <c r="B330" s="33" t="s">
        <v>213</v>
      </c>
      <c r="C330" s="92" t="s">
        <v>452</v>
      </c>
      <c r="D330" s="33" t="s">
        <v>410</v>
      </c>
      <c r="E330" s="34">
        <v>44925</v>
      </c>
      <c r="F330" s="34">
        <v>44928</v>
      </c>
      <c r="G330" s="34">
        <v>44931</v>
      </c>
      <c r="H330" s="35"/>
      <c r="I330" s="67">
        <v>6.1369999999999996</v>
      </c>
      <c r="J330" s="67">
        <v>0</v>
      </c>
      <c r="K330" s="67">
        <v>6.1369999999999996</v>
      </c>
      <c r="L330" s="36">
        <f>+K330-((K330*0.0555*0.125)+(K330*(1-0.0555)*0.26))</f>
        <v>4.5873614724999996</v>
      </c>
      <c r="M330" s="64">
        <f t="shared" si="9"/>
        <v>4.5873614724999996</v>
      </c>
      <c r="N330" s="33" t="s">
        <v>248</v>
      </c>
    </row>
    <row r="331" spans="1:14">
      <c r="A331" s="144"/>
      <c r="B331" s="33" t="s">
        <v>210</v>
      </c>
      <c r="C331" s="92" t="s">
        <v>458</v>
      </c>
      <c r="D331" s="33" t="s">
        <v>410</v>
      </c>
      <c r="E331" s="34">
        <v>44925</v>
      </c>
      <c r="F331" s="34">
        <v>44928</v>
      </c>
      <c r="G331" s="34">
        <v>44931</v>
      </c>
      <c r="H331" s="35"/>
      <c r="I331" s="67">
        <v>7.7209000000000003</v>
      </c>
      <c r="J331" s="67">
        <v>0</v>
      </c>
      <c r="K331" s="67">
        <v>7.7209000000000003</v>
      </c>
      <c r="L331" s="36">
        <f>+K331-((K331*0.07*0.125)+(K331*(1-0.07)*0.26))</f>
        <v>5.7864285049999999</v>
      </c>
      <c r="M331" s="64">
        <f t="shared" si="9"/>
        <v>5.7864285049999999</v>
      </c>
      <c r="N331" s="33" t="s">
        <v>248</v>
      </c>
    </row>
    <row r="332" spans="1:14">
      <c r="A332" s="144"/>
      <c r="B332" s="33" t="s">
        <v>214</v>
      </c>
      <c r="C332" s="92" t="s">
        <v>453</v>
      </c>
      <c r="D332" s="33" t="s">
        <v>410</v>
      </c>
      <c r="E332" s="34">
        <v>44925</v>
      </c>
      <c r="F332" s="34">
        <v>44928</v>
      </c>
      <c r="G332" s="34">
        <v>44931</v>
      </c>
      <c r="H332" s="35"/>
      <c r="I332" s="67">
        <v>10.9472</v>
      </c>
      <c r="J332" s="67">
        <v>0</v>
      </c>
      <c r="K332" s="67">
        <v>10.9472</v>
      </c>
      <c r="L332" s="36">
        <f>+K332-((K332*0.0415*0.125)+(K332*(1-0.0415)*0.26))</f>
        <v>8.1622596880000007</v>
      </c>
      <c r="M332" s="64">
        <f t="shared" si="9"/>
        <v>8.1622596880000007</v>
      </c>
      <c r="N332" s="33" t="s">
        <v>248</v>
      </c>
    </row>
    <row r="333" spans="1:14">
      <c r="A333" s="144"/>
      <c r="B333" s="33" t="s">
        <v>211</v>
      </c>
      <c r="C333" s="92" t="s">
        <v>459</v>
      </c>
      <c r="D333" s="33" t="s">
        <v>410</v>
      </c>
      <c r="E333" s="34">
        <v>44925</v>
      </c>
      <c r="F333" s="34">
        <v>44928</v>
      </c>
      <c r="G333" s="34">
        <v>44931</v>
      </c>
      <c r="H333" s="35"/>
      <c r="I333" s="67">
        <v>0</v>
      </c>
      <c r="J333" s="67">
        <v>0</v>
      </c>
      <c r="K333" s="67">
        <v>0</v>
      </c>
      <c r="L333" s="36">
        <f>+K333-((K333*0.204*0.125)+(K333*(1-0.204)*0.26))</f>
        <v>0</v>
      </c>
      <c r="M333" s="64">
        <f t="shared" si="9"/>
        <v>0</v>
      </c>
      <c r="N333" s="33" t="s">
        <v>248</v>
      </c>
    </row>
    <row r="334" spans="1:14">
      <c r="A334" s="144"/>
      <c r="B334" s="33" t="s">
        <v>209</v>
      </c>
      <c r="C334" s="92" t="s">
        <v>706</v>
      </c>
      <c r="D334" s="33" t="s">
        <v>410</v>
      </c>
      <c r="E334" s="34">
        <v>44925</v>
      </c>
      <c r="F334" s="34">
        <v>44928</v>
      </c>
      <c r="G334" s="34">
        <v>44931</v>
      </c>
      <c r="H334" s="35"/>
      <c r="I334" s="67">
        <v>0</v>
      </c>
      <c r="J334" s="67">
        <v>0</v>
      </c>
      <c r="K334" s="67">
        <v>0</v>
      </c>
      <c r="L334" s="36">
        <f>+K334-((K334*0.101*0.125)+(K334*(1-0.101)*0.26))</f>
        <v>0</v>
      </c>
      <c r="M334" s="64">
        <f t="shared" si="9"/>
        <v>0</v>
      </c>
      <c r="N334" s="33" t="s">
        <v>248</v>
      </c>
    </row>
    <row r="335" spans="1:14">
      <c r="A335" s="144"/>
      <c r="B335" s="33" t="s">
        <v>225</v>
      </c>
      <c r="C335" s="92" t="s">
        <v>454</v>
      </c>
      <c r="D335" s="34" t="s">
        <v>410</v>
      </c>
      <c r="E335" s="34">
        <v>44951</v>
      </c>
      <c r="F335" s="34">
        <v>44952</v>
      </c>
      <c r="G335" s="34">
        <v>44957</v>
      </c>
      <c r="H335" s="33"/>
      <c r="I335" s="67">
        <v>9.1012000000000004</v>
      </c>
      <c r="J335" s="67">
        <v>0</v>
      </c>
      <c r="K335" s="67">
        <v>9.1012000000000004</v>
      </c>
      <c r="L335" s="64">
        <f>+K335-((K335*0.266*0.125)+(K335*(1-0.266)*0.26))</f>
        <v>7.0617120920000005</v>
      </c>
      <c r="M335" s="64">
        <f t="shared" si="9"/>
        <v>7.0617120920000005</v>
      </c>
      <c r="N335" s="33" t="s">
        <v>249</v>
      </c>
    </row>
    <row r="336" spans="1:14">
      <c r="A336" s="144"/>
      <c r="B336" s="33" t="s">
        <v>223</v>
      </c>
      <c r="C336" s="92" t="s">
        <v>488</v>
      </c>
      <c r="D336" s="34" t="s">
        <v>413</v>
      </c>
      <c r="E336" s="34">
        <v>44951</v>
      </c>
      <c r="F336" s="34">
        <v>44952</v>
      </c>
      <c r="G336" s="34">
        <v>44957</v>
      </c>
      <c r="H336" s="33"/>
      <c r="I336" s="67">
        <v>15.515700000000001</v>
      </c>
      <c r="J336" s="67">
        <v>0</v>
      </c>
      <c r="K336" s="67">
        <v>15.515700000000001</v>
      </c>
      <c r="L336" s="64">
        <f>+K336-((K336*0.000000000001*0.125)+(K336*(1-0.000000000001)*0.26))</f>
        <v>11.481618000002094</v>
      </c>
      <c r="M336" s="64">
        <f t="shared" si="9"/>
        <v>11.481618000002094</v>
      </c>
      <c r="N336" s="33" t="s">
        <v>250</v>
      </c>
    </row>
    <row r="337" spans="1:14">
      <c r="A337" s="144"/>
      <c r="B337" s="33" t="s">
        <v>219</v>
      </c>
      <c r="C337" s="92" t="s">
        <v>485</v>
      </c>
      <c r="D337" s="34" t="s">
        <v>410</v>
      </c>
      <c r="E337" s="34">
        <v>44951</v>
      </c>
      <c r="F337" s="34">
        <v>44952</v>
      </c>
      <c r="G337" s="34">
        <v>44957</v>
      </c>
      <c r="H337" s="33"/>
      <c r="I337" s="67">
        <v>7.5636000000000001</v>
      </c>
      <c r="J337" s="67">
        <v>0</v>
      </c>
      <c r="K337" s="67">
        <v>7.5636000000000001</v>
      </c>
      <c r="L337" s="64">
        <f>+K337-((K337*0.005*0.125)+(K337*(1-0.005)*0.26))</f>
        <v>5.60216943</v>
      </c>
      <c r="M337" s="64">
        <f t="shared" si="9"/>
        <v>5.60216943</v>
      </c>
      <c r="N337" s="33" t="s">
        <v>249</v>
      </c>
    </row>
    <row r="338" spans="1:14">
      <c r="A338" s="144"/>
      <c r="B338" s="33" t="s">
        <v>221</v>
      </c>
      <c r="C338" s="92" t="s">
        <v>484</v>
      </c>
      <c r="D338" s="34" t="s">
        <v>410</v>
      </c>
      <c r="E338" s="34">
        <v>44951</v>
      </c>
      <c r="F338" s="34">
        <v>44952</v>
      </c>
      <c r="G338" s="34">
        <v>44957</v>
      </c>
      <c r="H338" s="33"/>
      <c r="I338" s="67">
        <v>0</v>
      </c>
      <c r="J338" s="67">
        <v>0</v>
      </c>
      <c r="K338" s="67">
        <v>0</v>
      </c>
      <c r="L338" s="64">
        <f>+K338-((K338*0.005*0.125)+(K338*(1-0.005)*0.26))</f>
        <v>0</v>
      </c>
      <c r="M338" s="64">
        <f t="shared" si="9"/>
        <v>0</v>
      </c>
      <c r="N338" s="33" t="s">
        <v>249</v>
      </c>
    </row>
    <row r="339" spans="1:14">
      <c r="A339" s="144"/>
      <c r="B339" s="33" t="s">
        <v>486</v>
      </c>
      <c r="C339" s="92" t="s">
        <v>487</v>
      </c>
      <c r="D339" s="34" t="s">
        <v>413</v>
      </c>
      <c r="E339" s="34">
        <v>44951</v>
      </c>
      <c r="F339" s="34">
        <v>44952</v>
      </c>
      <c r="G339" s="34">
        <v>44957</v>
      </c>
      <c r="H339" s="33"/>
      <c r="I339" s="67">
        <v>21.673400000000001</v>
      </c>
      <c r="J339" s="67">
        <v>2.6354772600000009</v>
      </c>
      <c r="K339" s="67">
        <v>19.037922739999999</v>
      </c>
      <c r="L339" s="64">
        <f>+K339-((K339*0.005*0.125)+(K339*(1-0.005)*0.26))</f>
        <v>14.100913425449498</v>
      </c>
      <c r="M339" s="64">
        <f t="shared" si="9"/>
        <v>16.7363906854495</v>
      </c>
      <c r="N339" s="33" t="s">
        <v>250</v>
      </c>
    </row>
    <row r="340" spans="1:14">
      <c r="A340" s="144"/>
      <c r="B340" s="33" t="s">
        <v>489</v>
      </c>
      <c r="C340" s="92" t="s">
        <v>521</v>
      </c>
      <c r="D340" s="34" t="s">
        <v>413</v>
      </c>
      <c r="E340" s="34">
        <v>44951</v>
      </c>
      <c r="F340" s="34">
        <v>44952</v>
      </c>
      <c r="G340" s="34">
        <v>44957</v>
      </c>
      <c r="H340" s="33"/>
      <c r="I340" s="67">
        <v>0</v>
      </c>
      <c r="J340" s="67">
        <v>0</v>
      </c>
      <c r="K340" s="67">
        <v>0</v>
      </c>
      <c r="L340" s="64">
        <f>+K340-((K340*0.2325*0.125)+(K340*(1-0.2325)*0.26))</f>
        <v>0</v>
      </c>
      <c r="M340" s="64">
        <f t="shared" si="9"/>
        <v>0</v>
      </c>
      <c r="N340" s="33" t="s">
        <v>250</v>
      </c>
    </row>
    <row r="341" spans="1:14">
      <c r="A341" s="144"/>
      <c r="B341" s="33" t="s">
        <v>218</v>
      </c>
      <c r="C341" s="92" t="s">
        <v>455</v>
      </c>
      <c r="D341" s="34" t="s">
        <v>413</v>
      </c>
      <c r="E341" s="34">
        <v>44951</v>
      </c>
      <c r="F341" s="34">
        <v>44952</v>
      </c>
      <c r="G341" s="34">
        <v>44957</v>
      </c>
      <c r="H341" s="33"/>
      <c r="I341" s="67">
        <v>29.522099999999998</v>
      </c>
      <c r="J341" s="67">
        <v>7.1099537300000009</v>
      </c>
      <c r="K341" s="67">
        <v>22.412146269999997</v>
      </c>
      <c r="L341" s="64">
        <f>+K341-((K341*0.2325*0.125)+(K341*(1-0.2325)*0.26))</f>
        <v>17.288449480849621</v>
      </c>
      <c r="M341" s="64">
        <f t="shared" si="9"/>
        <v>24.398403210849622</v>
      </c>
      <c r="N341" s="33" t="s">
        <v>250</v>
      </c>
    </row>
    <row r="342" spans="1:14">
      <c r="A342" s="144"/>
      <c r="B342" s="33" t="s">
        <v>491</v>
      </c>
      <c r="C342" s="92" t="s">
        <v>671</v>
      </c>
      <c r="D342" s="34" t="s">
        <v>413</v>
      </c>
      <c r="E342" s="34">
        <v>44951</v>
      </c>
      <c r="F342" s="34">
        <v>44952</v>
      </c>
      <c r="G342" s="34">
        <v>44957</v>
      </c>
      <c r="H342" s="33"/>
      <c r="I342" s="67">
        <v>0</v>
      </c>
      <c r="J342" s="67">
        <v>0</v>
      </c>
      <c r="K342" s="67">
        <v>0</v>
      </c>
      <c r="L342" s="64">
        <f>+K342-((K342*0.1135*0.125)+(K342*(1-0.1135)*0.26))</f>
        <v>0</v>
      </c>
      <c r="M342" s="64">
        <f t="shared" si="9"/>
        <v>0</v>
      </c>
      <c r="N342" s="33" t="s">
        <v>250</v>
      </c>
    </row>
    <row r="343" spans="1:14">
      <c r="A343" s="144"/>
      <c r="B343" s="33" t="s">
        <v>492</v>
      </c>
      <c r="C343" s="92" t="s">
        <v>494</v>
      </c>
      <c r="D343" s="34" t="s">
        <v>412</v>
      </c>
      <c r="E343" s="34">
        <v>44951</v>
      </c>
      <c r="F343" s="34">
        <v>44952</v>
      </c>
      <c r="G343" s="34">
        <v>44957</v>
      </c>
      <c r="H343" s="33"/>
      <c r="I343" s="67">
        <v>66.209699999999998</v>
      </c>
      <c r="J343" s="67">
        <v>0</v>
      </c>
      <c r="K343" s="67">
        <v>66.209699999999998</v>
      </c>
      <c r="L343" s="64">
        <f>+K343-((K343*0.1135*0.125)+(K343*(1-0.1135)*0.26))</f>
        <v>50.00967612825</v>
      </c>
      <c r="M343" s="64">
        <f t="shared" si="9"/>
        <v>50.00967612825</v>
      </c>
      <c r="N343" s="33" t="s">
        <v>495</v>
      </c>
    </row>
    <row r="344" spans="1:14">
      <c r="A344" s="144"/>
      <c r="B344" s="33" t="s">
        <v>801</v>
      </c>
      <c r="C344" s="92" t="s">
        <v>802</v>
      </c>
      <c r="D344" s="34" t="s">
        <v>410</v>
      </c>
      <c r="E344" s="34">
        <v>45015</v>
      </c>
      <c r="F344" s="34">
        <v>45016</v>
      </c>
      <c r="G344" s="34">
        <v>45021</v>
      </c>
      <c r="H344" s="33"/>
      <c r="I344" s="67">
        <v>2.4140000000000001</v>
      </c>
      <c r="J344" s="67">
        <v>0</v>
      </c>
      <c r="K344" s="67">
        <v>2.4140000000000001</v>
      </c>
      <c r="L344" s="36">
        <f>+K344-((K344*0.00000000001*0.125)+(K344*(1-0.0000000001)*0.26))</f>
        <v>1.7863600000597466</v>
      </c>
      <c r="M344" s="64">
        <f t="shared" si="9"/>
        <v>1.7863600000597466</v>
      </c>
      <c r="N344" s="33" t="s">
        <v>247</v>
      </c>
    </row>
    <row r="345" spans="1:14">
      <c r="A345" s="144"/>
      <c r="B345" s="33" t="s">
        <v>216</v>
      </c>
      <c r="C345" s="92" t="s">
        <v>456</v>
      </c>
      <c r="D345" s="34" t="s">
        <v>410</v>
      </c>
      <c r="E345" s="34">
        <v>45015</v>
      </c>
      <c r="F345" s="34">
        <v>45016</v>
      </c>
      <c r="G345" s="34">
        <v>45021</v>
      </c>
      <c r="H345" s="33"/>
      <c r="I345" s="67">
        <v>0</v>
      </c>
      <c r="J345" s="67">
        <v>0</v>
      </c>
      <c r="K345" s="67">
        <v>0</v>
      </c>
      <c r="L345" s="64">
        <f>+K345-((K345*0.0806*0.125)+(K345*(1-0.0806)*0.26))</f>
        <v>0</v>
      </c>
      <c r="M345" s="64">
        <f t="shared" si="9"/>
        <v>0</v>
      </c>
      <c r="N345" s="33" t="s">
        <v>247</v>
      </c>
    </row>
    <row r="346" spans="1:14">
      <c r="A346" s="144"/>
      <c r="B346" s="33" t="s">
        <v>677</v>
      </c>
      <c r="C346" s="92" t="s">
        <v>693</v>
      </c>
      <c r="D346" s="34" t="s">
        <v>410</v>
      </c>
      <c r="E346" s="34">
        <v>45015</v>
      </c>
      <c r="F346" s="34">
        <v>45016</v>
      </c>
      <c r="G346" s="34">
        <v>45021</v>
      </c>
      <c r="H346" s="33"/>
      <c r="I346" s="67">
        <v>1.0646929999999999</v>
      </c>
      <c r="J346" s="67">
        <v>0</v>
      </c>
      <c r="K346" s="67">
        <v>1.06469323</v>
      </c>
      <c r="L346" s="64">
        <f>+K346-((K346*0.00000000001*0.125)+(K346*(1-0.0000000001)*0.26))</f>
        <v>0.78787299022635116</v>
      </c>
      <c r="M346" s="64">
        <f t="shared" si="9"/>
        <v>0.78787299022635116</v>
      </c>
      <c r="N346" s="33" t="s">
        <v>247</v>
      </c>
    </row>
    <row r="347" spans="1:14">
      <c r="A347" s="144"/>
      <c r="B347" s="33" t="s">
        <v>676</v>
      </c>
      <c r="C347" s="92" t="s">
        <v>692</v>
      </c>
      <c r="D347" s="34" t="s">
        <v>410</v>
      </c>
      <c r="E347" s="34">
        <v>45015</v>
      </c>
      <c r="F347" s="34">
        <v>45016</v>
      </c>
      <c r="G347" s="34">
        <v>45021</v>
      </c>
      <c r="H347" s="33"/>
      <c r="I347" s="67">
        <v>8.2930469999999996</v>
      </c>
      <c r="J347" s="67">
        <v>0</v>
      </c>
      <c r="K347" s="67">
        <v>8.2930473599999992</v>
      </c>
      <c r="L347" s="64">
        <f>+K347-((K347*0.0602*0.125)+(K347*(1-0.0602)*0.26))</f>
        <v>6.2042526422947191</v>
      </c>
      <c r="M347" s="64">
        <f t="shared" si="9"/>
        <v>6.2042526422947191</v>
      </c>
      <c r="N347" s="33" t="s">
        <v>247</v>
      </c>
    </row>
    <row r="348" spans="1:14">
      <c r="A348" s="144"/>
      <c r="B348" s="33" t="s">
        <v>215</v>
      </c>
      <c r="C348" s="92" t="s">
        <v>457</v>
      </c>
      <c r="D348" s="34" t="s">
        <v>410</v>
      </c>
      <c r="E348" s="34">
        <v>45016</v>
      </c>
      <c r="F348" s="34">
        <v>45019</v>
      </c>
      <c r="G348" s="34">
        <v>45022</v>
      </c>
      <c r="H348" s="33"/>
      <c r="I348" s="67">
        <v>0</v>
      </c>
      <c r="J348" s="67">
        <v>0</v>
      </c>
      <c r="K348" s="67">
        <v>0</v>
      </c>
      <c r="L348" s="64">
        <f>+K348-((K348*0.2774*0.125)+(K348*(1-0.2774)*0.26))</f>
        <v>0</v>
      </c>
      <c r="M348" s="64">
        <f t="shared" si="9"/>
        <v>0</v>
      </c>
      <c r="N348" s="33" t="s">
        <v>248</v>
      </c>
    </row>
    <row r="349" spans="1:14">
      <c r="A349" s="144"/>
      <c r="B349" s="33" t="s">
        <v>203</v>
      </c>
      <c r="C349" s="92" t="s">
        <v>445</v>
      </c>
      <c r="D349" s="34" t="s">
        <v>410</v>
      </c>
      <c r="E349" s="34">
        <v>45016</v>
      </c>
      <c r="F349" s="34">
        <v>45019</v>
      </c>
      <c r="G349" s="34">
        <v>45022</v>
      </c>
      <c r="H349" s="33"/>
      <c r="I349" s="67">
        <v>5.3177000000000003</v>
      </c>
      <c r="J349" s="67">
        <v>0</v>
      </c>
      <c r="K349" s="67">
        <v>5.3177000000000003</v>
      </c>
      <c r="L349" s="64">
        <f>+K349-((K349*0.4595*0.125)+(K349*(1-0.4595)*0.26))</f>
        <v>4.2649682252500005</v>
      </c>
      <c r="M349" s="64">
        <f t="shared" si="9"/>
        <v>4.2649682252500005</v>
      </c>
      <c r="N349" s="33" t="s">
        <v>248</v>
      </c>
    </row>
    <row r="350" spans="1:14">
      <c r="A350" s="144"/>
      <c r="B350" s="33" t="s">
        <v>204</v>
      </c>
      <c r="C350" s="92" t="s">
        <v>446</v>
      </c>
      <c r="D350" s="34" t="s">
        <v>410</v>
      </c>
      <c r="E350" s="34">
        <v>45016</v>
      </c>
      <c r="F350" s="34">
        <v>45019</v>
      </c>
      <c r="G350" s="34">
        <v>45022</v>
      </c>
      <c r="H350" s="33"/>
      <c r="I350" s="67">
        <v>7.7664</v>
      </c>
      <c r="J350" s="67">
        <v>0</v>
      </c>
      <c r="K350" s="67">
        <v>7.7664</v>
      </c>
      <c r="L350" s="64">
        <f>+K350-((K350*0.0171*0.125)+(K350*(1-0.0171)*0.26))</f>
        <v>5.7650647344000001</v>
      </c>
      <c r="M350" s="64">
        <f t="shared" si="9"/>
        <v>5.7650647344000001</v>
      </c>
      <c r="N350" s="33" t="s">
        <v>248</v>
      </c>
    </row>
    <row r="351" spans="1:14">
      <c r="A351" s="144"/>
      <c r="B351" s="33" t="s">
        <v>207</v>
      </c>
      <c r="C351" s="92" t="s">
        <v>447</v>
      </c>
      <c r="D351" s="34" t="s">
        <v>410</v>
      </c>
      <c r="E351" s="34">
        <v>45016</v>
      </c>
      <c r="F351" s="34">
        <v>45019</v>
      </c>
      <c r="G351" s="34">
        <v>45022</v>
      </c>
      <c r="H351" s="33"/>
      <c r="I351" s="67">
        <v>4.1631999999999998</v>
      </c>
      <c r="J351" s="67">
        <v>0</v>
      </c>
      <c r="K351" s="67">
        <v>4.1631999999999998</v>
      </c>
      <c r="L351" s="64">
        <f>+K351-((K351*0.8388*0.125)+(K351*(1-0.8388)*0.26))</f>
        <v>3.5522004415999997</v>
      </c>
      <c r="M351" s="64">
        <f t="shared" si="9"/>
        <v>3.5522004415999997</v>
      </c>
      <c r="N351" s="33" t="s">
        <v>248</v>
      </c>
    </row>
    <row r="352" spans="1:14">
      <c r="A352" s="144"/>
      <c r="B352" s="33" t="s">
        <v>678</v>
      </c>
      <c r="C352" s="92" t="s">
        <v>707</v>
      </c>
      <c r="D352" s="34" t="s">
        <v>410</v>
      </c>
      <c r="E352" s="34">
        <v>45016</v>
      </c>
      <c r="F352" s="34">
        <v>45019</v>
      </c>
      <c r="G352" s="34">
        <v>45022</v>
      </c>
      <c r="H352" s="33"/>
      <c r="I352" s="67">
        <v>16.300599999999999</v>
      </c>
      <c r="J352" s="67">
        <v>2.3218716118986427</v>
      </c>
      <c r="K352" s="67">
        <v>13.978728388101358</v>
      </c>
      <c r="L352" s="64">
        <f>+K352-((K352*0.4519*0.125)+(K352*(1-0.4519)*0.26))</f>
        <v>11.19705230060371</v>
      </c>
      <c r="M352" s="64">
        <f t="shared" si="9"/>
        <v>13.518923912502352</v>
      </c>
      <c r="N352" s="33" t="s">
        <v>248</v>
      </c>
    </row>
    <row r="353" spans="1:255">
      <c r="A353" s="144"/>
      <c r="B353" s="33" t="s">
        <v>205</v>
      </c>
      <c r="C353" s="92" t="s">
        <v>448</v>
      </c>
      <c r="D353" s="34" t="s">
        <v>410</v>
      </c>
      <c r="E353" s="34">
        <v>45016</v>
      </c>
      <c r="F353" s="34">
        <v>45019</v>
      </c>
      <c r="G353" s="34">
        <v>45022</v>
      </c>
      <c r="H353" s="33"/>
      <c r="I353" s="67">
        <v>9.3985000000000003</v>
      </c>
      <c r="J353" s="67">
        <v>1.2074355333391631</v>
      </c>
      <c r="K353" s="67">
        <v>8.191064466660837</v>
      </c>
      <c r="L353" s="64">
        <f>+K353-((K353*0.4288*0.125)+(K353*(1-0.4288)*0.26))</f>
        <v>6.5355520451750824</v>
      </c>
      <c r="M353" s="64">
        <f t="shared" si="9"/>
        <v>7.7429875785142457</v>
      </c>
      <c r="N353" s="33" t="s">
        <v>248</v>
      </c>
    </row>
    <row r="354" spans="1:255">
      <c r="A354" s="144"/>
      <c r="B354" s="33" t="s">
        <v>206</v>
      </c>
      <c r="C354" s="92" t="s">
        <v>449</v>
      </c>
      <c r="D354" s="34" t="s">
        <v>410</v>
      </c>
      <c r="E354" s="34">
        <v>45016</v>
      </c>
      <c r="F354" s="34">
        <v>45019</v>
      </c>
      <c r="G354" s="34">
        <v>45022</v>
      </c>
      <c r="H354" s="33"/>
      <c r="I354" s="67">
        <v>10.6724</v>
      </c>
      <c r="J354" s="67">
        <v>0.10812076155953508</v>
      </c>
      <c r="K354" s="67">
        <v>10.564279238440465</v>
      </c>
      <c r="L354" s="64">
        <f>+K354-((K354*0.4288*0.125)+(K354*(1-0.4288)*0.26))</f>
        <v>8.4291116330007849</v>
      </c>
      <c r="M354" s="64">
        <f t="shared" si="9"/>
        <v>8.5372323945603199</v>
      </c>
      <c r="N354" s="33" t="s">
        <v>248</v>
      </c>
    </row>
    <row r="355" spans="1:255">
      <c r="A355" s="144"/>
      <c r="B355" s="33" t="s">
        <v>505</v>
      </c>
      <c r="C355" s="92" t="s">
        <v>506</v>
      </c>
      <c r="D355" s="34" t="s">
        <v>410</v>
      </c>
      <c r="E355" s="34">
        <v>45016</v>
      </c>
      <c r="F355" s="34">
        <v>45019</v>
      </c>
      <c r="G355" s="34">
        <v>45022</v>
      </c>
      <c r="H355" s="33"/>
      <c r="I355" s="67">
        <v>9.6410999999999998</v>
      </c>
      <c r="J355" s="67">
        <v>1.4255026848991701</v>
      </c>
      <c r="K355" s="67">
        <v>8.2155973151008297</v>
      </c>
      <c r="L355" s="64">
        <f>+K355-((K355*0.0345*0.125)+(K355*(1-0.0345)*0.26))</f>
        <v>6.1178061576696958</v>
      </c>
      <c r="M355" s="64">
        <f t="shared" si="9"/>
        <v>7.5433088425688659</v>
      </c>
      <c r="N355" s="33" t="s">
        <v>248</v>
      </c>
    </row>
    <row r="356" spans="1:255">
      <c r="A356" s="144"/>
      <c r="B356" s="33" t="s">
        <v>212</v>
      </c>
      <c r="C356" s="92" t="s">
        <v>450</v>
      </c>
      <c r="D356" s="34" t="s">
        <v>410</v>
      </c>
      <c r="E356" s="34">
        <v>45016</v>
      </c>
      <c r="F356" s="34">
        <v>45019</v>
      </c>
      <c r="G356" s="34">
        <v>45022</v>
      </c>
      <c r="H356" s="33"/>
      <c r="I356" s="67">
        <v>16.674700000000001</v>
      </c>
      <c r="J356" s="67">
        <v>0</v>
      </c>
      <c r="K356" s="67">
        <v>16.674700000000001</v>
      </c>
      <c r="L356" s="64">
        <f>+K356-((K356*0.000001*0.125)+(K356*(1-0.000001)*0.26))</f>
        <v>12.339280251084501</v>
      </c>
      <c r="M356" s="64">
        <f t="shared" si="9"/>
        <v>12.339280251084501</v>
      </c>
      <c r="N356" s="33" t="s">
        <v>248</v>
      </c>
    </row>
    <row r="357" spans="1:255">
      <c r="A357" s="144"/>
      <c r="B357" s="33" t="s">
        <v>208</v>
      </c>
      <c r="C357" s="92" t="s">
        <v>451</v>
      </c>
      <c r="D357" s="34" t="s">
        <v>410</v>
      </c>
      <c r="E357" s="34">
        <v>45016</v>
      </c>
      <c r="F357" s="34">
        <v>45019</v>
      </c>
      <c r="G357" s="34">
        <v>45022</v>
      </c>
      <c r="H357" s="33"/>
      <c r="I357" s="67">
        <v>0</v>
      </c>
      <c r="J357" s="67">
        <v>0</v>
      </c>
      <c r="K357" s="67">
        <v>0</v>
      </c>
      <c r="L357" s="64">
        <f>+K357-((K357*0.0165*0.125)+(K357*(1-0.0165)*0.26))</f>
        <v>0</v>
      </c>
      <c r="M357" s="64">
        <f t="shared" si="9"/>
        <v>0</v>
      </c>
      <c r="N357" s="33" t="s">
        <v>248</v>
      </c>
    </row>
    <row r="358" spans="1:255">
      <c r="A358" s="144"/>
      <c r="B358" s="33" t="s">
        <v>213</v>
      </c>
      <c r="C358" s="92" t="s">
        <v>452</v>
      </c>
      <c r="D358" s="34" t="s">
        <v>410</v>
      </c>
      <c r="E358" s="34">
        <v>45016</v>
      </c>
      <c r="F358" s="34">
        <v>45019</v>
      </c>
      <c r="G358" s="34">
        <v>45022</v>
      </c>
      <c r="H358" s="33"/>
      <c r="I358" s="67">
        <v>8.3102</v>
      </c>
      <c r="J358" s="67">
        <v>0</v>
      </c>
      <c r="K358" s="67">
        <v>8.3102</v>
      </c>
      <c r="L358" s="64">
        <f>+K358-((K358*0.0566*0.125)+(K358*(1-0.0566)*0.26))</f>
        <v>6.2130462381999996</v>
      </c>
      <c r="M358" s="64">
        <f t="shared" si="9"/>
        <v>6.2130462381999996</v>
      </c>
      <c r="N358" s="33" t="s">
        <v>248</v>
      </c>
    </row>
    <row r="359" spans="1:255">
      <c r="A359" s="144"/>
      <c r="B359" s="33" t="s">
        <v>210</v>
      </c>
      <c r="C359" s="92" t="s">
        <v>458</v>
      </c>
      <c r="D359" s="34" t="s">
        <v>410</v>
      </c>
      <c r="E359" s="34">
        <v>45016</v>
      </c>
      <c r="F359" s="34">
        <v>45019</v>
      </c>
      <c r="G359" s="34">
        <v>45022</v>
      </c>
      <c r="H359" s="33"/>
      <c r="I359" s="67">
        <v>13.4603</v>
      </c>
      <c r="J359" s="67">
        <v>0</v>
      </c>
      <c r="K359" s="67">
        <v>13.4603</v>
      </c>
      <c r="L359" s="64">
        <f>+K359-((K359*0.0586*0.125)+(K359*(1-0.0586)*0.26))</f>
        <v>10.067106433299999</v>
      </c>
      <c r="M359" s="64">
        <f t="shared" si="9"/>
        <v>10.067106433299999</v>
      </c>
      <c r="N359" s="33" t="s">
        <v>248</v>
      </c>
    </row>
    <row r="360" spans="1:255">
      <c r="A360" s="144"/>
      <c r="B360" s="33" t="s">
        <v>214</v>
      </c>
      <c r="C360" s="92" t="s">
        <v>453</v>
      </c>
      <c r="D360" s="34" t="s">
        <v>410</v>
      </c>
      <c r="E360" s="34">
        <v>45016</v>
      </c>
      <c r="F360" s="34">
        <v>45019</v>
      </c>
      <c r="G360" s="34">
        <v>45022</v>
      </c>
      <c r="H360" s="33"/>
      <c r="I360" s="67">
        <v>10.6896</v>
      </c>
      <c r="J360" s="67">
        <v>0</v>
      </c>
      <c r="K360" s="67">
        <v>10.6896</v>
      </c>
      <c r="L360" s="64">
        <f>+K360-((K360*0.0474*0.125)+(K360*(1-0.0474)*0.26))</f>
        <v>7.9787067504000007</v>
      </c>
      <c r="M360" s="64">
        <f t="shared" si="9"/>
        <v>7.9787067504000007</v>
      </c>
      <c r="N360" s="33" t="s">
        <v>248</v>
      </c>
    </row>
    <row r="361" spans="1:255">
      <c r="A361" s="144"/>
      <c r="B361" s="33" t="s">
        <v>211</v>
      </c>
      <c r="C361" s="92" t="s">
        <v>459</v>
      </c>
      <c r="D361" s="34" t="s">
        <v>410</v>
      </c>
      <c r="E361" s="34">
        <v>45016</v>
      </c>
      <c r="F361" s="34">
        <v>45019</v>
      </c>
      <c r="G361" s="34">
        <v>45022</v>
      </c>
      <c r="H361" s="33"/>
      <c r="I361" s="67">
        <v>0</v>
      </c>
      <c r="J361" s="67">
        <v>0</v>
      </c>
      <c r="K361" s="67">
        <v>0</v>
      </c>
      <c r="L361" s="64">
        <f>+K361-((K361*0.1726*0.125)+(K361*(1-0.1726)*0.26))</f>
        <v>0</v>
      </c>
      <c r="M361" s="64">
        <f t="shared" si="9"/>
        <v>0</v>
      </c>
      <c r="N361" s="33" t="s">
        <v>248</v>
      </c>
    </row>
    <row r="362" spans="1:255">
      <c r="A362" s="144"/>
      <c r="B362" s="33" t="s">
        <v>209</v>
      </c>
      <c r="C362" s="92" t="s">
        <v>706</v>
      </c>
      <c r="D362" s="34" t="s">
        <v>410</v>
      </c>
      <c r="E362" s="34">
        <v>45016</v>
      </c>
      <c r="F362" s="34">
        <v>45019</v>
      </c>
      <c r="G362" s="34">
        <v>45022</v>
      </c>
      <c r="H362" s="33"/>
      <c r="I362" s="67">
        <v>0</v>
      </c>
      <c r="J362" s="67">
        <v>0</v>
      </c>
      <c r="K362" s="67">
        <v>0</v>
      </c>
      <c r="L362" s="64">
        <f>+K362-((K362*0.1127*0.125)+(K362*(1-0.1127)*0.26))</f>
        <v>0</v>
      </c>
      <c r="M362" s="64">
        <f t="shared" si="9"/>
        <v>0</v>
      </c>
      <c r="N362" s="33" t="s">
        <v>248</v>
      </c>
    </row>
    <row r="363" spans="1:255">
      <c r="A363" s="144"/>
      <c r="B363" s="33" t="s">
        <v>225</v>
      </c>
      <c r="C363" s="92" t="s">
        <v>454</v>
      </c>
      <c r="D363" s="34" t="s">
        <v>410</v>
      </c>
      <c r="E363" s="34">
        <v>45040</v>
      </c>
      <c r="F363" s="34">
        <v>45041</v>
      </c>
      <c r="G363" s="34">
        <v>45044</v>
      </c>
      <c r="H363" s="33"/>
      <c r="I363" s="67">
        <v>9.1012000000000004</v>
      </c>
      <c r="J363" s="67">
        <v>0</v>
      </c>
      <c r="K363" s="67">
        <v>9.1012000000000004</v>
      </c>
      <c r="L363" s="64">
        <f>+K363-((K363*0.266*0.125)+(K363*(1-0.266)*0.26))</f>
        <v>7.0617120920000005</v>
      </c>
      <c r="M363" s="64">
        <f t="shared" si="9"/>
        <v>7.0617120920000005</v>
      </c>
      <c r="N363" s="33" t="s">
        <v>249</v>
      </c>
      <c r="IU363" s="15"/>
    </row>
    <row r="364" spans="1:255">
      <c r="A364" s="144"/>
      <c r="B364" s="33" t="s">
        <v>219</v>
      </c>
      <c r="C364" s="92" t="s">
        <v>485</v>
      </c>
      <c r="D364" s="34" t="s">
        <v>410</v>
      </c>
      <c r="E364" s="34">
        <v>45040</v>
      </c>
      <c r="F364" s="34">
        <v>45041</v>
      </c>
      <c r="G364" s="34">
        <v>45044</v>
      </c>
      <c r="H364" s="33"/>
      <c r="I364" s="67">
        <v>7.5636000000000001</v>
      </c>
      <c r="J364" s="67">
        <v>0</v>
      </c>
      <c r="K364" s="67">
        <v>7.5636000000000001</v>
      </c>
      <c r="L364" s="64">
        <f>+K364-((K364*0.005*0.125)+(K364*(1-0.005)*0.26))</f>
        <v>5.60216943</v>
      </c>
      <c r="M364" s="64">
        <f t="shared" si="9"/>
        <v>5.60216943</v>
      </c>
      <c r="N364" s="33" t="s">
        <v>249</v>
      </c>
    </row>
    <row r="365" spans="1:255">
      <c r="A365" s="144"/>
      <c r="B365" s="33" t="s">
        <v>221</v>
      </c>
      <c r="C365" s="92" t="s">
        <v>484</v>
      </c>
      <c r="D365" s="34" t="s">
        <v>410</v>
      </c>
      <c r="E365" s="34">
        <v>45040</v>
      </c>
      <c r="F365" s="34">
        <v>45041</v>
      </c>
      <c r="G365" s="34">
        <v>45044</v>
      </c>
      <c r="H365" s="33"/>
      <c r="I365" s="67">
        <v>0</v>
      </c>
      <c r="J365" s="67">
        <v>0</v>
      </c>
      <c r="K365" s="67">
        <v>0</v>
      </c>
      <c r="L365" s="64">
        <f>+K365-((K365*0.005*0.125)+(K365*(1-0.005)*0.26))</f>
        <v>0</v>
      </c>
      <c r="M365" s="64">
        <f t="shared" si="9"/>
        <v>0</v>
      </c>
      <c r="N365" s="33" t="s">
        <v>249</v>
      </c>
    </row>
    <row r="366" spans="1:255">
      <c r="A366" s="146"/>
      <c r="B366" s="33" t="s">
        <v>801</v>
      </c>
      <c r="C366" s="92" t="s">
        <v>802</v>
      </c>
      <c r="D366" s="49" t="s">
        <v>410</v>
      </c>
      <c r="E366" s="49">
        <v>45106</v>
      </c>
      <c r="F366" s="49">
        <v>45107</v>
      </c>
      <c r="G366" s="49">
        <v>45112</v>
      </c>
      <c r="H366" s="35"/>
      <c r="I366" s="67">
        <v>8.0739999999999998</v>
      </c>
      <c r="J366" s="67">
        <v>0</v>
      </c>
      <c r="K366" s="67">
        <v>8.0739999999999998</v>
      </c>
      <c r="L366" s="36">
        <f>+K366-((K366*0.00000000001*0.125)+(K366*(1-0.0000000001)*0.26))</f>
        <v>5.9747600001998311</v>
      </c>
      <c r="M366" s="64">
        <f t="shared" si="9"/>
        <v>5.9747600001998311</v>
      </c>
      <c r="N366" s="33" t="s">
        <v>247</v>
      </c>
    </row>
    <row r="367" spans="1:255">
      <c r="A367" s="81"/>
      <c r="B367" s="33" t="s">
        <v>216</v>
      </c>
      <c r="C367" s="92" t="s">
        <v>456</v>
      </c>
      <c r="D367" s="33" t="s">
        <v>410</v>
      </c>
      <c r="E367" s="49">
        <v>45106</v>
      </c>
      <c r="F367" s="49">
        <v>45107</v>
      </c>
      <c r="G367" s="49">
        <v>45112</v>
      </c>
      <c r="H367" s="35"/>
      <c r="I367" s="67">
        <v>0</v>
      </c>
      <c r="J367" s="67">
        <v>0</v>
      </c>
      <c r="K367" s="67">
        <v>0</v>
      </c>
      <c r="L367" s="36">
        <f>+K367-((K367*0.0806*0.125)+(K367*(1-0.0806)*0.26))</f>
        <v>0</v>
      </c>
      <c r="M367" s="64">
        <f t="shared" si="9"/>
        <v>0</v>
      </c>
      <c r="N367" s="33" t="s">
        <v>247</v>
      </c>
    </row>
    <row r="368" spans="1:255">
      <c r="A368" s="81"/>
      <c r="B368" s="33" t="s">
        <v>677</v>
      </c>
      <c r="C368" s="92" t="s">
        <v>693</v>
      </c>
      <c r="D368" s="49" t="s">
        <v>410</v>
      </c>
      <c r="E368" s="49">
        <v>45106</v>
      </c>
      <c r="F368" s="49">
        <v>45107</v>
      </c>
      <c r="G368" s="49">
        <v>45112</v>
      </c>
      <c r="H368" s="67"/>
      <c r="I368" s="67">
        <v>7.4458099999999998</v>
      </c>
      <c r="J368" s="67">
        <v>0</v>
      </c>
      <c r="K368" s="67">
        <v>7.44580982</v>
      </c>
      <c r="L368" s="36">
        <f>+K368-((K368*0.00000000001*0.125)+(K368*(1-0.0000000001)*0.26))</f>
        <v>5.5098992669842843</v>
      </c>
      <c r="M368" s="64">
        <f t="shared" si="9"/>
        <v>5.5098992669842843</v>
      </c>
      <c r="N368" s="33" t="s">
        <v>247</v>
      </c>
    </row>
    <row r="369" spans="1:255">
      <c r="A369" s="81"/>
      <c r="B369" s="33" t="s">
        <v>676</v>
      </c>
      <c r="C369" s="92" t="s">
        <v>692</v>
      </c>
      <c r="D369" s="49" t="s">
        <v>410</v>
      </c>
      <c r="E369" s="49">
        <v>45106</v>
      </c>
      <c r="F369" s="49">
        <v>45107</v>
      </c>
      <c r="G369" s="49">
        <v>45112</v>
      </c>
      <c r="H369" s="67"/>
      <c r="I369" s="67">
        <v>8.3904899999999998</v>
      </c>
      <c r="J369" s="67">
        <v>0</v>
      </c>
      <c r="K369" s="67">
        <v>8.3904896600000001</v>
      </c>
      <c r="L369" s="36">
        <f>+K369-((K369*0.0602*0.125)+(K369*(1-0.0602)*0.26))</f>
        <v>6.2771518578668202</v>
      </c>
      <c r="M369" s="64">
        <f t="shared" si="9"/>
        <v>6.2771518578668202</v>
      </c>
      <c r="N369" s="33" t="s">
        <v>247</v>
      </c>
    </row>
    <row r="370" spans="1:255">
      <c r="A370" s="145"/>
      <c r="B370" s="33" t="s">
        <v>215</v>
      </c>
      <c r="C370" s="92" t="s">
        <v>457</v>
      </c>
      <c r="D370" s="33" t="s">
        <v>410</v>
      </c>
      <c r="E370" s="34">
        <v>45107</v>
      </c>
      <c r="F370" s="34">
        <v>45110</v>
      </c>
      <c r="G370" s="34">
        <v>45113</v>
      </c>
      <c r="H370" s="35"/>
      <c r="I370" s="67">
        <v>0</v>
      </c>
      <c r="J370" s="67">
        <v>0</v>
      </c>
      <c r="K370" s="67">
        <v>0</v>
      </c>
      <c r="L370" s="36">
        <f>+K370-((K370*0.2774*0.125)+(K370*(1-0.2774)*0.26))</f>
        <v>0</v>
      </c>
      <c r="M370" s="64">
        <f t="shared" si="9"/>
        <v>0</v>
      </c>
      <c r="N370" s="33" t="s">
        <v>248</v>
      </c>
    </row>
    <row r="371" spans="1:255">
      <c r="A371" s="145"/>
      <c r="B371" s="33" t="s">
        <v>203</v>
      </c>
      <c r="C371" s="92" t="s">
        <v>445</v>
      </c>
      <c r="D371" s="33" t="s">
        <v>410</v>
      </c>
      <c r="E371" s="34">
        <v>45107</v>
      </c>
      <c r="F371" s="34">
        <v>45110</v>
      </c>
      <c r="G371" s="34">
        <v>45113</v>
      </c>
      <c r="H371" s="75"/>
      <c r="I371" s="67">
        <v>5.3177000000000003</v>
      </c>
      <c r="J371" s="67">
        <v>0</v>
      </c>
      <c r="K371" s="67">
        <v>5.3177000000000003</v>
      </c>
      <c r="L371" s="36">
        <f>+K371-((K371*0.4595*0.125)+(K371*(1-0.4595)*0.26))</f>
        <v>4.2649682252500005</v>
      </c>
      <c r="M371" s="64">
        <f t="shared" si="9"/>
        <v>4.2649682252500005</v>
      </c>
      <c r="N371" s="33" t="s">
        <v>248</v>
      </c>
    </row>
    <row r="372" spans="1:255">
      <c r="A372" s="145"/>
      <c r="B372" s="33" t="s">
        <v>204</v>
      </c>
      <c r="C372" s="92" t="s">
        <v>446</v>
      </c>
      <c r="D372" s="33" t="s">
        <v>410</v>
      </c>
      <c r="E372" s="34">
        <v>45107</v>
      </c>
      <c r="F372" s="34">
        <v>45110</v>
      </c>
      <c r="G372" s="34">
        <v>45113</v>
      </c>
      <c r="H372" s="35" t="s">
        <v>856</v>
      </c>
      <c r="I372" s="67">
        <v>0</v>
      </c>
      <c r="J372" s="67">
        <v>0</v>
      </c>
      <c r="K372" s="67">
        <v>0</v>
      </c>
      <c r="L372" s="36">
        <f>+K372-((K372*0.0171*0.125)+(K372*(1-0.0171)*0.26))</f>
        <v>0</v>
      </c>
      <c r="M372" s="64">
        <f t="shared" si="9"/>
        <v>0</v>
      </c>
      <c r="N372" s="33" t="s">
        <v>248</v>
      </c>
    </row>
    <row r="373" spans="1:255">
      <c r="A373" s="145"/>
      <c r="B373" s="33" t="s">
        <v>207</v>
      </c>
      <c r="C373" s="92" t="s">
        <v>447</v>
      </c>
      <c r="D373" s="33" t="s">
        <v>410</v>
      </c>
      <c r="E373" s="34">
        <v>45107</v>
      </c>
      <c r="F373" s="34">
        <v>45110</v>
      </c>
      <c r="G373" s="34">
        <v>45113</v>
      </c>
      <c r="H373" s="35"/>
      <c r="I373" s="67">
        <v>4.1631999999999998</v>
      </c>
      <c r="J373" s="67">
        <v>0</v>
      </c>
      <c r="K373" s="67">
        <v>4.1631999999999998</v>
      </c>
      <c r="L373" s="36">
        <f>+K373-((K373*0.8388*0.125)+(K373*(1-0.8388)*0.26))</f>
        <v>3.5522004415999997</v>
      </c>
      <c r="M373" s="64">
        <f t="shared" si="9"/>
        <v>3.5522004415999997</v>
      </c>
      <c r="N373" s="33" t="s">
        <v>248</v>
      </c>
    </row>
    <row r="374" spans="1:255">
      <c r="A374" s="146"/>
      <c r="B374" s="33" t="s">
        <v>678</v>
      </c>
      <c r="C374" s="92" t="s">
        <v>707</v>
      </c>
      <c r="D374" s="33" t="s">
        <v>410</v>
      </c>
      <c r="E374" s="34">
        <v>45107</v>
      </c>
      <c r="F374" s="34">
        <v>45110</v>
      </c>
      <c r="G374" s="34">
        <v>45113</v>
      </c>
      <c r="H374" s="35"/>
      <c r="I374" s="67">
        <v>16.300599999999999</v>
      </c>
      <c r="J374" s="67">
        <v>0</v>
      </c>
      <c r="K374" s="67">
        <v>16.300599999999999</v>
      </c>
      <c r="L374" s="36">
        <f>+K374-((K374*0.4519*0.125)+(K374*(1-0.4519)*0.26))</f>
        <v>13.0568865539</v>
      </c>
      <c r="M374" s="64">
        <f t="shared" si="9"/>
        <v>13.0568865539</v>
      </c>
      <c r="N374" s="33" t="s">
        <v>248</v>
      </c>
      <c r="IU374" s="15"/>
    </row>
    <row r="375" spans="1:255">
      <c r="A375" s="145"/>
      <c r="B375" s="33" t="s">
        <v>205</v>
      </c>
      <c r="C375" s="92" t="s">
        <v>448</v>
      </c>
      <c r="D375" s="33" t="s">
        <v>410</v>
      </c>
      <c r="E375" s="34">
        <v>45107</v>
      </c>
      <c r="F375" s="34">
        <v>45110</v>
      </c>
      <c r="G375" s="34">
        <v>45113</v>
      </c>
      <c r="H375" s="35"/>
      <c r="I375" s="67">
        <v>9.3985000000000003</v>
      </c>
      <c r="J375" s="67">
        <v>0</v>
      </c>
      <c r="K375" s="67">
        <v>9.3985000000000003</v>
      </c>
      <c r="L375" s="36">
        <f>+K375-((K375*0.4288*0.125)+(K375*(1-0.4288)*0.26))</f>
        <v>7.4989503680000009</v>
      </c>
      <c r="M375" s="64">
        <f t="shared" si="9"/>
        <v>7.4989503680000009</v>
      </c>
      <c r="N375" s="33" t="s">
        <v>248</v>
      </c>
    </row>
    <row r="376" spans="1:255">
      <c r="A376" s="145"/>
      <c r="B376" s="33" t="s">
        <v>206</v>
      </c>
      <c r="C376" s="92" t="s">
        <v>449</v>
      </c>
      <c r="D376" s="33" t="s">
        <v>410</v>
      </c>
      <c r="E376" s="34">
        <v>45107</v>
      </c>
      <c r="F376" s="34">
        <v>45110</v>
      </c>
      <c r="G376" s="34">
        <v>45113</v>
      </c>
      <c r="H376" s="35"/>
      <c r="I376" s="67">
        <v>10.6724</v>
      </c>
      <c r="J376" s="67">
        <v>0</v>
      </c>
      <c r="K376" s="67">
        <v>10.6724</v>
      </c>
      <c r="L376" s="36">
        <f>+K376-((K376*0.4288*0.125)+(K376*(1-0.4288)*0.26))</f>
        <v>8.5153798912000003</v>
      </c>
      <c r="M376" s="64">
        <f t="shared" si="9"/>
        <v>8.5153798912000003</v>
      </c>
      <c r="N376" s="33" t="s">
        <v>248</v>
      </c>
    </row>
    <row r="377" spans="1:255">
      <c r="A377" s="145"/>
      <c r="B377" s="33" t="s">
        <v>505</v>
      </c>
      <c r="C377" s="92" t="s">
        <v>506</v>
      </c>
      <c r="D377" s="33" t="s">
        <v>410</v>
      </c>
      <c r="E377" s="34">
        <v>45107</v>
      </c>
      <c r="F377" s="34">
        <v>45110</v>
      </c>
      <c r="G377" s="34">
        <v>45113</v>
      </c>
      <c r="H377" s="35"/>
      <c r="I377" s="67">
        <v>9.6410999999999998</v>
      </c>
      <c r="J377" s="67">
        <v>0.78570440613553183</v>
      </c>
      <c r="K377" s="67">
        <v>8.8553955938644684</v>
      </c>
      <c r="L377" s="36">
        <f>+K377-((K377*0.0345*0.125)+(K377*(1-0.0345)*0.26))</f>
        <v>6.5942367444381311</v>
      </c>
      <c r="M377" s="64">
        <f t="shared" si="9"/>
        <v>7.3799411505736625</v>
      </c>
      <c r="N377" s="33" t="s">
        <v>248</v>
      </c>
    </row>
    <row r="378" spans="1:255">
      <c r="A378" s="145"/>
      <c r="B378" s="33" t="s">
        <v>212</v>
      </c>
      <c r="C378" s="92" t="s">
        <v>450</v>
      </c>
      <c r="D378" s="33" t="s">
        <v>410</v>
      </c>
      <c r="E378" s="34">
        <v>45107</v>
      </c>
      <c r="F378" s="34">
        <v>45110</v>
      </c>
      <c r="G378" s="34">
        <v>45113</v>
      </c>
      <c r="H378" s="35"/>
      <c r="I378" s="67">
        <v>16.674700000000001</v>
      </c>
      <c r="J378" s="67">
        <v>1.4019263154814636E-2</v>
      </c>
      <c r="K378" s="67">
        <v>16.660680736845187</v>
      </c>
      <c r="L378" s="36">
        <f>+K378-((K378*0.000001*0.125)+(K378*(1-0.000001)*0.26))</f>
        <v>12.328905994457338</v>
      </c>
      <c r="M378" s="64">
        <f t="shared" si="9"/>
        <v>12.342925257612153</v>
      </c>
      <c r="N378" s="33" t="s">
        <v>248</v>
      </c>
    </row>
    <row r="379" spans="1:255">
      <c r="A379" s="146"/>
      <c r="B379" s="33" t="s">
        <v>208</v>
      </c>
      <c r="C379" s="92" t="s">
        <v>451</v>
      </c>
      <c r="D379" s="33" t="s">
        <v>410</v>
      </c>
      <c r="E379" s="34">
        <v>45107</v>
      </c>
      <c r="F379" s="34">
        <v>45110</v>
      </c>
      <c r="G379" s="34">
        <v>45113</v>
      </c>
      <c r="H379" s="35"/>
      <c r="I379" s="67">
        <v>0</v>
      </c>
      <c r="J379" s="67">
        <v>0</v>
      </c>
      <c r="K379" s="67">
        <v>0</v>
      </c>
      <c r="L379" s="36">
        <f>+K379-((K379*0.0165*0.125)+(K379*(1-0.0165)*0.26))</f>
        <v>0</v>
      </c>
      <c r="M379" s="64">
        <f t="shared" si="9"/>
        <v>0</v>
      </c>
      <c r="N379" s="33" t="s">
        <v>248</v>
      </c>
    </row>
    <row r="380" spans="1:255">
      <c r="A380" s="146"/>
      <c r="B380" s="33" t="s">
        <v>213</v>
      </c>
      <c r="C380" s="92" t="s">
        <v>452</v>
      </c>
      <c r="D380" s="33" t="s">
        <v>410</v>
      </c>
      <c r="E380" s="34">
        <v>45107</v>
      </c>
      <c r="F380" s="34">
        <v>45110</v>
      </c>
      <c r="G380" s="34">
        <v>45113</v>
      </c>
      <c r="H380" s="35"/>
      <c r="I380" s="67">
        <v>8.3102</v>
      </c>
      <c r="J380" s="67">
        <v>0</v>
      </c>
      <c r="K380" s="67">
        <v>8.3102</v>
      </c>
      <c r="L380" s="36">
        <f>+K380-((K380*0.0566*0.125)+(K380*(1-0.0566)*0.26))</f>
        <v>6.2130462381999996</v>
      </c>
      <c r="M380" s="64">
        <f t="shared" si="9"/>
        <v>6.2130462381999996</v>
      </c>
      <c r="N380" s="33" t="s">
        <v>248</v>
      </c>
    </row>
    <row r="381" spans="1:255">
      <c r="A381" s="146"/>
      <c r="B381" s="33" t="s">
        <v>210</v>
      </c>
      <c r="C381" s="92" t="s">
        <v>458</v>
      </c>
      <c r="D381" s="33" t="s">
        <v>410</v>
      </c>
      <c r="E381" s="34">
        <v>45107</v>
      </c>
      <c r="F381" s="34">
        <v>45110</v>
      </c>
      <c r="G381" s="34">
        <v>45113</v>
      </c>
      <c r="H381" s="35"/>
      <c r="I381" s="67">
        <v>13.4603</v>
      </c>
      <c r="J381" s="67">
        <v>0</v>
      </c>
      <c r="K381" s="67">
        <v>13.4603</v>
      </c>
      <c r="L381" s="36">
        <f>+K381-((K381*0.0586*0.125)+(K381*(1-0.0586)*0.26))</f>
        <v>10.067106433299999</v>
      </c>
      <c r="M381" s="64">
        <f t="shared" si="9"/>
        <v>10.067106433299999</v>
      </c>
      <c r="N381" s="33" t="s">
        <v>248</v>
      </c>
    </row>
    <row r="382" spans="1:255">
      <c r="A382" s="146"/>
      <c r="B382" s="33" t="s">
        <v>214</v>
      </c>
      <c r="C382" s="92" t="s">
        <v>453</v>
      </c>
      <c r="D382" s="33" t="s">
        <v>410</v>
      </c>
      <c r="E382" s="34">
        <v>45107</v>
      </c>
      <c r="F382" s="34">
        <v>45110</v>
      </c>
      <c r="G382" s="34">
        <v>45113</v>
      </c>
      <c r="H382" s="35"/>
      <c r="I382" s="67">
        <v>10.6896</v>
      </c>
      <c r="J382" s="67">
        <v>0</v>
      </c>
      <c r="K382" s="67">
        <v>10.6896</v>
      </c>
      <c r="L382" s="36">
        <f>+K382-((K382*0.0474*0.125)+(K382*(1-0.0474)*0.26))</f>
        <v>7.9787067504000007</v>
      </c>
      <c r="M382" s="64">
        <f t="shared" si="9"/>
        <v>7.9787067504000007</v>
      </c>
      <c r="N382" s="33" t="s">
        <v>248</v>
      </c>
    </row>
    <row r="383" spans="1:255">
      <c r="A383" s="146"/>
      <c r="B383" s="33" t="s">
        <v>211</v>
      </c>
      <c r="C383" s="92" t="s">
        <v>459</v>
      </c>
      <c r="D383" s="33" t="s">
        <v>410</v>
      </c>
      <c r="E383" s="34">
        <v>45107</v>
      </c>
      <c r="F383" s="34">
        <v>45110</v>
      </c>
      <c r="G383" s="34">
        <v>45113</v>
      </c>
      <c r="H383" s="35"/>
      <c r="I383" s="67">
        <v>0</v>
      </c>
      <c r="J383" s="67">
        <v>0</v>
      </c>
      <c r="K383" s="67">
        <v>0</v>
      </c>
      <c r="L383" s="36">
        <f>+K383-((K383*0.1726*0.125)+(K383*(1-0.1726)*0.26))</f>
        <v>0</v>
      </c>
      <c r="M383" s="64">
        <f t="shared" si="9"/>
        <v>0</v>
      </c>
      <c r="N383" s="33" t="s">
        <v>248</v>
      </c>
    </row>
    <row r="384" spans="1:255">
      <c r="A384" s="145"/>
      <c r="B384" s="33" t="s">
        <v>209</v>
      </c>
      <c r="C384" s="92" t="s">
        <v>706</v>
      </c>
      <c r="D384" s="33" t="s">
        <v>410</v>
      </c>
      <c r="E384" s="34">
        <v>45107</v>
      </c>
      <c r="F384" s="34">
        <v>45110</v>
      </c>
      <c r="G384" s="34">
        <v>45113</v>
      </c>
      <c r="H384" s="35"/>
      <c r="I384" s="67">
        <v>0</v>
      </c>
      <c r="J384" s="67">
        <v>0</v>
      </c>
      <c r="K384" s="67">
        <v>0</v>
      </c>
      <c r="L384" s="36">
        <f>+K384-((K384*0.1127*0.125)+(K384*(1-0.1127)*0.26))</f>
        <v>0</v>
      </c>
      <c r="M384" s="64">
        <f t="shared" ref="M384:M447" si="10">L384+J384</f>
        <v>0</v>
      </c>
      <c r="N384" s="33" t="s">
        <v>248</v>
      </c>
    </row>
    <row r="385" spans="1:14">
      <c r="A385" s="146"/>
      <c r="B385" s="33" t="s">
        <v>225</v>
      </c>
      <c r="C385" s="92" t="s">
        <v>454</v>
      </c>
      <c r="D385" s="33" t="s">
        <v>410</v>
      </c>
      <c r="E385" s="34">
        <v>45132</v>
      </c>
      <c r="F385" s="34">
        <v>45133</v>
      </c>
      <c r="G385" s="34">
        <v>45138</v>
      </c>
      <c r="H385" s="35"/>
      <c r="I385" s="67">
        <v>9.1012000000000004</v>
      </c>
      <c r="J385" s="67">
        <v>0</v>
      </c>
      <c r="K385" s="67">
        <f>VLOOKUP($B385,[4]Feuil2!$A$1:$G$85,6,FALSE)</f>
        <v>9.1012000000000004</v>
      </c>
      <c r="L385" s="36">
        <f>+K385-((K385*0.223*0.125)+(K385*(1-0.223)*0.26))</f>
        <v>7.0088796260000006</v>
      </c>
      <c r="M385" s="64">
        <f t="shared" si="10"/>
        <v>7.0088796260000006</v>
      </c>
      <c r="N385" s="33" t="s">
        <v>249</v>
      </c>
    </row>
    <row r="386" spans="1:14">
      <c r="A386" s="146"/>
      <c r="B386" s="33" t="s">
        <v>223</v>
      </c>
      <c r="C386" s="92" t="s">
        <v>488</v>
      </c>
      <c r="D386" s="33" t="s">
        <v>413</v>
      </c>
      <c r="E386" s="34">
        <v>45132</v>
      </c>
      <c r="F386" s="34">
        <v>45133</v>
      </c>
      <c r="G386" s="34">
        <v>45138</v>
      </c>
      <c r="H386" s="35"/>
      <c r="I386" s="67">
        <v>15.515700000000001</v>
      </c>
      <c r="J386" s="67">
        <f>VLOOKUP($B386,[4]Feuil2!$A$1:$G$85,5,FALSE)</f>
        <v>0</v>
      </c>
      <c r="K386" s="67">
        <f>VLOOKUP($B386,[4]Feuil2!$A$1:$G$85,6,FALSE)</f>
        <v>15.515700000000001</v>
      </c>
      <c r="L386" s="36">
        <f>+K386-((K386*0.000000000001*0.125)+(K386*(1-0.000000000001)*0.26))</f>
        <v>11.481618000002094</v>
      </c>
      <c r="M386" s="64">
        <f t="shared" si="10"/>
        <v>11.481618000002094</v>
      </c>
      <c r="N386" s="33" t="s">
        <v>250</v>
      </c>
    </row>
    <row r="387" spans="1:14">
      <c r="A387" s="146"/>
      <c r="B387" s="33" t="s">
        <v>219</v>
      </c>
      <c r="C387" s="92" t="s">
        <v>485</v>
      </c>
      <c r="D387" s="33" t="s">
        <v>410</v>
      </c>
      <c r="E387" s="34">
        <v>45132</v>
      </c>
      <c r="F387" s="34">
        <v>45133</v>
      </c>
      <c r="G387" s="34">
        <v>45138</v>
      </c>
      <c r="H387" s="35"/>
      <c r="I387" s="67">
        <v>7.5636000000000001</v>
      </c>
      <c r="J387" s="67">
        <f>VLOOKUP($B387,[4]Feuil2!$A$1:$G$85,5,FALSE)</f>
        <v>0</v>
      </c>
      <c r="K387" s="67">
        <f>VLOOKUP($B387,[4]Feuil2!$A$1:$G$85,6,FALSE)</f>
        <v>7.5636000000000001</v>
      </c>
      <c r="L387" s="36">
        <f>+K387-((K387*0.0035*0.125)+(K387*(1-0.0035)*0.26))</f>
        <v>5.6006378009999995</v>
      </c>
      <c r="M387" s="64">
        <f t="shared" si="10"/>
        <v>5.6006378009999995</v>
      </c>
      <c r="N387" s="33" t="s">
        <v>249</v>
      </c>
    </row>
    <row r="388" spans="1:14">
      <c r="A388" s="146"/>
      <c r="B388" s="33" t="s">
        <v>221</v>
      </c>
      <c r="C388" s="92" t="s">
        <v>484</v>
      </c>
      <c r="D388" s="33" t="s">
        <v>410</v>
      </c>
      <c r="E388" s="34">
        <v>45132</v>
      </c>
      <c r="F388" s="34">
        <v>45133</v>
      </c>
      <c r="G388" s="34">
        <v>45138</v>
      </c>
      <c r="H388" s="35"/>
      <c r="I388" s="67">
        <v>0</v>
      </c>
      <c r="J388" s="67">
        <v>0</v>
      </c>
      <c r="K388" s="67">
        <v>0</v>
      </c>
      <c r="L388" s="36">
        <f>+K388-((K388*0.0035*0.125)+(K388*(1-0.0035)*0.26))</f>
        <v>0</v>
      </c>
      <c r="M388" s="64">
        <f t="shared" si="10"/>
        <v>0</v>
      </c>
      <c r="N388" s="33" t="s">
        <v>249</v>
      </c>
    </row>
    <row r="389" spans="1:14">
      <c r="A389" s="146"/>
      <c r="B389" s="33" t="s">
        <v>486</v>
      </c>
      <c r="C389" s="92" t="s">
        <v>487</v>
      </c>
      <c r="D389" s="33" t="s">
        <v>413</v>
      </c>
      <c r="E389" s="34">
        <v>45132</v>
      </c>
      <c r="F389" s="34">
        <v>45133</v>
      </c>
      <c r="G389" s="34">
        <v>45138</v>
      </c>
      <c r="H389" s="35"/>
      <c r="I389" s="67">
        <v>21.673400000000001</v>
      </c>
      <c r="J389" s="67">
        <f>VLOOKUP($B389,[4]Feuil2!$A$1:$G$85,5,FALSE)</f>
        <v>0</v>
      </c>
      <c r="K389" s="67">
        <f>VLOOKUP($B389,[4]Feuil2!$A$1:$G$85,6,FALSE)</f>
        <v>21.673400000000001</v>
      </c>
      <c r="L389" s="36">
        <f>+K389-((K389*0.0035*0.125)+(K389*(1-0.0035)*0.26))</f>
        <v>16.048556681499999</v>
      </c>
      <c r="M389" s="64">
        <f t="shared" si="10"/>
        <v>16.048556681499999</v>
      </c>
      <c r="N389" s="33" t="s">
        <v>250</v>
      </c>
    </row>
    <row r="390" spans="1:14">
      <c r="A390" s="146"/>
      <c r="B390" s="33" t="s">
        <v>489</v>
      </c>
      <c r="C390" s="92" t="s">
        <v>521</v>
      </c>
      <c r="D390" s="33" t="s">
        <v>413</v>
      </c>
      <c r="E390" s="34">
        <v>45132</v>
      </c>
      <c r="F390" s="34">
        <v>45133</v>
      </c>
      <c r="G390" s="34">
        <v>45138</v>
      </c>
      <c r="H390" s="35"/>
      <c r="I390" s="67">
        <v>0</v>
      </c>
      <c r="J390" s="67">
        <v>0</v>
      </c>
      <c r="K390" s="67">
        <v>0</v>
      </c>
      <c r="L390" s="36">
        <f>+K390-((K390*0.2155*0.125)+(K390*(1-0.2155)*0.26))</f>
        <v>0</v>
      </c>
      <c r="M390" s="64">
        <f t="shared" si="10"/>
        <v>0</v>
      </c>
      <c r="N390" s="33" t="s">
        <v>250</v>
      </c>
    </row>
    <row r="391" spans="1:14">
      <c r="A391" s="146"/>
      <c r="B391" s="33" t="s">
        <v>218</v>
      </c>
      <c r="C391" s="92" t="s">
        <v>455</v>
      </c>
      <c r="D391" s="33" t="s">
        <v>413</v>
      </c>
      <c r="E391" s="34">
        <v>45132</v>
      </c>
      <c r="F391" s="34">
        <v>45133</v>
      </c>
      <c r="G391" s="34">
        <v>45138</v>
      </c>
      <c r="H391" s="35"/>
      <c r="I391" s="67">
        <v>29.522099999999998</v>
      </c>
      <c r="J391" s="67">
        <f>VLOOKUP($B391,[4]Feuil2!$A$1:$G$85,5,FALSE)</f>
        <v>0</v>
      </c>
      <c r="K391" s="67">
        <f>VLOOKUP($B391,[4]Feuil2!$A$1:$G$85,6,FALSE)</f>
        <v>29.522099999999998</v>
      </c>
      <c r="L391" s="36">
        <f>+K391-((K391*0.2155*0.125)+(K391*(1-0.2155)*0.26))</f>
        <v>22.705225694249997</v>
      </c>
      <c r="M391" s="64">
        <f t="shared" si="10"/>
        <v>22.705225694249997</v>
      </c>
      <c r="N391" s="33" t="s">
        <v>250</v>
      </c>
    </row>
    <row r="392" spans="1:14">
      <c r="A392" s="146"/>
      <c r="B392" s="33" t="s">
        <v>491</v>
      </c>
      <c r="C392" s="92" t="s">
        <v>671</v>
      </c>
      <c r="D392" s="33" t="s">
        <v>413</v>
      </c>
      <c r="E392" s="34">
        <v>45132</v>
      </c>
      <c r="F392" s="34">
        <v>45133</v>
      </c>
      <c r="G392" s="34">
        <v>45138</v>
      </c>
      <c r="H392" s="35"/>
      <c r="I392" s="67">
        <v>32.5</v>
      </c>
      <c r="J392" s="67">
        <f>VLOOKUP($B392,[4]Feuil2!$A$1:$G$85,5,FALSE)</f>
        <v>14.790269490000002</v>
      </c>
      <c r="K392" s="67">
        <f>VLOOKUP($B392,[4]Feuil2!$A$1:$G$85,6,FALSE)</f>
        <v>17.70973051</v>
      </c>
      <c r="L392" s="36">
        <f>+K392-((K392*0.1015*0.125)+(K392*(1-0.1015)*0.26))</f>
        <v>13.347868159713276</v>
      </c>
      <c r="M392" s="64">
        <f t="shared" si="10"/>
        <v>28.138137649713279</v>
      </c>
      <c r="N392" s="33" t="s">
        <v>250</v>
      </c>
    </row>
    <row r="393" spans="1:14">
      <c r="A393" s="146"/>
      <c r="B393" s="33" t="s">
        <v>293</v>
      </c>
      <c r="C393" s="92" t="s">
        <v>553</v>
      </c>
      <c r="D393" s="33" t="s">
        <v>412</v>
      </c>
      <c r="E393" s="34">
        <v>45188</v>
      </c>
      <c r="F393" s="34">
        <v>45189</v>
      </c>
      <c r="G393" s="34">
        <v>45194</v>
      </c>
      <c r="H393" s="35"/>
      <c r="I393" s="67">
        <v>7.38</v>
      </c>
      <c r="J393" s="67">
        <v>0</v>
      </c>
      <c r="K393" s="67">
        <v>7.38</v>
      </c>
      <c r="L393" s="36">
        <f>+K393-((K393*0.0000000001*0.125)+(K393*(1-0.0000000001)*0.26))</f>
        <v>5.4612000000996304</v>
      </c>
      <c r="M393" s="64">
        <f t="shared" si="10"/>
        <v>5.4612000000996304</v>
      </c>
      <c r="N393" s="33" t="s">
        <v>288</v>
      </c>
    </row>
    <row r="394" spans="1:14">
      <c r="A394" s="146"/>
      <c r="B394" s="33" t="s">
        <v>295</v>
      </c>
      <c r="C394" s="92" t="s">
        <v>461</v>
      </c>
      <c r="D394" s="33" t="s">
        <v>412</v>
      </c>
      <c r="E394" s="34">
        <v>45188</v>
      </c>
      <c r="F394" s="34">
        <v>45189</v>
      </c>
      <c r="G394" s="34">
        <v>45194</v>
      </c>
      <c r="H394" s="35"/>
      <c r="I394" s="67">
        <v>84.58</v>
      </c>
      <c r="J394" s="67">
        <v>0</v>
      </c>
      <c r="K394" s="67">
        <v>84.58</v>
      </c>
      <c r="L394" s="36">
        <f>+K394-((K394*0.2815*0.125)+(K394*(1-0.2815)*0.26))</f>
        <v>65.803451449999997</v>
      </c>
      <c r="M394" s="64">
        <f t="shared" si="10"/>
        <v>65.803451449999997</v>
      </c>
      <c r="N394" s="33" t="s">
        <v>288</v>
      </c>
    </row>
    <row r="395" spans="1:14">
      <c r="A395" s="146"/>
      <c r="B395" s="33" t="s">
        <v>556</v>
      </c>
      <c r="C395" s="92" t="s">
        <v>560</v>
      </c>
      <c r="D395" s="33" t="s">
        <v>412</v>
      </c>
      <c r="E395" s="34">
        <v>45188</v>
      </c>
      <c r="F395" s="34">
        <v>45189</v>
      </c>
      <c r="G395" s="34">
        <v>45194</v>
      </c>
      <c r="H395" s="35"/>
      <c r="I395" s="67">
        <v>44.37</v>
      </c>
      <c r="J395" s="67">
        <v>0</v>
      </c>
      <c r="K395" s="67">
        <v>44.37</v>
      </c>
      <c r="L395" s="36">
        <f>+K395-((K395*0.383*0.125)+(K395*(1-0.383)*0.26))</f>
        <v>35.127950849999998</v>
      </c>
      <c r="M395" s="64">
        <f t="shared" si="10"/>
        <v>35.127950849999998</v>
      </c>
      <c r="N395" s="33" t="s">
        <v>288</v>
      </c>
    </row>
    <row r="396" spans="1:14">
      <c r="A396" s="146"/>
      <c r="B396" s="33" t="s">
        <v>297</v>
      </c>
      <c r="C396" s="92" t="s">
        <v>463</v>
      </c>
      <c r="D396" s="33" t="s">
        <v>412</v>
      </c>
      <c r="E396" s="34">
        <v>45188</v>
      </c>
      <c r="F396" s="34">
        <v>45189</v>
      </c>
      <c r="G396" s="34">
        <v>45194</v>
      </c>
      <c r="H396" s="35"/>
      <c r="I396" s="67">
        <v>50.12</v>
      </c>
      <c r="J396" s="67">
        <v>0</v>
      </c>
      <c r="K396" s="67">
        <v>50.12</v>
      </c>
      <c r="L396" s="36">
        <f>+K396-((K396*0.794*0.125)+(K396*(1-0.794)*0.26))</f>
        <v>42.461162799999997</v>
      </c>
      <c r="M396" s="64">
        <f t="shared" si="10"/>
        <v>42.461162799999997</v>
      </c>
      <c r="N396" s="33" t="s">
        <v>288</v>
      </c>
    </row>
    <row r="397" spans="1:14">
      <c r="A397" s="146"/>
      <c r="B397" s="33" t="s">
        <v>290</v>
      </c>
      <c r="C397" s="92" t="s">
        <v>460</v>
      </c>
      <c r="D397" s="33" t="s">
        <v>412</v>
      </c>
      <c r="E397" s="34">
        <v>45188</v>
      </c>
      <c r="F397" s="34">
        <v>45189</v>
      </c>
      <c r="G397" s="34">
        <v>45194</v>
      </c>
      <c r="H397" s="35"/>
      <c r="I397" s="67">
        <v>9.02</v>
      </c>
      <c r="J397" s="67">
        <v>0</v>
      </c>
      <c r="K397" s="67">
        <v>9.02</v>
      </c>
      <c r="L397" s="36">
        <f>+K397-((K397*0.5625*0.125)+(K397*(1-0.5625)*0.26))</f>
        <v>7.3597562500000002</v>
      </c>
      <c r="M397" s="64">
        <f t="shared" si="10"/>
        <v>7.3597562500000002</v>
      </c>
      <c r="N397" s="33" t="s">
        <v>288</v>
      </c>
    </row>
    <row r="398" spans="1:14">
      <c r="A398" s="146"/>
      <c r="B398" s="33" t="s">
        <v>291</v>
      </c>
      <c r="C398" s="92" t="s">
        <v>462</v>
      </c>
      <c r="D398" s="33" t="s">
        <v>412</v>
      </c>
      <c r="E398" s="34">
        <v>45188</v>
      </c>
      <c r="F398" s="34">
        <v>45189</v>
      </c>
      <c r="G398" s="34">
        <v>45194</v>
      </c>
      <c r="H398" s="35"/>
      <c r="I398" s="67">
        <v>19.25</v>
      </c>
      <c r="J398" s="67">
        <v>0</v>
      </c>
      <c r="K398" s="67">
        <v>19.25</v>
      </c>
      <c r="L398" s="36">
        <f>+K398-((K398*0.0435*0.125)+(K398*(1-0.0435)*0.26))</f>
        <v>14.358045624999999</v>
      </c>
      <c r="M398" s="64">
        <f t="shared" si="10"/>
        <v>14.358045624999999</v>
      </c>
      <c r="N398" s="33" t="s">
        <v>288</v>
      </c>
    </row>
    <row r="399" spans="1:14">
      <c r="A399" s="146"/>
      <c r="B399" s="33" t="s">
        <v>555</v>
      </c>
      <c r="C399" s="92" t="s">
        <v>559</v>
      </c>
      <c r="D399" s="33" t="s">
        <v>412</v>
      </c>
      <c r="E399" s="34">
        <v>45188</v>
      </c>
      <c r="F399" s="34">
        <v>45189</v>
      </c>
      <c r="G399" s="34">
        <v>45194</v>
      </c>
      <c r="H399" s="35"/>
      <c r="I399" s="67">
        <v>30.76</v>
      </c>
      <c r="J399" s="67">
        <v>0</v>
      </c>
      <c r="K399" s="67">
        <v>30.76</v>
      </c>
      <c r="L399" s="36">
        <f>+K399-((K399*0.01*0.125)+(K399*(1-0.01)*0.26))</f>
        <v>22.803926000000001</v>
      </c>
      <c r="M399" s="64">
        <f t="shared" si="10"/>
        <v>22.803926000000001</v>
      </c>
      <c r="N399" s="33" t="s">
        <v>288</v>
      </c>
    </row>
    <row r="400" spans="1:14">
      <c r="A400" s="146"/>
      <c r="B400" s="33" t="s">
        <v>697</v>
      </c>
      <c r="C400" s="92" t="s">
        <v>699</v>
      </c>
      <c r="D400" s="33" t="s">
        <v>412</v>
      </c>
      <c r="E400" s="34">
        <v>45188</v>
      </c>
      <c r="F400" s="34">
        <v>45189</v>
      </c>
      <c r="G400" s="34">
        <v>45194</v>
      </c>
      <c r="H400" s="35"/>
      <c r="I400" s="67">
        <v>7.62</v>
      </c>
      <c r="J400" s="67">
        <v>0</v>
      </c>
      <c r="K400" s="67">
        <v>7.62</v>
      </c>
      <c r="L400" s="36">
        <f>+K400-((K400*0.001*0.125)+(K400*(1-0.001)*0.26))</f>
        <v>5.6398287000000007</v>
      </c>
      <c r="M400" s="64">
        <f t="shared" si="10"/>
        <v>5.6398287000000007</v>
      </c>
      <c r="N400" s="33" t="s">
        <v>288</v>
      </c>
    </row>
    <row r="401" spans="1:254">
      <c r="A401" s="146"/>
      <c r="B401" s="33" t="s">
        <v>554</v>
      </c>
      <c r="C401" s="92" t="s">
        <v>558</v>
      </c>
      <c r="D401" s="33" t="s">
        <v>412</v>
      </c>
      <c r="E401" s="34">
        <v>45188</v>
      </c>
      <c r="F401" s="34">
        <v>45189</v>
      </c>
      <c r="G401" s="34">
        <v>45194</v>
      </c>
      <c r="H401" s="35"/>
      <c r="I401" s="67">
        <v>17.18</v>
      </c>
      <c r="J401" s="67">
        <v>0</v>
      </c>
      <c r="K401" s="67">
        <v>17.18</v>
      </c>
      <c r="L401" s="36">
        <f>+K401-((K401*0.49*0.125)+(K401*(1-0.49)*0.26))</f>
        <v>13.849657000000001</v>
      </c>
      <c r="M401" s="64">
        <f t="shared" si="10"/>
        <v>13.849657000000001</v>
      </c>
      <c r="N401" s="33" t="s">
        <v>288</v>
      </c>
      <c r="IT401" s="15"/>
    </row>
    <row r="402" spans="1:254">
      <c r="A402" s="146"/>
      <c r="B402" s="33" t="s">
        <v>292</v>
      </c>
      <c r="C402" s="92" t="s">
        <v>497</v>
      </c>
      <c r="D402" s="33" t="s">
        <v>412</v>
      </c>
      <c r="E402" s="34">
        <v>45188</v>
      </c>
      <c r="F402" s="34">
        <v>45189</v>
      </c>
      <c r="G402" s="34">
        <v>45194</v>
      </c>
      <c r="H402" s="35"/>
      <c r="I402" s="67">
        <v>1.2</v>
      </c>
      <c r="J402" s="67">
        <v>0</v>
      </c>
      <c r="K402" s="67">
        <v>1.2</v>
      </c>
      <c r="L402" s="36">
        <f>+K402-((K402*0.5965*0.125)+(K402*(1-0.5965)*0.26))</f>
        <v>0.98463299999999998</v>
      </c>
      <c r="M402" s="64">
        <f t="shared" si="10"/>
        <v>0.98463299999999998</v>
      </c>
      <c r="N402" s="33" t="s">
        <v>288</v>
      </c>
    </row>
    <row r="403" spans="1:254">
      <c r="A403" s="146"/>
      <c r="B403" s="33" t="s">
        <v>698</v>
      </c>
      <c r="C403" s="92" t="s">
        <v>717</v>
      </c>
      <c r="D403" s="33" t="s">
        <v>412</v>
      </c>
      <c r="E403" s="34">
        <v>45188</v>
      </c>
      <c r="F403" s="34">
        <v>45189</v>
      </c>
      <c r="G403" s="34">
        <v>45194</v>
      </c>
      <c r="H403" s="35"/>
      <c r="I403" s="67">
        <v>13.09</v>
      </c>
      <c r="J403" s="67">
        <v>0</v>
      </c>
      <c r="K403" s="67">
        <v>13.09</v>
      </c>
      <c r="L403" s="36">
        <f>+K403-((K403*0.0285*0.125)+(K403*(1-0.0285)*0.26))</f>
        <v>9.7369637749999995</v>
      </c>
      <c r="M403" s="64">
        <f t="shared" si="10"/>
        <v>9.7369637749999995</v>
      </c>
      <c r="N403" s="33" t="s">
        <v>288</v>
      </c>
    </row>
    <row r="404" spans="1:254">
      <c r="A404" s="146"/>
      <c r="B404" s="33" t="s">
        <v>557</v>
      </c>
      <c r="C404" s="92" t="s">
        <v>561</v>
      </c>
      <c r="D404" s="33" t="s">
        <v>412</v>
      </c>
      <c r="E404" s="34">
        <v>45188</v>
      </c>
      <c r="F404" s="34">
        <v>45189</v>
      </c>
      <c r="G404" s="34">
        <v>45194</v>
      </c>
      <c r="H404" s="35"/>
      <c r="I404" s="67">
        <v>25.48</v>
      </c>
      <c r="J404" s="67">
        <v>0</v>
      </c>
      <c r="K404" s="67">
        <v>25.48</v>
      </c>
      <c r="L404" s="36">
        <f>+K404-((K404*0.1635*0.125)+(K404*(1-0.1635)*0.26))</f>
        <v>19.4176073</v>
      </c>
      <c r="M404" s="64">
        <f t="shared" si="10"/>
        <v>19.4176073</v>
      </c>
      <c r="N404" s="33" t="s">
        <v>288</v>
      </c>
    </row>
    <row r="405" spans="1:254">
      <c r="A405" s="146"/>
      <c r="B405" s="33" t="s">
        <v>296</v>
      </c>
      <c r="C405" s="92" t="s">
        <v>464</v>
      </c>
      <c r="D405" s="33" t="s">
        <v>412</v>
      </c>
      <c r="E405" s="34">
        <v>45188</v>
      </c>
      <c r="F405" s="34">
        <v>45189</v>
      </c>
      <c r="G405" s="34">
        <v>45194</v>
      </c>
      <c r="H405" s="35"/>
      <c r="I405" s="67">
        <v>49.34</v>
      </c>
      <c r="J405" s="67">
        <v>0</v>
      </c>
      <c r="K405" s="67">
        <v>49.34</v>
      </c>
      <c r="L405" s="36">
        <f>+K405-((K405*0.048*0.125)+(K405*(1-0.048)*0.26))</f>
        <v>36.8313232</v>
      </c>
      <c r="M405" s="64">
        <f t="shared" si="10"/>
        <v>36.8313232</v>
      </c>
      <c r="N405" s="33" t="s">
        <v>288</v>
      </c>
    </row>
    <row r="406" spans="1:254">
      <c r="A406" s="146"/>
      <c r="B406" s="33" t="s">
        <v>294</v>
      </c>
      <c r="C406" s="92" t="s">
        <v>706</v>
      </c>
      <c r="D406" s="33" t="s">
        <v>412</v>
      </c>
      <c r="E406" s="34">
        <v>45188</v>
      </c>
      <c r="F406" s="34">
        <v>45189</v>
      </c>
      <c r="G406" s="34">
        <v>45194</v>
      </c>
      <c r="H406" s="35"/>
      <c r="I406" s="67">
        <v>60.21</v>
      </c>
      <c r="J406" s="67">
        <v>0</v>
      </c>
      <c r="K406" s="67">
        <v>60.21</v>
      </c>
      <c r="L406" s="36">
        <f>+K406-((K406*0.091*0.125)+(K406*(1-0.091)*0.26))</f>
        <v>45.29507985</v>
      </c>
      <c r="M406" s="64">
        <f t="shared" si="10"/>
        <v>45.29507985</v>
      </c>
      <c r="N406" s="33" t="s">
        <v>288</v>
      </c>
    </row>
    <row r="407" spans="1:254">
      <c r="A407" s="146"/>
      <c r="B407" s="33" t="s">
        <v>801</v>
      </c>
      <c r="C407" s="92" t="s">
        <v>802</v>
      </c>
      <c r="D407" s="33" t="s">
        <v>410</v>
      </c>
      <c r="E407" s="34">
        <v>45197</v>
      </c>
      <c r="F407" s="34">
        <v>45198</v>
      </c>
      <c r="G407" s="34">
        <v>45203</v>
      </c>
      <c r="H407" s="35"/>
      <c r="I407" s="67">
        <v>5.1879999999999997</v>
      </c>
      <c r="J407" s="67">
        <v>0</v>
      </c>
      <c r="K407" s="67">
        <v>5.1879999999999997</v>
      </c>
      <c r="L407" s="36">
        <f>+K407-((K407*0.00000000001*0.125)+(K407*(1-0.0000000001)*0.26))</f>
        <v>3.8391200001284025</v>
      </c>
      <c r="M407" s="64">
        <f t="shared" si="10"/>
        <v>3.8391200001284025</v>
      </c>
      <c r="N407" s="33" t="s">
        <v>247</v>
      </c>
    </row>
    <row r="408" spans="1:254">
      <c r="A408" s="146"/>
      <c r="B408" s="33" t="s">
        <v>216</v>
      </c>
      <c r="C408" s="92" t="s">
        <v>456</v>
      </c>
      <c r="D408" s="33" t="s">
        <v>410</v>
      </c>
      <c r="E408" s="34">
        <v>45197</v>
      </c>
      <c r="F408" s="34">
        <v>45198</v>
      </c>
      <c r="G408" s="34">
        <v>45203</v>
      </c>
      <c r="H408" s="35"/>
      <c r="I408" s="67">
        <v>0</v>
      </c>
      <c r="J408" s="67">
        <v>0</v>
      </c>
      <c r="K408" s="67">
        <v>0</v>
      </c>
      <c r="L408" s="36">
        <f>+K408-((K408*0.076*0.125)+(K408*(1-0.076)*0.26))</f>
        <v>0</v>
      </c>
      <c r="M408" s="64">
        <f t="shared" si="10"/>
        <v>0</v>
      </c>
      <c r="N408" s="33" t="s">
        <v>247</v>
      </c>
    </row>
    <row r="409" spans="1:254">
      <c r="A409" s="146"/>
      <c r="B409" s="33" t="s">
        <v>677</v>
      </c>
      <c r="C409" s="92" t="s">
        <v>693</v>
      </c>
      <c r="D409" s="33" t="s">
        <v>410</v>
      </c>
      <c r="E409" s="34">
        <v>45197</v>
      </c>
      <c r="F409" s="34">
        <v>45198</v>
      </c>
      <c r="G409" s="34">
        <v>45203</v>
      </c>
      <c r="H409" s="35"/>
      <c r="I409" s="67">
        <v>0.47628599999999999</v>
      </c>
      <c r="J409" s="67">
        <v>0</v>
      </c>
      <c r="K409" s="67">
        <v>0.47628559999999998</v>
      </c>
      <c r="L409" s="36">
        <f>+K409-((K409*0.00000000001*0.125)+(K409*(1-0.0000000001)*0.26))</f>
        <v>0.35245134401178801</v>
      </c>
      <c r="M409" s="64">
        <f t="shared" si="10"/>
        <v>0.35245134401178801</v>
      </c>
      <c r="N409" s="33" t="s">
        <v>247</v>
      </c>
    </row>
    <row r="410" spans="1:254">
      <c r="A410" s="146"/>
      <c r="B410" s="33" t="s">
        <v>676</v>
      </c>
      <c r="C410" s="92" t="s">
        <v>692</v>
      </c>
      <c r="D410" s="33" t="s">
        <v>410</v>
      </c>
      <c r="E410" s="34">
        <v>45197</v>
      </c>
      <c r="F410" s="34">
        <v>45198</v>
      </c>
      <c r="G410" s="34">
        <v>45203</v>
      </c>
      <c r="H410" s="35"/>
      <c r="I410" s="67">
        <v>8.9192540000000005</v>
      </c>
      <c r="J410" s="67">
        <v>0</v>
      </c>
      <c r="K410" s="67">
        <v>8.9192538300000006</v>
      </c>
      <c r="L410" s="36">
        <f>+K410-((K410*0.063*0.125)+(K410*(1-0.063)*0.26))</f>
        <v>6.6761060880241505</v>
      </c>
      <c r="M410" s="64">
        <f t="shared" si="10"/>
        <v>6.6761060880241505</v>
      </c>
      <c r="N410" s="33" t="s">
        <v>247</v>
      </c>
    </row>
    <row r="411" spans="1:254">
      <c r="A411" s="146"/>
      <c r="B411" s="33" t="s">
        <v>215</v>
      </c>
      <c r="C411" s="92" t="s">
        <v>457</v>
      </c>
      <c r="D411" s="33" t="s">
        <v>410</v>
      </c>
      <c r="E411" s="34">
        <v>45198</v>
      </c>
      <c r="F411" s="34">
        <v>45201</v>
      </c>
      <c r="G411" s="34">
        <v>45204</v>
      </c>
      <c r="H411" s="35"/>
      <c r="I411" s="67">
        <v>0</v>
      </c>
      <c r="J411" s="67">
        <v>0</v>
      </c>
      <c r="K411" s="67">
        <v>0</v>
      </c>
      <c r="L411" s="36">
        <f>+K411-((K411*0.2815*0.125)+(K411*(1-0.2815)*0.26))</f>
        <v>0</v>
      </c>
      <c r="M411" s="64">
        <f t="shared" si="10"/>
        <v>0</v>
      </c>
      <c r="N411" s="33" t="s">
        <v>248</v>
      </c>
    </row>
    <row r="412" spans="1:254">
      <c r="A412" s="146"/>
      <c r="B412" s="33" t="s">
        <v>203</v>
      </c>
      <c r="C412" s="92" t="s">
        <v>445</v>
      </c>
      <c r="D412" s="33" t="s">
        <v>410</v>
      </c>
      <c r="E412" s="34">
        <v>45198</v>
      </c>
      <c r="F412" s="34">
        <v>45201</v>
      </c>
      <c r="G412" s="34">
        <v>45204</v>
      </c>
      <c r="H412" s="35"/>
      <c r="I412" s="67">
        <v>5.3177000000000003</v>
      </c>
      <c r="J412" s="67">
        <v>0</v>
      </c>
      <c r="K412" s="67">
        <v>5.3177000000000003</v>
      </c>
      <c r="L412" s="36">
        <f>+K412-((K412*0.5625*0.125)+(K412*(1-0.5625)*0.26))</f>
        <v>4.3389108437499999</v>
      </c>
      <c r="M412" s="64">
        <f t="shared" si="10"/>
        <v>4.3389108437499999</v>
      </c>
      <c r="N412" s="33" t="s">
        <v>248</v>
      </c>
    </row>
    <row r="413" spans="1:254">
      <c r="A413" s="146"/>
      <c r="B413" s="33" t="s">
        <v>204</v>
      </c>
      <c r="C413" s="92" t="s">
        <v>446</v>
      </c>
      <c r="D413" s="33" t="s">
        <v>410</v>
      </c>
      <c r="E413" s="34">
        <v>45198</v>
      </c>
      <c r="F413" s="34">
        <v>45201</v>
      </c>
      <c r="G413" s="34">
        <v>45204</v>
      </c>
      <c r="H413" s="35" t="s">
        <v>856</v>
      </c>
      <c r="I413" s="67">
        <v>0</v>
      </c>
      <c r="J413" s="67">
        <v>0</v>
      </c>
      <c r="K413" s="67">
        <v>0</v>
      </c>
      <c r="L413" s="36">
        <f>+K413-((K413*0.0435*0.125)+(K413*(1-0.0435)*0.26))</f>
        <v>0</v>
      </c>
      <c r="M413" s="64">
        <f t="shared" si="10"/>
        <v>0</v>
      </c>
      <c r="N413" s="33" t="s">
        <v>248</v>
      </c>
    </row>
    <row r="414" spans="1:254">
      <c r="A414" s="146"/>
      <c r="B414" s="33" t="s">
        <v>207</v>
      </c>
      <c r="C414" s="92" t="s">
        <v>447</v>
      </c>
      <c r="D414" s="33" t="s">
        <v>410</v>
      </c>
      <c r="E414" s="34">
        <v>45198</v>
      </c>
      <c r="F414" s="34">
        <v>45201</v>
      </c>
      <c r="G414" s="34">
        <v>45204</v>
      </c>
      <c r="H414" s="35"/>
      <c r="I414" s="67">
        <v>4.1631999999999998</v>
      </c>
      <c r="J414" s="67">
        <v>0</v>
      </c>
      <c r="K414" s="67">
        <v>4.1631999999999998</v>
      </c>
      <c r="L414" s="36">
        <f>+K414-((K414*0.7355*0.125)+(K414*(1-0.7355)*0.26))</f>
        <v>3.494142536</v>
      </c>
      <c r="M414" s="64">
        <f t="shared" si="10"/>
        <v>3.494142536</v>
      </c>
      <c r="N414" s="33" t="s">
        <v>248</v>
      </c>
    </row>
    <row r="415" spans="1:254">
      <c r="A415" s="146"/>
      <c r="B415" s="33" t="s">
        <v>678</v>
      </c>
      <c r="C415" s="92" t="s">
        <v>707</v>
      </c>
      <c r="D415" s="33" t="s">
        <v>410</v>
      </c>
      <c r="E415" s="34">
        <v>45198</v>
      </c>
      <c r="F415" s="34">
        <v>45201</v>
      </c>
      <c r="G415" s="34">
        <v>45204</v>
      </c>
      <c r="H415" s="35"/>
      <c r="I415" s="67">
        <v>16.300599999999999</v>
      </c>
      <c r="J415" s="67">
        <v>0</v>
      </c>
      <c r="K415" s="67">
        <v>16.300599999999999</v>
      </c>
      <c r="L415" s="36">
        <f>+K415-((K415*0.0015*0.125)+(K415*(1-0.0015)*0.26))</f>
        <v>12.065744871499998</v>
      </c>
      <c r="M415" s="64">
        <f t="shared" si="10"/>
        <v>12.065744871499998</v>
      </c>
      <c r="N415" s="33" t="s">
        <v>248</v>
      </c>
    </row>
    <row r="416" spans="1:254">
      <c r="A416" s="146"/>
      <c r="B416" s="33" t="s">
        <v>205</v>
      </c>
      <c r="C416" s="92" t="s">
        <v>448</v>
      </c>
      <c r="D416" s="33" t="s">
        <v>410</v>
      </c>
      <c r="E416" s="34">
        <v>45198</v>
      </c>
      <c r="F416" s="34">
        <v>45201</v>
      </c>
      <c r="G416" s="34">
        <v>45204</v>
      </c>
      <c r="H416" s="35"/>
      <c r="I416" s="67">
        <v>9.3985000000000003</v>
      </c>
      <c r="J416" s="67">
        <v>0</v>
      </c>
      <c r="K416" s="67">
        <v>0</v>
      </c>
      <c r="L416" s="36">
        <f>+K416-((K416*0.49*0.125)+(K416*(1-0.49)*0.26))</f>
        <v>0</v>
      </c>
      <c r="M416" s="64">
        <f t="shared" si="10"/>
        <v>0</v>
      </c>
      <c r="N416" s="33" t="s">
        <v>248</v>
      </c>
    </row>
    <row r="417" spans="1:14">
      <c r="A417" s="146"/>
      <c r="B417" s="33" t="s">
        <v>206</v>
      </c>
      <c r="C417" s="92" t="s">
        <v>449</v>
      </c>
      <c r="D417" s="33" t="s">
        <v>410</v>
      </c>
      <c r="E417" s="34">
        <v>45198</v>
      </c>
      <c r="F417" s="34">
        <v>45201</v>
      </c>
      <c r="G417" s="34">
        <v>45204</v>
      </c>
      <c r="H417" s="35"/>
      <c r="I417" s="67">
        <v>10.6724</v>
      </c>
      <c r="J417" s="67">
        <v>0</v>
      </c>
      <c r="K417" s="67">
        <v>10.6724</v>
      </c>
      <c r="L417" s="36">
        <f>+K417-((K417*0.49*0.125)+(K417*(1-0.49)*0.26))</f>
        <v>8.6035552600000003</v>
      </c>
      <c r="M417" s="64">
        <f t="shared" si="10"/>
        <v>8.6035552600000003</v>
      </c>
      <c r="N417" s="33" t="s">
        <v>248</v>
      </c>
    </row>
    <row r="418" spans="1:14">
      <c r="A418" s="146"/>
      <c r="B418" s="33" t="s">
        <v>505</v>
      </c>
      <c r="C418" s="92" t="s">
        <v>506</v>
      </c>
      <c r="D418" s="33" t="s">
        <v>410</v>
      </c>
      <c r="E418" s="34">
        <v>45198</v>
      </c>
      <c r="F418" s="34">
        <v>45201</v>
      </c>
      <c r="G418" s="34">
        <v>45204</v>
      </c>
      <c r="H418" s="35"/>
      <c r="I418" s="67">
        <v>9.6410999999999998</v>
      </c>
      <c r="J418" s="67">
        <v>0</v>
      </c>
      <c r="K418" s="67">
        <v>9.6410999999999998</v>
      </c>
      <c r="L418" s="36">
        <f>+K418-((K418*0.08*0.125)+(K418*(1-0.08)*0.26))</f>
        <v>7.23853788</v>
      </c>
      <c r="M418" s="64">
        <f t="shared" si="10"/>
        <v>7.23853788</v>
      </c>
      <c r="N418" s="33" t="s">
        <v>248</v>
      </c>
    </row>
    <row r="419" spans="1:14">
      <c r="A419" s="146"/>
      <c r="B419" s="33" t="s">
        <v>212</v>
      </c>
      <c r="C419" s="92" t="s">
        <v>450</v>
      </c>
      <c r="D419" s="33" t="s">
        <v>410</v>
      </c>
      <c r="E419" s="34">
        <v>45198</v>
      </c>
      <c r="F419" s="34">
        <v>45201</v>
      </c>
      <c r="G419" s="34">
        <v>45204</v>
      </c>
      <c r="H419" s="35"/>
      <c r="I419" s="67">
        <v>16.674700000000001</v>
      </c>
      <c r="J419" s="67">
        <v>0</v>
      </c>
      <c r="K419" s="67">
        <v>16.674700000000001</v>
      </c>
      <c r="L419" s="36">
        <f>+K419-((K419*0.023*0.125)+(K419*(1-0.023)*0.26))</f>
        <v>12.3910529435</v>
      </c>
      <c r="M419" s="64">
        <f t="shared" si="10"/>
        <v>12.3910529435</v>
      </c>
      <c r="N419" s="33" t="s">
        <v>248</v>
      </c>
    </row>
    <row r="420" spans="1:14">
      <c r="A420" s="146"/>
      <c r="B420" s="33" t="s">
        <v>208</v>
      </c>
      <c r="C420" s="92" t="s">
        <v>451</v>
      </c>
      <c r="D420" s="33" t="s">
        <v>410</v>
      </c>
      <c r="E420" s="34">
        <v>45198</v>
      </c>
      <c r="F420" s="34">
        <v>45201</v>
      </c>
      <c r="G420" s="34">
        <v>45204</v>
      </c>
      <c r="H420" s="35"/>
      <c r="I420" s="67">
        <v>0</v>
      </c>
      <c r="J420" s="67">
        <v>0</v>
      </c>
      <c r="K420" s="67">
        <v>0</v>
      </c>
      <c r="L420" s="36">
        <f>+K420-((K420*0.018*0.125)+(K420*(1-0.018)*0.26))</f>
        <v>0</v>
      </c>
      <c r="M420" s="64">
        <f t="shared" si="10"/>
        <v>0</v>
      </c>
      <c r="N420" s="33" t="s">
        <v>248</v>
      </c>
    </row>
    <row r="421" spans="1:14">
      <c r="A421" s="146"/>
      <c r="B421" s="33" t="s">
        <v>213</v>
      </c>
      <c r="C421" s="92" t="s">
        <v>452</v>
      </c>
      <c r="D421" s="33" t="s">
        <v>410</v>
      </c>
      <c r="E421" s="34">
        <v>45198</v>
      </c>
      <c r="F421" s="34">
        <v>45201</v>
      </c>
      <c r="G421" s="34">
        <v>45204</v>
      </c>
      <c r="H421" s="35"/>
      <c r="I421" s="67">
        <v>8.3102</v>
      </c>
      <c r="J421" s="67">
        <v>0</v>
      </c>
      <c r="K421" s="67">
        <v>8.3102</v>
      </c>
      <c r="L421" s="36">
        <f>+K421-((K421*0.016*0.125)+(K421*(1-0.016)*0.26))</f>
        <v>6.1674980320000001</v>
      </c>
      <c r="M421" s="64">
        <f t="shared" si="10"/>
        <v>6.1674980320000001</v>
      </c>
      <c r="N421" s="33" t="s">
        <v>248</v>
      </c>
    </row>
    <row r="422" spans="1:14">
      <c r="A422" s="146"/>
      <c r="B422" s="33" t="s">
        <v>210</v>
      </c>
      <c r="C422" s="92" t="s">
        <v>458</v>
      </c>
      <c r="D422" s="33" t="s">
        <v>410</v>
      </c>
      <c r="E422" s="34">
        <v>45198</v>
      </c>
      <c r="F422" s="34">
        <v>45201</v>
      </c>
      <c r="G422" s="34">
        <v>45204</v>
      </c>
      <c r="H422" s="35"/>
      <c r="I422" s="67">
        <v>13.4603</v>
      </c>
      <c r="J422" s="67">
        <v>0</v>
      </c>
      <c r="K422" s="67">
        <v>13.4603</v>
      </c>
      <c r="L422" s="36">
        <f>+K422-((K422*0.048*0.125)+(K422*(1-0.048)*0.26))</f>
        <v>10.047844744000001</v>
      </c>
      <c r="M422" s="64">
        <f t="shared" si="10"/>
        <v>10.047844744000001</v>
      </c>
      <c r="N422" s="33" t="s">
        <v>248</v>
      </c>
    </row>
    <row r="423" spans="1:14">
      <c r="A423" s="146"/>
      <c r="B423" s="33" t="s">
        <v>214</v>
      </c>
      <c r="C423" s="92" t="s">
        <v>453</v>
      </c>
      <c r="D423" s="33" t="s">
        <v>410</v>
      </c>
      <c r="E423" s="34">
        <v>45198</v>
      </c>
      <c r="F423" s="34">
        <v>45201</v>
      </c>
      <c r="G423" s="34">
        <v>45204</v>
      </c>
      <c r="H423" s="35"/>
      <c r="I423" s="67">
        <v>10.6896</v>
      </c>
      <c r="J423" s="67">
        <v>0</v>
      </c>
      <c r="K423" s="67">
        <v>10.6896</v>
      </c>
      <c r="L423" s="36">
        <f>+K423-((K423*0.1155*0.125)+(K423*(1-0.1155)*0.26))</f>
        <v>8.0769815880000007</v>
      </c>
      <c r="M423" s="64">
        <f t="shared" si="10"/>
        <v>8.0769815880000007</v>
      </c>
      <c r="N423" s="33" t="s">
        <v>248</v>
      </c>
    </row>
    <row r="424" spans="1:14">
      <c r="A424" s="146"/>
      <c r="B424" s="33" t="s">
        <v>211</v>
      </c>
      <c r="C424" s="92" t="s">
        <v>459</v>
      </c>
      <c r="D424" s="33" t="s">
        <v>410</v>
      </c>
      <c r="E424" s="34">
        <v>45198</v>
      </c>
      <c r="F424" s="34">
        <v>45201</v>
      </c>
      <c r="G424" s="34">
        <v>45204</v>
      </c>
      <c r="H424" s="35"/>
      <c r="I424" s="67">
        <v>0</v>
      </c>
      <c r="J424" s="67">
        <v>0</v>
      </c>
      <c r="K424" s="67">
        <v>0</v>
      </c>
      <c r="L424" s="36">
        <f>+K424-((K424*0.242*0.125)+(K424*(1-0.242)*0.26))</f>
        <v>0</v>
      </c>
      <c r="M424" s="64">
        <f t="shared" si="10"/>
        <v>0</v>
      </c>
      <c r="N424" s="33" t="s">
        <v>248</v>
      </c>
    </row>
    <row r="425" spans="1:14">
      <c r="A425" s="146"/>
      <c r="B425" s="33" t="s">
        <v>209</v>
      </c>
      <c r="C425" s="92" t="s">
        <v>706</v>
      </c>
      <c r="D425" s="33" t="s">
        <v>410</v>
      </c>
      <c r="E425" s="34">
        <v>45198</v>
      </c>
      <c r="F425" s="34">
        <v>45201</v>
      </c>
      <c r="G425" s="34">
        <v>45204</v>
      </c>
      <c r="H425" s="35"/>
      <c r="I425" s="67">
        <v>0</v>
      </c>
      <c r="J425" s="67">
        <v>0</v>
      </c>
      <c r="K425" s="67">
        <v>0</v>
      </c>
      <c r="L425" s="36">
        <f>+K425-((K425*0.091*0.125)+(K425*(1-0.091)*0.26))</f>
        <v>0</v>
      </c>
      <c r="M425" s="64">
        <f t="shared" si="10"/>
        <v>0</v>
      </c>
      <c r="N425" s="33" t="s">
        <v>248</v>
      </c>
    </row>
    <row r="426" spans="1:14">
      <c r="A426" s="146"/>
      <c r="B426" s="33" t="s">
        <v>225</v>
      </c>
      <c r="C426" s="92" t="s">
        <v>454</v>
      </c>
      <c r="D426" s="33" t="s">
        <v>410</v>
      </c>
      <c r="E426" s="34">
        <v>45224</v>
      </c>
      <c r="F426" s="34">
        <v>45225</v>
      </c>
      <c r="G426" s="34">
        <v>45230</v>
      </c>
      <c r="H426" s="35"/>
      <c r="I426" s="67">
        <v>9.1012000000000004</v>
      </c>
      <c r="J426" s="67">
        <v>0</v>
      </c>
      <c r="K426" s="67">
        <v>9.1012000000000004</v>
      </c>
      <c r="L426" s="36">
        <f>+K426-((K426*0.223*0.125)+(K426*(1-0.223)*0.26))</f>
        <v>7.0088796260000006</v>
      </c>
      <c r="M426" s="64">
        <f t="shared" si="10"/>
        <v>7.0088796260000006</v>
      </c>
      <c r="N426" s="33" t="s">
        <v>249</v>
      </c>
    </row>
    <row r="427" spans="1:14">
      <c r="A427" s="146"/>
      <c r="B427" s="33" t="s">
        <v>219</v>
      </c>
      <c r="C427" s="92" t="s">
        <v>485</v>
      </c>
      <c r="D427" s="33" t="s">
        <v>410</v>
      </c>
      <c r="E427" s="34">
        <v>45224</v>
      </c>
      <c r="F427" s="34">
        <v>45225</v>
      </c>
      <c r="G427" s="34">
        <v>45230</v>
      </c>
      <c r="H427" s="35"/>
      <c r="I427" s="67">
        <v>7.5636000000000001</v>
      </c>
      <c r="J427" s="67">
        <v>0</v>
      </c>
      <c r="K427" s="67">
        <v>7.5636000000000001</v>
      </c>
      <c r="L427" s="36">
        <f>+K427-((K427*0.0035*0.125)+(K427*(1-0.0035)*0.26))</f>
        <v>5.6006378009999995</v>
      </c>
      <c r="M427" s="64">
        <f t="shared" si="10"/>
        <v>5.6006378009999995</v>
      </c>
      <c r="N427" s="33" t="s">
        <v>249</v>
      </c>
    </row>
    <row r="428" spans="1:14">
      <c r="A428" s="146"/>
      <c r="B428" s="33" t="s">
        <v>221</v>
      </c>
      <c r="C428" s="92" t="s">
        <v>484</v>
      </c>
      <c r="D428" s="33" t="s">
        <v>410</v>
      </c>
      <c r="E428" s="34">
        <v>45224</v>
      </c>
      <c r="F428" s="34">
        <v>45225</v>
      </c>
      <c r="G428" s="34">
        <v>45230</v>
      </c>
      <c r="H428" s="35"/>
      <c r="I428" s="67">
        <v>0</v>
      </c>
      <c r="J428" s="67">
        <v>0</v>
      </c>
      <c r="K428" s="67">
        <v>0</v>
      </c>
      <c r="L428" s="36">
        <f>+K428-((K428*0.0035*0.125)+(K428*(1-0.0035)*0.26))</f>
        <v>0</v>
      </c>
      <c r="M428" s="64">
        <f t="shared" si="10"/>
        <v>0</v>
      </c>
      <c r="N428" s="33" t="s">
        <v>249</v>
      </c>
    </row>
    <row r="429" spans="1:14">
      <c r="A429" s="146"/>
      <c r="B429" s="33" t="s">
        <v>551</v>
      </c>
      <c r="C429" s="92" t="s">
        <v>552</v>
      </c>
      <c r="D429" s="33" t="s">
        <v>412</v>
      </c>
      <c r="E429" s="34">
        <v>45236</v>
      </c>
      <c r="F429" s="34">
        <v>45237</v>
      </c>
      <c r="G429" s="34">
        <v>45240</v>
      </c>
      <c r="H429" s="35"/>
      <c r="I429" s="67">
        <v>35</v>
      </c>
      <c r="J429" s="67">
        <v>0</v>
      </c>
      <c r="K429" s="67">
        <v>35</v>
      </c>
      <c r="L429" s="36">
        <f>+K429-((K429*0.0415*0.125)+(K429*(1-0.0415)*0.26))</f>
        <v>26.096087499999999</v>
      </c>
      <c r="M429" s="64">
        <f t="shared" si="10"/>
        <v>26.096087499999999</v>
      </c>
      <c r="N429" s="33" t="s">
        <v>288</v>
      </c>
    </row>
    <row r="430" spans="1:14" s="18" customFormat="1">
      <c r="A430" s="81"/>
      <c r="B430" s="33" t="s">
        <v>801</v>
      </c>
      <c r="C430" s="92" t="s">
        <v>802</v>
      </c>
      <c r="D430" s="33" t="s">
        <v>410</v>
      </c>
      <c r="E430" s="49">
        <v>45288</v>
      </c>
      <c r="F430" s="49">
        <v>45289</v>
      </c>
      <c r="G430" s="49">
        <v>45295</v>
      </c>
      <c r="H430" s="35"/>
      <c r="I430" s="67">
        <v>0.89800000000000002</v>
      </c>
      <c r="J430" s="67">
        <v>0</v>
      </c>
      <c r="K430" s="67">
        <v>0.89800000000000002</v>
      </c>
      <c r="L430" s="36">
        <f>+K430-((K430*0.00000000001*0.125)+(K430*(1-0.0000000001)*0.26))</f>
        <v>0.66452000002222555</v>
      </c>
      <c r="M430" s="64">
        <f t="shared" si="10"/>
        <v>0.66452000002222555</v>
      </c>
      <c r="N430" s="33" t="s">
        <v>247</v>
      </c>
    </row>
    <row r="431" spans="1:14" s="18" customFormat="1">
      <c r="A431" s="81"/>
      <c r="B431" s="33" t="s">
        <v>216</v>
      </c>
      <c r="C431" s="92" t="s">
        <v>456</v>
      </c>
      <c r="D431" s="33" t="s">
        <v>410</v>
      </c>
      <c r="E431" s="49">
        <v>45288</v>
      </c>
      <c r="F431" s="49">
        <v>45289</v>
      </c>
      <c r="G431" s="49">
        <v>45295</v>
      </c>
      <c r="H431" s="35"/>
      <c r="I431" s="67">
        <v>0</v>
      </c>
      <c r="J431" s="67">
        <v>0</v>
      </c>
      <c r="K431" s="67">
        <v>0</v>
      </c>
      <c r="L431" s="36">
        <f>+K431-((K431*0.076*0.125)+(K431*(1-0.076)*0.26))</f>
        <v>0</v>
      </c>
      <c r="M431" s="64">
        <f t="shared" si="10"/>
        <v>0</v>
      </c>
      <c r="N431" s="33" t="s">
        <v>247</v>
      </c>
    </row>
    <row r="432" spans="1:14" s="18" customFormat="1">
      <c r="A432" s="81"/>
      <c r="B432" s="33" t="s">
        <v>677</v>
      </c>
      <c r="C432" s="92" t="s">
        <v>693</v>
      </c>
      <c r="D432" s="49" t="s">
        <v>410</v>
      </c>
      <c r="E432" s="49">
        <v>45288</v>
      </c>
      <c r="F432" s="49">
        <v>45289</v>
      </c>
      <c r="G432" s="49">
        <v>45295</v>
      </c>
      <c r="H432" s="67"/>
      <c r="I432" s="37">
        <v>0.88</v>
      </c>
      <c r="J432" s="67">
        <v>0</v>
      </c>
      <c r="K432" s="36">
        <v>0.88</v>
      </c>
      <c r="L432" s="36">
        <f>+K432-((K432*0.00000000001*0.125)+(K432*(1-0.0000000001)*0.26))</f>
        <v>0.65120000002178002</v>
      </c>
      <c r="M432" s="64">
        <f t="shared" si="10"/>
        <v>0.65120000002178002</v>
      </c>
      <c r="N432" s="33" t="s">
        <v>247</v>
      </c>
    </row>
    <row r="433" spans="1:255" s="18" customFormat="1">
      <c r="A433" s="81"/>
      <c r="B433" s="33" t="s">
        <v>676</v>
      </c>
      <c r="C433" s="92" t="s">
        <v>692</v>
      </c>
      <c r="D433" s="49" t="s">
        <v>410</v>
      </c>
      <c r="E433" s="49">
        <v>45288</v>
      </c>
      <c r="F433" s="49">
        <v>45289</v>
      </c>
      <c r="G433" s="49">
        <v>45295</v>
      </c>
      <c r="H433" s="67"/>
      <c r="I433" s="37">
        <v>8.4602310000000003</v>
      </c>
      <c r="J433" s="67">
        <v>0</v>
      </c>
      <c r="K433" s="36">
        <v>8.4602310000000003</v>
      </c>
      <c r="L433" s="36">
        <f>+K433-((K433*0.063*0.125)+(K433*(1-0.063)*0.26))</f>
        <v>6.332525204655</v>
      </c>
      <c r="M433" s="64">
        <f t="shared" si="10"/>
        <v>6.332525204655</v>
      </c>
      <c r="N433" s="33" t="s">
        <v>247</v>
      </c>
    </row>
    <row r="434" spans="1:255" s="149" customFormat="1">
      <c r="A434" s="145"/>
      <c r="B434" s="62" t="s">
        <v>215</v>
      </c>
      <c r="C434" s="93" t="s">
        <v>457</v>
      </c>
      <c r="D434" s="62" t="s">
        <v>410</v>
      </c>
      <c r="E434" s="49">
        <v>45289</v>
      </c>
      <c r="F434" s="49">
        <v>45293</v>
      </c>
      <c r="G434" s="49">
        <v>45296</v>
      </c>
      <c r="H434" s="63"/>
      <c r="I434" s="65">
        <v>0</v>
      </c>
      <c r="J434" s="65">
        <v>0</v>
      </c>
      <c r="K434" s="65">
        <v>0</v>
      </c>
      <c r="L434" s="36">
        <f>+K434-((K434*0.2815*0.125)+(K434*(1-0.2815)*0.26))</f>
        <v>0</v>
      </c>
      <c r="M434" s="64">
        <f t="shared" si="10"/>
        <v>0</v>
      </c>
      <c r="N434" s="62" t="s">
        <v>248</v>
      </c>
    </row>
    <row r="435" spans="1:255">
      <c r="A435" s="145"/>
      <c r="B435" s="33" t="s">
        <v>203</v>
      </c>
      <c r="C435" s="92" t="s">
        <v>445</v>
      </c>
      <c r="D435" s="33" t="s">
        <v>410</v>
      </c>
      <c r="E435" s="34">
        <v>45289</v>
      </c>
      <c r="F435" s="34">
        <v>45293</v>
      </c>
      <c r="G435" s="34">
        <v>45296</v>
      </c>
      <c r="H435" s="75"/>
      <c r="I435" s="67">
        <v>5.3177000000000003</v>
      </c>
      <c r="J435" s="67">
        <v>0.99002106800748724</v>
      </c>
      <c r="K435" s="67">
        <v>4.3276789319925131</v>
      </c>
      <c r="L435" s="36">
        <f>+K435-((K435*0.5625*0.125)+(K435*(1-0.5625)*0.26))</f>
        <v>3.531115528572641</v>
      </c>
      <c r="M435" s="64">
        <f t="shared" si="10"/>
        <v>4.5211365965801278</v>
      </c>
      <c r="N435" s="33" t="s">
        <v>248</v>
      </c>
    </row>
    <row r="436" spans="1:255" s="149" customFormat="1">
      <c r="A436" s="145"/>
      <c r="B436" s="62" t="s">
        <v>204</v>
      </c>
      <c r="C436" s="93" t="s">
        <v>446</v>
      </c>
      <c r="D436" s="62" t="s">
        <v>410</v>
      </c>
      <c r="E436" s="49">
        <v>45289</v>
      </c>
      <c r="F436" s="49">
        <v>45293</v>
      </c>
      <c r="G436" s="49">
        <v>45296</v>
      </c>
      <c r="H436" s="63" t="s">
        <v>856</v>
      </c>
      <c r="I436" s="65">
        <v>0</v>
      </c>
      <c r="J436" s="65">
        <v>0</v>
      </c>
      <c r="K436" s="65">
        <v>0</v>
      </c>
      <c r="L436" s="36">
        <f>+K436-((K436*0.0435*0.125)+(K436*(1-0.0435)*0.26))</f>
        <v>0</v>
      </c>
      <c r="M436" s="64">
        <f t="shared" si="10"/>
        <v>0</v>
      </c>
      <c r="N436" s="62" t="s">
        <v>248</v>
      </c>
    </row>
    <row r="437" spans="1:255">
      <c r="A437" s="145"/>
      <c r="B437" s="33" t="s">
        <v>207</v>
      </c>
      <c r="C437" s="92" t="s">
        <v>447</v>
      </c>
      <c r="D437" s="33" t="s">
        <v>410</v>
      </c>
      <c r="E437" s="34">
        <v>45289</v>
      </c>
      <c r="F437" s="34">
        <v>45293</v>
      </c>
      <c r="G437" s="34">
        <v>45296</v>
      </c>
      <c r="H437" s="35"/>
      <c r="I437" s="67">
        <v>4.1631999999999998</v>
      </c>
      <c r="J437" s="67">
        <v>1.4142367102717253</v>
      </c>
      <c r="K437" s="67">
        <v>2.7489632897282745</v>
      </c>
      <c r="L437" s="36">
        <f>+K437-((K437*0.7355*0.125)+(K437*(1-0.7355)*0.26))</f>
        <v>2.3071842718442679</v>
      </c>
      <c r="M437" s="64">
        <f t="shared" si="10"/>
        <v>3.7214209821159931</v>
      </c>
      <c r="N437" s="33" t="s">
        <v>248</v>
      </c>
    </row>
    <row r="438" spans="1:255" s="149" customFormat="1">
      <c r="A438" s="99"/>
      <c r="B438" s="33" t="s">
        <v>678</v>
      </c>
      <c r="C438" s="92" t="s">
        <v>707</v>
      </c>
      <c r="D438" s="33" t="s">
        <v>410</v>
      </c>
      <c r="E438" s="34">
        <v>45289</v>
      </c>
      <c r="F438" s="34">
        <v>45293</v>
      </c>
      <c r="G438" s="34">
        <v>45296</v>
      </c>
      <c r="H438" s="35"/>
      <c r="I438" s="67">
        <v>16.300599999999999</v>
      </c>
      <c r="J438" s="67">
        <v>4.2579926412104907</v>
      </c>
      <c r="K438" s="67">
        <v>12.042607358789509</v>
      </c>
      <c r="L438" s="36">
        <f>+K438-((K438*0.0015*0.125)+(K438*(1-0.0015)*0.26))</f>
        <v>8.9139680734943916</v>
      </c>
      <c r="M438" s="64">
        <f t="shared" si="10"/>
        <v>13.171960714704882</v>
      </c>
      <c r="N438" s="33" t="s">
        <v>248</v>
      </c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</row>
    <row r="439" spans="1:255" ht="15" customHeight="1">
      <c r="A439" s="145"/>
      <c r="B439" s="33" t="s">
        <v>205</v>
      </c>
      <c r="C439" s="92" t="s">
        <v>448</v>
      </c>
      <c r="D439" s="33" t="s">
        <v>410</v>
      </c>
      <c r="E439" s="34">
        <v>45289</v>
      </c>
      <c r="F439" s="34">
        <v>45293</v>
      </c>
      <c r="G439" s="34">
        <v>45296</v>
      </c>
      <c r="H439" s="35"/>
      <c r="I439" s="67">
        <v>9.3985000000000003</v>
      </c>
      <c r="J439" s="67">
        <v>1.084893343294846</v>
      </c>
      <c r="K439" s="67">
        <v>8.3136066567051543</v>
      </c>
      <c r="L439" s="36">
        <f>+K439-((K439*0.49*0.125)+(K439*(1-0.49)*0.26))</f>
        <v>6.7020140063028606</v>
      </c>
      <c r="M439" s="64">
        <f t="shared" si="10"/>
        <v>7.7869073495977066</v>
      </c>
      <c r="N439" s="33" t="s">
        <v>248</v>
      </c>
    </row>
    <row r="440" spans="1:255" ht="15" customHeight="1">
      <c r="A440" s="145"/>
      <c r="B440" s="33" t="s">
        <v>206</v>
      </c>
      <c r="C440" s="92" t="s">
        <v>449</v>
      </c>
      <c r="D440" s="33" t="s">
        <v>410</v>
      </c>
      <c r="E440" s="34">
        <v>45289</v>
      </c>
      <c r="F440" s="34">
        <v>45293</v>
      </c>
      <c r="G440" s="34">
        <v>45296</v>
      </c>
      <c r="H440" s="35"/>
      <c r="I440" s="67">
        <v>10.6724</v>
      </c>
      <c r="J440" s="67">
        <v>1.1430660711788967</v>
      </c>
      <c r="K440" s="67">
        <v>9.529333928821103</v>
      </c>
      <c r="L440" s="36">
        <f>+K440-((K440*0.49*0.125)+(K440*(1-0.49)*0.26))</f>
        <v>7.682072546719132</v>
      </c>
      <c r="M440" s="64">
        <f t="shared" si="10"/>
        <v>8.8251386178980287</v>
      </c>
      <c r="N440" s="33" t="s">
        <v>248</v>
      </c>
    </row>
    <row r="441" spans="1:255">
      <c r="A441" s="145"/>
      <c r="B441" s="33" t="s">
        <v>505</v>
      </c>
      <c r="C441" s="92" t="s">
        <v>506</v>
      </c>
      <c r="D441" s="33" t="s">
        <v>410</v>
      </c>
      <c r="E441" s="34">
        <v>45289</v>
      </c>
      <c r="F441" s="34">
        <v>45293</v>
      </c>
      <c r="G441" s="34">
        <v>45296</v>
      </c>
      <c r="H441" s="35"/>
      <c r="I441" s="67">
        <v>9.6410999999999998</v>
      </c>
      <c r="J441" s="67">
        <v>1.2840691148445327</v>
      </c>
      <c r="K441" s="67">
        <v>8.3570308851554671</v>
      </c>
      <c r="L441" s="36">
        <f>+K441-((K441*0.08*0.125)+(K441*(1-0.08)*0.26))</f>
        <v>6.2744587885747247</v>
      </c>
      <c r="M441" s="64">
        <f t="shared" si="10"/>
        <v>7.5585279034192574</v>
      </c>
      <c r="N441" s="33" t="s">
        <v>248</v>
      </c>
    </row>
    <row r="442" spans="1:255">
      <c r="A442" s="145"/>
      <c r="B442" s="33" t="s">
        <v>212</v>
      </c>
      <c r="C442" s="92" t="s">
        <v>450</v>
      </c>
      <c r="D442" s="33" t="s">
        <v>410</v>
      </c>
      <c r="E442" s="34">
        <v>45289</v>
      </c>
      <c r="F442" s="34">
        <v>45293</v>
      </c>
      <c r="G442" s="34">
        <v>45296</v>
      </c>
      <c r="H442" s="35"/>
      <c r="I442" s="67">
        <v>16.674700000000001</v>
      </c>
      <c r="J442" s="67">
        <v>2.6632183079878207</v>
      </c>
      <c r="K442" s="67">
        <v>14.011481692012181</v>
      </c>
      <c r="L442" s="36">
        <f>+K442-((K442*0.023*0.125)+(K442*(1-0.023)*0.26))</f>
        <v>10.412002102742711</v>
      </c>
      <c r="M442" s="64">
        <f t="shared" si="10"/>
        <v>13.075220410730532</v>
      </c>
      <c r="N442" s="33" t="s">
        <v>248</v>
      </c>
    </row>
    <row r="443" spans="1:255">
      <c r="A443" s="145"/>
      <c r="B443" s="33" t="s">
        <v>208</v>
      </c>
      <c r="C443" s="92" t="s">
        <v>451</v>
      </c>
      <c r="D443" s="33" t="s">
        <v>410</v>
      </c>
      <c r="E443" s="34">
        <v>45289</v>
      </c>
      <c r="F443" s="34">
        <v>45293</v>
      </c>
      <c r="G443" s="34">
        <v>45296</v>
      </c>
      <c r="H443" s="35"/>
      <c r="I443" s="65">
        <v>0</v>
      </c>
      <c r="J443" s="67">
        <v>0</v>
      </c>
      <c r="K443" s="67">
        <v>0</v>
      </c>
      <c r="L443" s="36">
        <f>+K443-((K443*0.018*0.125)+(K443*(1-0.018)*0.26))</f>
        <v>0</v>
      </c>
      <c r="M443" s="64">
        <f t="shared" si="10"/>
        <v>0</v>
      </c>
      <c r="N443" s="33" t="s">
        <v>248</v>
      </c>
    </row>
    <row r="444" spans="1:255">
      <c r="A444" s="59"/>
      <c r="B444" s="33" t="s">
        <v>213</v>
      </c>
      <c r="C444" s="92" t="s">
        <v>452</v>
      </c>
      <c r="D444" s="33" t="s">
        <v>410</v>
      </c>
      <c r="E444" s="34">
        <v>45289</v>
      </c>
      <c r="F444" s="34">
        <v>45293</v>
      </c>
      <c r="G444" s="34">
        <v>45296</v>
      </c>
      <c r="H444" s="35"/>
      <c r="I444" s="67">
        <v>8.3102</v>
      </c>
      <c r="J444" s="67">
        <v>0</v>
      </c>
      <c r="K444" s="67">
        <v>8.3102</v>
      </c>
      <c r="L444" s="36">
        <f>+K444-((K444*0.016*0.125)+(K444*(1-0.016)*0.26))</f>
        <v>6.1674980320000001</v>
      </c>
      <c r="M444" s="64">
        <f t="shared" si="10"/>
        <v>6.1674980320000001</v>
      </c>
      <c r="N444" s="33" t="s">
        <v>248</v>
      </c>
    </row>
    <row r="445" spans="1:255" s="18" customFormat="1">
      <c r="A445" s="145"/>
      <c r="B445" s="33" t="s">
        <v>210</v>
      </c>
      <c r="C445" s="92" t="s">
        <v>458</v>
      </c>
      <c r="D445" s="33" t="s">
        <v>410</v>
      </c>
      <c r="E445" s="34">
        <v>45289</v>
      </c>
      <c r="F445" s="34">
        <v>45293</v>
      </c>
      <c r="G445" s="34">
        <v>45296</v>
      </c>
      <c r="H445" s="35" t="s">
        <v>856</v>
      </c>
      <c r="I445" s="65">
        <v>0</v>
      </c>
      <c r="J445" s="65">
        <v>0</v>
      </c>
      <c r="K445" s="65">
        <v>0</v>
      </c>
      <c r="L445" s="36">
        <f>+K445-((K445*0.048*0.125)+(K445*(1-0.048)*0.26))</f>
        <v>0</v>
      </c>
      <c r="M445" s="64">
        <f t="shared" si="10"/>
        <v>0</v>
      </c>
      <c r="N445" s="33" t="s">
        <v>248</v>
      </c>
    </row>
    <row r="446" spans="1:255">
      <c r="A446" s="59"/>
      <c r="B446" s="33" t="s">
        <v>214</v>
      </c>
      <c r="C446" s="92" t="s">
        <v>453</v>
      </c>
      <c r="D446" s="33" t="s">
        <v>410</v>
      </c>
      <c r="E446" s="34">
        <v>45289</v>
      </c>
      <c r="F446" s="34">
        <v>45293</v>
      </c>
      <c r="G446" s="34">
        <v>45296</v>
      </c>
      <c r="H446" s="35"/>
      <c r="I446" s="65">
        <v>10.6896</v>
      </c>
      <c r="J446" s="65">
        <v>0</v>
      </c>
      <c r="K446" s="65">
        <v>10.6896</v>
      </c>
      <c r="L446" s="36">
        <f>+K446-((K446*0.1155*0.125)+(K446*(1-0.1155)*0.26))</f>
        <v>8.0769815880000007</v>
      </c>
      <c r="M446" s="64">
        <f t="shared" si="10"/>
        <v>8.0769815880000007</v>
      </c>
      <c r="N446" s="33" t="s">
        <v>248</v>
      </c>
    </row>
    <row r="447" spans="1:255" s="18" customFormat="1">
      <c r="A447" s="145"/>
      <c r="B447" s="33" t="s">
        <v>211</v>
      </c>
      <c r="C447" s="92" t="s">
        <v>459</v>
      </c>
      <c r="D447" s="33" t="s">
        <v>410</v>
      </c>
      <c r="E447" s="34">
        <v>45289</v>
      </c>
      <c r="F447" s="34">
        <v>45293</v>
      </c>
      <c r="G447" s="34">
        <v>45296</v>
      </c>
      <c r="H447" s="35"/>
      <c r="I447" s="65">
        <v>0</v>
      </c>
      <c r="J447" s="65">
        <v>0</v>
      </c>
      <c r="K447" s="65">
        <v>0</v>
      </c>
      <c r="L447" s="36">
        <f>+K447-((K447*0.242*0.125)+(K447*(1-0.242)*0.26))</f>
        <v>0</v>
      </c>
      <c r="M447" s="64">
        <f t="shared" si="10"/>
        <v>0</v>
      </c>
      <c r="N447" s="33" t="s">
        <v>248</v>
      </c>
    </row>
    <row r="448" spans="1:255">
      <c r="A448" s="145"/>
      <c r="B448" s="62" t="s">
        <v>209</v>
      </c>
      <c r="C448" s="93" t="s">
        <v>706</v>
      </c>
      <c r="D448" s="62" t="s">
        <v>410</v>
      </c>
      <c r="E448" s="49">
        <v>45289</v>
      </c>
      <c r="F448" s="49">
        <v>45293</v>
      </c>
      <c r="G448" s="49">
        <v>45296</v>
      </c>
      <c r="H448" s="63"/>
      <c r="I448" s="65">
        <v>0</v>
      </c>
      <c r="J448" s="65">
        <v>0</v>
      </c>
      <c r="K448" s="65">
        <v>0</v>
      </c>
      <c r="L448" s="36">
        <f>+K448-((K448*0.091*0.125)+(K448*(1-0.091)*0.26))</f>
        <v>0</v>
      </c>
      <c r="M448" s="64">
        <f t="shared" ref="M448:M511" si="11">L448+J448</f>
        <v>0</v>
      </c>
      <c r="N448" s="62" t="s">
        <v>248</v>
      </c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  <c r="BT448" s="149"/>
      <c r="BU448" s="149"/>
      <c r="BV448" s="149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49"/>
      <c r="CM448" s="149"/>
      <c r="CN448" s="149"/>
      <c r="CO448" s="149"/>
      <c r="CP448" s="149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  <c r="DO448" s="149"/>
      <c r="DP448" s="149"/>
      <c r="DQ448" s="149"/>
      <c r="DR448" s="149"/>
      <c r="DS448" s="149"/>
      <c r="DT448" s="149"/>
      <c r="DU448" s="149"/>
      <c r="DV448" s="149"/>
      <c r="DW448" s="149"/>
      <c r="DX448" s="149"/>
      <c r="DY448" s="149"/>
      <c r="DZ448" s="149"/>
      <c r="EA448" s="149"/>
      <c r="EB448" s="149"/>
      <c r="EC448" s="149"/>
      <c r="ED448" s="149"/>
      <c r="EE448" s="149"/>
      <c r="EF448" s="149"/>
      <c r="EG448" s="149"/>
      <c r="EH448" s="149"/>
      <c r="EI448" s="149"/>
      <c r="EJ448" s="149"/>
      <c r="EK448" s="149"/>
      <c r="EL448" s="149"/>
      <c r="EM448" s="149"/>
      <c r="EN448" s="149"/>
      <c r="EO448" s="149"/>
      <c r="EP448" s="149"/>
      <c r="EQ448" s="149"/>
      <c r="ER448" s="149"/>
      <c r="ES448" s="149"/>
      <c r="ET448" s="149"/>
      <c r="EU448" s="149"/>
      <c r="EV448" s="149"/>
      <c r="EW448" s="149"/>
      <c r="EX448" s="149"/>
      <c r="EY448" s="149"/>
      <c r="EZ448" s="149"/>
      <c r="FA448" s="149"/>
      <c r="FB448" s="149"/>
      <c r="FC448" s="149"/>
      <c r="FD448" s="149"/>
      <c r="FE448" s="149"/>
      <c r="FF448" s="149"/>
      <c r="FG448" s="149"/>
      <c r="FH448" s="149"/>
      <c r="FI448" s="149"/>
      <c r="FJ448" s="149"/>
      <c r="FK448" s="149"/>
      <c r="FL448" s="149"/>
      <c r="FM448" s="149"/>
      <c r="FN448" s="149"/>
      <c r="FO448" s="149"/>
      <c r="FP448" s="149"/>
      <c r="FQ448" s="149"/>
      <c r="FR448" s="149"/>
      <c r="FS448" s="149"/>
      <c r="FT448" s="149"/>
      <c r="FU448" s="149"/>
      <c r="FV448" s="149"/>
      <c r="FW448" s="149"/>
      <c r="FX448" s="149"/>
      <c r="FY448" s="149"/>
      <c r="FZ448" s="149"/>
      <c r="GA448" s="149"/>
      <c r="GB448" s="149"/>
      <c r="GC448" s="149"/>
      <c r="GD448" s="149"/>
      <c r="GE448" s="149"/>
      <c r="GF448" s="149"/>
      <c r="GG448" s="149"/>
      <c r="GH448" s="149"/>
      <c r="GI448" s="149"/>
      <c r="GJ448" s="149"/>
      <c r="GK448" s="149"/>
      <c r="GL448" s="149"/>
      <c r="GM448" s="149"/>
      <c r="GN448" s="149"/>
      <c r="GO448" s="149"/>
      <c r="GP448" s="149"/>
      <c r="GQ448" s="149"/>
      <c r="GR448" s="149"/>
      <c r="GS448" s="149"/>
      <c r="GT448" s="149"/>
      <c r="GU448" s="149"/>
      <c r="GV448" s="149"/>
      <c r="GW448" s="149"/>
      <c r="GX448" s="149"/>
      <c r="GY448" s="149"/>
      <c r="GZ448" s="149"/>
      <c r="HA448" s="149"/>
      <c r="HB448" s="149"/>
      <c r="HC448" s="149"/>
      <c r="HD448" s="149"/>
      <c r="HE448" s="149"/>
      <c r="HF448" s="149"/>
      <c r="HG448" s="149"/>
      <c r="HH448" s="149"/>
      <c r="HI448" s="149"/>
      <c r="HJ448" s="149"/>
      <c r="HK448" s="149"/>
      <c r="HL448" s="149"/>
      <c r="HM448" s="149"/>
      <c r="HN448" s="149"/>
      <c r="HO448" s="149"/>
      <c r="HP448" s="149"/>
      <c r="HQ448" s="149"/>
      <c r="HR448" s="149"/>
      <c r="HS448" s="149"/>
      <c r="HT448" s="149"/>
      <c r="HU448" s="149"/>
      <c r="HV448" s="149"/>
      <c r="HW448" s="149"/>
      <c r="HX448" s="149"/>
      <c r="HY448" s="149"/>
      <c r="HZ448" s="149"/>
      <c r="IA448" s="149"/>
      <c r="IB448" s="149"/>
      <c r="IC448" s="149"/>
      <c r="ID448" s="149"/>
      <c r="IE448" s="149"/>
      <c r="IF448" s="149"/>
      <c r="IG448" s="149"/>
      <c r="IH448" s="149"/>
      <c r="II448" s="149"/>
      <c r="IJ448" s="149"/>
      <c r="IK448" s="149"/>
      <c r="IL448" s="149"/>
      <c r="IM448" s="149"/>
      <c r="IN448" s="149"/>
      <c r="IO448" s="149"/>
      <c r="IP448" s="149"/>
      <c r="IQ448" s="149"/>
      <c r="IR448" s="149"/>
      <c r="IS448" s="149"/>
      <c r="IT448" s="149"/>
      <c r="IU448" s="149"/>
    </row>
    <row r="449" spans="1:255">
      <c r="A449" s="145"/>
      <c r="B449" s="62" t="s">
        <v>225</v>
      </c>
      <c r="C449" s="93" t="s">
        <v>454</v>
      </c>
      <c r="D449" s="62" t="s">
        <v>410</v>
      </c>
      <c r="E449" s="49">
        <v>45316</v>
      </c>
      <c r="F449" s="49">
        <v>45317</v>
      </c>
      <c r="G449" s="49">
        <v>45322</v>
      </c>
      <c r="H449" s="63"/>
      <c r="I449" s="65">
        <v>10.4312</v>
      </c>
      <c r="J449" s="65">
        <v>0</v>
      </c>
      <c r="K449" s="65">
        <v>10.4312</v>
      </c>
      <c r="L449" s="36">
        <f>+K449-((K449*0.25*0.125)+(K449*(1-0.25)*0.26))</f>
        <v>8.0711410000000008</v>
      </c>
      <c r="M449" s="64">
        <f t="shared" si="11"/>
        <v>8.0711410000000008</v>
      </c>
      <c r="N449" s="62" t="s">
        <v>249</v>
      </c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49"/>
      <c r="CO449" s="149"/>
      <c r="CP449" s="149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  <c r="DO449" s="149"/>
      <c r="DP449" s="149"/>
      <c r="DQ449" s="149"/>
      <c r="DR449" s="149"/>
      <c r="DS449" s="149"/>
      <c r="DT449" s="149"/>
      <c r="DU449" s="149"/>
      <c r="DV449" s="149"/>
      <c r="DW449" s="149"/>
      <c r="DX449" s="149"/>
      <c r="DY449" s="149"/>
      <c r="DZ449" s="149"/>
      <c r="EA449" s="149"/>
      <c r="EB449" s="149"/>
      <c r="EC449" s="149"/>
      <c r="ED449" s="149"/>
      <c r="EE449" s="149"/>
      <c r="EF449" s="149"/>
      <c r="EG449" s="149"/>
      <c r="EH449" s="149"/>
      <c r="EI449" s="149"/>
      <c r="EJ449" s="149"/>
      <c r="EK449" s="149"/>
      <c r="EL449" s="149"/>
      <c r="EM449" s="149"/>
      <c r="EN449" s="149"/>
      <c r="EO449" s="149"/>
      <c r="EP449" s="149"/>
      <c r="EQ449" s="149"/>
      <c r="ER449" s="149"/>
      <c r="ES449" s="149"/>
      <c r="ET449" s="149"/>
      <c r="EU449" s="149"/>
      <c r="EV449" s="149"/>
      <c r="EW449" s="149"/>
      <c r="EX449" s="149"/>
      <c r="EY449" s="149"/>
      <c r="EZ449" s="149"/>
      <c r="FA449" s="149"/>
      <c r="FB449" s="149"/>
      <c r="FC449" s="149"/>
      <c r="FD449" s="149"/>
      <c r="FE449" s="149"/>
      <c r="FF449" s="149"/>
      <c r="FG449" s="149"/>
      <c r="FH449" s="149"/>
      <c r="FI449" s="149"/>
      <c r="FJ449" s="149"/>
      <c r="FK449" s="149"/>
      <c r="FL449" s="149"/>
      <c r="FM449" s="149"/>
      <c r="FN449" s="149"/>
      <c r="FO449" s="149"/>
      <c r="FP449" s="149"/>
      <c r="FQ449" s="149"/>
      <c r="FR449" s="149"/>
      <c r="FS449" s="149"/>
      <c r="FT449" s="149"/>
      <c r="FU449" s="149"/>
      <c r="FV449" s="149"/>
      <c r="FW449" s="149"/>
      <c r="FX449" s="149"/>
      <c r="FY449" s="149"/>
      <c r="FZ449" s="149"/>
      <c r="GA449" s="149"/>
      <c r="GB449" s="149"/>
      <c r="GC449" s="149"/>
      <c r="GD449" s="149"/>
      <c r="GE449" s="149"/>
      <c r="GF449" s="149"/>
      <c r="GG449" s="149"/>
      <c r="GH449" s="149"/>
      <c r="GI449" s="149"/>
      <c r="GJ449" s="149"/>
      <c r="GK449" s="149"/>
      <c r="GL449" s="149"/>
      <c r="GM449" s="149"/>
      <c r="GN449" s="149"/>
      <c r="GO449" s="149"/>
      <c r="GP449" s="149"/>
      <c r="GQ449" s="149"/>
      <c r="GR449" s="149"/>
      <c r="GS449" s="149"/>
      <c r="GT449" s="149"/>
      <c r="GU449" s="149"/>
      <c r="GV449" s="149"/>
      <c r="GW449" s="149"/>
      <c r="GX449" s="149"/>
      <c r="GY449" s="149"/>
      <c r="GZ449" s="149"/>
      <c r="HA449" s="149"/>
      <c r="HB449" s="149"/>
      <c r="HC449" s="149"/>
      <c r="HD449" s="149"/>
      <c r="HE449" s="149"/>
      <c r="HF449" s="149"/>
      <c r="HG449" s="149"/>
      <c r="HH449" s="149"/>
      <c r="HI449" s="149"/>
      <c r="HJ449" s="149"/>
      <c r="HK449" s="149"/>
      <c r="HL449" s="149"/>
      <c r="HM449" s="149"/>
      <c r="HN449" s="149"/>
      <c r="HO449" s="149"/>
      <c r="HP449" s="149"/>
      <c r="HQ449" s="149"/>
      <c r="HR449" s="149"/>
      <c r="HS449" s="149"/>
      <c r="HT449" s="149"/>
      <c r="HU449" s="149"/>
      <c r="HV449" s="149"/>
      <c r="HW449" s="149"/>
      <c r="HX449" s="149"/>
      <c r="HY449" s="149"/>
      <c r="HZ449" s="149"/>
      <c r="IA449" s="149"/>
      <c r="IB449" s="149"/>
      <c r="IC449" s="149"/>
      <c r="ID449" s="149"/>
      <c r="IE449" s="149"/>
      <c r="IF449" s="149"/>
      <c r="IG449" s="149"/>
      <c r="IH449" s="149"/>
      <c r="II449" s="149"/>
      <c r="IJ449" s="149"/>
      <c r="IK449" s="149"/>
      <c r="IL449" s="149"/>
      <c r="IM449" s="149"/>
      <c r="IN449" s="149"/>
      <c r="IO449" s="149"/>
      <c r="IP449" s="149"/>
      <c r="IQ449" s="149"/>
      <c r="IR449" s="149"/>
      <c r="IS449" s="149"/>
      <c r="IT449" s="149"/>
      <c r="IU449" s="149"/>
    </row>
    <row r="450" spans="1:255">
      <c r="A450" s="145"/>
      <c r="B450" s="62" t="s">
        <v>223</v>
      </c>
      <c r="C450" s="93" t="s">
        <v>488</v>
      </c>
      <c r="D450" s="62" t="s">
        <v>413</v>
      </c>
      <c r="E450" s="49">
        <v>45316</v>
      </c>
      <c r="F450" s="49">
        <v>45317</v>
      </c>
      <c r="G450" s="49">
        <v>45322</v>
      </c>
      <c r="H450" s="63"/>
      <c r="I450" s="65">
        <v>21.0806</v>
      </c>
      <c r="J450" s="65">
        <v>0</v>
      </c>
      <c r="K450" s="65">
        <v>21.0806</v>
      </c>
      <c r="L450" s="36">
        <f>+K450-((K450*0.000000000001*0.125)+(K450*(1-0.000000000001)*0.26))</f>
        <v>15.599644000002847</v>
      </c>
      <c r="M450" s="64">
        <f t="shared" si="11"/>
        <v>15.599644000002847</v>
      </c>
      <c r="N450" s="62" t="s">
        <v>250</v>
      </c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49"/>
      <c r="CO450" s="149"/>
      <c r="CP450" s="149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  <c r="DO450" s="149"/>
      <c r="DP450" s="149"/>
      <c r="DQ450" s="149"/>
      <c r="DR450" s="149"/>
      <c r="DS450" s="149"/>
      <c r="DT450" s="149"/>
      <c r="DU450" s="149"/>
      <c r="DV450" s="149"/>
      <c r="DW450" s="149"/>
      <c r="DX450" s="149"/>
      <c r="DY450" s="149"/>
      <c r="DZ450" s="149"/>
      <c r="EA450" s="149"/>
      <c r="EB450" s="149"/>
      <c r="EC450" s="149"/>
      <c r="ED450" s="149"/>
      <c r="EE450" s="149"/>
      <c r="EF450" s="149"/>
      <c r="EG450" s="149"/>
      <c r="EH450" s="149"/>
      <c r="EI450" s="149"/>
      <c r="EJ450" s="149"/>
      <c r="EK450" s="149"/>
      <c r="EL450" s="149"/>
      <c r="EM450" s="149"/>
      <c r="EN450" s="149"/>
      <c r="EO450" s="149"/>
      <c r="EP450" s="149"/>
      <c r="EQ450" s="149"/>
      <c r="ER450" s="149"/>
      <c r="ES450" s="149"/>
      <c r="ET450" s="149"/>
      <c r="EU450" s="149"/>
      <c r="EV450" s="149"/>
      <c r="EW450" s="149"/>
      <c r="EX450" s="149"/>
      <c r="EY450" s="149"/>
      <c r="EZ450" s="149"/>
      <c r="FA450" s="149"/>
      <c r="FB450" s="149"/>
      <c r="FC450" s="149"/>
      <c r="FD450" s="149"/>
      <c r="FE450" s="149"/>
      <c r="FF450" s="149"/>
      <c r="FG450" s="149"/>
      <c r="FH450" s="149"/>
      <c r="FI450" s="149"/>
      <c r="FJ450" s="149"/>
      <c r="FK450" s="149"/>
      <c r="FL450" s="149"/>
      <c r="FM450" s="149"/>
      <c r="FN450" s="149"/>
      <c r="FO450" s="149"/>
      <c r="FP450" s="149"/>
      <c r="FQ450" s="149"/>
      <c r="FR450" s="149"/>
      <c r="FS450" s="149"/>
      <c r="FT450" s="149"/>
      <c r="FU450" s="149"/>
      <c r="FV450" s="149"/>
      <c r="FW450" s="149"/>
      <c r="FX450" s="149"/>
      <c r="FY450" s="149"/>
      <c r="FZ450" s="149"/>
      <c r="GA450" s="149"/>
      <c r="GB450" s="149"/>
      <c r="GC450" s="149"/>
      <c r="GD450" s="149"/>
      <c r="GE450" s="149"/>
      <c r="GF450" s="149"/>
      <c r="GG450" s="149"/>
      <c r="GH450" s="149"/>
      <c r="GI450" s="149"/>
      <c r="GJ450" s="149"/>
      <c r="GK450" s="149"/>
      <c r="GL450" s="149"/>
      <c r="GM450" s="149"/>
      <c r="GN450" s="149"/>
      <c r="GO450" s="149"/>
      <c r="GP450" s="149"/>
      <c r="GQ450" s="149"/>
      <c r="GR450" s="149"/>
      <c r="GS450" s="149"/>
      <c r="GT450" s="149"/>
      <c r="GU450" s="149"/>
      <c r="GV450" s="149"/>
      <c r="GW450" s="149"/>
      <c r="GX450" s="149"/>
      <c r="GY450" s="149"/>
      <c r="GZ450" s="149"/>
      <c r="HA450" s="149"/>
      <c r="HB450" s="149"/>
      <c r="HC450" s="149"/>
      <c r="HD450" s="149"/>
      <c r="HE450" s="149"/>
      <c r="HF450" s="149"/>
      <c r="HG450" s="149"/>
      <c r="HH450" s="149"/>
      <c r="HI450" s="149"/>
      <c r="HJ450" s="149"/>
      <c r="HK450" s="149"/>
      <c r="HL450" s="149"/>
      <c r="HM450" s="149"/>
      <c r="HN450" s="149"/>
      <c r="HO450" s="149"/>
      <c r="HP450" s="149"/>
      <c r="HQ450" s="149"/>
      <c r="HR450" s="149"/>
      <c r="HS450" s="149"/>
      <c r="HT450" s="149"/>
      <c r="HU450" s="149"/>
      <c r="HV450" s="149"/>
      <c r="HW450" s="149"/>
      <c r="HX450" s="149"/>
      <c r="HY450" s="149"/>
      <c r="HZ450" s="149"/>
      <c r="IA450" s="149"/>
      <c r="IB450" s="149"/>
      <c r="IC450" s="149"/>
      <c r="ID450" s="149"/>
      <c r="IE450" s="149"/>
      <c r="IF450" s="149"/>
      <c r="IG450" s="149"/>
      <c r="IH450" s="149"/>
      <c r="II450" s="149"/>
      <c r="IJ450" s="149"/>
      <c r="IK450" s="149"/>
      <c r="IL450" s="149"/>
      <c r="IM450" s="149"/>
      <c r="IN450" s="149"/>
      <c r="IO450" s="149"/>
      <c r="IP450" s="149"/>
      <c r="IQ450" s="149"/>
      <c r="IR450" s="149"/>
      <c r="IS450" s="149"/>
      <c r="IT450" s="149"/>
      <c r="IU450" s="149"/>
    </row>
    <row r="451" spans="1:255">
      <c r="A451" s="145"/>
      <c r="B451" s="62" t="s">
        <v>219</v>
      </c>
      <c r="C451" s="93" t="s">
        <v>485</v>
      </c>
      <c r="D451" s="62" t="s">
        <v>410</v>
      </c>
      <c r="E451" s="49">
        <v>45316</v>
      </c>
      <c r="F451" s="49">
        <v>45317</v>
      </c>
      <c r="G451" s="49">
        <v>45322</v>
      </c>
      <c r="H451" s="63"/>
      <c r="I451" s="65">
        <v>8.5594999999999999</v>
      </c>
      <c r="J451" s="65">
        <v>3.4778786299999993</v>
      </c>
      <c r="K451" s="65">
        <v>5.0816213700000006</v>
      </c>
      <c r="L451" s="36">
        <f>+K451-((K451*0.002*0.125)+(K451*(1-0.002)*0.26))</f>
        <v>3.7617718515699003</v>
      </c>
      <c r="M451" s="64">
        <f t="shared" si="11"/>
        <v>7.2396504815698997</v>
      </c>
      <c r="N451" s="62" t="s">
        <v>249</v>
      </c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  <c r="BT451" s="149"/>
      <c r="BU451" s="149"/>
      <c r="BV451" s="149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49"/>
      <c r="CM451" s="149"/>
      <c r="CN451" s="149"/>
      <c r="CO451" s="149"/>
      <c r="CP451" s="149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  <c r="DO451" s="149"/>
      <c r="DP451" s="149"/>
      <c r="DQ451" s="149"/>
      <c r="DR451" s="149"/>
      <c r="DS451" s="149"/>
      <c r="DT451" s="149"/>
      <c r="DU451" s="149"/>
      <c r="DV451" s="149"/>
      <c r="DW451" s="149"/>
      <c r="DX451" s="149"/>
      <c r="DY451" s="149"/>
      <c r="DZ451" s="149"/>
      <c r="EA451" s="149"/>
      <c r="EB451" s="149"/>
      <c r="EC451" s="149"/>
      <c r="ED451" s="149"/>
      <c r="EE451" s="149"/>
      <c r="EF451" s="149"/>
      <c r="EG451" s="149"/>
      <c r="EH451" s="149"/>
      <c r="EI451" s="149"/>
      <c r="EJ451" s="149"/>
      <c r="EK451" s="149"/>
      <c r="EL451" s="149"/>
      <c r="EM451" s="149"/>
      <c r="EN451" s="149"/>
      <c r="EO451" s="149"/>
      <c r="EP451" s="149"/>
      <c r="EQ451" s="149"/>
      <c r="ER451" s="149"/>
      <c r="ES451" s="149"/>
      <c r="ET451" s="149"/>
      <c r="EU451" s="149"/>
      <c r="EV451" s="149"/>
      <c r="EW451" s="149"/>
      <c r="EX451" s="149"/>
      <c r="EY451" s="149"/>
      <c r="EZ451" s="149"/>
      <c r="FA451" s="149"/>
      <c r="FB451" s="149"/>
      <c r="FC451" s="149"/>
      <c r="FD451" s="149"/>
      <c r="FE451" s="149"/>
      <c r="FF451" s="149"/>
      <c r="FG451" s="149"/>
      <c r="FH451" s="149"/>
      <c r="FI451" s="149"/>
      <c r="FJ451" s="149"/>
      <c r="FK451" s="149"/>
      <c r="FL451" s="149"/>
      <c r="FM451" s="149"/>
      <c r="FN451" s="149"/>
      <c r="FO451" s="149"/>
      <c r="FP451" s="149"/>
      <c r="FQ451" s="149"/>
      <c r="FR451" s="149"/>
      <c r="FS451" s="149"/>
      <c r="FT451" s="149"/>
      <c r="FU451" s="149"/>
      <c r="FV451" s="149"/>
      <c r="FW451" s="149"/>
      <c r="FX451" s="149"/>
      <c r="FY451" s="149"/>
      <c r="FZ451" s="149"/>
      <c r="GA451" s="149"/>
      <c r="GB451" s="149"/>
      <c r="GC451" s="149"/>
      <c r="GD451" s="149"/>
      <c r="GE451" s="149"/>
      <c r="GF451" s="149"/>
      <c r="GG451" s="149"/>
      <c r="GH451" s="149"/>
      <c r="GI451" s="149"/>
      <c r="GJ451" s="149"/>
      <c r="GK451" s="149"/>
      <c r="GL451" s="149"/>
      <c r="GM451" s="149"/>
      <c r="GN451" s="149"/>
      <c r="GO451" s="149"/>
      <c r="GP451" s="149"/>
      <c r="GQ451" s="149"/>
      <c r="GR451" s="149"/>
      <c r="GS451" s="149"/>
      <c r="GT451" s="149"/>
      <c r="GU451" s="149"/>
      <c r="GV451" s="149"/>
      <c r="GW451" s="149"/>
      <c r="GX451" s="149"/>
      <c r="GY451" s="149"/>
      <c r="GZ451" s="149"/>
      <c r="HA451" s="149"/>
      <c r="HB451" s="149"/>
      <c r="HC451" s="149"/>
      <c r="HD451" s="149"/>
      <c r="HE451" s="149"/>
      <c r="HF451" s="149"/>
      <c r="HG451" s="149"/>
      <c r="HH451" s="149"/>
      <c r="HI451" s="149"/>
      <c r="HJ451" s="149"/>
      <c r="HK451" s="149"/>
      <c r="HL451" s="149"/>
      <c r="HM451" s="149"/>
      <c r="HN451" s="149"/>
      <c r="HO451" s="149"/>
      <c r="HP451" s="149"/>
      <c r="HQ451" s="149"/>
      <c r="HR451" s="149"/>
      <c r="HS451" s="149"/>
      <c r="HT451" s="149"/>
      <c r="HU451" s="149"/>
      <c r="HV451" s="149"/>
      <c r="HW451" s="149"/>
      <c r="HX451" s="149"/>
      <c r="HY451" s="149"/>
      <c r="HZ451" s="149"/>
      <c r="IA451" s="149"/>
      <c r="IB451" s="149"/>
      <c r="IC451" s="149"/>
      <c r="ID451" s="149"/>
      <c r="IE451" s="149"/>
      <c r="IF451" s="149"/>
      <c r="IG451" s="149"/>
      <c r="IH451" s="149"/>
      <c r="II451" s="149"/>
      <c r="IJ451" s="149"/>
      <c r="IK451" s="149"/>
      <c r="IL451" s="149"/>
      <c r="IM451" s="149"/>
      <c r="IN451" s="149"/>
      <c r="IO451" s="149"/>
      <c r="IP451" s="149"/>
      <c r="IQ451" s="149"/>
      <c r="IR451" s="149"/>
      <c r="IS451" s="149"/>
      <c r="IT451" s="149"/>
      <c r="IU451" s="149"/>
    </row>
    <row r="452" spans="1:255">
      <c r="A452" s="145"/>
      <c r="B452" s="62" t="s">
        <v>221</v>
      </c>
      <c r="C452" s="93" t="s">
        <v>484</v>
      </c>
      <c r="D452" s="62" t="s">
        <v>410</v>
      </c>
      <c r="E452" s="49">
        <v>45316</v>
      </c>
      <c r="F452" s="49">
        <v>45317</v>
      </c>
      <c r="G452" s="49">
        <v>45322</v>
      </c>
      <c r="H452" s="63"/>
      <c r="I452" s="65">
        <v>0</v>
      </c>
      <c r="J452" s="65">
        <v>0</v>
      </c>
      <c r="K452" s="65">
        <v>0</v>
      </c>
      <c r="L452" s="36">
        <f>+K452-((K452*0.002*0.125)+(K452*(1-0.002)*0.26))</f>
        <v>0</v>
      </c>
      <c r="M452" s="64">
        <f t="shared" si="11"/>
        <v>0</v>
      </c>
      <c r="N452" s="62" t="s">
        <v>249</v>
      </c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  <c r="BT452" s="149"/>
      <c r="BU452" s="149"/>
      <c r="BV452" s="149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49"/>
      <c r="CM452" s="149"/>
      <c r="CN452" s="149"/>
      <c r="CO452" s="149"/>
      <c r="CP452" s="149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  <c r="DO452" s="149"/>
      <c r="DP452" s="149"/>
      <c r="DQ452" s="149"/>
      <c r="DR452" s="149"/>
      <c r="DS452" s="149"/>
      <c r="DT452" s="149"/>
      <c r="DU452" s="149"/>
      <c r="DV452" s="149"/>
      <c r="DW452" s="149"/>
      <c r="DX452" s="149"/>
      <c r="DY452" s="149"/>
      <c r="DZ452" s="149"/>
      <c r="EA452" s="149"/>
      <c r="EB452" s="149"/>
      <c r="EC452" s="149"/>
      <c r="ED452" s="149"/>
      <c r="EE452" s="149"/>
      <c r="EF452" s="149"/>
      <c r="EG452" s="149"/>
      <c r="EH452" s="149"/>
      <c r="EI452" s="149"/>
      <c r="EJ452" s="149"/>
      <c r="EK452" s="149"/>
      <c r="EL452" s="149"/>
      <c r="EM452" s="149"/>
      <c r="EN452" s="149"/>
      <c r="EO452" s="149"/>
      <c r="EP452" s="149"/>
      <c r="EQ452" s="149"/>
      <c r="ER452" s="149"/>
      <c r="ES452" s="149"/>
      <c r="ET452" s="149"/>
      <c r="EU452" s="149"/>
      <c r="EV452" s="149"/>
      <c r="EW452" s="149"/>
      <c r="EX452" s="149"/>
      <c r="EY452" s="149"/>
      <c r="EZ452" s="149"/>
      <c r="FA452" s="149"/>
      <c r="FB452" s="149"/>
      <c r="FC452" s="149"/>
      <c r="FD452" s="149"/>
      <c r="FE452" s="149"/>
      <c r="FF452" s="149"/>
      <c r="FG452" s="149"/>
      <c r="FH452" s="149"/>
      <c r="FI452" s="149"/>
      <c r="FJ452" s="149"/>
      <c r="FK452" s="149"/>
      <c r="FL452" s="149"/>
      <c r="FM452" s="149"/>
      <c r="FN452" s="149"/>
      <c r="FO452" s="149"/>
      <c r="FP452" s="149"/>
      <c r="FQ452" s="149"/>
      <c r="FR452" s="149"/>
      <c r="FS452" s="149"/>
      <c r="FT452" s="149"/>
      <c r="FU452" s="149"/>
      <c r="FV452" s="149"/>
      <c r="FW452" s="149"/>
      <c r="FX452" s="149"/>
      <c r="FY452" s="149"/>
      <c r="FZ452" s="149"/>
      <c r="GA452" s="149"/>
      <c r="GB452" s="149"/>
      <c r="GC452" s="149"/>
      <c r="GD452" s="149"/>
      <c r="GE452" s="149"/>
      <c r="GF452" s="149"/>
      <c r="GG452" s="149"/>
      <c r="GH452" s="149"/>
      <c r="GI452" s="149"/>
      <c r="GJ452" s="149"/>
      <c r="GK452" s="149"/>
      <c r="GL452" s="149"/>
      <c r="GM452" s="149"/>
      <c r="GN452" s="149"/>
      <c r="GO452" s="149"/>
      <c r="GP452" s="149"/>
      <c r="GQ452" s="149"/>
      <c r="GR452" s="149"/>
      <c r="GS452" s="149"/>
      <c r="GT452" s="149"/>
      <c r="GU452" s="149"/>
      <c r="GV452" s="149"/>
      <c r="GW452" s="149"/>
      <c r="GX452" s="149"/>
      <c r="GY452" s="149"/>
      <c r="GZ452" s="149"/>
      <c r="HA452" s="149"/>
      <c r="HB452" s="149"/>
      <c r="HC452" s="149"/>
      <c r="HD452" s="149"/>
      <c r="HE452" s="149"/>
      <c r="HF452" s="149"/>
      <c r="HG452" s="149"/>
      <c r="HH452" s="149"/>
      <c r="HI452" s="149"/>
      <c r="HJ452" s="149"/>
      <c r="HK452" s="149"/>
      <c r="HL452" s="149"/>
      <c r="HM452" s="149"/>
      <c r="HN452" s="149"/>
      <c r="HO452" s="149"/>
      <c r="HP452" s="149"/>
      <c r="HQ452" s="149"/>
      <c r="HR452" s="149"/>
      <c r="HS452" s="149"/>
      <c r="HT452" s="149"/>
      <c r="HU452" s="149"/>
      <c r="HV452" s="149"/>
      <c r="HW452" s="149"/>
      <c r="HX452" s="149"/>
      <c r="HY452" s="149"/>
      <c r="HZ452" s="149"/>
      <c r="IA452" s="149"/>
      <c r="IB452" s="149"/>
      <c r="IC452" s="149"/>
      <c r="ID452" s="149"/>
      <c r="IE452" s="149"/>
      <c r="IF452" s="149"/>
      <c r="IG452" s="149"/>
      <c r="IH452" s="149"/>
      <c r="II452" s="149"/>
      <c r="IJ452" s="149"/>
      <c r="IK452" s="149"/>
      <c r="IL452" s="149"/>
      <c r="IM452" s="149"/>
      <c r="IN452" s="149"/>
      <c r="IO452" s="149"/>
      <c r="IP452" s="149"/>
      <c r="IQ452" s="149"/>
      <c r="IR452" s="149"/>
      <c r="IS452" s="149"/>
      <c r="IT452" s="149"/>
      <c r="IU452" s="149"/>
    </row>
    <row r="453" spans="1:255">
      <c r="A453" s="145"/>
      <c r="B453" s="62" t="s">
        <v>486</v>
      </c>
      <c r="C453" s="93" t="s">
        <v>487</v>
      </c>
      <c r="D453" s="62" t="s">
        <v>413</v>
      </c>
      <c r="E453" s="49">
        <v>45316</v>
      </c>
      <c r="F453" s="49">
        <v>45317</v>
      </c>
      <c r="G453" s="49">
        <v>45322</v>
      </c>
      <c r="H453" s="63"/>
      <c r="I453" s="65">
        <v>24.0763</v>
      </c>
      <c r="J453" s="65">
        <v>9.8506078000000024</v>
      </c>
      <c r="K453" s="65">
        <v>14.225692199999997</v>
      </c>
      <c r="L453" s="36">
        <f>+K453-((K453*0.002*0.125)+(K453*(1-0.002)*0.26))</f>
        <v>10.530853164893998</v>
      </c>
      <c r="M453" s="64">
        <f t="shared" si="11"/>
        <v>20.381460964894</v>
      </c>
      <c r="N453" s="62" t="s">
        <v>250</v>
      </c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  <c r="BT453" s="149"/>
      <c r="BU453" s="149"/>
      <c r="BV453" s="149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49"/>
      <c r="CM453" s="149"/>
      <c r="CN453" s="149"/>
      <c r="CO453" s="149"/>
      <c r="CP453" s="149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  <c r="DO453" s="149"/>
      <c r="DP453" s="149"/>
      <c r="DQ453" s="149"/>
      <c r="DR453" s="149"/>
      <c r="DS453" s="149"/>
      <c r="DT453" s="149"/>
      <c r="DU453" s="149"/>
      <c r="DV453" s="149"/>
      <c r="DW453" s="149"/>
      <c r="DX453" s="149"/>
      <c r="DY453" s="149"/>
      <c r="DZ453" s="149"/>
      <c r="EA453" s="149"/>
      <c r="EB453" s="149"/>
      <c r="EC453" s="149"/>
      <c r="ED453" s="149"/>
      <c r="EE453" s="149"/>
      <c r="EF453" s="149"/>
      <c r="EG453" s="149"/>
      <c r="EH453" s="149"/>
      <c r="EI453" s="149"/>
      <c r="EJ453" s="149"/>
      <c r="EK453" s="149"/>
      <c r="EL453" s="149"/>
      <c r="EM453" s="149"/>
      <c r="EN453" s="149"/>
      <c r="EO453" s="149"/>
      <c r="EP453" s="149"/>
      <c r="EQ453" s="149"/>
      <c r="ER453" s="149"/>
      <c r="ES453" s="149"/>
      <c r="ET453" s="149"/>
      <c r="EU453" s="149"/>
      <c r="EV453" s="149"/>
      <c r="EW453" s="149"/>
      <c r="EX453" s="149"/>
      <c r="EY453" s="149"/>
      <c r="EZ453" s="149"/>
      <c r="FA453" s="149"/>
      <c r="FB453" s="149"/>
      <c r="FC453" s="149"/>
      <c r="FD453" s="149"/>
      <c r="FE453" s="149"/>
      <c r="FF453" s="149"/>
      <c r="FG453" s="149"/>
      <c r="FH453" s="149"/>
      <c r="FI453" s="149"/>
      <c r="FJ453" s="149"/>
      <c r="FK453" s="149"/>
      <c r="FL453" s="149"/>
      <c r="FM453" s="149"/>
      <c r="FN453" s="149"/>
      <c r="FO453" s="149"/>
      <c r="FP453" s="149"/>
      <c r="FQ453" s="149"/>
      <c r="FR453" s="149"/>
      <c r="FS453" s="149"/>
      <c r="FT453" s="149"/>
      <c r="FU453" s="149"/>
      <c r="FV453" s="149"/>
      <c r="FW453" s="149"/>
      <c r="FX453" s="149"/>
      <c r="FY453" s="149"/>
      <c r="FZ453" s="149"/>
      <c r="GA453" s="149"/>
      <c r="GB453" s="149"/>
      <c r="GC453" s="149"/>
      <c r="GD453" s="149"/>
      <c r="GE453" s="149"/>
      <c r="GF453" s="149"/>
      <c r="GG453" s="149"/>
      <c r="GH453" s="149"/>
      <c r="GI453" s="149"/>
      <c r="GJ453" s="149"/>
      <c r="GK453" s="149"/>
      <c r="GL453" s="149"/>
      <c r="GM453" s="149"/>
      <c r="GN453" s="149"/>
      <c r="GO453" s="149"/>
      <c r="GP453" s="149"/>
      <c r="GQ453" s="149"/>
      <c r="GR453" s="149"/>
      <c r="GS453" s="149"/>
      <c r="GT453" s="149"/>
      <c r="GU453" s="149"/>
      <c r="GV453" s="149"/>
      <c r="GW453" s="149"/>
      <c r="GX453" s="149"/>
      <c r="GY453" s="149"/>
      <c r="GZ453" s="149"/>
      <c r="HA453" s="149"/>
      <c r="HB453" s="149"/>
      <c r="HC453" s="149"/>
      <c r="HD453" s="149"/>
      <c r="HE453" s="149"/>
      <c r="HF453" s="149"/>
      <c r="HG453" s="149"/>
      <c r="HH453" s="149"/>
      <c r="HI453" s="149"/>
      <c r="HJ453" s="149"/>
      <c r="HK453" s="149"/>
      <c r="HL453" s="149"/>
      <c r="HM453" s="149"/>
      <c r="HN453" s="149"/>
      <c r="HO453" s="149"/>
      <c r="HP453" s="149"/>
      <c r="HQ453" s="149"/>
      <c r="HR453" s="149"/>
      <c r="HS453" s="149"/>
      <c r="HT453" s="149"/>
      <c r="HU453" s="149"/>
      <c r="HV453" s="149"/>
      <c r="HW453" s="149"/>
      <c r="HX453" s="149"/>
      <c r="HY453" s="149"/>
      <c r="HZ453" s="149"/>
      <c r="IA453" s="149"/>
      <c r="IB453" s="149"/>
      <c r="IC453" s="149"/>
      <c r="ID453" s="149"/>
      <c r="IE453" s="149"/>
      <c r="IF453" s="149"/>
      <c r="IG453" s="149"/>
      <c r="IH453" s="149"/>
      <c r="II453" s="149"/>
      <c r="IJ453" s="149"/>
      <c r="IK453" s="149"/>
      <c r="IL453" s="149"/>
      <c r="IM453" s="149"/>
      <c r="IN453" s="149"/>
      <c r="IO453" s="149"/>
      <c r="IP453" s="149"/>
      <c r="IQ453" s="149"/>
      <c r="IR453" s="149"/>
      <c r="IS453" s="149"/>
      <c r="IT453" s="149"/>
      <c r="IU453" s="149"/>
    </row>
    <row r="454" spans="1:255">
      <c r="A454" s="145"/>
      <c r="B454" s="62" t="s">
        <v>489</v>
      </c>
      <c r="C454" s="93" t="s">
        <v>521</v>
      </c>
      <c r="D454" s="62" t="s">
        <v>413</v>
      </c>
      <c r="E454" s="49">
        <v>45316</v>
      </c>
      <c r="F454" s="49">
        <v>45317</v>
      </c>
      <c r="G454" s="49">
        <v>45322</v>
      </c>
      <c r="H454" s="63"/>
      <c r="I454" s="65">
        <v>0</v>
      </c>
      <c r="J454" s="65">
        <v>0</v>
      </c>
      <c r="K454" s="65">
        <v>0</v>
      </c>
      <c r="L454" s="36">
        <f>+K454-((K454*0.223*0.125)+(K454*(1-0.223)*0.26))</f>
        <v>0</v>
      </c>
      <c r="M454" s="64">
        <f t="shared" si="11"/>
        <v>0</v>
      </c>
      <c r="N454" s="62" t="s">
        <v>250</v>
      </c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  <c r="BT454" s="149"/>
      <c r="BU454" s="149"/>
      <c r="BV454" s="149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49"/>
      <c r="CM454" s="149"/>
      <c r="CN454" s="149"/>
      <c r="CO454" s="149"/>
      <c r="CP454" s="149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  <c r="DO454" s="149"/>
      <c r="DP454" s="149"/>
      <c r="DQ454" s="149"/>
      <c r="DR454" s="149"/>
      <c r="DS454" s="149"/>
      <c r="DT454" s="149"/>
      <c r="DU454" s="149"/>
      <c r="DV454" s="149"/>
      <c r="DW454" s="149"/>
      <c r="DX454" s="149"/>
      <c r="DY454" s="149"/>
      <c r="DZ454" s="149"/>
      <c r="EA454" s="149"/>
      <c r="EB454" s="149"/>
      <c r="EC454" s="149"/>
      <c r="ED454" s="149"/>
      <c r="EE454" s="149"/>
      <c r="EF454" s="149"/>
      <c r="EG454" s="149"/>
      <c r="EH454" s="149"/>
      <c r="EI454" s="149"/>
      <c r="EJ454" s="149"/>
      <c r="EK454" s="149"/>
      <c r="EL454" s="149"/>
      <c r="EM454" s="149"/>
      <c r="EN454" s="149"/>
      <c r="EO454" s="149"/>
      <c r="EP454" s="149"/>
      <c r="EQ454" s="149"/>
      <c r="ER454" s="149"/>
      <c r="ES454" s="149"/>
      <c r="ET454" s="149"/>
      <c r="EU454" s="149"/>
      <c r="EV454" s="149"/>
      <c r="EW454" s="149"/>
      <c r="EX454" s="149"/>
      <c r="EY454" s="149"/>
      <c r="EZ454" s="149"/>
      <c r="FA454" s="149"/>
      <c r="FB454" s="149"/>
      <c r="FC454" s="149"/>
      <c r="FD454" s="149"/>
      <c r="FE454" s="149"/>
      <c r="FF454" s="149"/>
      <c r="FG454" s="149"/>
      <c r="FH454" s="149"/>
      <c r="FI454" s="149"/>
      <c r="FJ454" s="149"/>
      <c r="FK454" s="149"/>
      <c r="FL454" s="149"/>
      <c r="FM454" s="149"/>
      <c r="FN454" s="149"/>
      <c r="FO454" s="149"/>
      <c r="FP454" s="149"/>
      <c r="FQ454" s="149"/>
      <c r="FR454" s="149"/>
      <c r="FS454" s="149"/>
      <c r="FT454" s="149"/>
      <c r="FU454" s="149"/>
      <c r="FV454" s="149"/>
      <c r="FW454" s="149"/>
      <c r="FX454" s="149"/>
      <c r="FY454" s="149"/>
      <c r="FZ454" s="149"/>
      <c r="GA454" s="149"/>
      <c r="GB454" s="149"/>
      <c r="GC454" s="149"/>
      <c r="GD454" s="149"/>
      <c r="GE454" s="149"/>
      <c r="GF454" s="149"/>
      <c r="GG454" s="149"/>
      <c r="GH454" s="149"/>
      <c r="GI454" s="149"/>
      <c r="GJ454" s="149"/>
      <c r="GK454" s="149"/>
      <c r="GL454" s="149"/>
      <c r="GM454" s="149"/>
      <c r="GN454" s="149"/>
      <c r="GO454" s="149"/>
      <c r="GP454" s="149"/>
      <c r="GQ454" s="149"/>
      <c r="GR454" s="149"/>
      <c r="GS454" s="149"/>
      <c r="GT454" s="149"/>
      <c r="GU454" s="149"/>
      <c r="GV454" s="149"/>
      <c r="GW454" s="149"/>
      <c r="GX454" s="149"/>
      <c r="GY454" s="149"/>
      <c r="GZ454" s="149"/>
      <c r="HA454" s="149"/>
      <c r="HB454" s="149"/>
      <c r="HC454" s="149"/>
      <c r="HD454" s="149"/>
      <c r="HE454" s="149"/>
      <c r="HF454" s="149"/>
      <c r="HG454" s="149"/>
      <c r="HH454" s="149"/>
      <c r="HI454" s="149"/>
      <c r="HJ454" s="149"/>
      <c r="HK454" s="149"/>
      <c r="HL454" s="149"/>
      <c r="HM454" s="149"/>
      <c r="HN454" s="149"/>
      <c r="HO454" s="149"/>
      <c r="HP454" s="149"/>
      <c r="HQ454" s="149"/>
      <c r="HR454" s="149"/>
      <c r="HS454" s="149"/>
      <c r="HT454" s="149"/>
      <c r="HU454" s="149"/>
      <c r="HV454" s="149"/>
      <c r="HW454" s="149"/>
      <c r="HX454" s="149"/>
      <c r="HY454" s="149"/>
      <c r="HZ454" s="149"/>
      <c r="IA454" s="149"/>
      <c r="IB454" s="149"/>
      <c r="IC454" s="149"/>
      <c r="ID454" s="149"/>
      <c r="IE454" s="149"/>
      <c r="IF454" s="149"/>
      <c r="IG454" s="149"/>
      <c r="IH454" s="149"/>
      <c r="II454" s="149"/>
      <c r="IJ454" s="149"/>
      <c r="IK454" s="149"/>
      <c r="IL454" s="149"/>
      <c r="IM454" s="149"/>
      <c r="IN454" s="149"/>
      <c r="IO454" s="149"/>
      <c r="IP454" s="149"/>
      <c r="IQ454" s="149"/>
      <c r="IR454" s="149"/>
      <c r="IS454" s="149"/>
      <c r="IT454" s="149"/>
      <c r="IU454" s="149"/>
    </row>
    <row r="455" spans="1:255">
      <c r="A455" s="145"/>
      <c r="B455" s="62" t="s">
        <v>218</v>
      </c>
      <c r="C455" s="93" t="s">
        <v>455</v>
      </c>
      <c r="D455" s="62" t="s">
        <v>413</v>
      </c>
      <c r="E455" s="49">
        <v>45316</v>
      </c>
      <c r="F455" s="49">
        <v>45317</v>
      </c>
      <c r="G455" s="49">
        <v>45322</v>
      </c>
      <c r="H455" s="63"/>
      <c r="I455" s="65">
        <v>29.421399999999998</v>
      </c>
      <c r="J455" s="65">
        <v>24.70555169</v>
      </c>
      <c r="K455" s="65">
        <v>4.7158483100000002</v>
      </c>
      <c r="L455" s="36">
        <f>+K455-((K455*0.223*0.125)+(K455*(1-0.223)*0.26))</f>
        <v>3.6316983627725499</v>
      </c>
      <c r="M455" s="64">
        <f t="shared" si="11"/>
        <v>28.33725005277255</v>
      </c>
      <c r="N455" s="62" t="s">
        <v>250</v>
      </c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  <c r="BT455" s="149"/>
      <c r="BU455" s="149"/>
      <c r="BV455" s="149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49"/>
      <c r="CM455" s="149"/>
      <c r="CN455" s="149"/>
      <c r="CO455" s="149"/>
      <c r="CP455" s="149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  <c r="DO455" s="149"/>
      <c r="DP455" s="149"/>
      <c r="DQ455" s="149"/>
      <c r="DR455" s="149"/>
      <c r="DS455" s="149"/>
      <c r="DT455" s="149"/>
      <c r="DU455" s="149"/>
      <c r="DV455" s="149"/>
      <c r="DW455" s="149"/>
      <c r="DX455" s="149"/>
      <c r="DY455" s="149"/>
      <c r="DZ455" s="149"/>
      <c r="EA455" s="149"/>
      <c r="EB455" s="149"/>
      <c r="EC455" s="149"/>
      <c r="ED455" s="149"/>
      <c r="EE455" s="149"/>
      <c r="EF455" s="149"/>
      <c r="EG455" s="149"/>
      <c r="EH455" s="149"/>
      <c r="EI455" s="149"/>
      <c r="EJ455" s="149"/>
      <c r="EK455" s="149"/>
      <c r="EL455" s="149"/>
      <c r="EM455" s="149"/>
      <c r="EN455" s="149"/>
      <c r="EO455" s="149"/>
      <c r="EP455" s="149"/>
      <c r="EQ455" s="149"/>
      <c r="ER455" s="149"/>
      <c r="ES455" s="149"/>
      <c r="ET455" s="149"/>
      <c r="EU455" s="149"/>
      <c r="EV455" s="149"/>
      <c r="EW455" s="149"/>
      <c r="EX455" s="149"/>
      <c r="EY455" s="149"/>
      <c r="EZ455" s="149"/>
      <c r="FA455" s="149"/>
      <c r="FB455" s="149"/>
      <c r="FC455" s="149"/>
      <c r="FD455" s="149"/>
      <c r="FE455" s="149"/>
      <c r="FF455" s="149"/>
      <c r="FG455" s="149"/>
      <c r="FH455" s="149"/>
      <c r="FI455" s="149"/>
      <c r="FJ455" s="149"/>
      <c r="FK455" s="149"/>
      <c r="FL455" s="149"/>
      <c r="FM455" s="149"/>
      <c r="FN455" s="149"/>
      <c r="FO455" s="149"/>
      <c r="FP455" s="149"/>
      <c r="FQ455" s="149"/>
      <c r="FR455" s="149"/>
      <c r="FS455" s="149"/>
      <c r="FT455" s="149"/>
      <c r="FU455" s="149"/>
      <c r="FV455" s="149"/>
      <c r="FW455" s="149"/>
      <c r="FX455" s="149"/>
      <c r="FY455" s="149"/>
      <c r="FZ455" s="149"/>
      <c r="GA455" s="149"/>
      <c r="GB455" s="149"/>
      <c r="GC455" s="149"/>
      <c r="GD455" s="149"/>
      <c r="GE455" s="149"/>
      <c r="GF455" s="149"/>
      <c r="GG455" s="149"/>
      <c r="GH455" s="149"/>
      <c r="GI455" s="149"/>
      <c r="GJ455" s="149"/>
      <c r="GK455" s="149"/>
      <c r="GL455" s="149"/>
      <c r="GM455" s="149"/>
      <c r="GN455" s="149"/>
      <c r="GO455" s="149"/>
      <c r="GP455" s="149"/>
      <c r="GQ455" s="149"/>
      <c r="GR455" s="149"/>
      <c r="GS455" s="149"/>
      <c r="GT455" s="149"/>
      <c r="GU455" s="149"/>
      <c r="GV455" s="149"/>
      <c r="GW455" s="149"/>
      <c r="GX455" s="149"/>
      <c r="GY455" s="149"/>
      <c r="GZ455" s="149"/>
      <c r="HA455" s="149"/>
      <c r="HB455" s="149"/>
      <c r="HC455" s="149"/>
      <c r="HD455" s="149"/>
      <c r="HE455" s="149"/>
      <c r="HF455" s="149"/>
      <c r="HG455" s="149"/>
      <c r="HH455" s="149"/>
      <c r="HI455" s="149"/>
      <c r="HJ455" s="149"/>
      <c r="HK455" s="149"/>
      <c r="HL455" s="149"/>
      <c r="HM455" s="149"/>
      <c r="HN455" s="149"/>
      <c r="HO455" s="149"/>
      <c r="HP455" s="149"/>
      <c r="HQ455" s="149"/>
      <c r="HR455" s="149"/>
      <c r="HS455" s="149"/>
      <c r="HT455" s="149"/>
      <c r="HU455" s="149"/>
      <c r="HV455" s="149"/>
      <c r="HW455" s="149"/>
      <c r="HX455" s="149"/>
      <c r="HY455" s="149"/>
      <c r="HZ455" s="149"/>
      <c r="IA455" s="149"/>
      <c r="IB455" s="149"/>
      <c r="IC455" s="149"/>
      <c r="ID455" s="149"/>
      <c r="IE455" s="149"/>
      <c r="IF455" s="149"/>
      <c r="IG455" s="149"/>
      <c r="IH455" s="149"/>
      <c r="II455" s="149"/>
      <c r="IJ455" s="149"/>
      <c r="IK455" s="149"/>
      <c r="IL455" s="149"/>
      <c r="IM455" s="149"/>
      <c r="IN455" s="149"/>
      <c r="IO455" s="149"/>
      <c r="IP455" s="149"/>
      <c r="IQ455" s="149"/>
      <c r="IR455" s="149"/>
      <c r="IS455" s="149"/>
      <c r="IT455" s="149"/>
      <c r="IU455" s="149"/>
    </row>
    <row r="456" spans="1:255">
      <c r="A456" s="145"/>
      <c r="B456" s="62" t="s">
        <v>491</v>
      </c>
      <c r="C456" s="93" t="s">
        <v>671</v>
      </c>
      <c r="D456" s="62" t="s">
        <v>413</v>
      </c>
      <c r="E456" s="49">
        <v>45316</v>
      </c>
      <c r="F456" s="49">
        <v>45317</v>
      </c>
      <c r="G456" s="49">
        <v>45322</v>
      </c>
      <c r="H456" s="63"/>
      <c r="I456" s="65">
        <v>0</v>
      </c>
      <c r="J456" s="65">
        <v>0</v>
      </c>
      <c r="K456" s="65">
        <v>0</v>
      </c>
      <c r="L456" s="36">
        <f>+K456-((K456*0.101*0.125)+(K456*(1-0.101)*0.26))</f>
        <v>0</v>
      </c>
      <c r="M456" s="64">
        <f t="shared" si="11"/>
        <v>0</v>
      </c>
      <c r="N456" s="62" t="s">
        <v>250</v>
      </c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  <c r="BT456" s="149"/>
      <c r="BU456" s="149"/>
      <c r="BV456" s="149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49"/>
      <c r="CM456" s="149"/>
      <c r="CN456" s="149"/>
      <c r="CO456" s="149"/>
      <c r="CP456" s="149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  <c r="DO456" s="149"/>
      <c r="DP456" s="149"/>
      <c r="DQ456" s="149"/>
      <c r="DR456" s="149"/>
      <c r="DS456" s="149"/>
      <c r="DT456" s="149"/>
      <c r="DU456" s="149"/>
      <c r="DV456" s="149"/>
      <c r="DW456" s="149"/>
      <c r="DX456" s="149"/>
      <c r="DY456" s="149"/>
      <c r="DZ456" s="149"/>
      <c r="EA456" s="149"/>
      <c r="EB456" s="149"/>
      <c r="EC456" s="149"/>
      <c r="ED456" s="149"/>
      <c r="EE456" s="149"/>
      <c r="EF456" s="149"/>
      <c r="EG456" s="149"/>
      <c r="EH456" s="149"/>
      <c r="EI456" s="149"/>
      <c r="EJ456" s="149"/>
      <c r="EK456" s="149"/>
      <c r="EL456" s="149"/>
      <c r="EM456" s="149"/>
      <c r="EN456" s="149"/>
      <c r="EO456" s="149"/>
      <c r="EP456" s="149"/>
      <c r="EQ456" s="149"/>
      <c r="ER456" s="149"/>
      <c r="ES456" s="149"/>
      <c r="ET456" s="149"/>
      <c r="EU456" s="149"/>
      <c r="EV456" s="149"/>
      <c r="EW456" s="149"/>
      <c r="EX456" s="149"/>
      <c r="EY456" s="149"/>
      <c r="EZ456" s="149"/>
      <c r="FA456" s="149"/>
      <c r="FB456" s="149"/>
      <c r="FC456" s="149"/>
      <c r="FD456" s="149"/>
      <c r="FE456" s="149"/>
      <c r="FF456" s="149"/>
      <c r="FG456" s="149"/>
      <c r="FH456" s="149"/>
      <c r="FI456" s="149"/>
      <c r="FJ456" s="149"/>
      <c r="FK456" s="149"/>
      <c r="FL456" s="149"/>
      <c r="FM456" s="149"/>
      <c r="FN456" s="149"/>
      <c r="FO456" s="149"/>
      <c r="FP456" s="149"/>
      <c r="FQ456" s="149"/>
      <c r="FR456" s="149"/>
      <c r="FS456" s="149"/>
      <c r="FT456" s="149"/>
      <c r="FU456" s="149"/>
      <c r="FV456" s="149"/>
      <c r="FW456" s="149"/>
      <c r="FX456" s="149"/>
      <c r="FY456" s="149"/>
      <c r="FZ456" s="149"/>
      <c r="GA456" s="149"/>
      <c r="GB456" s="149"/>
      <c r="GC456" s="149"/>
      <c r="GD456" s="149"/>
      <c r="GE456" s="149"/>
      <c r="GF456" s="149"/>
      <c r="GG456" s="149"/>
      <c r="GH456" s="149"/>
      <c r="GI456" s="149"/>
      <c r="GJ456" s="149"/>
      <c r="GK456" s="149"/>
      <c r="GL456" s="149"/>
      <c r="GM456" s="149"/>
      <c r="GN456" s="149"/>
      <c r="GO456" s="149"/>
      <c r="GP456" s="149"/>
      <c r="GQ456" s="149"/>
      <c r="GR456" s="149"/>
      <c r="GS456" s="149"/>
      <c r="GT456" s="149"/>
      <c r="GU456" s="149"/>
      <c r="GV456" s="149"/>
      <c r="GW456" s="149"/>
      <c r="GX456" s="149"/>
      <c r="GY456" s="149"/>
      <c r="GZ456" s="149"/>
      <c r="HA456" s="149"/>
      <c r="HB456" s="149"/>
      <c r="HC456" s="149"/>
      <c r="HD456" s="149"/>
      <c r="HE456" s="149"/>
      <c r="HF456" s="149"/>
      <c r="HG456" s="149"/>
      <c r="HH456" s="149"/>
      <c r="HI456" s="149"/>
      <c r="HJ456" s="149"/>
      <c r="HK456" s="149"/>
      <c r="HL456" s="149"/>
      <c r="HM456" s="149"/>
      <c r="HN456" s="149"/>
      <c r="HO456" s="149"/>
      <c r="HP456" s="149"/>
      <c r="HQ456" s="149"/>
      <c r="HR456" s="149"/>
      <c r="HS456" s="149"/>
      <c r="HT456" s="149"/>
      <c r="HU456" s="149"/>
      <c r="HV456" s="149"/>
      <c r="HW456" s="149"/>
      <c r="HX456" s="149"/>
      <c r="HY456" s="149"/>
      <c r="HZ456" s="149"/>
      <c r="IA456" s="149"/>
      <c r="IB456" s="149"/>
      <c r="IC456" s="149"/>
      <c r="ID456" s="149"/>
      <c r="IE456" s="149"/>
      <c r="IF456" s="149"/>
      <c r="IG456" s="149"/>
      <c r="IH456" s="149"/>
      <c r="II456" s="149"/>
      <c r="IJ456" s="149"/>
      <c r="IK456" s="149"/>
      <c r="IL456" s="149"/>
      <c r="IM456" s="149"/>
      <c r="IN456" s="149"/>
      <c r="IO456" s="149"/>
      <c r="IP456" s="149"/>
      <c r="IQ456" s="149"/>
      <c r="IR456" s="149"/>
      <c r="IS456" s="149"/>
      <c r="IT456" s="149"/>
      <c r="IU456" s="149"/>
    </row>
    <row r="457" spans="1:255">
      <c r="A457" s="145"/>
      <c r="B457" s="62" t="s">
        <v>492</v>
      </c>
      <c r="C457" s="93" t="s">
        <v>494</v>
      </c>
      <c r="D457" s="62" t="s">
        <v>412</v>
      </c>
      <c r="E457" s="49">
        <v>45316</v>
      </c>
      <c r="F457" s="49">
        <v>45317</v>
      </c>
      <c r="G457" s="49">
        <v>45322</v>
      </c>
      <c r="H457" s="63"/>
      <c r="I457" s="65">
        <v>64.962299999999999</v>
      </c>
      <c r="J457" s="65">
        <v>52.020096260000003</v>
      </c>
      <c r="K457" s="65">
        <v>12.942203739999993</v>
      </c>
      <c r="L457" s="36">
        <f>+K457-((K457*0.101*0.125)+(K457*(1-0.101)*0.26))</f>
        <v>9.7536977155948943</v>
      </c>
      <c r="M457" s="64">
        <f t="shared" si="11"/>
        <v>61.773793975594899</v>
      </c>
      <c r="N457" s="62" t="s">
        <v>495</v>
      </c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  <c r="BT457" s="149"/>
      <c r="BU457" s="149"/>
      <c r="BV457" s="149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49"/>
      <c r="CM457" s="149"/>
      <c r="CN457" s="149"/>
      <c r="CO457" s="149"/>
      <c r="CP457" s="149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  <c r="DO457" s="149"/>
      <c r="DP457" s="149"/>
      <c r="DQ457" s="149"/>
      <c r="DR457" s="149"/>
      <c r="DS457" s="149"/>
      <c r="DT457" s="149"/>
      <c r="DU457" s="149"/>
      <c r="DV457" s="149"/>
      <c r="DW457" s="149"/>
      <c r="DX457" s="149"/>
      <c r="DY457" s="149"/>
      <c r="DZ457" s="149"/>
      <c r="EA457" s="149"/>
      <c r="EB457" s="149"/>
      <c r="EC457" s="149"/>
      <c r="ED457" s="149"/>
      <c r="EE457" s="149"/>
      <c r="EF457" s="149"/>
      <c r="EG457" s="149"/>
      <c r="EH457" s="149"/>
      <c r="EI457" s="149"/>
      <c r="EJ457" s="149"/>
      <c r="EK457" s="149"/>
      <c r="EL457" s="149"/>
      <c r="EM457" s="149"/>
      <c r="EN457" s="149"/>
      <c r="EO457" s="149"/>
      <c r="EP457" s="149"/>
      <c r="EQ457" s="149"/>
      <c r="ER457" s="149"/>
      <c r="ES457" s="149"/>
      <c r="ET457" s="149"/>
      <c r="EU457" s="149"/>
      <c r="EV457" s="149"/>
      <c r="EW457" s="149"/>
      <c r="EX457" s="149"/>
      <c r="EY457" s="149"/>
      <c r="EZ457" s="149"/>
      <c r="FA457" s="149"/>
      <c r="FB457" s="149"/>
      <c r="FC457" s="149"/>
      <c r="FD457" s="149"/>
      <c r="FE457" s="149"/>
      <c r="FF457" s="149"/>
      <c r="FG457" s="149"/>
      <c r="FH457" s="149"/>
      <c r="FI457" s="149"/>
      <c r="FJ457" s="149"/>
      <c r="FK457" s="149"/>
      <c r="FL457" s="149"/>
      <c r="FM457" s="149"/>
      <c r="FN457" s="149"/>
      <c r="FO457" s="149"/>
      <c r="FP457" s="149"/>
      <c r="FQ457" s="149"/>
      <c r="FR457" s="149"/>
      <c r="FS457" s="149"/>
      <c r="FT457" s="149"/>
      <c r="FU457" s="149"/>
      <c r="FV457" s="149"/>
      <c r="FW457" s="149"/>
      <c r="FX457" s="149"/>
      <c r="FY457" s="149"/>
      <c r="FZ457" s="149"/>
      <c r="GA457" s="149"/>
      <c r="GB457" s="149"/>
      <c r="GC457" s="149"/>
      <c r="GD457" s="149"/>
      <c r="GE457" s="149"/>
      <c r="GF457" s="149"/>
      <c r="GG457" s="149"/>
      <c r="GH457" s="149"/>
      <c r="GI457" s="149"/>
      <c r="GJ457" s="149"/>
      <c r="GK457" s="149"/>
      <c r="GL457" s="149"/>
      <c r="GM457" s="149"/>
      <c r="GN457" s="149"/>
      <c r="GO457" s="149"/>
      <c r="GP457" s="149"/>
      <c r="GQ457" s="149"/>
      <c r="GR457" s="149"/>
      <c r="GS457" s="149"/>
      <c r="GT457" s="149"/>
      <c r="GU457" s="149"/>
      <c r="GV457" s="149"/>
      <c r="GW457" s="149"/>
      <c r="GX457" s="149"/>
      <c r="GY457" s="149"/>
      <c r="GZ457" s="149"/>
      <c r="HA457" s="149"/>
      <c r="HB457" s="149"/>
      <c r="HC457" s="149"/>
      <c r="HD457" s="149"/>
      <c r="HE457" s="149"/>
      <c r="HF457" s="149"/>
      <c r="HG457" s="149"/>
      <c r="HH457" s="149"/>
      <c r="HI457" s="149"/>
      <c r="HJ457" s="149"/>
      <c r="HK457" s="149"/>
      <c r="HL457" s="149"/>
      <c r="HM457" s="149"/>
      <c r="HN457" s="149"/>
      <c r="HO457" s="149"/>
      <c r="HP457" s="149"/>
      <c r="HQ457" s="149"/>
      <c r="HR457" s="149"/>
      <c r="HS457" s="149"/>
      <c r="HT457" s="149"/>
      <c r="HU457" s="149"/>
      <c r="HV457" s="149"/>
      <c r="HW457" s="149"/>
      <c r="HX457" s="149"/>
      <c r="HY457" s="149"/>
      <c r="HZ457" s="149"/>
      <c r="IA457" s="149"/>
      <c r="IB457" s="149"/>
      <c r="IC457" s="149"/>
      <c r="ID457" s="149"/>
      <c r="IE457" s="149"/>
      <c r="IF457" s="149"/>
      <c r="IG457" s="149"/>
      <c r="IH457" s="149"/>
      <c r="II457" s="149"/>
      <c r="IJ457" s="149"/>
      <c r="IK457" s="149"/>
      <c r="IL457" s="149"/>
      <c r="IM457" s="149"/>
      <c r="IN457" s="149"/>
      <c r="IO457" s="149"/>
      <c r="IP457" s="149"/>
      <c r="IQ457" s="149"/>
      <c r="IR457" s="149"/>
      <c r="IS457" s="149"/>
      <c r="IT457" s="149"/>
      <c r="IU457" s="149"/>
    </row>
    <row r="458" spans="1:255">
      <c r="A458" s="145"/>
      <c r="B458" s="62" t="s">
        <v>801</v>
      </c>
      <c r="C458" s="93" t="s">
        <v>802</v>
      </c>
      <c r="D458" s="62" t="s">
        <v>410</v>
      </c>
      <c r="E458" s="49">
        <v>45378</v>
      </c>
      <c r="F458" s="49">
        <v>45379</v>
      </c>
      <c r="G458" s="49">
        <v>45386</v>
      </c>
      <c r="H458" s="63" t="s">
        <v>856</v>
      </c>
      <c r="I458" s="65">
        <v>0</v>
      </c>
      <c r="J458" s="65">
        <v>0</v>
      </c>
      <c r="K458" s="65">
        <v>0</v>
      </c>
      <c r="L458" s="36">
        <f>+K458-((K458*0.00000000001*0.125)+(K458*(1-0.0000000001)*0.26))</f>
        <v>0</v>
      </c>
      <c r="M458" s="64">
        <f t="shared" si="11"/>
        <v>0</v>
      </c>
      <c r="N458" s="62" t="s">
        <v>247</v>
      </c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49"/>
      <c r="DW458" s="149"/>
      <c r="DX458" s="149"/>
      <c r="DY458" s="149"/>
      <c r="DZ458" s="149"/>
      <c r="EA458" s="149"/>
      <c r="EB458" s="149"/>
      <c r="EC458" s="149"/>
      <c r="ED458" s="149"/>
      <c r="EE458" s="149"/>
      <c r="EF458" s="149"/>
      <c r="EG458" s="149"/>
      <c r="EH458" s="149"/>
      <c r="EI458" s="149"/>
      <c r="EJ458" s="149"/>
      <c r="EK458" s="149"/>
      <c r="EL458" s="149"/>
      <c r="EM458" s="149"/>
      <c r="EN458" s="149"/>
      <c r="EO458" s="149"/>
      <c r="EP458" s="149"/>
      <c r="EQ458" s="149"/>
      <c r="ER458" s="149"/>
      <c r="ES458" s="149"/>
      <c r="ET458" s="149"/>
      <c r="EU458" s="149"/>
      <c r="EV458" s="149"/>
      <c r="EW458" s="149"/>
      <c r="EX458" s="149"/>
      <c r="EY458" s="149"/>
      <c r="EZ458" s="149"/>
      <c r="FA458" s="149"/>
      <c r="FB458" s="149"/>
      <c r="FC458" s="149"/>
      <c r="FD458" s="149"/>
      <c r="FE458" s="149"/>
      <c r="FF458" s="149"/>
      <c r="FG458" s="149"/>
      <c r="FH458" s="149"/>
      <c r="FI458" s="149"/>
      <c r="FJ458" s="149"/>
      <c r="FK458" s="149"/>
      <c r="FL458" s="149"/>
      <c r="FM458" s="149"/>
      <c r="FN458" s="149"/>
      <c r="FO458" s="149"/>
      <c r="FP458" s="149"/>
      <c r="FQ458" s="149"/>
      <c r="FR458" s="149"/>
      <c r="FS458" s="149"/>
      <c r="FT458" s="149"/>
      <c r="FU458" s="149"/>
      <c r="FV458" s="149"/>
      <c r="FW458" s="149"/>
      <c r="FX458" s="149"/>
      <c r="FY458" s="149"/>
      <c r="FZ458" s="149"/>
      <c r="GA458" s="149"/>
      <c r="GB458" s="149"/>
      <c r="GC458" s="149"/>
      <c r="GD458" s="149"/>
      <c r="GE458" s="149"/>
      <c r="GF458" s="149"/>
      <c r="GG458" s="149"/>
      <c r="GH458" s="149"/>
      <c r="GI458" s="149"/>
      <c r="GJ458" s="149"/>
      <c r="GK458" s="149"/>
      <c r="GL458" s="149"/>
      <c r="GM458" s="149"/>
      <c r="GN458" s="149"/>
      <c r="GO458" s="149"/>
      <c r="GP458" s="149"/>
      <c r="GQ458" s="149"/>
      <c r="GR458" s="149"/>
      <c r="GS458" s="149"/>
      <c r="GT458" s="149"/>
      <c r="GU458" s="149"/>
      <c r="GV458" s="149"/>
      <c r="GW458" s="149"/>
      <c r="GX458" s="149"/>
      <c r="GY458" s="149"/>
      <c r="GZ458" s="149"/>
      <c r="HA458" s="149"/>
      <c r="HB458" s="149"/>
      <c r="HC458" s="149"/>
      <c r="HD458" s="149"/>
      <c r="HE458" s="149"/>
      <c r="HF458" s="149"/>
      <c r="HG458" s="149"/>
      <c r="HH458" s="149"/>
      <c r="HI458" s="149"/>
      <c r="HJ458" s="149"/>
      <c r="HK458" s="149"/>
      <c r="HL458" s="149"/>
      <c r="HM458" s="149"/>
      <c r="HN458" s="149"/>
      <c r="HO458" s="149"/>
      <c r="HP458" s="149"/>
      <c r="HQ458" s="149"/>
      <c r="HR458" s="149"/>
      <c r="HS458" s="149"/>
      <c r="HT458" s="149"/>
      <c r="HU458" s="149"/>
      <c r="HV458" s="149"/>
      <c r="HW458" s="149"/>
      <c r="HX458" s="149"/>
      <c r="HY458" s="149"/>
      <c r="HZ458" s="149"/>
      <c r="IA458" s="149"/>
      <c r="IB458" s="149"/>
      <c r="IC458" s="149"/>
      <c r="ID458" s="149"/>
      <c r="IE458" s="149"/>
      <c r="IF458" s="149"/>
      <c r="IG458" s="149"/>
      <c r="IH458" s="149"/>
      <c r="II458" s="149"/>
      <c r="IJ458" s="149"/>
      <c r="IK458" s="149"/>
      <c r="IL458" s="149"/>
      <c r="IM458" s="149"/>
      <c r="IN458" s="149"/>
      <c r="IO458" s="149"/>
      <c r="IP458" s="149"/>
      <c r="IQ458" s="149"/>
      <c r="IR458" s="149"/>
      <c r="IS458" s="149"/>
      <c r="IT458" s="149"/>
      <c r="IU458" s="149"/>
    </row>
    <row r="459" spans="1:255">
      <c r="A459" s="145"/>
      <c r="B459" s="62" t="s">
        <v>216</v>
      </c>
      <c r="C459" s="93" t="s">
        <v>456</v>
      </c>
      <c r="D459" s="62" t="s">
        <v>410</v>
      </c>
      <c r="E459" s="49">
        <v>45378</v>
      </c>
      <c r="F459" s="49">
        <v>45379</v>
      </c>
      <c r="G459" s="49">
        <v>45386</v>
      </c>
      <c r="H459" s="63" t="s">
        <v>856</v>
      </c>
      <c r="I459" s="65">
        <v>0</v>
      </c>
      <c r="J459" s="65">
        <v>0</v>
      </c>
      <c r="K459" s="65">
        <v>0</v>
      </c>
      <c r="L459" s="36">
        <f>+K459-((K459*0.0585*0.125)+(K459*(1-0.0585)*0.26))</f>
        <v>0</v>
      </c>
      <c r="M459" s="64">
        <f t="shared" si="11"/>
        <v>0</v>
      </c>
      <c r="N459" s="62" t="s">
        <v>247</v>
      </c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49"/>
      <c r="DW459" s="149"/>
      <c r="DX459" s="149"/>
      <c r="DY459" s="149"/>
      <c r="DZ459" s="149"/>
      <c r="EA459" s="149"/>
      <c r="EB459" s="149"/>
      <c r="EC459" s="149"/>
      <c r="ED459" s="149"/>
      <c r="EE459" s="149"/>
      <c r="EF459" s="149"/>
      <c r="EG459" s="149"/>
      <c r="EH459" s="149"/>
      <c r="EI459" s="149"/>
      <c r="EJ459" s="149"/>
      <c r="EK459" s="149"/>
      <c r="EL459" s="149"/>
      <c r="EM459" s="149"/>
      <c r="EN459" s="149"/>
      <c r="EO459" s="149"/>
      <c r="EP459" s="149"/>
      <c r="EQ459" s="149"/>
      <c r="ER459" s="149"/>
      <c r="ES459" s="149"/>
      <c r="ET459" s="149"/>
      <c r="EU459" s="149"/>
      <c r="EV459" s="149"/>
      <c r="EW459" s="149"/>
      <c r="EX459" s="149"/>
      <c r="EY459" s="149"/>
      <c r="EZ459" s="149"/>
      <c r="FA459" s="149"/>
      <c r="FB459" s="149"/>
      <c r="FC459" s="149"/>
      <c r="FD459" s="149"/>
      <c r="FE459" s="149"/>
      <c r="FF459" s="149"/>
      <c r="FG459" s="149"/>
      <c r="FH459" s="149"/>
      <c r="FI459" s="149"/>
      <c r="FJ459" s="149"/>
      <c r="FK459" s="149"/>
      <c r="FL459" s="149"/>
      <c r="FM459" s="149"/>
      <c r="FN459" s="149"/>
      <c r="FO459" s="149"/>
      <c r="FP459" s="149"/>
      <c r="FQ459" s="149"/>
      <c r="FR459" s="149"/>
      <c r="FS459" s="149"/>
      <c r="FT459" s="149"/>
      <c r="FU459" s="149"/>
      <c r="FV459" s="149"/>
      <c r="FW459" s="149"/>
      <c r="FX459" s="149"/>
      <c r="FY459" s="149"/>
      <c r="FZ459" s="149"/>
      <c r="GA459" s="149"/>
      <c r="GB459" s="149"/>
      <c r="GC459" s="149"/>
      <c r="GD459" s="149"/>
      <c r="GE459" s="149"/>
      <c r="GF459" s="149"/>
      <c r="GG459" s="149"/>
      <c r="GH459" s="149"/>
      <c r="GI459" s="149"/>
      <c r="GJ459" s="149"/>
      <c r="GK459" s="149"/>
      <c r="GL459" s="149"/>
      <c r="GM459" s="149"/>
      <c r="GN459" s="149"/>
      <c r="GO459" s="149"/>
      <c r="GP459" s="149"/>
      <c r="GQ459" s="149"/>
      <c r="GR459" s="149"/>
      <c r="GS459" s="149"/>
      <c r="GT459" s="149"/>
      <c r="GU459" s="149"/>
      <c r="GV459" s="149"/>
      <c r="GW459" s="149"/>
      <c r="GX459" s="149"/>
      <c r="GY459" s="149"/>
      <c r="GZ459" s="149"/>
      <c r="HA459" s="149"/>
      <c r="HB459" s="149"/>
      <c r="HC459" s="149"/>
      <c r="HD459" s="149"/>
      <c r="HE459" s="149"/>
      <c r="HF459" s="149"/>
      <c r="HG459" s="149"/>
      <c r="HH459" s="149"/>
      <c r="HI459" s="149"/>
      <c r="HJ459" s="149"/>
      <c r="HK459" s="149"/>
      <c r="HL459" s="149"/>
      <c r="HM459" s="149"/>
      <c r="HN459" s="149"/>
      <c r="HO459" s="149"/>
      <c r="HP459" s="149"/>
      <c r="HQ459" s="149"/>
      <c r="HR459" s="149"/>
      <c r="HS459" s="149"/>
      <c r="HT459" s="149"/>
      <c r="HU459" s="149"/>
      <c r="HV459" s="149"/>
      <c r="HW459" s="149"/>
      <c r="HX459" s="149"/>
      <c r="HY459" s="149"/>
      <c r="HZ459" s="149"/>
      <c r="IA459" s="149"/>
      <c r="IB459" s="149"/>
      <c r="IC459" s="149"/>
      <c r="ID459" s="149"/>
      <c r="IE459" s="149"/>
      <c r="IF459" s="149"/>
      <c r="IG459" s="149"/>
      <c r="IH459" s="149"/>
      <c r="II459" s="149"/>
      <c r="IJ459" s="149"/>
      <c r="IK459" s="149"/>
      <c r="IL459" s="149"/>
      <c r="IM459" s="149"/>
      <c r="IN459" s="149"/>
      <c r="IO459" s="149"/>
      <c r="IP459" s="149"/>
      <c r="IQ459" s="149"/>
      <c r="IR459" s="149"/>
      <c r="IS459" s="149"/>
      <c r="IT459" s="149"/>
      <c r="IU459" s="149"/>
    </row>
    <row r="460" spans="1:255">
      <c r="A460" s="145"/>
      <c r="B460" s="62" t="s">
        <v>677</v>
      </c>
      <c r="C460" s="93" t="s">
        <v>693</v>
      </c>
      <c r="D460" s="62" t="s">
        <v>410</v>
      </c>
      <c r="E460" s="49">
        <v>45378</v>
      </c>
      <c r="F460" s="49">
        <v>45379</v>
      </c>
      <c r="G460" s="49">
        <v>45386</v>
      </c>
      <c r="H460" s="63"/>
      <c r="I460" s="65">
        <v>1.39</v>
      </c>
      <c r="J460" s="65">
        <v>0</v>
      </c>
      <c r="K460" s="65">
        <v>1.39</v>
      </c>
      <c r="L460" s="36">
        <f>+K460-((K460*0.00000000001*0.125)+(K460*(1-0.0000000001)*0.26))</f>
        <v>1.0286000000344024</v>
      </c>
      <c r="M460" s="64">
        <f t="shared" si="11"/>
        <v>1.0286000000344024</v>
      </c>
      <c r="N460" s="62" t="s">
        <v>247</v>
      </c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49"/>
      <c r="DW460" s="149"/>
      <c r="DX460" s="149"/>
      <c r="DY460" s="149"/>
      <c r="DZ460" s="149"/>
      <c r="EA460" s="149"/>
      <c r="EB460" s="149"/>
      <c r="EC460" s="149"/>
      <c r="ED460" s="149"/>
      <c r="EE460" s="149"/>
      <c r="EF460" s="149"/>
      <c r="EG460" s="149"/>
      <c r="EH460" s="149"/>
      <c r="EI460" s="149"/>
      <c r="EJ460" s="149"/>
      <c r="EK460" s="149"/>
      <c r="EL460" s="149"/>
      <c r="EM460" s="149"/>
      <c r="EN460" s="149"/>
      <c r="EO460" s="149"/>
      <c r="EP460" s="149"/>
      <c r="EQ460" s="149"/>
      <c r="ER460" s="149"/>
      <c r="ES460" s="149"/>
      <c r="ET460" s="149"/>
      <c r="EU460" s="149"/>
      <c r="EV460" s="149"/>
      <c r="EW460" s="149"/>
      <c r="EX460" s="149"/>
      <c r="EY460" s="149"/>
      <c r="EZ460" s="149"/>
      <c r="FA460" s="149"/>
      <c r="FB460" s="149"/>
      <c r="FC460" s="149"/>
      <c r="FD460" s="149"/>
      <c r="FE460" s="149"/>
      <c r="FF460" s="149"/>
      <c r="FG460" s="149"/>
      <c r="FH460" s="149"/>
      <c r="FI460" s="149"/>
      <c r="FJ460" s="149"/>
      <c r="FK460" s="149"/>
      <c r="FL460" s="149"/>
      <c r="FM460" s="149"/>
      <c r="FN460" s="149"/>
      <c r="FO460" s="149"/>
      <c r="FP460" s="149"/>
      <c r="FQ460" s="149"/>
      <c r="FR460" s="149"/>
      <c r="FS460" s="149"/>
      <c r="FT460" s="149"/>
      <c r="FU460" s="149"/>
      <c r="FV460" s="149"/>
      <c r="FW460" s="149"/>
      <c r="FX460" s="149"/>
      <c r="FY460" s="149"/>
      <c r="FZ460" s="149"/>
      <c r="GA460" s="149"/>
      <c r="GB460" s="149"/>
      <c r="GC460" s="149"/>
      <c r="GD460" s="149"/>
      <c r="GE460" s="149"/>
      <c r="GF460" s="149"/>
      <c r="GG460" s="149"/>
      <c r="GH460" s="149"/>
      <c r="GI460" s="149"/>
      <c r="GJ460" s="149"/>
      <c r="GK460" s="149"/>
      <c r="GL460" s="149"/>
      <c r="GM460" s="149"/>
      <c r="GN460" s="149"/>
      <c r="GO460" s="149"/>
      <c r="GP460" s="149"/>
      <c r="GQ460" s="149"/>
      <c r="GR460" s="149"/>
      <c r="GS460" s="149"/>
      <c r="GT460" s="149"/>
      <c r="GU460" s="149"/>
      <c r="GV460" s="149"/>
      <c r="GW460" s="149"/>
      <c r="GX460" s="149"/>
      <c r="GY460" s="149"/>
      <c r="GZ460" s="149"/>
      <c r="HA460" s="149"/>
      <c r="HB460" s="149"/>
      <c r="HC460" s="149"/>
      <c r="HD460" s="149"/>
      <c r="HE460" s="149"/>
      <c r="HF460" s="149"/>
      <c r="HG460" s="149"/>
      <c r="HH460" s="149"/>
      <c r="HI460" s="149"/>
      <c r="HJ460" s="149"/>
      <c r="HK460" s="149"/>
      <c r="HL460" s="149"/>
      <c r="HM460" s="149"/>
      <c r="HN460" s="149"/>
      <c r="HO460" s="149"/>
      <c r="HP460" s="149"/>
      <c r="HQ460" s="149"/>
      <c r="HR460" s="149"/>
      <c r="HS460" s="149"/>
      <c r="HT460" s="149"/>
      <c r="HU460" s="149"/>
      <c r="HV460" s="149"/>
      <c r="HW460" s="149"/>
      <c r="HX460" s="149"/>
      <c r="HY460" s="149"/>
      <c r="HZ460" s="149"/>
      <c r="IA460" s="149"/>
      <c r="IB460" s="149"/>
      <c r="IC460" s="149"/>
      <c r="ID460" s="149"/>
      <c r="IE460" s="149"/>
      <c r="IF460" s="149"/>
      <c r="IG460" s="149"/>
      <c r="IH460" s="149"/>
      <c r="II460" s="149"/>
      <c r="IJ460" s="149"/>
      <c r="IK460" s="149"/>
      <c r="IL460" s="149"/>
      <c r="IM460" s="149"/>
      <c r="IN460" s="149"/>
      <c r="IO460" s="149"/>
      <c r="IP460" s="149"/>
      <c r="IQ460" s="149"/>
      <c r="IR460" s="149"/>
      <c r="IS460" s="149"/>
      <c r="IT460" s="149"/>
      <c r="IU460" s="149"/>
    </row>
    <row r="461" spans="1:255">
      <c r="A461" s="145"/>
      <c r="B461" s="62" t="s">
        <v>676</v>
      </c>
      <c r="C461" s="93" t="s">
        <v>888</v>
      </c>
      <c r="D461" s="62" t="s">
        <v>410</v>
      </c>
      <c r="E461" s="49">
        <v>45378</v>
      </c>
      <c r="F461" s="49">
        <v>45379</v>
      </c>
      <c r="G461" s="49">
        <v>45386</v>
      </c>
      <c r="H461" s="63"/>
      <c r="I461" s="65">
        <v>8.6335230000000003</v>
      </c>
      <c r="J461" s="65">
        <v>0</v>
      </c>
      <c r="K461" s="65">
        <v>8.6335225300000005</v>
      </c>
      <c r="L461" s="36">
        <f>+K461-((K461*0.0705*0.125)+(K461*(1-0.0705)*0.26))</f>
        <v>6.4709762228792753</v>
      </c>
      <c r="M461" s="64">
        <f t="shared" si="11"/>
        <v>6.4709762228792753</v>
      </c>
      <c r="N461" s="62" t="s">
        <v>247</v>
      </c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  <c r="BT461" s="149"/>
      <c r="BU461" s="149"/>
      <c r="BV461" s="149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49"/>
      <c r="CM461" s="149"/>
      <c r="CN461" s="149"/>
      <c r="CO461" s="149"/>
      <c r="CP461" s="149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  <c r="DO461" s="149"/>
      <c r="DP461" s="149"/>
      <c r="DQ461" s="149"/>
      <c r="DR461" s="149"/>
      <c r="DS461" s="149"/>
      <c r="DT461" s="149"/>
      <c r="DU461" s="149"/>
      <c r="DV461" s="149"/>
      <c r="DW461" s="149"/>
      <c r="DX461" s="149"/>
      <c r="DY461" s="149"/>
      <c r="DZ461" s="149"/>
      <c r="EA461" s="149"/>
      <c r="EB461" s="149"/>
      <c r="EC461" s="149"/>
      <c r="ED461" s="149"/>
      <c r="EE461" s="149"/>
      <c r="EF461" s="149"/>
      <c r="EG461" s="149"/>
      <c r="EH461" s="149"/>
      <c r="EI461" s="149"/>
      <c r="EJ461" s="149"/>
      <c r="EK461" s="149"/>
      <c r="EL461" s="149"/>
      <c r="EM461" s="149"/>
      <c r="EN461" s="149"/>
      <c r="EO461" s="149"/>
      <c r="EP461" s="149"/>
      <c r="EQ461" s="149"/>
      <c r="ER461" s="149"/>
      <c r="ES461" s="149"/>
      <c r="ET461" s="149"/>
      <c r="EU461" s="149"/>
      <c r="EV461" s="149"/>
      <c r="EW461" s="149"/>
      <c r="EX461" s="149"/>
      <c r="EY461" s="149"/>
      <c r="EZ461" s="149"/>
      <c r="FA461" s="149"/>
      <c r="FB461" s="149"/>
      <c r="FC461" s="149"/>
      <c r="FD461" s="149"/>
      <c r="FE461" s="149"/>
      <c r="FF461" s="149"/>
      <c r="FG461" s="149"/>
      <c r="FH461" s="149"/>
      <c r="FI461" s="149"/>
      <c r="FJ461" s="149"/>
      <c r="FK461" s="149"/>
      <c r="FL461" s="149"/>
      <c r="FM461" s="149"/>
      <c r="FN461" s="149"/>
      <c r="FO461" s="149"/>
      <c r="FP461" s="149"/>
      <c r="FQ461" s="149"/>
      <c r="FR461" s="149"/>
      <c r="FS461" s="149"/>
      <c r="FT461" s="149"/>
      <c r="FU461" s="149"/>
      <c r="FV461" s="149"/>
      <c r="FW461" s="149"/>
      <c r="FX461" s="149"/>
      <c r="FY461" s="149"/>
      <c r="FZ461" s="149"/>
      <c r="GA461" s="149"/>
      <c r="GB461" s="149"/>
      <c r="GC461" s="149"/>
      <c r="GD461" s="149"/>
      <c r="GE461" s="149"/>
      <c r="GF461" s="149"/>
      <c r="GG461" s="149"/>
      <c r="GH461" s="149"/>
      <c r="GI461" s="149"/>
      <c r="GJ461" s="149"/>
      <c r="GK461" s="149"/>
      <c r="GL461" s="149"/>
      <c r="GM461" s="149"/>
      <c r="GN461" s="149"/>
      <c r="GO461" s="149"/>
      <c r="GP461" s="149"/>
      <c r="GQ461" s="149"/>
      <c r="GR461" s="149"/>
      <c r="GS461" s="149"/>
      <c r="GT461" s="149"/>
      <c r="GU461" s="149"/>
      <c r="GV461" s="149"/>
      <c r="GW461" s="149"/>
      <c r="GX461" s="149"/>
      <c r="GY461" s="149"/>
      <c r="GZ461" s="149"/>
      <c r="HA461" s="149"/>
      <c r="HB461" s="149"/>
      <c r="HC461" s="149"/>
      <c r="HD461" s="149"/>
      <c r="HE461" s="149"/>
      <c r="HF461" s="149"/>
      <c r="HG461" s="149"/>
      <c r="HH461" s="149"/>
      <c r="HI461" s="149"/>
      <c r="HJ461" s="149"/>
      <c r="HK461" s="149"/>
      <c r="HL461" s="149"/>
      <c r="HM461" s="149"/>
      <c r="HN461" s="149"/>
      <c r="HO461" s="149"/>
      <c r="HP461" s="149"/>
      <c r="HQ461" s="149"/>
      <c r="HR461" s="149"/>
      <c r="HS461" s="149"/>
      <c r="HT461" s="149"/>
      <c r="HU461" s="149"/>
      <c r="HV461" s="149"/>
      <c r="HW461" s="149"/>
      <c r="HX461" s="149"/>
      <c r="HY461" s="149"/>
      <c r="HZ461" s="149"/>
      <c r="IA461" s="149"/>
      <c r="IB461" s="149"/>
      <c r="IC461" s="149"/>
      <c r="ID461" s="149"/>
      <c r="IE461" s="149"/>
      <c r="IF461" s="149"/>
      <c r="IG461" s="149"/>
      <c r="IH461" s="149"/>
      <c r="II461" s="149"/>
      <c r="IJ461" s="149"/>
      <c r="IK461" s="149"/>
      <c r="IL461" s="149"/>
      <c r="IM461" s="149"/>
      <c r="IN461" s="149"/>
      <c r="IO461" s="149"/>
      <c r="IP461" s="149"/>
      <c r="IQ461" s="149"/>
      <c r="IR461" s="149"/>
      <c r="IS461" s="149"/>
      <c r="IT461" s="149"/>
      <c r="IU461" s="149"/>
    </row>
    <row r="462" spans="1:255">
      <c r="A462" s="145"/>
      <c r="B462" s="62" t="s">
        <v>215</v>
      </c>
      <c r="C462" s="93" t="s">
        <v>457</v>
      </c>
      <c r="D462" s="62" t="s">
        <v>410</v>
      </c>
      <c r="E462" s="49">
        <v>45379</v>
      </c>
      <c r="F462" s="49">
        <v>45384</v>
      </c>
      <c r="G462" s="49">
        <v>45387</v>
      </c>
      <c r="H462" s="63" t="s">
        <v>856</v>
      </c>
      <c r="I462" s="65">
        <v>0</v>
      </c>
      <c r="J462" s="65">
        <v>0</v>
      </c>
      <c r="K462" s="65">
        <v>0</v>
      </c>
      <c r="L462" s="36">
        <f>+K462-((K462*0.353*0.125)+(K462*(1-0.353)*0.26))</f>
        <v>0</v>
      </c>
      <c r="M462" s="64">
        <f t="shared" si="11"/>
        <v>0</v>
      </c>
      <c r="N462" s="62" t="s">
        <v>248</v>
      </c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  <c r="BT462" s="149"/>
      <c r="BU462" s="149"/>
      <c r="BV462" s="149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49"/>
      <c r="CM462" s="149"/>
      <c r="CN462" s="149"/>
      <c r="CO462" s="149"/>
      <c r="CP462" s="149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  <c r="DO462" s="149"/>
      <c r="DP462" s="149"/>
      <c r="DQ462" s="149"/>
      <c r="DR462" s="149"/>
      <c r="DS462" s="149"/>
      <c r="DT462" s="149"/>
      <c r="DU462" s="149"/>
      <c r="DV462" s="149"/>
      <c r="DW462" s="149"/>
      <c r="DX462" s="149"/>
      <c r="DY462" s="149"/>
      <c r="DZ462" s="149"/>
      <c r="EA462" s="149"/>
      <c r="EB462" s="149"/>
      <c r="EC462" s="149"/>
      <c r="ED462" s="149"/>
      <c r="EE462" s="149"/>
      <c r="EF462" s="149"/>
      <c r="EG462" s="149"/>
      <c r="EH462" s="149"/>
      <c r="EI462" s="149"/>
      <c r="EJ462" s="149"/>
      <c r="EK462" s="149"/>
      <c r="EL462" s="149"/>
      <c r="EM462" s="149"/>
      <c r="EN462" s="149"/>
      <c r="EO462" s="149"/>
      <c r="EP462" s="149"/>
      <c r="EQ462" s="149"/>
      <c r="ER462" s="149"/>
      <c r="ES462" s="149"/>
      <c r="ET462" s="149"/>
      <c r="EU462" s="149"/>
      <c r="EV462" s="149"/>
      <c r="EW462" s="149"/>
      <c r="EX462" s="149"/>
      <c r="EY462" s="149"/>
      <c r="EZ462" s="149"/>
      <c r="FA462" s="149"/>
      <c r="FB462" s="149"/>
      <c r="FC462" s="149"/>
      <c r="FD462" s="149"/>
      <c r="FE462" s="149"/>
      <c r="FF462" s="149"/>
      <c r="FG462" s="149"/>
      <c r="FH462" s="149"/>
      <c r="FI462" s="149"/>
      <c r="FJ462" s="149"/>
      <c r="FK462" s="149"/>
      <c r="FL462" s="149"/>
      <c r="FM462" s="149"/>
      <c r="FN462" s="149"/>
      <c r="FO462" s="149"/>
      <c r="FP462" s="149"/>
      <c r="FQ462" s="149"/>
      <c r="FR462" s="149"/>
      <c r="FS462" s="149"/>
      <c r="FT462" s="149"/>
      <c r="FU462" s="149"/>
      <c r="FV462" s="149"/>
      <c r="FW462" s="149"/>
      <c r="FX462" s="149"/>
      <c r="FY462" s="149"/>
      <c r="FZ462" s="149"/>
      <c r="GA462" s="149"/>
      <c r="GB462" s="149"/>
      <c r="GC462" s="149"/>
      <c r="GD462" s="149"/>
      <c r="GE462" s="149"/>
      <c r="GF462" s="149"/>
      <c r="GG462" s="149"/>
      <c r="GH462" s="149"/>
      <c r="GI462" s="149"/>
      <c r="GJ462" s="149"/>
      <c r="GK462" s="149"/>
      <c r="GL462" s="149"/>
      <c r="GM462" s="149"/>
      <c r="GN462" s="149"/>
      <c r="GO462" s="149"/>
      <c r="GP462" s="149"/>
      <c r="GQ462" s="149"/>
      <c r="GR462" s="149"/>
      <c r="GS462" s="149"/>
      <c r="GT462" s="149"/>
      <c r="GU462" s="149"/>
      <c r="GV462" s="149"/>
      <c r="GW462" s="149"/>
      <c r="GX462" s="149"/>
      <c r="GY462" s="149"/>
      <c r="GZ462" s="149"/>
      <c r="HA462" s="149"/>
      <c r="HB462" s="149"/>
      <c r="HC462" s="149"/>
      <c r="HD462" s="149"/>
      <c r="HE462" s="149"/>
      <c r="HF462" s="149"/>
      <c r="HG462" s="149"/>
      <c r="HH462" s="149"/>
      <c r="HI462" s="149"/>
      <c r="HJ462" s="149"/>
      <c r="HK462" s="149"/>
      <c r="HL462" s="149"/>
      <c r="HM462" s="149"/>
      <c r="HN462" s="149"/>
      <c r="HO462" s="149"/>
      <c r="HP462" s="149"/>
      <c r="HQ462" s="149"/>
      <c r="HR462" s="149"/>
      <c r="HS462" s="149"/>
      <c r="HT462" s="149"/>
      <c r="HU462" s="149"/>
      <c r="HV462" s="149"/>
      <c r="HW462" s="149"/>
      <c r="HX462" s="149"/>
      <c r="HY462" s="149"/>
      <c r="HZ462" s="149"/>
      <c r="IA462" s="149"/>
      <c r="IB462" s="149"/>
      <c r="IC462" s="149"/>
      <c r="ID462" s="149"/>
      <c r="IE462" s="149"/>
      <c r="IF462" s="149"/>
      <c r="IG462" s="149"/>
      <c r="IH462" s="149"/>
      <c r="II462" s="149"/>
      <c r="IJ462" s="149"/>
      <c r="IK462" s="149"/>
      <c r="IL462" s="149"/>
      <c r="IM462" s="149"/>
      <c r="IN462" s="149"/>
      <c r="IO462" s="149"/>
      <c r="IP462" s="149"/>
      <c r="IQ462" s="149"/>
      <c r="IR462" s="149"/>
      <c r="IS462" s="149"/>
      <c r="IT462" s="149"/>
      <c r="IU462" s="149"/>
    </row>
    <row r="463" spans="1:255">
      <c r="A463" s="145"/>
      <c r="B463" s="62" t="s">
        <v>203</v>
      </c>
      <c r="C463" s="93" t="s">
        <v>445</v>
      </c>
      <c r="D463" s="62" t="s">
        <v>410</v>
      </c>
      <c r="E463" s="49">
        <v>45379</v>
      </c>
      <c r="F463" s="49">
        <v>45384</v>
      </c>
      <c r="G463" s="49">
        <v>45387</v>
      </c>
      <c r="H463" s="63"/>
      <c r="I463" s="65">
        <v>6.6853999999999996</v>
      </c>
      <c r="J463" s="65">
        <v>0</v>
      </c>
      <c r="K463" s="65">
        <v>6.6853999999999996</v>
      </c>
      <c r="L463" s="36">
        <f>+K463-((K463*0.474*0.125)+(K463*(1-0.474)*0.26))</f>
        <v>5.3749947459999996</v>
      </c>
      <c r="M463" s="64">
        <f t="shared" si="11"/>
        <v>5.3749947459999996</v>
      </c>
      <c r="N463" s="62" t="s">
        <v>248</v>
      </c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  <c r="BT463" s="149"/>
      <c r="BU463" s="149"/>
      <c r="BV463" s="149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49"/>
      <c r="CM463" s="149"/>
      <c r="CN463" s="149"/>
      <c r="CO463" s="149"/>
      <c r="CP463" s="149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  <c r="DO463" s="149"/>
      <c r="DP463" s="149"/>
      <c r="DQ463" s="149"/>
      <c r="DR463" s="149"/>
      <c r="DS463" s="149"/>
      <c r="DT463" s="149"/>
      <c r="DU463" s="149"/>
      <c r="DV463" s="149"/>
      <c r="DW463" s="149"/>
      <c r="DX463" s="149"/>
      <c r="DY463" s="149"/>
      <c r="DZ463" s="149"/>
      <c r="EA463" s="149"/>
      <c r="EB463" s="149"/>
      <c r="EC463" s="149"/>
      <c r="ED463" s="149"/>
      <c r="EE463" s="149"/>
      <c r="EF463" s="149"/>
      <c r="EG463" s="149"/>
      <c r="EH463" s="149"/>
      <c r="EI463" s="149"/>
      <c r="EJ463" s="149"/>
      <c r="EK463" s="149"/>
      <c r="EL463" s="149"/>
      <c r="EM463" s="149"/>
      <c r="EN463" s="149"/>
      <c r="EO463" s="149"/>
      <c r="EP463" s="149"/>
      <c r="EQ463" s="149"/>
      <c r="ER463" s="149"/>
      <c r="ES463" s="149"/>
      <c r="ET463" s="149"/>
      <c r="EU463" s="149"/>
      <c r="EV463" s="149"/>
      <c r="EW463" s="149"/>
      <c r="EX463" s="149"/>
      <c r="EY463" s="149"/>
      <c r="EZ463" s="149"/>
      <c r="FA463" s="149"/>
      <c r="FB463" s="149"/>
      <c r="FC463" s="149"/>
      <c r="FD463" s="149"/>
      <c r="FE463" s="149"/>
      <c r="FF463" s="149"/>
      <c r="FG463" s="149"/>
      <c r="FH463" s="149"/>
      <c r="FI463" s="149"/>
      <c r="FJ463" s="149"/>
      <c r="FK463" s="149"/>
      <c r="FL463" s="149"/>
      <c r="FM463" s="149"/>
      <c r="FN463" s="149"/>
      <c r="FO463" s="149"/>
      <c r="FP463" s="149"/>
      <c r="FQ463" s="149"/>
      <c r="FR463" s="149"/>
      <c r="FS463" s="149"/>
      <c r="FT463" s="149"/>
      <c r="FU463" s="149"/>
      <c r="FV463" s="149"/>
      <c r="FW463" s="149"/>
      <c r="FX463" s="149"/>
      <c r="FY463" s="149"/>
      <c r="FZ463" s="149"/>
      <c r="GA463" s="149"/>
      <c r="GB463" s="149"/>
      <c r="GC463" s="149"/>
      <c r="GD463" s="149"/>
      <c r="GE463" s="149"/>
      <c r="GF463" s="149"/>
      <c r="GG463" s="149"/>
      <c r="GH463" s="149"/>
      <c r="GI463" s="149"/>
      <c r="GJ463" s="149"/>
      <c r="GK463" s="149"/>
      <c r="GL463" s="149"/>
      <c r="GM463" s="149"/>
      <c r="GN463" s="149"/>
      <c r="GO463" s="149"/>
      <c r="GP463" s="149"/>
      <c r="GQ463" s="149"/>
      <c r="GR463" s="149"/>
      <c r="GS463" s="149"/>
      <c r="GT463" s="149"/>
      <c r="GU463" s="149"/>
      <c r="GV463" s="149"/>
      <c r="GW463" s="149"/>
      <c r="GX463" s="149"/>
      <c r="GY463" s="149"/>
      <c r="GZ463" s="149"/>
      <c r="HA463" s="149"/>
      <c r="HB463" s="149"/>
      <c r="HC463" s="149"/>
      <c r="HD463" s="149"/>
      <c r="HE463" s="149"/>
      <c r="HF463" s="149"/>
      <c r="HG463" s="149"/>
      <c r="HH463" s="149"/>
      <c r="HI463" s="149"/>
      <c r="HJ463" s="149"/>
      <c r="HK463" s="149"/>
      <c r="HL463" s="149"/>
      <c r="HM463" s="149"/>
      <c r="HN463" s="149"/>
      <c r="HO463" s="149"/>
      <c r="HP463" s="149"/>
      <c r="HQ463" s="149"/>
      <c r="HR463" s="149"/>
      <c r="HS463" s="149"/>
      <c r="HT463" s="149"/>
      <c r="HU463" s="149"/>
      <c r="HV463" s="149"/>
      <c r="HW463" s="149"/>
      <c r="HX463" s="149"/>
      <c r="HY463" s="149"/>
      <c r="HZ463" s="149"/>
      <c r="IA463" s="149"/>
      <c r="IB463" s="149"/>
      <c r="IC463" s="149"/>
      <c r="ID463" s="149"/>
      <c r="IE463" s="149"/>
      <c r="IF463" s="149"/>
      <c r="IG463" s="149"/>
      <c r="IH463" s="149"/>
      <c r="II463" s="149"/>
      <c r="IJ463" s="149"/>
      <c r="IK463" s="149"/>
      <c r="IL463" s="149"/>
      <c r="IM463" s="149"/>
      <c r="IN463" s="149"/>
      <c r="IO463" s="149"/>
      <c r="IP463" s="149"/>
      <c r="IQ463" s="149"/>
      <c r="IR463" s="149"/>
      <c r="IS463" s="149"/>
      <c r="IT463" s="149"/>
      <c r="IU463" s="149"/>
    </row>
    <row r="464" spans="1:255">
      <c r="A464" s="145"/>
      <c r="B464" s="62" t="s">
        <v>204</v>
      </c>
      <c r="C464" s="93" t="s">
        <v>890</v>
      </c>
      <c r="D464" s="62" t="s">
        <v>410</v>
      </c>
      <c r="E464" s="49">
        <v>45379</v>
      </c>
      <c r="F464" s="49">
        <v>45384</v>
      </c>
      <c r="G464" s="49">
        <v>45387</v>
      </c>
      <c r="H464" s="63" t="s">
        <v>856</v>
      </c>
      <c r="I464" s="65">
        <v>0</v>
      </c>
      <c r="J464" s="65">
        <v>0</v>
      </c>
      <c r="K464" s="65">
        <v>0</v>
      </c>
      <c r="L464" s="36">
        <f>+K464-((K464*0.062*0.125)+(K464*(1-0.062)*0.26))</f>
        <v>0</v>
      </c>
      <c r="M464" s="64">
        <f t="shared" si="11"/>
        <v>0</v>
      </c>
      <c r="N464" s="62" t="s">
        <v>248</v>
      </c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49"/>
      <c r="DW464" s="149"/>
      <c r="DX464" s="149"/>
      <c r="DY464" s="149"/>
      <c r="DZ464" s="149"/>
      <c r="EA464" s="149"/>
      <c r="EB464" s="149"/>
      <c r="EC464" s="149"/>
      <c r="ED464" s="149"/>
      <c r="EE464" s="149"/>
      <c r="EF464" s="149"/>
      <c r="EG464" s="149"/>
      <c r="EH464" s="149"/>
      <c r="EI464" s="149"/>
      <c r="EJ464" s="149"/>
      <c r="EK464" s="149"/>
      <c r="EL464" s="149"/>
      <c r="EM464" s="149"/>
      <c r="EN464" s="149"/>
      <c r="EO464" s="149"/>
      <c r="EP464" s="149"/>
      <c r="EQ464" s="149"/>
      <c r="ER464" s="149"/>
      <c r="ES464" s="149"/>
      <c r="ET464" s="149"/>
      <c r="EU464" s="149"/>
      <c r="EV464" s="149"/>
      <c r="EW464" s="149"/>
      <c r="EX464" s="149"/>
      <c r="EY464" s="149"/>
      <c r="EZ464" s="149"/>
      <c r="FA464" s="149"/>
      <c r="FB464" s="149"/>
      <c r="FC464" s="149"/>
      <c r="FD464" s="149"/>
      <c r="FE464" s="149"/>
      <c r="FF464" s="149"/>
      <c r="FG464" s="149"/>
      <c r="FH464" s="149"/>
      <c r="FI464" s="149"/>
      <c r="FJ464" s="149"/>
      <c r="FK464" s="149"/>
      <c r="FL464" s="149"/>
      <c r="FM464" s="149"/>
      <c r="FN464" s="149"/>
      <c r="FO464" s="149"/>
      <c r="FP464" s="149"/>
      <c r="FQ464" s="149"/>
      <c r="FR464" s="149"/>
      <c r="FS464" s="149"/>
      <c r="FT464" s="149"/>
      <c r="FU464" s="149"/>
      <c r="FV464" s="149"/>
      <c r="FW464" s="149"/>
      <c r="FX464" s="149"/>
      <c r="FY464" s="149"/>
      <c r="FZ464" s="149"/>
      <c r="GA464" s="149"/>
      <c r="GB464" s="149"/>
      <c r="GC464" s="149"/>
      <c r="GD464" s="149"/>
      <c r="GE464" s="149"/>
      <c r="GF464" s="149"/>
      <c r="GG464" s="149"/>
      <c r="GH464" s="149"/>
      <c r="GI464" s="149"/>
      <c r="GJ464" s="149"/>
      <c r="GK464" s="149"/>
      <c r="GL464" s="149"/>
      <c r="GM464" s="149"/>
      <c r="GN464" s="149"/>
      <c r="GO464" s="149"/>
      <c r="GP464" s="149"/>
      <c r="GQ464" s="149"/>
      <c r="GR464" s="149"/>
      <c r="GS464" s="149"/>
      <c r="GT464" s="149"/>
      <c r="GU464" s="149"/>
      <c r="GV464" s="149"/>
      <c r="GW464" s="149"/>
      <c r="GX464" s="149"/>
      <c r="GY464" s="149"/>
      <c r="GZ464" s="149"/>
      <c r="HA464" s="149"/>
      <c r="HB464" s="149"/>
      <c r="HC464" s="149"/>
      <c r="HD464" s="149"/>
      <c r="HE464" s="149"/>
      <c r="HF464" s="149"/>
      <c r="HG464" s="149"/>
      <c r="HH464" s="149"/>
      <c r="HI464" s="149"/>
      <c r="HJ464" s="149"/>
      <c r="HK464" s="149"/>
      <c r="HL464" s="149"/>
      <c r="HM464" s="149"/>
      <c r="HN464" s="149"/>
      <c r="HO464" s="149"/>
      <c r="HP464" s="149"/>
      <c r="HQ464" s="149"/>
      <c r="HR464" s="149"/>
      <c r="HS464" s="149"/>
      <c r="HT464" s="149"/>
      <c r="HU464" s="149"/>
      <c r="HV464" s="149"/>
      <c r="HW464" s="149"/>
      <c r="HX464" s="149"/>
      <c r="HY464" s="149"/>
      <c r="HZ464" s="149"/>
      <c r="IA464" s="149"/>
      <c r="IB464" s="149"/>
      <c r="IC464" s="149"/>
      <c r="ID464" s="149"/>
      <c r="IE464" s="149"/>
      <c r="IF464" s="149"/>
      <c r="IG464" s="149"/>
      <c r="IH464" s="149"/>
      <c r="II464" s="149"/>
      <c r="IJ464" s="149"/>
      <c r="IK464" s="149"/>
      <c r="IL464" s="149"/>
      <c r="IM464" s="149"/>
      <c r="IN464" s="149"/>
      <c r="IO464" s="149"/>
      <c r="IP464" s="149"/>
      <c r="IQ464" s="149"/>
      <c r="IR464" s="149"/>
      <c r="IS464" s="149"/>
      <c r="IT464" s="149"/>
      <c r="IU464" s="149"/>
    </row>
    <row r="465" spans="1:255">
      <c r="A465" s="145"/>
      <c r="B465" s="62" t="s">
        <v>207</v>
      </c>
      <c r="C465" s="93" t="s">
        <v>447</v>
      </c>
      <c r="D465" s="62" t="s">
        <v>410</v>
      </c>
      <c r="E465" s="49">
        <v>45379</v>
      </c>
      <c r="F465" s="49">
        <v>45384</v>
      </c>
      <c r="G465" s="49">
        <v>45387</v>
      </c>
      <c r="H465" s="63"/>
      <c r="I465" s="65">
        <v>6.5743999999999998</v>
      </c>
      <c r="J465" s="65">
        <v>0.40173390470062975</v>
      </c>
      <c r="K465" s="65">
        <v>6.1726660952993697</v>
      </c>
      <c r="L465" s="36">
        <f>+K465-((K465*0.6995*0.125)+(K465*(1-0.6995)*0.26))</f>
        <v>5.1506732015658914</v>
      </c>
      <c r="M465" s="64">
        <f t="shared" si="11"/>
        <v>5.5524071062665215</v>
      </c>
      <c r="N465" s="62" t="s">
        <v>248</v>
      </c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49"/>
      <c r="DW465" s="149"/>
      <c r="DX465" s="149"/>
      <c r="DY465" s="149"/>
      <c r="DZ465" s="149"/>
      <c r="EA465" s="149"/>
      <c r="EB465" s="149"/>
      <c r="EC465" s="149"/>
      <c r="ED465" s="149"/>
      <c r="EE465" s="149"/>
      <c r="EF465" s="149"/>
      <c r="EG465" s="149"/>
      <c r="EH465" s="149"/>
      <c r="EI465" s="149"/>
      <c r="EJ465" s="149"/>
      <c r="EK465" s="149"/>
      <c r="EL465" s="149"/>
      <c r="EM465" s="149"/>
      <c r="EN465" s="149"/>
      <c r="EO465" s="149"/>
      <c r="EP465" s="149"/>
      <c r="EQ465" s="149"/>
      <c r="ER465" s="149"/>
      <c r="ES465" s="149"/>
      <c r="ET465" s="149"/>
      <c r="EU465" s="149"/>
      <c r="EV465" s="149"/>
      <c r="EW465" s="149"/>
      <c r="EX465" s="149"/>
      <c r="EY465" s="149"/>
      <c r="EZ465" s="149"/>
      <c r="FA465" s="149"/>
      <c r="FB465" s="149"/>
      <c r="FC465" s="149"/>
      <c r="FD465" s="149"/>
      <c r="FE465" s="149"/>
      <c r="FF465" s="149"/>
      <c r="FG465" s="149"/>
      <c r="FH465" s="149"/>
      <c r="FI465" s="149"/>
      <c r="FJ465" s="149"/>
      <c r="FK465" s="149"/>
      <c r="FL465" s="149"/>
      <c r="FM465" s="149"/>
      <c r="FN465" s="149"/>
      <c r="FO465" s="149"/>
      <c r="FP465" s="149"/>
      <c r="FQ465" s="149"/>
      <c r="FR465" s="149"/>
      <c r="FS465" s="149"/>
      <c r="FT465" s="149"/>
      <c r="FU465" s="149"/>
      <c r="FV465" s="149"/>
      <c r="FW465" s="149"/>
      <c r="FX465" s="149"/>
      <c r="FY465" s="149"/>
      <c r="FZ465" s="149"/>
      <c r="GA465" s="149"/>
      <c r="GB465" s="149"/>
      <c r="GC465" s="149"/>
      <c r="GD465" s="149"/>
      <c r="GE465" s="149"/>
      <c r="GF465" s="149"/>
      <c r="GG465" s="149"/>
      <c r="GH465" s="149"/>
      <c r="GI465" s="149"/>
      <c r="GJ465" s="149"/>
      <c r="GK465" s="149"/>
      <c r="GL465" s="149"/>
      <c r="GM465" s="149"/>
      <c r="GN465" s="149"/>
      <c r="GO465" s="149"/>
      <c r="GP465" s="149"/>
      <c r="GQ465" s="149"/>
      <c r="GR465" s="149"/>
      <c r="GS465" s="149"/>
      <c r="GT465" s="149"/>
      <c r="GU465" s="149"/>
      <c r="GV465" s="149"/>
      <c r="GW465" s="149"/>
      <c r="GX465" s="149"/>
      <c r="GY465" s="149"/>
      <c r="GZ465" s="149"/>
      <c r="HA465" s="149"/>
      <c r="HB465" s="149"/>
      <c r="HC465" s="149"/>
      <c r="HD465" s="149"/>
      <c r="HE465" s="149"/>
      <c r="HF465" s="149"/>
      <c r="HG465" s="149"/>
      <c r="HH465" s="149"/>
      <c r="HI465" s="149"/>
      <c r="HJ465" s="149"/>
      <c r="HK465" s="149"/>
      <c r="HL465" s="149"/>
      <c r="HM465" s="149"/>
      <c r="HN465" s="149"/>
      <c r="HO465" s="149"/>
      <c r="HP465" s="149"/>
      <c r="HQ465" s="149"/>
      <c r="HR465" s="149"/>
      <c r="HS465" s="149"/>
      <c r="HT465" s="149"/>
      <c r="HU465" s="149"/>
      <c r="HV465" s="149"/>
      <c r="HW465" s="149"/>
      <c r="HX465" s="149"/>
      <c r="HY465" s="149"/>
      <c r="HZ465" s="149"/>
      <c r="IA465" s="149"/>
      <c r="IB465" s="149"/>
      <c r="IC465" s="149"/>
      <c r="ID465" s="149"/>
      <c r="IE465" s="149"/>
      <c r="IF465" s="149"/>
      <c r="IG465" s="149"/>
      <c r="IH465" s="149"/>
      <c r="II465" s="149"/>
      <c r="IJ465" s="149"/>
      <c r="IK465" s="149"/>
      <c r="IL465" s="149"/>
      <c r="IM465" s="149"/>
      <c r="IN465" s="149"/>
      <c r="IO465" s="149"/>
      <c r="IP465" s="149"/>
      <c r="IQ465" s="149"/>
      <c r="IR465" s="149"/>
      <c r="IS465" s="149"/>
      <c r="IT465" s="149"/>
      <c r="IU465" s="149"/>
    </row>
    <row r="466" spans="1:255">
      <c r="A466" s="145"/>
      <c r="B466" s="62" t="s">
        <v>678</v>
      </c>
      <c r="C466" s="93" t="s">
        <v>707</v>
      </c>
      <c r="D466" s="62" t="s">
        <v>410</v>
      </c>
      <c r="E466" s="49">
        <v>45379</v>
      </c>
      <c r="F466" s="49">
        <v>45384</v>
      </c>
      <c r="G466" s="49">
        <v>45387</v>
      </c>
      <c r="H466" s="63"/>
      <c r="I466" s="65">
        <v>17.168800000000001</v>
      </c>
      <c r="J466" s="65">
        <v>4.8650792632597417</v>
      </c>
      <c r="K466" s="65">
        <v>12.30372073674026</v>
      </c>
      <c r="L466" s="36">
        <f>+K466-((K466*0.001*0.125)+(K466*(1-0.001)*0.26))</f>
        <v>9.1064143474872523</v>
      </c>
      <c r="M466" s="64">
        <f t="shared" si="11"/>
        <v>13.971493610746993</v>
      </c>
      <c r="N466" s="62" t="s">
        <v>248</v>
      </c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  <c r="ER466" s="149"/>
      <c r="ES466" s="149"/>
      <c r="ET466" s="149"/>
      <c r="EU466" s="149"/>
      <c r="EV466" s="149"/>
      <c r="EW466" s="149"/>
      <c r="EX466" s="149"/>
      <c r="EY466" s="149"/>
      <c r="EZ466" s="149"/>
      <c r="FA466" s="149"/>
      <c r="FB466" s="149"/>
      <c r="FC466" s="149"/>
      <c r="FD466" s="149"/>
      <c r="FE466" s="149"/>
      <c r="FF466" s="149"/>
      <c r="FG466" s="149"/>
      <c r="FH466" s="149"/>
      <c r="FI466" s="149"/>
      <c r="FJ466" s="149"/>
      <c r="FK466" s="149"/>
      <c r="FL466" s="149"/>
      <c r="FM466" s="149"/>
      <c r="FN466" s="149"/>
      <c r="FO466" s="149"/>
      <c r="FP466" s="149"/>
      <c r="FQ466" s="149"/>
      <c r="FR466" s="149"/>
      <c r="FS466" s="149"/>
      <c r="FT466" s="149"/>
      <c r="FU466" s="149"/>
      <c r="FV466" s="149"/>
      <c r="FW466" s="149"/>
      <c r="FX466" s="149"/>
      <c r="FY466" s="149"/>
      <c r="FZ466" s="149"/>
      <c r="GA466" s="149"/>
      <c r="GB466" s="149"/>
      <c r="GC466" s="149"/>
      <c r="GD466" s="149"/>
      <c r="GE466" s="149"/>
      <c r="GF466" s="149"/>
      <c r="GG466" s="149"/>
      <c r="GH466" s="149"/>
      <c r="GI466" s="149"/>
      <c r="GJ466" s="149"/>
      <c r="GK466" s="149"/>
      <c r="GL466" s="149"/>
      <c r="GM466" s="149"/>
      <c r="GN466" s="149"/>
      <c r="GO466" s="149"/>
      <c r="GP466" s="149"/>
      <c r="GQ466" s="149"/>
      <c r="GR466" s="149"/>
      <c r="GS466" s="149"/>
      <c r="GT466" s="149"/>
      <c r="GU466" s="149"/>
      <c r="GV466" s="149"/>
      <c r="GW466" s="149"/>
      <c r="GX466" s="149"/>
      <c r="GY466" s="149"/>
      <c r="GZ466" s="149"/>
      <c r="HA466" s="149"/>
      <c r="HB466" s="149"/>
      <c r="HC466" s="149"/>
      <c r="HD466" s="149"/>
      <c r="HE466" s="149"/>
      <c r="HF466" s="149"/>
      <c r="HG466" s="149"/>
      <c r="HH466" s="149"/>
      <c r="HI466" s="149"/>
      <c r="HJ466" s="149"/>
      <c r="HK466" s="149"/>
      <c r="HL466" s="149"/>
      <c r="HM466" s="149"/>
      <c r="HN466" s="149"/>
      <c r="HO466" s="149"/>
      <c r="HP466" s="149"/>
      <c r="HQ466" s="149"/>
      <c r="HR466" s="149"/>
      <c r="HS466" s="149"/>
      <c r="HT466" s="149"/>
      <c r="HU466" s="149"/>
      <c r="HV466" s="149"/>
      <c r="HW466" s="149"/>
      <c r="HX466" s="149"/>
      <c r="HY466" s="149"/>
      <c r="HZ466" s="149"/>
      <c r="IA466" s="149"/>
      <c r="IB466" s="149"/>
      <c r="IC466" s="149"/>
      <c r="ID466" s="149"/>
      <c r="IE466" s="149"/>
      <c r="IF466" s="149"/>
      <c r="IG466" s="149"/>
      <c r="IH466" s="149"/>
      <c r="II466" s="149"/>
      <c r="IJ466" s="149"/>
      <c r="IK466" s="149"/>
      <c r="IL466" s="149"/>
      <c r="IM466" s="149"/>
      <c r="IN466" s="149"/>
      <c r="IO466" s="149"/>
      <c r="IP466" s="149"/>
      <c r="IQ466" s="149"/>
      <c r="IR466" s="149"/>
      <c r="IS466" s="149"/>
      <c r="IT466" s="149"/>
      <c r="IU466" s="149"/>
    </row>
    <row r="467" spans="1:255">
      <c r="A467" s="145"/>
      <c r="B467" s="62" t="s">
        <v>205</v>
      </c>
      <c r="C467" s="93" t="s">
        <v>448</v>
      </c>
      <c r="D467" s="62" t="s">
        <v>410</v>
      </c>
      <c r="E467" s="49">
        <v>45379</v>
      </c>
      <c r="F467" s="49">
        <v>45384</v>
      </c>
      <c r="G467" s="49">
        <v>45387</v>
      </c>
      <c r="H467" s="63"/>
      <c r="I467" s="65">
        <v>11.226000000000001</v>
      </c>
      <c r="J467" s="65">
        <v>0.95841899741062753</v>
      </c>
      <c r="K467" s="65">
        <v>10.267581002589374</v>
      </c>
      <c r="L467" s="36">
        <f>+K467-((K467*0.5055*0.125)+(K467*(1-0.5055)*0.26))</f>
        <v>8.2986953384853415</v>
      </c>
      <c r="M467" s="64">
        <f t="shared" si="11"/>
        <v>9.2571143358959684</v>
      </c>
      <c r="N467" s="62" t="s">
        <v>248</v>
      </c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  <c r="BT467" s="149"/>
      <c r="BU467" s="149"/>
      <c r="BV467" s="149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49"/>
      <c r="CM467" s="149"/>
      <c r="CN467" s="149"/>
      <c r="CO467" s="149"/>
      <c r="CP467" s="149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  <c r="DO467" s="149"/>
      <c r="DP467" s="149"/>
      <c r="DQ467" s="149"/>
      <c r="DR467" s="149"/>
      <c r="DS467" s="149"/>
      <c r="DT467" s="149"/>
      <c r="DU467" s="149"/>
      <c r="DV467" s="149"/>
      <c r="DW467" s="149"/>
      <c r="DX467" s="149"/>
      <c r="DY467" s="149"/>
      <c r="DZ467" s="149"/>
      <c r="EA467" s="149"/>
      <c r="EB467" s="149"/>
      <c r="EC467" s="149"/>
      <c r="ED467" s="149"/>
      <c r="EE467" s="149"/>
      <c r="EF467" s="149"/>
      <c r="EG467" s="149"/>
      <c r="EH467" s="149"/>
      <c r="EI467" s="149"/>
      <c r="EJ467" s="149"/>
      <c r="EK467" s="149"/>
      <c r="EL467" s="149"/>
      <c r="EM467" s="149"/>
      <c r="EN467" s="149"/>
      <c r="EO467" s="149"/>
      <c r="EP467" s="149"/>
      <c r="EQ467" s="149"/>
      <c r="ER467" s="149"/>
      <c r="ES467" s="149"/>
      <c r="ET467" s="149"/>
      <c r="EU467" s="149"/>
      <c r="EV467" s="149"/>
      <c r="EW467" s="149"/>
      <c r="EX467" s="149"/>
      <c r="EY467" s="149"/>
      <c r="EZ467" s="149"/>
      <c r="FA467" s="149"/>
      <c r="FB467" s="149"/>
      <c r="FC467" s="149"/>
      <c r="FD467" s="149"/>
      <c r="FE467" s="149"/>
      <c r="FF467" s="149"/>
      <c r="FG467" s="149"/>
      <c r="FH467" s="149"/>
      <c r="FI467" s="149"/>
      <c r="FJ467" s="149"/>
      <c r="FK467" s="149"/>
      <c r="FL467" s="149"/>
      <c r="FM467" s="149"/>
      <c r="FN467" s="149"/>
      <c r="FO467" s="149"/>
      <c r="FP467" s="149"/>
      <c r="FQ467" s="149"/>
      <c r="FR467" s="149"/>
      <c r="FS467" s="149"/>
      <c r="FT467" s="149"/>
      <c r="FU467" s="149"/>
      <c r="FV467" s="149"/>
      <c r="FW467" s="149"/>
      <c r="FX467" s="149"/>
      <c r="FY467" s="149"/>
      <c r="FZ467" s="149"/>
      <c r="GA467" s="149"/>
      <c r="GB467" s="149"/>
      <c r="GC467" s="149"/>
      <c r="GD467" s="149"/>
      <c r="GE467" s="149"/>
      <c r="GF467" s="149"/>
      <c r="GG467" s="149"/>
      <c r="GH467" s="149"/>
      <c r="GI467" s="149"/>
      <c r="GJ467" s="149"/>
      <c r="GK467" s="149"/>
      <c r="GL467" s="149"/>
      <c r="GM467" s="149"/>
      <c r="GN467" s="149"/>
      <c r="GO467" s="149"/>
      <c r="GP467" s="149"/>
      <c r="GQ467" s="149"/>
      <c r="GR467" s="149"/>
      <c r="GS467" s="149"/>
      <c r="GT467" s="149"/>
      <c r="GU467" s="149"/>
      <c r="GV467" s="149"/>
      <c r="GW467" s="149"/>
      <c r="GX467" s="149"/>
      <c r="GY467" s="149"/>
      <c r="GZ467" s="149"/>
      <c r="HA467" s="149"/>
      <c r="HB467" s="149"/>
      <c r="HC467" s="149"/>
      <c r="HD467" s="149"/>
      <c r="HE467" s="149"/>
      <c r="HF467" s="149"/>
      <c r="HG467" s="149"/>
      <c r="HH467" s="149"/>
      <c r="HI467" s="149"/>
      <c r="HJ467" s="149"/>
      <c r="HK467" s="149"/>
      <c r="HL467" s="149"/>
      <c r="HM467" s="149"/>
      <c r="HN467" s="149"/>
      <c r="HO467" s="149"/>
      <c r="HP467" s="149"/>
      <c r="HQ467" s="149"/>
      <c r="HR467" s="149"/>
      <c r="HS467" s="149"/>
      <c r="HT467" s="149"/>
      <c r="HU467" s="149"/>
      <c r="HV467" s="149"/>
      <c r="HW467" s="149"/>
      <c r="HX467" s="149"/>
      <c r="HY467" s="149"/>
      <c r="HZ467" s="149"/>
      <c r="IA467" s="149"/>
      <c r="IB467" s="149"/>
      <c r="IC467" s="149"/>
      <c r="ID467" s="149"/>
      <c r="IE467" s="149"/>
      <c r="IF467" s="149"/>
      <c r="IG467" s="149"/>
      <c r="IH467" s="149"/>
      <c r="II467" s="149"/>
      <c r="IJ467" s="149"/>
      <c r="IK467" s="149"/>
      <c r="IL467" s="149"/>
      <c r="IM467" s="149"/>
      <c r="IN467" s="149"/>
      <c r="IO467" s="149"/>
      <c r="IP467" s="149"/>
      <c r="IQ467" s="149"/>
      <c r="IR467" s="149"/>
      <c r="IS467" s="149"/>
      <c r="IT467" s="149"/>
      <c r="IU467" s="149"/>
    </row>
    <row r="468" spans="1:255">
      <c r="A468" s="145"/>
      <c r="B468" s="62" t="s">
        <v>206</v>
      </c>
      <c r="C468" s="93" t="s">
        <v>449</v>
      </c>
      <c r="D468" s="62" t="s">
        <v>410</v>
      </c>
      <c r="E468" s="49">
        <v>45379</v>
      </c>
      <c r="F468" s="49">
        <v>45384</v>
      </c>
      <c r="G468" s="49">
        <v>45387</v>
      </c>
      <c r="H468" s="63"/>
      <c r="I468" s="65">
        <v>12.5863</v>
      </c>
      <c r="J468" s="65">
        <v>0.8455275031174363</v>
      </c>
      <c r="K468" s="65">
        <v>11.740772496882563</v>
      </c>
      <c r="L468" s="36">
        <f>+K468-((K468*0.5055*0.125)+(K468*(1-0.5055)*0.26))</f>
        <v>9.4893913148116056</v>
      </c>
      <c r="M468" s="64">
        <f t="shared" si="11"/>
        <v>10.334918817929042</v>
      </c>
      <c r="N468" s="62" t="s">
        <v>248</v>
      </c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  <c r="BT468" s="149"/>
      <c r="BU468" s="149"/>
      <c r="BV468" s="149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49"/>
      <c r="CM468" s="149"/>
      <c r="CN468" s="149"/>
      <c r="CO468" s="149"/>
      <c r="CP468" s="149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  <c r="DO468" s="149"/>
      <c r="DP468" s="149"/>
      <c r="DQ468" s="149"/>
      <c r="DR468" s="149"/>
      <c r="DS468" s="149"/>
      <c r="DT468" s="149"/>
      <c r="DU468" s="149"/>
      <c r="DV468" s="149"/>
      <c r="DW468" s="149"/>
      <c r="DX468" s="149"/>
      <c r="DY468" s="149"/>
      <c r="DZ468" s="149"/>
      <c r="EA468" s="149"/>
      <c r="EB468" s="149"/>
      <c r="EC468" s="149"/>
      <c r="ED468" s="149"/>
      <c r="EE468" s="149"/>
      <c r="EF468" s="149"/>
      <c r="EG468" s="149"/>
      <c r="EH468" s="149"/>
      <c r="EI468" s="149"/>
      <c r="EJ468" s="149"/>
      <c r="EK468" s="149"/>
      <c r="EL468" s="149"/>
      <c r="EM468" s="149"/>
      <c r="EN468" s="149"/>
      <c r="EO468" s="149"/>
      <c r="EP468" s="149"/>
      <c r="EQ468" s="149"/>
      <c r="ER468" s="149"/>
      <c r="ES468" s="149"/>
      <c r="ET468" s="149"/>
      <c r="EU468" s="149"/>
      <c r="EV468" s="149"/>
      <c r="EW468" s="149"/>
      <c r="EX468" s="149"/>
      <c r="EY468" s="149"/>
      <c r="EZ468" s="149"/>
      <c r="FA468" s="149"/>
      <c r="FB468" s="149"/>
      <c r="FC468" s="149"/>
      <c r="FD468" s="149"/>
      <c r="FE468" s="149"/>
      <c r="FF468" s="149"/>
      <c r="FG468" s="149"/>
      <c r="FH468" s="149"/>
      <c r="FI468" s="149"/>
      <c r="FJ468" s="149"/>
      <c r="FK468" s="149"/>
      <c r="FL468" s="149"/>
      <c r="FM468" s="149"/>
      <c r="FN468" s="149"/>
      <c r="FO468" s="149"/>
      <c r="FP468" s="149"/>
      <c r="FQ468" s="149"/>
      <c r="FR468" s="149"/>
      <c r="FS468" s="149"/>
      <c r="FT468" s="149"/>
      <c r="FU468" s="149"/>
      <c r="FV468" s="149"/>
      <c r="FW468" s="149"/>
      <c r="FX468" s="149"/>
      <c r="FY468" s="149"/>
      <c r="FZ468" s="149"/>
      <c r="GA468" s="149"/>
      <c r="GB468" s="149"/>
      <c r="GC468" s="149"/>
      <c r="GD468" s="149"/>
      <c r="GE468" s="149"/>
      <c r="GF468" s="149"/>
      <c r="GG468" s="149"/>
      <c r="GH468" s="149"/>
      <c r="GI468" s="149"/>
      <c r="GJ468" s="149"/>
      <c r="GK468" s="149"/>
      <c r="GL468" s="149"/>
      <c r="GM468" s="149"/>
      <c r="GN468" s="149"/>
      <c r="GO468" s="149"/>
      <c r="GP468" s="149"/>
      <c r="GQ468" s="149"/>
      <c r="GR468" s="149"/>
      <c r="GS468" s="149"/>
      <c r="GT468" s="149"/>
      <c r="GU468" s="149"/>
      <c r="GV468" s="149"/>
      <c r="GW468" s="149"/>
      <c r="GX468" s="149"/>
      <c r="GY468" s="149"/>
      <c r="GZ468" s="149"/>
      <c r="HA468" s="149"/>
      <c r="HB468" s="149"/>
      <c r="HC468" s="149"/>
      <c r="HD468" s="149"/>
      <c r="HE468" s="149"/>
      <c r="HF468" s="149"/>
      <c r="HG468" s="149"/>
      <c r="HH468" s="149"/>
      <c r="HI468" s="149"/>
      <c r="HJ468" s="149"/>
      <c r="HK468" s="149"/>
      <c r="HL468" s="149"/>
      <c r="HM468" s="149"/>
      <c r="HN468" s="149"/>
      <c r="HO468" s="149"/>
      <c r="HP468" s="149"/>
      <c r="HQ468" s="149"/>
      <c r="HR468" s="149"/>
      <c r="HS468" s="149"/>
      <c r="HT468" s="149"/>
      <c r="HU468" s="149"/>
      <c r="HV468" s="149"/>
      <c r="HW468" s="149"/>
      <c r="HX468" s="149"/>
      <c r="HY468" s="149"/>
      <c r="HZ468" s="149"/>
      <c r="IA468" s="149"/>
      <c r="IB468" s="149"/>
      <c r="IC468" s="149"/>
      <c r="ID468" s="149"/>
      <c r="IE468" s="149"/>
      <c r="IF468" s="149"/>
      <c r="IG468" s="149"/>
      <c r="IH468" s="149"/>
      <c r="II468" s="149"/>
      <c r="IJ468" s="149"/>
      <c r="IK468" s="149"/>
      <c r="IL468" s="149"/>
      <c r="IM468" s="149"/>
      <c r="IN468" s="149"/>
      <c r="IO468" s="149"/>
      <c r="IP468" s="149"/>
      <c r="IQ468" s="149"/>
      <c r="IR468" s="149"/>
      <c r="IS468" s="149"/>
      <c r="IT468" s="149"/>
      <c r="IU468" s="149"/>
    </row>
    <row r="469" spans="1:255">
      <c r="A469" s="145"/>
      <c r="B469" s="62" t="s">
        <v>505</v>
      </c>
      <c r="C469" s="93" t="s">
        <v>506</v>
      </c>
      <c r="D469" s="62" t="s">
        <v>410</v>
      </c>
      <c r="E469" s="49">
        <v>45379</v>
      </c>
      <c r="F469" s="49">
        <v>45384</v>
      </c>
      <c r="G469" s="49">
        <v>45387</v>
      </c>
      <c r="H469" s="63"/>
      <c r="I469" s="65">
        <v>11.4154</v>
      </c>
      <c r="J469" s="65">
        <v>1.8078424499504016</v>
      </c>
      <c r="K469" s="65">
        <v>9.6075575500495987</v>
      </c>
      <c r="L469" s="36">
        <f>+K469-((K469*0.056*0.125)+(K469*(1-0.056)*0.26))</f>
        <v>7.1822257221150778</v>
      </c>
      <c r="M469" s="64">
        <f t="shared" si="11"/>
        <v>8.9900681720654791</v>
      </c>
      <c r="N469" s="62" t="s">
        <v>248</v>
      </c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  <c r="BT469" s="149"/>
      <c r="BU469" s="149"/>
      <c r="BV469" s="149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49"/>
      <c r="CM469" s="149"/>
      <c r="CN469" s="149"/>
      <c r="CO469" s="149"/>
      <c r="CP469" s="149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  <c r="DO469" s="149"/>
      <c r="DP469" s="149"/>
      <c r="DQ469" s="149"/>
      <c r="DR469" s="149"/>
      <c r="DS469" s="149"/>
      <c r="DT469" s="149"/>
      <c r="DU469" s="149"/>
      <c r="DV469" s="149"/>
      <c r="DW469" s="149"/>
      <c r="DX469" s="149"/>
      <c r="DY469" s="149"/>
      <c r="DZ469" s="149"/>
      <c r="EA469" s="149"/>
      <c r="EB469" s="149"/>
      <c r="EC469" s="149"/>
      <c r="ED469" s="149"/>
      <c r="EE469" s="149"/>
      <c r="EF469" s="149"/>
      <c r="EG469" s="149"/>
      <c r="EH469" s="149"/>
      <c r="EI469" s="149"/>
      <c r="EJ469" s="149"/>
      <c r="EK469" s="149"/>
      <c r="EL469" s="149"/>
      <c r="EM469" s="149"/>
      <c r="EN469" s="149"/>
      <c r="EO469" s="149"/>
      <c r="EP469" s="149"/>
      <c r="EQ469" s="149"/>
      <c r="ER469" s="149"/>
      <c r="ES469" s="149"/>
      <c r="ET469" s="149"/>
      <c r="EU469" s="149"/>
      <c r="EV469" s="149"/>
      <c r="EW469" s="149"/>
      <c r="EX469" s="149"/>
      <c r="EY469" s="149"/>
      <c r="EZ469" s="149"/>
      <c r="FA469" s="149"/>
      <c r="FB469" s="149"/>
      <c r="FC469" s="149"/>
      <c r="FD469" s="149"/>
      <c r="FE469" s="149"/>
      <c r="FF469" s="149"/>
      <c r="FG469" s="149"/>
      <c r="FH469" s="149"/>
      <c r="FI469" s="149"/>
      <c r="FJ469" s="149"/>
      <c r="FK469" s="149"/>
      <c r="FL469" s="149"/>
      <c r="FM469" s="149"/>
      <c r="FN469" s="149"/>
      <c r="FO469" s="149"/>
      <c r="FP469" s="149"/>
      <c r="FQ469" s="149"/>
      <c r="FR469" s="149"/>
      <c r="FS469" s="149"/>
      <c r="FT469" s="149"/>
      <c r="FU469" s="149"/>
      <c r="FV469" s="149"/>
      <c r="FW469" s="149"/>
      <c r="FX469" s="149"/>
      <c r="FY469" s="149"/>
      <c r="FZ469" s="149"/>
      <c r="GA469" s="149"/>
      <c r="GB469" s="149"/>
      <c r="GC469" s="149"/>
      <c r="GD469" s="149"/>
      <c r="GE469" s="149"/>
      <c r="GF469" s="149"/>
      <c r="GG469" s="149"/>
      <c r="GH469" s="149"/>
      <c r="GI469" s="149"/>
      <c r="GJ469" s="149"/>
      <c r="GK469" s="149"/>
      <c r="GL469" s="149"/>
      <c r="GM469" s="149"/>
      <c r="GN469" s="149"/>
      <c r="GO469" s="149"/>
      <c r="GP469" s="149"/>
      <c r="GQ469" s="149"/>
      <c r="GR469" s="149"/>
      <c r="GS469" s="149"/>
      <c r="GT469" s="149"/>
      <c r="GU469" s="149"/>
      <c r="GV469" s="149"/>
      <c r="GW469" s="149"/>
      <c r="GX469" s="149"/>
      <c r="GY469" s="149"/>
      <c r="GZ469" s="149"/>
      <c r="HA469" s="149"/>
      <c r="HB469" s="149"/>
      <c r="HC469" s="149"/>
      <c r="HD469" s="149"/>
      <c r="HE469" s="149"/>
      <c r="HF469" s="149"/>
      <c r="HG469" s="149"/>
      <c r="HH469" s="149"/>
      <c r="HI469" s="149"/>
      <c r="HJ469" s="149"/>
      <c r="HK469" s="149"/>
      <c r="HL469" s="149"/>
      <c r="HM469" s="149"/>
      <c r="HN469" s="149"/>
      <c r="HO469" s="149"/>
      <c r="HP469" s="149"/>
      <c r="HQ469" s="149"/>
      <c r="HR469" s="149"/>
      <c r="HS469" s="149"/>
      <c r="HT469" s="149"/>
      <c r="HU469" s="149"/>
      <c r="HV469" s="149"/>
      <c r="HW469" s="149"/>
      <c r="HX469" s="149"/>
      <c r="HY469" s="149"/>
      <c r="HZ469" s="149"/>
      <c r="IA469" s="149"/>
      <c r="IB469" s="149"/>
      <c r="IC469" s="149"/>
      <c r="ID469" s="149"/>
      <c r="IE469" s="149"/>
      <c r="IF469" s="149"/>
      <c r="IG469" s="149"/>
      <c r="IH469" s="149"/>
      <c r="II469" s="149"/>
      <c r="IJ469" s="149"/>
      <c r="IK469" s="149"/>
      <c r="IL469" s="149"/>
      <c r="IM469" s="149"/>
      <c r="IN469" s="149"/>
      <c r="IO469" s="149"/>
      <c r="IP469" s="149"/>
      <c r="IQ469" s="149"/>
      <c r="IR469" s="149"/>
      <c r="IS469" s="149"/>
      <c r="IT469" s="149"/>
      <c r="IU469" s="149"/>
    </row>
    <row r="470" spans="1:255">
      <c r="A470" s="145"/>
      <c r="B470" s="62" t="s">
        <v>212</v>
      </c>
      <c r="C470" s="93" t="s">
        <v>450</v>
      </c>
      <c r="D470" s="62" t="s">
        <v>410</v>
      </c>
      <c r="E470" s="49">
        <v>45379</v>
      </c>
      <c r="F470" s="49">
        <v>45384</v>
      </c>
      <c r="G470" s="49">
        <v>45387</v>
      </c>
      <c r="H470" s="63"/>
      <c r="I470" s="65">
        <v>18.016500000000001</v>
      </c>
      <c r="J470" s="65">
        <v>3.0364986385915818</v>
      </c>
      <c r="K470" s="65">
        <v>14.980001361408419</v>
      </c>
      <c r="L470" s="36">
        <f>+K470-((K470*0.0225*0.125)+(K470*(1-0.0225)*0.26))</f>
        <v>11.130702761577508</v>
      </c>
      <c r="M470" s="64">
        <f t="shared" si="11"/>
        <v>14.167201400169089</v>
      </c>
      <c r="N470" s="62" t="s">
        <v>248</v>
      </c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49"/>
      <c r="DZ470" s="149"/>
      <c r="EA470" s="149"/>
      <c r="EB470" s="149"/>
      <c r="EC470" s="149"/>
      <c r="ED470" s="149"/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O470" s="149"/>
      <c r="EP470" s="149"/>
      <c r="EQ470" s="149"/>
      <c r="ER470" s="149"/>
      <c r="ES470" s="149"/>
      <c r="ET470" s="149"/>
      <c r="EU470" s="149"/>
      <c r="EV470" s="149"/>
      <c r="EW470" s="149"/>
      <c r="EX470" s="149"/>
      <c r="EY470" s="149"/>
      <c r="EZ470" s="149"/>
      <c r="FA470" s="149"/>
      <c r="FB470" s="149"/>
      <c r="FC470" s="149"/>
      <c r="FD470" s="149"/>
      <c r="FE470" s="149"/>
      <c r="FF470" s="149"/>
      <c r="FG470" s="149"/>
      <c r="FH470" s="149"/>
      <c r="FI470" s="149"/>
      <c r="FJ470" s="149"/>
      <c r="FK470" s="149"/>
      <c r="FL470" s="149"/>
      <c r="FM470" s="149"/>
      <c r="FN470" s="149"/>
      <c r="FO470" s="149"/>
      <c r="FP470" s="149"/>
      <c r="FQ470" s="149"/>
      <c r="FR470" s="149"/>
      <c r="FS470" s="149"/>
      <c r="FT470" s="149"/>
      <c r="FU470" s="149"/>
      <c r="FV470" s="149"/>
      <c r="FW470" s="149"/>
      <c r="FX470" s="149"/>
      <c r="FY470" s="149"/>
      <c r="FZ470" s="149"/>
      <c r="GA470" s="149"/>
      <c r="GB470" s="149"/>
      <c r="GC470" s="149"/>
      <c r="GD470" s="149"/>
      <c r="GE470" s="149"/>
      <c r="GF470" s="149"/>
      <c r="GG470" s="149"/>
      <c r="GH470" s="149"/>
      <c r="GI470" s="149"/>
      <c r="GJ470" s="149"/>
      <c r="GK470" s="149"/>
      <c r="GL470" s="149"/>
      <c r="GM470" s="149"/>
      <c r="GN470" s="149"/>
      <c r="GO470" s="149"/>
      <c r="GP470" s="149"/>
      <c r="GQ470" s="149"/>
      <c r="GR470" s="149"/>
      <c r="GS470" s="149"/>
      <c r="GT470" s="149"/>
      <c r="GU470" s="149"/>
      <c r="GV470" s="149"/>
      <c r="GW470" s="149"/>
      <c r="GX470" s="149"/>
      <c r="GY470" s="149"/>
      <c r="GZ470" s="149"/>
      <c r="HA470" s="149"/>
      <c r="HB470" s="149"/>
      <c r="HC470" s="149"/>
      <c r="HD470" s="149"/>
      <c r="HE470" s="149"/>
      <c r="HF470" s="149"/>
      <c r="HG470" s="149"/>
      <c r="HH470" s="149"/>
      <c r="HI470" s="149"/>
      <c r="HJ470" s="149"/>
      <c r="HK470" s="149"/>
      <c r="HL470" s="149"/>
      <c r="HM470" s="149"/>
      <c r="HN470" s="149"/>
      <c r="HO470" s="149"/>
      <c r="HP470" s="149"/>
      <c r="HQ470" s="149"/>
      <c r="HR470" s="149"/>
      <c r="HS470" s="149"/>
      <c r="HT470" s="149"/>
      <c r="HU470" s="149"/>
      <c r="HV470" s="149"/>
      <c r="HW470" s="149"/>
      <c r="HX470" s="149"/>
      <c r="HY470" s="149"/>
      <c r="HZ470" s="149"/>
      <c r="IA470" s="149"/>
      <c r="IB470" s="149"/>
      <c r="IC470" s="149"/>
      <c r="ID470" s="149"/>
      <c r="IE470" s="149"/>
      <c r="IF470" s="149"/>
      <c r="IG470" s="149"/>
      <c r="IH470" s="149"/>
      <c r="II470" s="149"/>
      <c r="IJ470" s="149"/>
      <c r="IK470" s="149"/>
      <c r="IL470" s="149"/>
      <c r="IM470" s="149"/>
      <c r="IN470" s="149"/>
      <c r="IO470" s="149"/>
      <c r="IP470" s="149"/>
      <c r="IQ470" s="149"/>
      <c r="IR470" s="149"/>
      <c r="IS470" s="149"/>
      <c r="IT470" s="149"/>
      <c r="IU470" s="149"/>
    </row>
    <row r="471" spans="1:255">
      <c r="A471" s="145"/>
      <c r="B471" s="62" t="s">
        <v>208</v>
      </c>
      <c r="C471" s="93" t="s">
        <v>451</v>
      </c>
      <c r="D471" s="62" t="s">
        <v>410</v>
      </c>
      <c r="E471" s="49">
        <v>45379</v>
      </c>
      <c r="F471" s="49">
        <v>45384</v>
      </c>
      <c r="G471" s="49">
        <v>45387</v>
      </c>
      <c r="H471" s="63" t="s">
        <v>856</v>
      </c>
      <c r="I471" s="65">
        <v>0</v>
      </c>
      <c r="J471" s="65">
        <v>0</v>
      </c>
      <c r="K471" s="65">
        <v>0</v>
      </c>
      <c r="L471" s="36">
        <f>+K471-((K471*0.0175*0.125)+(K471*(1-0.0175)*0.26))</f>
        <v>0</v>
      </c>
      <c r="M471" s="64">
        <f t="shared" si="11"/>
        <v>0</v>
      </c>
      <c r="N471" s="62" t="s">
        <v>248</v>
      </c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  <c r="BT471" s="149"/>
      <c r="BU471" s="149"/>
      <c r="BV471" s="149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49"/>
      <c r="CM471" s="149"/>
      <c r="CN471" s="149"/>
      <c r="CO471" s="149"/>
      <c r="CP471" s="149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  <c r="DO471" s="149"/>
      <c r="DP471" s="149"/>
      <c r="DQ471" s="149"/>
      <c r="DR471" s="149"/>
      <c r="DS471" s="149"/>
      <c r="DT471" s="149"/>
      <c r="DU471" s="149"/>
      <c r="DV471" s="149"/>
      <c r="DW471" s="149"/>
      <c r="DX471" s="149"/>
      <c r="DY471" s="149"/>
      <c r="DZ471" s="149"/>
      <c r="EA471" s="149"/>
      <c r="EB471" s="149"/>
      <c r="EC471" s="149"/>
      <c r="ED471" s="149"/>
      <c r="EE471" s="149"/>
      <c r="EF471" s="149"/>
      <c r="EG471" s="149"/>
      <c r="EH471" s="149"/>
      <c r="EI471" s="149"/>
      <c r="EJ471" s="149"/>
      <c r="EK471" s="149"/>
      <c r="EL471" s="149"/>
      <c r="EM471" s="149"/>
      <c r="EN471" s="149"/>
      <c r="EO471" s="149"/>
      <c r="EP471" s="149"/>
      <c r="EQ471" s="149"/>
      <c r="ER471" s="149"/>
      <c r="ES471" s="149"/>
      <c r="ET471" s="149"/>
      <c r="EU471" s="149"/>
      <c r="EV471" s="149"/>
      <c r="EW471" s="149"/>
      <c r="EX471" s="149"/>
      <c r="EY471" s="149"/>
      <c r="EZ471" s="149"/>
      <c r="FA471" s="149"/>
      <c r="FB471" s="149"/>
      <c r="FC471" s="149"/>
      <c r="FD471" s="149"/>
      <c r="FE471" s="149"/>
      <c r="FF471" s="149"/>
      <c r="FG471" s="149"/>
      <c r="FH471" s="149"/>
      <c r="FI471" s="149"/>
      <c r="FJ471" s="149"/>
      <c r="FK471" s="149"/>
      <c r="FL471" s="149"/>
      <c r="FM471" s="149"/>
      <c r="FN471" s="149"/>
      <c r="FO471" s="149"/>
      <c r="FP471" s="149"/>
      <c r="FQ471" s="149"/>
      <c r="FR471" s="149"/>
      <c r="FS471" s="149"/>
      <c r="FT471" s="149"/>
      <c r="FU471" s="149"/>
      <c r="FV471" s="149"/>
      <c r="FW471" s="149"/>
      <c r="FX471" s="149"/>
      <c r="FY471" s="149"/>
      <c r="FZ471" s="149"/>
      <c r="GA471" s="149"/>
      <c r="GB471" s="149"/>
      <c r="GC471" s="149"/>
      <c r="GD471" s="149"/>
      <c r="GE471" s="149"/>
      <c r="GF471" s="149"/>
      <c r="GG471" s="149"/>
      <c r="GH471" s="149"/>
      <c r="GI471" s="149"/>
      <c r="GJ471" s="149"/>
      <c r="GK471" s="149"/>
      <c r="GL471" s="149"/>
      <c r="GM471" s="149"/>
      <c r="GN471" s="149"/>
      <c r="GO471" s="149"/>
      <c r="GP471" s="149"/>
      <c r="GQ471" s="149"/>
      <c r="GR471" s="149"/>
      <c r="GS471" s="149"/>
      <c r="GT471" s="149"/>
      <c r="GU471" s="149"/>
      <c r="GV471" s="149"/>
      <c r="GW471" s="149"/>
      <c r="GX471" s="149"/>
      <c r="GY471" s="149"/>
      <c r="GZ471" s="149"/>
      <c r="HA471" s="149"/>
      <c r="HB471" s="149"/>
      <c r="HC471" s="149"/>
      <c r="HD471" s="149"/>
      <c r="HE471" s="149"/>
      <c r="HF471" s="149"/>
      <c r="HG471" s="149"/>
      <c r="HH471" s="149"/>
      <c r="HI471" s="149"/>
      <c r="HJ471" s="149"/>
      <c r="HK471" s="149"/>
      <c r="HL471" s="149"/>
      <c r="HM471" s="149"/>
      <c r="HN471" s="149"/>
      <c r="HO471" s="149"/>
      <c r="HP471" s="149"/>
      <c r="HQ471" s="149"/>
      <c r="HR471" s="149"/>
      <c r="HS471" s="149"/>
      <c r="HT471" s="149"/>
      <c r="HU471" s="149"/>
      <c r="HV471" s="149"/>
      <c r="HW471" s="149"/>
      <c r="HX471" s="149"/>
      <c r="HY471" s="149"/>
      <c r="HZ471" s="149"/>
      <c r="IA471" s="149"/>
      <c r="IB471" s="149"/>
      <c r="IC471" s="149"/>
      <c r="ID471" s="149"/>
      <c r="IE471" s="149"/>
      <c r="IF471" s="149"/>
      <c r="IG471" s="149"/>
      <c r="IH471" s="149"/>
      <c r="II471" s="149"/>
      <c r="IJ471" s="149"/>
      <c r="IK471" s="149"/>
      <c r="IL471" s="149"/>
      <c r="IM471" s="149"/>
      <c r="IN471" s="149"/>
      <c r="IO471" s="149"/>
      <c r="IP471" s="149"/>
      <c r="IQ471" s="149"/>
      <c r="IR471" s="149"/>
      <c r="IS471" s="149"/>
      <c r="IT471" s="149"/>
      <c r="IU471" s="149"/>
    </row>
    <row r="472" spans="1:255">
      <c r="A472" s="145"/>
      <c r="B472" s="62" t="s">
        <v>213</v>
      </c>
      <c r="C472" s="93" t="s">
        <v>452</v>
      </c>
      <c r="D472" s="62" t="s">
        <v>410</v>
      </c>
      <c r="E472" s="49">
        <v>45379</v>
      </c>
      <c r="F472" s="49">
        <v>45384</v>
      </c>
      <c r="G472" s="49">
        <v>45387</v>
      </c>
      <c r="H472" s="63" t="s">
        <v>856</v>
      </c>
      <c r="I472" s="65">
        <v>0</v>
      </c>
      <c r="J472" s="65">
        <v>0</v>
      </c>
      <c r="K472" s="65">
        <v>0</v>
      </c>
      <c r="L472" s="36">
        <f>+K472-((K472*0.015*0.125)+(K472*(1-0.015)*0.26))</f>
        <v>0</v>
      </c>
      <c r="M472" s="64">
        <f t="shared" si="11"/>
        <v>0</v>
      </c>
      <c r="N472" s="62" t="s">
        <v>248</v>
      </c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  <c r="BT472" s="149"/>
      <c r="BU472" s="149"/>
      <c r="BV472" s="149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49"/>
      <c r="CM472" s="149"/>
      <c r="CN472" s="149"/>
      <c r="CO472" s="149"/>
      <c r="CP472" s="149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  <c r="DO472" s="149"/>
      <c r="DP472" s="149"/>
      <c r="DQ472" s="149"/>
      <c r="DR472" s="149"/>
      <c r="DS472" s="149"/>
      <c r="DT472" s="149"/>
      <c r="DU472" s="149"/>
      <c r="DV472" s="149"/>
      <c r="DW472" s="149"/>
      <c r="DX472" s="149"/>
      <c r="DY472" s="149"/>
      <c r="DZ472" s="149"/>
      <c r="EA472" s="149"/>
      <c r="EB472" s="149"/>
      <c r="EC472" s="149"/>
      <c r="ED472" s="149"/>
      <c r="EE472" s="149"/>
      <c r="EF472" s="149"/>
      <c r="EG472" s="149"/>
      <c r="EH472" s="149"/>
      <c r="EI472" s="149"/>
      <c r="EJ472" s="149"/>
      <c r="EK472" s="149"/>
      <c r="EL472" s="149"/>
      <c r="EM472" s="149"/>
      <c r="EN472" s="149"/>
      <c r="EO472" s="149"/>
      <c r="EP472" s="149"/>
      <c r="EQ472" s="149"/>
      <c r="ER472" s="149"/>
      <c r="ES472" s="149"/>
      <c r="ET472" s="149"/>
      <c r="EU472" s="149"/>
      <c r="EV472" s="149"/>
      <c r="EW472" s="149"/>
      <c r="EX472" s="149"/>
      <c r="EY472" s="149"/>
      <c r="EZ472" s="149"/>
      <c r="FA472" s="149"/>
      <c r="FB472" s="149"/>
      <c r="FC472" s="149"/>
      <c r="FD472" s="149"/>
      <c r="FE472" s="149"/>
      <c r="FF472" s="149"/>
      <c r="FG472" s="149"/>
      <c r="FH472" s="149"/>
      <c r="FI472" s="149"/>
      <c r="FJ472" s="149"/>
      <c r="FK472" s="149"/>
      <c r="FL472" s="149"/>
      <c r="FM472" s="149"/>
      <c r="FN472" s="149"/>
      <c r="FO472" s="149"/>
      <c r="FP472" s="149"/>
      <c r="FQ472" s="149"/>
      <c r="FR472" s="149"/>
      <c r="FS472" s="149"/>
      <c r="FT472" s="149"/>
      <c r="FU472" s="149"/>
      <c r="FV472" s="149"/>
      <c r="FW472" s="149"/>
      <c r="FX472" s="149"/>
      <c r="FY472" s="149"/>
      <c r="FZ472" s="149"/>
      <c r="GA472" s="149"/>
      <c r="GB472" s="149"/>
      <c r="GC472" s="149"/>
      <c r="GD472" s="149"/>
      <c r="GE472" s="149"/>
      <c r="GF472" s="149"/>
      <c r="GG472" s="149"/>
      <c r="GH472" s="149"/>
      <c r="GI472" s="149"/>
      <c r="GJ472" s="149"/>
      <c r="GK472" s="149"/>
      <c r="GL472" s="149"/>
      <c r="GM472" s="149"/>
      <c r="GN472" s="149"/>
      <c r="GO472" s="149"/>
      <c r="GP472" s="149"/>
      <c r="GQ472" s="149"/>
      <c r="GR472" s="149"/>
      <c r="GS472" s="149"/>
      <c r="GT472" s="149"/>
      <c r="GU472" s="149"/>
      <c r="GV472" s="149"/>
      <c r="GW472" s="149"/>
      <c r="GX472" s="149"/>
      <c r="GY472" s="149"/>
      <c r="GZ472" s="149"/>
      <c r="HA472" s="149"/>
      <c r="HB472" s="149"/>
      <c r="HC472" s="149"/>
      <c r="HD472" s="149"/>
      <c r="HE472" s="149"/>
      <c r="HF472" s="149"/>
      <c r="HG472" s="149"/>
      <c r="HH472" s="149"/>
      <c r="HI472" s="149"/>
      <c r="HJ472" s="149"/>
      <c r="HK472" s="149"/>
      <c r="HL472" s="149"/>
      <c r="HM472" s="149"/>
      <c r="HN472" s="149"/>
      <c r="HO472" s="149"/>
      <c r="HP472" s="149"/>
      <c r="HQ472" s="149"/>
      <c r="HR472" s="149"/>
      <c r="HS472" s="149"/>
      <c r="HT472" s="149"/>
      <c r="HU472" s="149"/>
      <c r="HV472" s="149"/>
      <c r="HW472" s="149"/>
      <c r="HX472" s="149"/>
      <c r="HY472" s="149"/>
      <c r="HZ472" s="149"/>
      <c r="IA472" s="149"/>
      <c r="IB472" s="149"/>
      <c r="IC472" s="149"/>
      <c r="ID472" s="149"/>
      <c r="IE472" s="149"/>
      <c r="IF472" s="149"/>
      <c r="IG472" s="149"/>
      <c r="IH472" s="149"/>
      <c r="II472" s="149"/>
      <c r="IJ472" s="149"/>
      <c r="IK472" s="149"/>
      <c r="IL472" s="149"/>
      <c r="IM472" s="149"/>
      <c r="IN472" s="149"/>
      <c r="IO472" s="149"/>
      <c r="IP472" s="149"/>
      <c r="IQ472" s="149"/>
      <c r="IR472" s="149"/>
      <c r="IS472" s="149"/>
      <c r="IT472" s="149"/>
      <c r="IU472" s="149"/>
    </row>
    <row r="473" spans="1:255">
      <c r="A473" s="145"/>
      <c r="B473" s="62" t="s">
        <v>210</v>
      </c>
      <c r="C473" s="93" t="s">
        <v>458</v>
      </c>
      <c r="D473" s="62" t="s">
        <v>410</v>
      </c>
      <c r="E473" s="49">
        <v>45379</v>
      </c>
      <c r="F473" s="49">
        <v>45384</v>
      </c>
      <c r="G473" s="49">
        <v>45387</v>
      </c>
      <c r="H473" s="63" t="s">
        <v>856</v>
      </c>
      <c r="I473" s="65">
        <v>0</v>
      </c>
      <c r="J473" s="65">
        <v>0</v>
      </c>
      <c r="K473" s="65">
        <v>0</v>
      </c>
      <c r="L473" s="36">
        <f>+K473-((K473*0.042*0.125)+(K473*(1-0.042)*0.26))</f>
        <v>0</v>
      </c>
      <c r="M473" s="64">
        <f t="shared" si="11"/>
        <v>0</v>
      </c>
      <c r="N473" s="62" t="s">
        <v>248</v>
      </c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  <c r="BT473" s="149"/>
      <c r="BU473" s="149"/>
      <c r="BV473" s="149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49"/>
      <c r="CM473" s="149"/>
      <c r="CN473" s="149"/>
      <c r="CO473" s="149"/>
      <c r="CP473" s="149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  <c r="DO473" s="149"/>
      <c r="DP473" s="149"/>
      <c r="DQ473" s="149"/>
      <c r="DR473" s="149"/>
      <c r="DS473" s="149"/>
      <c r="DT473" s="149"/>
      <c r="DU473" s="149"/>
      <c r="DV473" s="149"/>
      <c r="DW473" s="149"/>
      <c r="DX473" s="149"/>
      <c r="DY473" s="149"/>
      <c r="DZ473" s="149"/>
      <c r="EA473" s="149"/>
      <c r="EB473" s="149"/>
      <c r="EC473" s="149"/>
      <c r="ED473" s="149"/>
      <c r="EE473" s="149"/>
      <c r="EF473" s="149"/>
      <c r="EG473" s="149"/>
      <c r="EH473" s="149"/>
      <c r="EI473" s="149"/>
      <c r="EJ473" s="149"/>
      <c r="EK473" s="149"/>
      <c r="EL473" s="149"/>
      <c r="EM473" s="149"/>
      <c r="EN473" s="149"/>
      <c r="EO473" s="149"/>
      <c r="EP473" s="149"/>
      <c r="EQ473" s="149"/>
      <c r="ER473" s="149"/>
      <c r="ES473" s="149"/>
      <c r="ET473" s="149"/>
      <c r="EU473" s="149"/>
      <c r="EV473" s="149"/>
      <c r="EW473" s="149"/>
      <c r="EX473" s="149"/>
      <c r="EY473" s="149"/>
      <c r="EZ473" s="149"/>
      <c r="FA473" s="149"/>
      <c r="FB473" s="149"/>
      <c r="FC473" s="149"/>
      <c r="FD473" s="149"/>
      <c r="FE473" s="149"/>
      <c r="FF473" s="149"/>
      <c r="FG473" s="149"/>
      <c r="FH473" s="149"/>
      <c r="FI473" s="149"/>
      <c r="FJ473" s="149"/>
      <c r="FK473" s="149"/>
      <c r="FL473" s="149"/>
      <c r="FM473" s="149"/>
      <c r="FN473" s="149"/>
      <c r="FO473" s="149"/>
      <c r="FP473" s="149"/>
      <c r="FQ473" s="149"/>
      <c r="FR473" s="149"/>
      <c r="FS473" s="149"/>
      <c r="FT473" s="149"/>
      <c r="FU473" s="149"/>
      <c r="FV473" s="149"/>
      <c r="FW473" s="149"/>
      <c r="FX473" s="149"/>
      <c r="FY473" s="149"/>
      <c r="FZ473" s="149"/>
      <c r="GA473" s="149"/>
      <c r="GB473" s="149"/>
      <c r="GC473" s="149"/>
      <c r="GD473" s="149"/>
      <c r="GE473" s="149"/>
      <c r="GF473" s="149"/>
      <c r="GG473" s="149"/>
      <c r="GH473" s="149"/>
      <c r="GI473" s="149"/>
      <c r="GJ473" s="149"/>
      <c r="GK473" s="149"/>
      <c r="GL473" s="149"/>
      <c r="GM473" s="149"/>
      <c r="GN473" s="149"/>
      <c r="GO473" s="149"/>
      <c r="GP473" s="149"/>
      <c r="GQ473" s="149"/>
      <c r="GR473" s="149"/>
      <c r="GS473" s="149"/>
      <c r="GT473" s="149"/>
      <c r="GU473" s="149"/>
      <c r="GV473" s="149"/>
      <c r="GW473" s="149"/>
      <c r="GX473" s="149"/>
      <c r="GY473" s="149"/>
      <c r="GZ473" s="149"/>
      <c r="HA473" s="149"/>
      <c r="HB473" s="149"/>
      <c r="HC473" s="149"/>
      <c r="HD473" s="149"/>
      <c r="HE473" s="149"/>
      <c r="HF473" s="149"/>
      <c r="HG473" s="149"/>
      <c r="HH473" s="149"/>
      <c r="HI473" s="149"/>
      <c r="HJ473" s="149"/>
      <c r="HK473" s="149"/>
      <c r="HL473" s="149"/>
      <c r="HM473" s="149"/>
      <c r="HN473" s="149"/>
      <c r="HO473" s="149"/>
      <c r="HP473" s="149"/>
      <c r="HQ473" s="149"/>
      <c r="HR473" s="149"/>
      <c r="HS473" s="149"/>
      <c r="HT473" s="149"/>
      <c r="HU473" s="149"/>
      <c r="HV473" s="149"/>
      <c r="HW473" s="149"/>
      <c r="HX473" s="149"/>
      <c r="HY473" s="149"/>
      <c r="HZ473" s="149"/>
      <c r="IA473" s="149"/>
      <c r="IB473" s="149"/>
      <c r="IC473" s="149"/>
      <c r="ID473" s="149"/>
      <c r="IE473" s="149"/>
      <c r="IF473" s="149"/>
      <c r="IG473" s="149"/>
      <c r="IH473" s="149"/>
      <c r="II473" s="149"/>
      <c r="IJ473" s="149"/>
      <c r="IK473" s="149"/>
      <c r="IL473" s="149"/>
      <c r="IM473" s="149"/>
      <c r="IN473" s="149"/>
      <c r="IO473" s="149"/>
      <c r="IP473" s="149"/>
      <c r="IQ473" s="149"/>
      <c r="IR473" s="149"/>
      <c r="IS473" s="149"/>
      <c r="IT473" s="149"/>
      <c r="IU473" s="149"/>
    </row>
    <row r="474" spans="1:255">
      <c r="A474" s="145"/>
      <c r="B474" s="62" t="s">
        <v>214</v>
      </c>
      <c r="C474" s="93" t="s">
        <v>866</v>
      </c>
      <c r="D474" s="62" t="s">
        <v>410</v>
      </c>
      <c r="E474" s="49">
        <v>45379</v>
      </c>
      <c r="F474" s="49">
        <v>45384</v>
      </c>
      <c r="G474" s="49">
        <v>45387</v>
      </c>
      <c r="H474" s="63" t="s">
        <v>856</v>
      </c>
      <c r="I474" s="65">
        <v>0</v>
      </c>
      <c r="J474" s="65">
        <v>0</v>
      </c>
      <c r="K474" s="65">
        <v>0</v>
      </c>
      <c r="L474" s="36">
        <f>+K474-((K474*0.17*0.125)+(K474*(1-0.17)*0.26))</f>
        <v>0</v>
      </c>
      <c r="M474" s="64">
        <f t="shared" si="11"/>
        <v>0</v>
      </c>
      <c r="N474" s="62" t="s">
        <v>248</v>
      </c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  <c r="BT474" s="149"/>
      <c r="BU474" s="149"/>
      <c r="BV474" s="149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49"/>
      <c r="CM474" s="149"/>
      <c r="CN474" s="149"/>
      <c r="CO474" s="149"/>
      <c r="CP474" s="149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  <c r="DO474" s="149"/>
      <c r="DP474" s="149"/>
      <c r="DQ474" s="149"/>
      <c r="DR474" s="149"/>
      <c r="DS474" s="149"/>
      <c r="DT474" s="149"/>
      <c r="DU474" s="149"/>
      <c r="DV474" s="149"/>
      <c r="DW474" s="149"/>
      <c r="DX474" s="149"/>
      <c r="DY474" s="149"/>
      <c r="DZ474" s="149"/>
      <c r="EA474" s="149"/>
      <c r="EB474" s="149"/>
      <c r="EC474" s="149"/>
      <c r="ED474" s="149"/>
      <c r="EE474" s="149"/>
      <c r="EF474" s="149"/>
      <c r="EG474" s="149"/>
      <c r="EH474" s="149"/>
      <c r="EI474" s="149"/>
      <c r="EJ474" s="149"/>
      <c r="EK474" s="149"/>
      <c r="EL474" s="149"/>
      <c r="EM474" s="149"/>
      <c r="EN474" s="149"/>
      <c r="EO474" s="149"/>
      <c r="EP474" s="149"/>
      <c r="EQ474" s="149"/>
      <c r="ER474" s="149"/>
      <c r="ES474" s="149"/>
      <c r="ET474" s="149"/>
      <c r="EU474" s="149"/>
      <c r="EV474" s="149"/>
      <c r="EW474" s="149"/>
      <c r="EX474" s="149"/>
      <c r="EY474" s="149"/>
      <c r="EZ474" s="149"/>
      <c r="FA474" s="149"/>
      <c r="FB474" s="149"/>
      <c r="FC474" s="149"/>
      <c r="FD474" s="149"/>
      <c r="FE474" s="149"/>
      <c r="FF474" s="149"/>
      <c r="FG474" s="149"/>
      <c r="FH474" s="149"/>
      <c r="FI474" s="149"/>
      <c r="FJ474" s="149"/>
      <c r="FK474" s="149"/>
      <c r="FL474" s="149"/>
      <c r="FM474" s="149"/>
      <c r="FN474" s="149"/>
      <c r="FO474" s="149"/>
      <c r="FP474" s="149"/>
      <c r="FQ474" s="149"/>
      <c r="FR474" s="149"/>
      <c r="FS474" s="149"/>
      <c r="FT474" s="149"/>
      <c r="FU474" s="149"/>
      <c r="FV474" s="149"/>
      <c r="FW474" s="149"/>
      <c r="FX474" s="149"/>
      <c r="FY474" s="149"/>
      <c r="FZ474" s="149"/>
      <c r="GA474" s="149"/>
      <c r="GB474" s="149"/>
      <c r="GC474" s="149"/>
      <c r="GD474" s="149"/>
      <c r="GE474" s="149"/>
      <c r="GF474" s="149"/>
      <c r="GG474" s="149"/>
      <c r="GH474" s="149"/>
      <c r="GI474" s="149"/>
      <c r="GJ474" s="149"/>
      <c r="GK474" s="149"/>
      <c r="GL474" s="149"/>
      <c r="GM474" s="149"/>
      <c r="GN474" s="149"/>
      <c r="GO474" s="149"/>
      <c r="GP474" s="149"/>
      <c r="GQ474" s="149"/>
      <c r="GR474" s="149"/>
      <c r="GS474" s="149"/>
      <c r="GT474" s="149"/>
      <c r="GU474" s="149"/>
      <c r="GV474" s="149"/>
      <c r="GW474" s="149"/>
      <c r="GX474" s="149"/>
      <c r="GY474" s="149"/>
      <c r="GZ474" s="149"/>
      <c r="HA474" s="149"/>
      <c r="HB474" s="149"/>
      <c r="HC474" s="149"/>
      <c r="HD474" s="149"/>
      <c r="HE474" s="149"/>
      <c r="HF474" s="149"/>
      <c r="HG474" s="149"/>
      <c r="HH474" s="149"/>
      <c r="HI474" s="149"/>
      <c r="HJ474" s="149"/>
      <c r="HK474" s="149"/>
      <c r="HL474" s="149"/>
      <c r="HM474" s="149"/>
      <c r="HN474" s="149"/>
      <c r="HO474" s="149"/>
      <c r="HP474" s="149"/>
      <c r="HQ474" s="149"/>
      <c r="HR474" s="149"/>
      <c r="HS474" s="149"/>
      <c r="HT474" s="149"/>
      <c r="HU474" s="149"/>
      <c r="HV474" s="149"/>
      <c r="HW474" s="149"/>
      <c r="HX474" s="149"/>
      <c r="HY474" s="149"/>
      <c r="HZ474" s="149"/>
      <c r="IA474" s="149"/>
      <c r="IB474" s="149"/>
      <c r="IC474" s="149"/>
      <c r="ID474" s="149"/>
      <c r="IE474" s="149"/>
      <c r="IF474" s="149"/>
      <c r="IG474" s="149"/>
      <c r="IH474" s="149"/>
      <c r="II474" s="149"/>
      <c r="IJ474" s="149"/>
      <c r="IK474" s="149"/>
      <c r="IL474" s="149"/>
      <c r="IM474" s="149"/>
      <c r="IN474" s="149"/>
      <c r="IO474" s="149"/>
      <c r="IP474" s="149"/>
      <c r="IQ474" s="149"/>
      <c r="IR474" s="149"/>
      <c r="IS474" s="149"/>
      <c r="IT474" s="149"/>
      <c r="IU474" s="149"/>
    </row>
    <row r="475" spans="1:255">
      <c r="A475" s="145"/>
      <c r="B475" s="62" t="s">
        <v>211</v>
      </c>
      <c r="C475" s="93" t="s">
        <v>883</v>
      </c>
      <c r="D475" s="62" t="s">
        <v>410</v>
      </c>
      <c r="E475" s="49">
        <v>45379</v>
      </c>
      <c r="F475" s="49">
        <v>45384</v>
      </c>
      <c r="G475" s="49">
        <v>45387</v>
      </c>
      <c r="H475" s="63" t="s">
        <v>856</v>
      </c>
      <c r="I475" s="65">
        <v>0</v>
      </c>
      <c r="J475" s="65">
        <v>0</v>
      </c>
      <c r="K475" s="65">
        <v>0</v>
      </c>
      <c r="L475" s="36">
        <f>+K475-((K475*0.26*0.125)+(K475*(1-0.26)*0.26))</f>
        <v>0</v>
      </c>
      <c r="M475" s="64">
        <f t="shared" si="11"/>
        <v>0</v>
      </c>
      <c r="N475" s="62" t="s">
        <v>248</v>
      </c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49"/>
      <c r="CO475" s="149"/>
      <c r="CP475" s="149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  <c r="DO475" s="149"/>
      <c r="DP475" s="149"/>
      <c r="DQ475" s="149"/>
      <c r="DR475" s="149"/>
      <c r="DS475" s="149"/>
      <c r="DT475" s="149"/>
      <c r="DU475" s="149"/>
      <c r="DV475" s="149"/>
      <c r="DW475" s="149"/>
      <c r="DX475" s="149"/>
      <c r="DY475" s="149"/>
      <c r="DZ475" s="149"/>
      <c r="EA475" s="149"/>
      <c r="EB475" s="149"/>
      <c r="EC475" s="149"/>
      <c r="ED475" s="149"/>
      <c r="EE475" s="149"/>
      <c r="EF475" s="149"/>
      <c r="EG475" s="149"/>
      <c r="EH475" s="149"/>
      <c r="EI475" s="149"/>
      <c r="EJ475" s="149"/>
      <c r="EK475" s="149"/>
      <c r="EL475" s="149"/>
      <c r="EM475" s="149"/>
      <c r="EN475" s="149"/>
      <c r="EO475" s="149"/>
      <c r="EP475" s="149"/>
      <c r="EQ475" s="149"/>
      <c r="ER475" s="149"/>
      <c r="ES475" s="149"/>
      <c r="ET475" s="149"/>
      <c r="EU475" s="149"/>
      <c r="EV475" s="149"/>
      <c r="EW475" s="149"/>
      <c r="EX475" s="149"/>
      <c r="EY475" s="149"/>
      <c r="EZ475" s="149"/>
      <c r="FA475" s="149"/>
      <c r="FB475" s="149"/>
      <c r="FC475" s="149"/>
      <c r="FD475" s="149"/>
      <c r="FE475" s="149"/>
      <c r="FF475" s="149"/>
      <c r="FG475" s="149"/>
      <c r="FH475" s="149"/>
      <c r="FI475" s="149"/>
      <c r="FJ475" s="149"/>
      <c r="FK475" s="149"/>
      <c r="FL475" s="149"/>
      <c r="FM475" s="149"/>
      <c r="FN475" s="149"/>
      <c r="FO475" s="149"/>
      <c r="FP475" s="149"/>
      <c r="FQ475" s="149"/>
      <c r="FR475" s="149"/>
      <c r="FS475" s="149"/>
      <c r="FT475" s="149"/>
      <c r="FU475" s="149"/>
      <c r="FV475" s="149"/>
      <c r="FW475" s="149"/>
      <c r="FX475" s="149"/>
      <c r="FY475" s="149"/>
      <c r="FZ475" s="149"/>
      <c r="GA475" s="149"/>
      <c r="GB475" s="149"/>
      <c r="GC475" s="149"/>
      <c r="GD475" s="149"/>
      <c r="GE475" s="149"/>
      <c r="GF475" s="149"/>
      <c r="GG475" s="149"/>
      <c r="GH475" s="149"/>
      <c r="GI475" s="149"/>
      <c r="GJ475" s="149"/>
      <c r="GK475" s="149"/>
      <c r="GL475" s="149"/>
      <c r="GM475" s="149"/>
      <c r="GN475" s="149"/>
      <c r="GO475" s="149"/>
      <c r="GP475" s="149"/>
      <c r="GQ475" s="149"/>
      <c r="GR475" s="149"/>
      <c r="GS475" s="149"/>
      <c r="GT475" s="149"/>
      <c r="GU475" s="149"/>
      <c r="GV475" s="149"/>
      <c r="GW475" s="149"/>
      <c r="GX475" s="149"/>
      <c r="GY475" s="149"/>
      <c r="GZ475" s="149"/>
      <c r="HA475" s="149"/>
      <c r="HB475" s="149"/>
      <c r="HC475" s="149"/>
      <c r="HD475" s="149"/>
      <c r="HE475" s="149"/>
      <c r="HF475" s="149"/>
      <c r="HG475" s="149"/>
      <c r="HH475" s="149"/>
      <c r="HI475" s="149"/>
      <c r="HJ475" s="149"/>
      <c r="HK475" s="149"/>
      <c r="HL475" s="149"/>
      <c r="HM475" s="149"/>
      <c r="HN475" s="149"/>
      <c r="HO475" s="149"/>
      <c r="HP475" s="149"/>
      <c r="HQ475" s="149"/>
      <c r="HR475" s="149"/>
      <c r="HS475" s="149"/>
      <c r="HT475" s="149"/>
      <c r="HU475" s="149"/>
      <c r="HV475" s="149"/>
      <c r="HW475" s="149"/>
      <c r="HX475" s="149"/>
      <c r="HY475" s="149"/>
      <c r="HZ475" s="149"/>
      <c r="IA475" s="149"/>
      <c r="IB475" s="149"/>
      <c r="IC475" s="149"/>
      <c r="ID475" s="149"/>
      <c r="IE475" s="149"/>
      <c r="IF475" s="149"/>
      <c r="IG475" s="149"/>
      <c r="IH475" s="149"/>
      <c r="II475" s="149"/>
      <c r="IJ475" s="149"/>
      <c r="IK475" s="149"/>
      <c r="IL475" s="149"/>
      <c r="IM475" s="149"/>
      <c r="IN475" s="149"/>
      <c r="IO475" s="149"/>
      <c r="IP475" s="149"/>
      <c r="IQ475" s="149"/>
      <c r="IR475" s="149"/>
      <c r="IS475" s="149"/>
      <c r="IT475" s="149"/>
      <c r="IU475" s="149"/>
    </row>
    <row r="476" spans="1:255">
      <c r="A476" s="145"/>
      <c r="B476" s="62" t="s">
        <v>209</v>
      </c>
      <c r="C476" s="93" t="s">
        <v>706</v>
      </c>
      <c r="D476" s="62" t="s">
        <v>410</v>
      </c>
      <c r="E476" s="49">
        <v>45379</v>
      </c>
      <c r="F476" s="49">
        <v>45384</v>
      </c>
      <c r="G476" s="49">
        <v>45387</v>
      </c>
      <c r="H476" s="63" t="s">
        <v>856</v>
      </c>
      <c r="I476" s="65">
        <v>0</v>
      </c>
      <c r="J476" s="65">
        <v>0</v>
      </c>
      <c r="K476" s="65">
        <v>0</v>
      </c>
      <c r="L476" s="36">
        <f>+K476-((K476*0.114*0.125)+(K476*(1-0.114)*0.26))</f>
        <v>0</v>
      </c>
      <c r="M476" s="64">
        <f t="shared" si="11"/>
        <v>0</v>
      </c>
      <c r="N476" s="62" t="s">
        <v>248</v>
      </c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  <c r="BT476" s="149"/>
      <c r="BU476" s="149"/>
      <c r="BV476" s="149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49"/>
      <c r="CM476" s="149"/>
      <c r="CN476" s="149"/>
      <c r="CO476" s="149"/>
      <c r="CP476" s="149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  <c r="DO476" s="149"/>
      <c r="DP476" s="149"/>
      <c r="DQ476" s="149"/>
      <c r="DR476" s="149"/>
      <c r="DS476" s="149"/>
      <c r="DT476" s="149"/>
      <c r="DU476" s="149"/>
      <c r="DV476" s="149"/>
      <c r="DW476" s="149"/>
      <c r="DX476" s="149"/>
      <c r="DY476" s="149"/>
      <c r="DZ476" s="149"/>
      <c r="EA476" s="149"/>
      <c r="EB476" s="149"/>
      <c r="EC476" s="149"/>
      <c r="ED476" s="149"/>
      <c r="EE476" s="149"/>
      <c r="EF476" s="149"/>
      <c r="EG476" s="149"/>
      <c r="EH476" s="149"/>
      <c r="EI476" s="149"/>
      <c r="EJ476" s="149"/>
      <c r="EK476" s="149"/>
      <c r="EL476" s="149"/>
      <c r="EM476" s="149"/>
      <c r="EN476" s="149"/>
      <c r="EO476" s="149"/>
      <c r="EP476" s="149"/>
      <c r="EQ476" s="149"/>
      <c r="ER476" s="149"/>
      <c r="ES476" s="149"/>
      <c r="ET476" s="149"/>
      <c r="EU476" s="149"/>
      <c r="EV476" s="149"/>
      <c r="EW476" s="149"/>
      <c r="EX476" s="149"/>
      <c r="EY476" s="149"/>
      <c r="EZ476" s="149"/>
      <c r="FA476" s="149"/>
      <c r="FB476" s="149"/>
      <c r="FC476" s="149"/>
      <c r="FD476" s="149"/>
      <c r="FE476" s="149"/>
      <c r="FF476" s="149"/>
      <c r="FG476" s="149"/>
      <c r="FH476" s="149"/>
      <c r="FI476" s="149"/>
      <c r="FJ476" s="149"/>
      <c r="FK476" s="149"/>
      <c r="FL476" s="149"/>
      <c r="FM476" s="149"/>
      <c r="FN476" s="149"/>
      <c r="FO476" s="149"/>
      <c r="FP476" s="149"/>
      <c r="FQ476" s="149"/>
      <c r="FR476" s="149"/>
      <c r="FS476" s="149"/>
      <c r="FT476" s="149"/>
      <c r="FU476" s="149"/>
      <c r="FV476" s="149"/>
      <c r="FW476" s="149"/>
      <c r="FX476" s="149"/>
      <c r="FY476" s="149"/>
      <c r="FZ476" s="149"/>
      <c r="GA476" s="149"/>
      <c r="GB476" s="149"/>
      <c r="GC476" s="149"/>
      <c r="GD476" s="149"/>
      <c r="GE476" s="149"/>
      <c r="GF476" s="149"/>
      <c r="GG476" s="149"/>
      <c r="GH476" s="149"/>
      <c r="GI476" s="149"/>
      <c r="GJ476" s="149"/>
      <c r="GK476" s="149"/>
      <c r="GL476" s="149"/>
      <c r="GM476" s="149"/>
      <c r="GN476" s="149"/>
      <c r="GO476" s="149"/>
      <c r="GP476" s="149"/>
      <c r="GQ476" s="149"/>
      <c r="GR476" s="149"/>
      <c r="GS476" s="149"/>
      <c r="GT476" s="149"/>
      <c r="GU476" s="149"/>
      <c r="GV476" s="149"/>
      <c r="GW476" s="149"/>
      <c r="GX476" s="149"/>
      <c r="GY476" s="149"/>
      <c r="GZ476" s="149"/>
      <c r="HA476" s="149"/>
      <c r="HB476" s="149"/>
      <c r="HC476" s="149"/>
      <c r="HD476" s="149"/>
      <c r="HE476" s="149"/>
      <c r="HF476" s="149"/>
      <c r="HG476" s="149"/>
      <c r="HH476" s="149"/>
      <c r="HI476" s="149"/>
      <c r="HJ476" s="149"/>
      <c r="HK476" s="149"/>
      <c r="HL476" s="149"/>
      <c r="HM476" s="149"/>
      <c r="HN476" s="149"/>
      <c r="HO476" s="149"/>
      <c r="HP476" s="149"/>
      <c r="HQ476" s="149"/>
      <c r="HR476" s="149"/>
      <c r="HS476" s="149"/>
      <c r="HT476" s="149"/>
      <c r="HU476" s="149"/>
      <c r="HV476" s="149"/>
      <c r="HW476" s="149"/>
      <c r="HX476" s="149"/>
      <c r="HY476" s="149"/>
      <c r="HZ476" s="149"/>
      <c r="IA476" s="149"/>
      <c r="IB476" s="149"/>
      <c r="IC476" s="149"/>
      <c r="ID476" s="149"/>
      <c r="IE476" s="149"/>
      <c r="IF476" s="149"/>
      <c r="IG476" s="149"/>
      <c r="IH476" s="149"/>
      <c r="II476" s="149"/>
      <c r="IJ476" s="149"/>
      <c r="IK476" s="149"/>
      <c r="IL476" s="149"/>
      <c r="IM476" s="149"/>
      <c r="IN476" s="149"/>
      <c r="IO476" s="149"/>
      <c r="IP476" s="149"/>
      <c r="IQ476" s="149"/>
      <c r="IR476" s="149"/>
      <c r="IS476" s="149"/>
      <c r="IT476" s="149"/>
      <c r="IU476" s="149"/>
    </row>
    <row r="477" spans="1:255">
      <c r="A477" s="145"/>
      <c r="B477" s="62" t="s">
        <v>225</v>
      </c>
      <c r="C477" s="93" t="s">
        <v>454</v>
      </c>
      <c r="D477" s="62" t="s">
        <v>410</v>
      </c>
      <c r="E477" s="49">
        <v>45406</v>
      </c>
      <c r="F477" s="49">
        <v>45407</v>
      </c>
      <c r="G477" s="49">
        <v>45412</v>
      </c>
      <c r="H477" s="63"/>
      <c r="I477" s="65">
        <v>10.4312</v>
      </c>
      <c r="J477" s="65">
        <v>0</v>
      </c>
      <c r="K477" s="65">
        <v>10.4312</v>
      </c>
      <c r="L477" s="36">
        <f>+K477-((K477*0.25*0.125)+(K477*(1-0.25)*0.26))</f>
        <v>8.0711410000000008</v>
      </c>
      <c r="M477" s="64">
        <f t="shared" si="11"/>
        <v>8.0711410000000008</v>
      </c>
      <c r="N477" s="62" t="s">
        <v>249</v>
      </c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  <c r="BT477" s="149"/>
      <c r="BU477" s="149"/>
      <c r="BV477" s="149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49"/>
      <c r="CM477" s="149"/>
      <c r="CN477" s="149"/>
      <c r="CO477" s="149"/>
      <c r="CP477" s="149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  <c r="DO477" s="149"/>
      <c r="DP477" s="149"/>
      <c r="DQ477" s="149"/>
      <c r="DR477" s="149"/>
      <c r="DS477" s="149"/>
      <c r="DT477" s="149"/>
      <c r="DU477" s="149"/>
      <c r="DV477" s="149"/>
      <c r="DW477" s="149"/>
      <c r="DX477" s="149"/>
      <c r="DY477" s="149"/>
      <c r="DZ477" s="149"/>
      <c r="EA477" s="149"/>
      <c r="EB477" s="149"/>
      <c r="EC477" s="149"/>
      <c r="ED477" s="149"/>
      <c r="EE477" s="149"/>
      <c r="EF477" s="149"/>
      <c r="EG477" s="149"/>
      <c r="EH477" s="149"/>
      <c r="EI477" s="149"/>
      <c r="EJ477" s="149"/>
      <c r="EK477" s="149"/>
      <c r="EL477" s="149"/>
      <c r="EM477" s="149"/>
      <c r="EN477" s="149"/>
      <c r="EO477" s="149"/>
      <c r="EP477" s="149"/>
      <c r="EQ477" s="149"/>
      <c r="ER477" s="149"/>
      <c r="ES477" s="149"/>
      <c r="ET477" s="149"/>
      <c r="EU477" s="149"/>
      <c r="EV477" s="149"/>
      <c r="EW477" s="149"/>
      <c r="EX477" s="149"/>
      <c r="EY477" s="149"/>
      <c r="EZ477" s="149"/>
      <c r="FA477" s="149"/>
      <c r="FB477" s="149"/>
      <c r="FC477" s="149"/>
      <c r="FD477" s="149"/>
      <c r="FE477" s="149"/>
      <c r="FF477" s="149"/>
      <c r="FG477" s="149"/>
      <c r="FH477" s="149"/>
      <c r="FI477" s="149"/>
      <c r="FJ477" s="149"/>
      <c r="FK477" s="149"/>
      <c r="FL477" s="149"/>
      <c r="FM477" s="149"/>
      <c r="FN477" s="149"/>
      <c r="FO477" s="149"/>
      <c r="FP477" s="149"/>
      <c r="FQ477" s="149"/>
      <c r="FR477" s="149"/>
      <c r="FS477" s="149"/>
      <c r="FT477" s="149"/>
      <c r="FU477" s="149"/>
      <c r="FV477" s="149"/>
      <c r="FW477" s="149"/>
      <c r="FX477" s="149"/>
      <c r="FY477" s="149"/>
      <c r="FZ477" s="149"/>
      <c r="GA477" s="149"/>
      <c r="GB477" s="149"/>
      <c r="GC477" s="149"/>
      <c r="GD477" s="149"/>
      <c r="GE477" s="149"/>
      <c r="GF477" s="149"/>
      <c r="GG477" s="149"/>
      <c r="GH477" s="149"/>
      <c r="GI477" s="149"/>
      <c r="GJ477" s="149"/>
      <c r="GK477" s="149"/>
      <c r="GL477" s="149"/>
      <c r="GM477" s="149"/>
      <c r="GN477" s="149"/>
      <c r="GO477" s="149"/>
      <c r="GP477" s="149"/>
      <c r="GQ477" s="149"/>
      <c r="GR477" s="149"/>
      <c r="GS477" s="149"/>
      <c r="GT477" s="149"/>
      <c r="GU477" s="149"/>
      <c r="GV477" s="149"/>
      <c r="GW477" s="149"/>
      <c r="GX477" s="149"/>
      <c r="GY477" s="149"/>
      <c r="GZ477" s="149"/>
      <c r="HA477" s="149"/>
      <c r="HB477" s="149"/>
      <c r="HC477" s="149"/>
      <c r="HD477" s="149"/>
      <c r="HE477" s="149"/>
      <c r="HF477" s="149"/>
      <c r="HG477" s="149"/>
      <c r="HH477" s="149"/>
      <c r="HI477" s="149"/>
      <c r="HJ477" s="149"/>
      <c r="HK477" s="149"/>
      <c r="HL477" s="149"/>
      <c r="HM477" s="149"/>
      <c r="HN477" s="149"/>
      <c r="HO477" s="149"/>
      <c r="HP477" s="149"/>
      <c r="HQ477" s="149"/>
      <c r="HR477" s="149"/>
      <c r="HS477" s="149"/>
      <c r="HT477" s="149"/>
      <c r="HU477" s="149"/>
      <c r="HV477" s="149"/>
      <c r="HW477" s="149"/>
      <c r="HX477" s="149"/>
      <c r="HY477" s="149"/>
      <c r="HZ477" s="149"/>
      <c r="IA477" s="149"/>
      <c r="IB477" s="149"/>
      <c r="IC477" s="149"/>
      <c r="ID477" s="149"/>
      <c r="IE477" s="149"/>
      <c r="IF477" s="149"/>
      <c r="IG477" s="149"/>
      <c r="IH477" s="149"/>
      <c r="II477" s="149"/>
      <c r="IJ477" s="149"/>
      <c r="IK477" s="149"/>
      <c r="IL477" s="149"/>
      <c r="IM477" s="149"/>
      <c r="IN477" s="149"/>
      <c r="IO477" s="149"/>
      <c r="IP477" s="149"/>
      <c r="IQ477" s="149"/>
      <c r="IR477" s="149"/>
      <c r="IS477" s="149"/>
      <c r="IT477" s="149"/>
      <c r="IU477" s="149"/>
    </row>
    <row r="478" spans="1:255">
      <c r="A478" s="145"/>
      <c r="B478" s="62" t="s">
        <v>219</v>
      </c>
      <c r="C478" s="93" t="s">
        <v>485</v>
      </c>
      <c r="D478" s="62" t="s">
        <v>410</v>
      </c>
      <c r="E478" s="49">
        <v>45406</v>
      </c>
      <c r="F478" s="49">
        <v>45407</v>
      </c>
      <c r="G478" s="49">
        <v>45412</v>
      </c>
      <c r="H478" s="63"/>
      <c r="I478" s="65">
        <v>8.5594999999999999</v>
      </c>
      <c r="J478" s="65">
        <v>1.8009275899999992</v>
      </c>
      <c r="K478" s="65">
        <v>6.7585724100000002</v>
      </c>
      <c r="L478" s="36">
        <f>+K478-((K478*0.002*0.125)+(K478*(1-0.002)*0.26))</f>
        <v>5.0031683979507005</v>
      </c>
      <c r="M478" s="64">
        <f t="shared" si="11"/>
        <v>6.8040959879506993</v>
      </c>
      <c r="N478" s="62" t="s">
        <v>249</v>
      </c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  <c r="BT478" s="149"/>
      <c r="BU478" s="149"/>
      <c r="BV478" s="149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49"/>
      <c r="CM478" s="149"/>
      <c r="CN478" s="149"/>
      <c r="CO478" s="149"/>
      <c r="CP478" s="149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  <c r="DO478" s="149"/>
      <c r="DP478" s="149"/>
      <c r="DQ478" s="149"/>
      <c r="DR478" s="149"/>
      <c r="DS478" s="149"/>
      <c r="DT478" s="149"/>
      <c r="DU478" s="149"/>
      <c r="DV478" s="149"/>
      <c r="DW478" s="149"/>
      <c r="DX478" s="149"/>
      <c r="DY478" s="149"/>
      <c r="DZ478" s="149"/>
      <c r="EA478" s="149"/>
      <c r="EB478" s="149"/>
      <c r="EC478" s="149"/>
      <c r="ED478" s="149"/>
      <c r="EE478" s="149"/>
      <c r="EF478" s="149"/>
      <c r="EG478" s="149"/>
      <c r="EH478" s="149"/>
      <c r="EI478" s="149"/>
      <c r="EJ478" s="149"/>
      <c r="EK478" s="149"/>
      <c r="EL478" s="149"/>
      <c r="EM478" s="149"/>
      <c r="EN478" s="149"/>
      <c r="EO478" s="149"/>
      <c r="EP478" s="149"/>
      <c r="EQ478" s="149"/>
      <c r="ER478" s="149"/>
      <c r="ES478" s="149"/>
      <c r="ET478" s="149"/>
      <c r="EU478" s="149"/>
      <c r="EV478" s="149"/>
      <c r="EW478" s="149"/>
      <c r="EX478" s="149"/>
      <c r="EY478" s="149"/>
      <c r="EZ478" s="149"/>
      <c r="FA478" s="149"/>
      <c r="FB478" s="149"/>
      <c r="FC478" s="149"/>
      <c r="FD478" s="149"/>
      <c r="FE478" s="149"/>
      <c r="FF478" s="149"/>
      <c r="FG478" s="149"/>
      <c r="FH478" s="149"/>
      <c r="FI478" s="149"/>
      <c r="FJ478" s="149"/>
      <c r="FK478" s="149"/>
      <c r="FL478" s="149"/>
      <c r="FM478" s="149"/>
      <c r="FN478" s="149"/>
      <c r="FO478" s="149"/>
      <c r="FP478" s="149"/>
      <c r="FQ478" s="149"/>
      <c r="FR478" s="149"/>
      <c r="FS478" s="149"/>
      <c r="FT478" s="149"/>
      <c r="FU478" s="149"/>
      <c r="FV478" s="149"/>
      <c r="FW478" s="149"/>
      <c r="FX478" s="149"/>
      <c r="FY478" s="149"/>
      <c r="FZ478" s="149"/>
      <c r="GA478" s="149"/>
      <c r="GB478" s="149"/>
      <c r="GC478" s="149"/>
      <c r="GD478" s="149"/>
      <c r="GE478" s="149"/>
      <c r="GF478" s="149"/>
      <c r="GG478" s="149"/>
      <c r="GH478" s="149"/>
      <c r="GI478" s="149"/>
      <c r="GJ478" s="149"/>
      <c r="GK478" s="149"/>
      <c r="GL478" s="149"/>
      <c r="GM478" s="149"/>
      <c r="GN478" s="149"/>
      <c r="GO478" s="149"/>
      <c r="GP478" s="149"/>
      <c r="GQ478" s="149"/>
      <c r="GR478" s="149"/>
      <c r="GS478" s="149"/>
      <c r="GT478" s="149"/>
      <c r="GU478" s="149"/>
      <c r="GV478" s="149"/>
      <c r="GW478" s="149"/>
      <c r="GX478" s="149"/>
      <c r="GY478" s="149"/>
      <c r="GZ478" s="149"/>
      <c r="HA478" s="149"/>
      <c r="HB478" s="149"/>
      <c r="HC478" s="149"/>
      <c r="HD478" s="149"/>
      <c r="HE478" s="149"/>
      <c r="HF478" s="149"/>
      <c r="HG478" s="149"/>
      <c r="HH478" s="149"/>
      <c r="HI478" s="149"/>
      <c r="HJ478" s="149"/>
      <c r="HK478" s="149"/>
      <c r="HL478" s="149"/>
      <c r="HM478" s="149"/>
      <c r="HN478" s="149"/>
      <c r="HO478" s="149"/>
      <c r="HP478" s="149"/>
      <c r="HQ478" s="149"/>
      <c r="HR478" s="149"/>
      <c r="HS478" s="149"/>
      <c r="HT478" s="149"/>
      <c r="HU478" s="149"/>
      <c r="HV478" s="149"/>
      <c r="HW478" s="149"/>
      <c r="HX478" s="149"/>
      <c r="HY478" s="149"/>
      <c r="HZ478" s="149"/>
      <c r="IA478" s="149"/>
      <c r="IB478" s="149"/>
      <c r="IC478" s="149"/>
      <c r="ID478" s="149"/>
      <c r="IE478" s="149"/>
      <c r="IF478" s="149"/>
      <c r="IG478" s="149"/>
      <c r="IH478" s="149"/>
      <c r="II478" s="149"/>
      <c r="IJ478" s="149"/>
      <c r="IK478" s="149"/>
      <c r="IL478" s="149"/>
      <c r="IM478" s="149"/>
      <c r="IN478" s="149"/>
      <c r="IO478" s="149"/>
      <c r="IP478" s="149"/>
      <c r="IQ478" s="149"/>
      <c r="IR478" s="149"/>
      <c r="IS478" s="149"/>
      <c r="IT478" s="149"/>
      <c r="IU478" s="149"/>
    </row>
    <row r="479" spans="1:255">
      <c r="A479" s="145"/>
      <c r="B479" s="62" t="s">
        <v>221</v>
      </c>
      <c r="C479" s="93" t="s">
        <v>860</v>
      </c>
      <c r="D479" s="62" t="s">
        <v>410</v>
      </c>
      <c r="E479" s="49">
        <v>45406</v>
      </c>
      <c r="F479" s="49">
        <v>45407</v>
      </c>
      <c r="G479" s="49">
        <v>45412</v>
      </c>
      <c r="H479" s="63" t="s">
        <v>856</v>
      </c>
      <c r="I479" s="65">
        <v>0</v>
      </c>
      <c r="J479" s="65">
        <v>0</v>
      </c>
      <c r="K479" s="65">
        <f>+J479-((J479*0.114*0.125)+(J479*(1-0.114)*0.26))</f>
        <v>0</v>
      </c>
      <c r="L479" s="36">
        <f>+K479-((K479*0.002*0.125)+(K479*(1-0.002)*0.26))</f>
        <v>0</v>
      </c>
      <c r="M479" s="64">
        <f t="shared" si="11"/>
        <v>0</v>
      </c>
      <c r="N479" s="62" t="s">
        <v>249</v>
      </c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  <c r="BT479" s="149"/>
      <c r="BU479" s="149"/>
      <c r="BV479" s="149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49"/>
      <c r="CM479" s="149"/>
      <c r="CN479" s="149"/>
      <c r="CO479" s="149"/>
      <c r="CP479" s="149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  <c r="DO479" s="149"/>
      <c r="DP479" s="149"/>
      <c r="DQ479" s="149"/>
      <c r="DR479" s="149"/>
      <c r="DS479" s="149"/>
      <c r="DT479" s="149"/>
      <c r="DU479" s="149"/>
      <c r="DV479" s="149"/>
      <c r="DW479" s="149"/>
      <c r="DX479" s="149"/>
      <c r="DY479" s="149"/>
      <c r="DZ479" s="149"/>
      <c r="EA479" s="149"/>
      <c r="EB479" s="149"/>
      <c r="EC479" s="149"/>
      <c r="ED479" s="149"/>
      <c r="EE479" s="149"/>
      <c r="EF479" s="149"/>
      <c r="EG479" s="149"/>
      <c r="EH479" s="149"/>
      <c r="EI479" s="149"/>
      <c r="EJ479" s="149"/>
      <c r="EK479" s="149"/>
      <c r="EL479" s="149"/>
      <c r="EM479" s="149"/>
      <c r="EN479" s="149"/>
      <c r="EO479" s="149"/>
      <c r="EP479" s="149"/>
      <c r="EQ479" s="149"/>
      <c r="ER479" s="149"/>
      <c r="ES479" s="149"/>
      <c r="ET479" s="149"/>
      <c r="EU479" s="149"/>
      <c r="EV479" s="149"/>
      <c r="EW479" s="149"/>
      <c r="EX479" s="149"/>
      <c r="EY479" s="149"/>
      <c r="EZ479" s="149"/>
      <c r="FA479" s="149"/>
      <c r="FB479" s="149"/>
      <c r="FC479" s="149"/>
      <c r="FD479" s="149"/>
      <c r="FE479" s="149"/>
      <c r="FF479" s="149"/>
      <c r="FG479" s="149"/>
      <c r="FH479" s="149"/>
      <c r="FI479" s="149"/>
      <c r="FJ479" s="149"/>
      <c r="FK479" s="149"/>
      <c r="FL479" s="149"/>
      <c r="FM479" s="149"/>
      <c r="FN479" s="149"/>
      <c r="FO479" s="149"/>
      <c r="FP479" s="149"/>
      <c r="FQ479" s="149"/>
      <c r="FR479" s="149"/>
      <c r="FS479" s="149"/>
      <c r="FT479" s="149"/>
      <c r="FU479" s="149"/>
      <c r="FV479" s="149"/>
      <c r="FW479" s="149"/>
      <c r="FX479" s="149"/>
      <c r="FY479" s="149"/>
      <c r="FZ479" s="149"/>
      <c r="GA479" s="149"/>
      <c r="GB479" s="149"/>
      <c r="GC479" s="149"/>
      <c r="GD479" s="149"/>
      <c r="GE479" s="149"/>
      <c r="GF479" s="149"/>
      <c r="GG479" s="149"/>
      <c r="GH479" s="149"/>
      <c r="GI479" s="149"/>
      <c r="GJ479" s="149"/>
      <c r="GK479" s="149"/>
      <c r="GL479" s="149"/>
      <c r="GM479" s="149"/>
      <c r="GN479" s="149"/>
      <c r="GO479" s="149"/>
      <c r="GP479" s="149"/>
      <c r="GQ479" s="149"/>
      <c r="GR479" s="149"/>
      <c r="GS479" s="149"/>
      <c r="GT479" s="149"/>
      <c r="GU479" s="149"/>
      <c r="GV479" s="149"/>
      <c r="GW479" s="149"/>
      <c r="GX479" s="149"/>
      <c r="GY479" s="149"/>
      <c r="GZ479" s="149"/>
      <c r="HA479" s="149"/>
      <c r="HB479" s="149"/>
      <c r="HC479" s="149"/>
      <c r="HD479" s="149"/>
      <c r="HE479" s="149"/>
      <c r="HF479" s="149"/>
      <c r="HG479" s="149"/>
      <c r="HH479" s="149"/>
      <c r="HI479" s="149"/>
      <c r="HJ479" s="149"/>
      <c r="HK479" s="149"/>
      <c r="HL479" s="149"/>
      <c r="HM479" s="149"/>
      <c r="HN479" s="149"/>
      <c r="HO479" s="149"/>
      <c r="HP479" s="149"/>
      <c r="HQ479" s="149"/>
      <c r="HR479" s="149"/>
      <c r="HS479" s="149"/>
      <c r="HT479" s="149"/>
      <c r="HU479" s="149"/>
      <c r="HV479" s="149"/>
      <c r="HW479" s="149"/>
      <c r="HX479" s="149"/>
      <c r="HY479" s="149"/>
      <c r="HZ479" s="149"/>
      <c r="IA479" s="149"/>
      <c r="IB479" s="149"/>
      <c r="IC479" s="149"/>
      <c r="ID479" s="149"/>
      <c r="IE479" s="149"/>
      <c r="IF479" s="149"/>
      <c r="IG479" s="149"/>
      <c r="IH479" s="149"/>
      <c r="II479" s="149"/>
      <c r="IJ479" s="149"/>
      <c r="IK479" s="149"/>
      <c r="IL479" s="149"/>
      <c r="IM479" s="149"/>
      <c r="IN479" s="149"/>
      <c r="IO479" s="149"/>
      <c r="IP479" s="149"/>
      <c r="IQ479" s="149"/>
      <c r="IR479" s="149"/>
      <c r="IS479" s="149"/>
      <c r="IT479" s="149"/>
      <c r="IU479" s="149"/>
    </row>
    <row r="480" spans="1:255">
      <c r="A480" s="145"/>
      <c r="B480" s="62" t="s">
        <v>677</v>
      </c>
      <c r="C480" s="93" t="s">
        <v>693</v>
      </c>
      <c r="D480" s="62" t="s">
        <v>410</v>
      </c>
      <c r="E480" s="49">
        <v>45470</v>
      </c>
      <c r="F480" s="49">
        <v>45471</v>
      </c>
      <c r="G480" s="49">
        <v>45476</v>
      </c>
      <c r="H480" s="63"/>
      <c r="I480" s="65">
        <v>7.0065759999999999</v>
      </c>
      <c r="J480" s="65">
        <v>0</v>
      </c>
      <c r="K480" s="65">
        <v>7.0065756300000004</v>
      </c>
      <c r="L480" s="36">
        <f>+K480-((K480*0.00000000001*0.125)+(K480*(1-0.0000000001)*0.26))</f>
        <v>5.1848659663734127</v>
      </c>
      <c r="M480" s="64">
        <f t="shared" si="11"/>
        <v>5.1848659663734127</v>
      </c>
      <c r="N480" s="62" t="s">
        <v>247</v>
      </c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  <c r="BT480" s="149"/>
      <c r="BU480" s="149"/>
      <c r="BV480" s="149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49"/>
      <c r="CM480" s="149"/>
      <c r="CN480" s="149"/>
      <c r="CO480" s="149"/>
      <c r="CP480" s="149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  <c r="DO480" s="149"/>
      <c r="DP480" s="149"/>
      <c r="DQ480" s="149"/>
      <c r="DR480" s="149"/>
      <c r="DS480" s="149"/>
      <c r="DT480" s="149"/>
      <c r="DU480" s="149"/>
      <c r="DV480" s="149"/>
      <c r="DW480" s="149"/>
      <c r="DX480" s="149"/>
      <c r="DY480" s="149"/>
      <c r="DZ480" s="149"/>
      <c r="EA480" s="149"/>
      <c r="EB480" s="149"/>
      <c r="EC480" s="149"/>
      <c r="ED480" s="149"/>
      <c r="EE480" s="149"/>
      <c r="EF480" s="149"/>
      <c r="EG480" s="149"/>
      <c r="EH480" s="149"/>
      <c r="EI480" s="149"/>
      <c r="EJ480" s="149"/>
      <c r="EK480" s="149"/>
      <c r="EL480" s="149"/>
      <c r="EM480" s="149"/>
      <c r="EN480" s="149"/>
      <c r="EO480" s="149"/>
      <c r="EP480" s="149"/>
      <c r="EQ480" s="149"/>
      <c r="ER480" s="149"/>
      <c r="ES480" s="149"/>
      <c r="ET480" s="149"/>
      <c r="EU480" s="149"/>
      <c r="EV480" s="149"/>
      <c r="EW480" s="149"/>
      <c r="EX480" s="149"/>
      <c r="EY480" s="149"/>
      <c r="EZ480" s="149"/>
      <c r="FA480" s="149"/>
      <c r="FB480" s="149"/>
      <c r="FC480" s="149"/>
      <c r="FD480" s="149"/>
      <c r="FE480" s="149"/>
      <c r="FF480" s="149"/>
      <c r="FG480" s="149"/>
      <c r="FH480" s="149"/>
      <c r="FI480" s="149"/>
      <c r="FJ480" s="149"/>
      <c r="FK480" s="149"/>
      <c r="FL480" s="149"/>
      <c r="FM480" s="149"/>
      <c r="FN480" s="149"/>
      <c r="FO480" s="149"/>
      <c r="FP480" s="149"/>
      <c r="FQ480" s="149"/>
      <c r="FR480" s="149"/>
      <c r="FS480" s="149"/>
      <c r="FT480" s="149"/>
      <c r="FU480" s="149"/>
      <c r="FV480" s="149"/>
      <c r="FW480" s="149"/>
      <c r="FX480" s="149"/>
      <c r="FY480" s="149"/>
      <c r="FZ480" s="149"/>
      <c r="GA480" s="149"/>
      <c r="GB480" s="149"/>
      <c r="GC480" s="149"/>
      <c r="GD480" s="149"/>
      <c r="GE480" s="149"/>
      <c r="GF480" s="149"/>
      <c r="GG480" s="149"/>
      <c r="GH480" s="149"/>
      <c r="GI480" s="149"/>
      <c r="GJ480" s="149"/>
      <c r="GK480" s="149"/>
      <c r="GL480" s="149"/>
      <c r="GM480" s="149"/>
      <c r="GN480" s="149"/>
      <c r="GO480" s="149"/>
      <c r="GP480" s="149"/>
      <c r="GQ480" s="149"/>
      <c r="GR480" s="149"/>
      <c r="GS480" s="149"/>
      <c r="GT480" s="149"/>
      <c r="GU480" s="149"/>
      <c r="GV480" s="149"/>
      <c r="GW480" s="149"/>
      <c r="GX480" s="149"/>
      <c r="GY480" s="149"/>
      <c r="GZ480" s="149"/>
      <c r="HA480" s="149"/>
      <c r="HB480" s="149"/>
      <c r="HC480" s="149"/>
      <c r="HD480" s="149"/>
      <c r="HE480" s="149"/>
      <c r="HF480" s="149"/>
      <c r="HG480" s="149"/>
      <c r="HH480" s="149"/>
      <c r="HI480" s="149"/>
      <c r="HJ480" s="149"/>
      <c r="HK480" s="149"/>
      <c r="HL480" s="149"/>
      <c r="HM480" s="149"/>
      <c r="HN480" s="149"/>
      <c r="HO480" s="149"/>
      <c r="HP480" s="149"/>
      <c r="HQ480" s="149"/>
      <c r="HR480" s="149"/>
      <c r="HS480" s="149"/>
      <c r="HT480" s="149"/>
      <c r="HU480" s="149"/>
      <c r="HV480" s="149"/>
      <c r="HW480" s="149"/>
      <c r="HX480" s="149"/>
      <c r="HY480" s="149"/>
      <c r="HZ480" s="149"/>
      <c r="IA480" s="149"/>
      <c r="IB480" s="149"/>
      <c r="IC480" s="149"/>
      <c r="ID480" s="149"/>
      <c r="IE480" s="149"/>
      <c r="IF480" s="149"/>
      <c r="IG480" s="149"/>
      <c r="IH480" s="149"/>
      <c r="II480" s="149"/>
      <c r="IJ480" s="149"/>
      <c r="IK480" s="149"/>
      <c r="IL480" s="149"/>
      <c r="IM480" s="149"/>
      <c r="IN480" s="149"/>
      <c r="IO480" s="149"/>
      <c r="IP480" s="149"/>
      <c r="IQ480" s="149"/>
      <c r="IR480" s="149"/>
      <c r="IS480" s="149"/>
      <c r="IT480" s="149"/>
      <c r="IU480" s="149"/>
    </row>
    <row r="481" spans="1:255">
      <c r="A481" s="145"/>
      <c r="B481" s="62" t="s">
        <v>676</v>
      </c>
      <c r="C481" s="93" t="s">
        <v>888</v>
      </c>
      <c r="D481" s="62" t="s">
        <v>410</v>
      </c>
      <c r="E481" s="49">
        <v>45470</v>
      </c>
      <c r="F481" s="49">
        <v>45471</v>
      </c>
      <c r="G481" s="49">
        <v>45476</v>
      </c>
      <c r="H481" s="63"/>
      <c r="I481" s="65">
        <v>8.7750649999999997</v>
      </c>
      <c r="J481" s="65">
        <v>0</v>
      </c>
      <c r="K481" s="65">
        <v>8.7750645899999995</v>
      </c>
      <c r="L481" s="36">
        <f>+K481-((K481*0.0705*0.125)+(K481*(1-0.0705)*0.26))</f>
        <v>6.5770644738353248</v>
      </c>
      <c r="M481" s="64">
        <f t="shared" si="11"/>
        <v>6.5770644738353248</v>
      </c>
      <c r="N481" s="62" t="s">
        <v>247</v>
      </c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  <c r="BT481" s="149"/>
      <c r="BU481" s="149"/>
      <c r="BV481" s="149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49"/>
      <c r="CM481" s="149"/>
      <c r="CN481" s="149"/>
      <c r="CO481" s="149"/>
      <c r="CP481" s="149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  <c r="DO481" s="149"/>
      <c r="DP481" s="149"/>
      <c r="DQ481" s="149"/>
      <c r="DR481" s="149"/>
      <c r="DS481" s="149"/>
      <c r="DT481" s="149"/>
      <c r="DU481" s="149"/>
      <c r="DV481" s="149"/>
      <c r="DW481" s="149"/>
      <c r="DX481" s="149"/>
      <c r="DY481" s="149"/>
      <c r="DZ481" s="149"/>
      <c r="EA481" s="149"/>
      <c r="EB481" s="149"/>
      <c r="EC481" s="149"/>
      <c r="ED481" s="149"/>
      <c r="EE481" s="149"/>
      <c r="EF481" s="149"/>
      <c r="EG481" s="149"/>
      <c r="EH481" s="149"/>
      <c r="EI481" s="149"/>
      <c r="EJ481" s="149"/>
      <c r="EK481" s="149"/>
      <c r="EL481" s="149"/>
      <c r="EM481" s="149"/>
      <c r="EN481" s="149"/>
      <c r="EO481" s="149"/>
      <c r="EP481" s="149"/>
      <c r="EQ481" s="149"/>
      <c r="ER481" s="149"/>
      <c r="ES481" s="149"/>
      <c r="ET481" s="149"/>
      <c r="EU481" s="149"/>
      <c r="EV481" s="149"/>
      <c r="EW481" s="149"/>
      <c r="EX481" s="149"/>
      <c r="EY481" s="149"/>
      <c r="EZ481" s="149"/>
      <c r="FA481" s="149"/>
      <c r="FB481" s="149"/>
      <c r="FC481" s="149"/>
      <c r="FD481" s="149"/>
      <c r="FE481" s="149"/>
      <c r="FF481" s="149"/>
      <c r="FG481" s="149"/>
      <c r="FH481" s="149"/>
      <c r="FI481" s="149"/>
      <c r="FJ481" s="149"/>
      <c r="FK481" s="149"/>
      <c r="FL481" s="149"/>
      <c r="FM481" s="149"/>
      <c r="FN481" s="149"/>
      <c r="FO481" s="149"/>
      <c r="FP481" s="149"/>
      <c r="FQ481" s="149"/>
      <c r="FR481" s="149"/>
      <c r="FS481" s="149"/>
      <c r="FT481" s="149"/>
      <c r="FU481" s="149"/>
      <c r="FV481" s="149"/>
      <c r="FW481" s="149"/>
      <c r="FX481" s="149"/>
      <c r="FY481" s="149"/>
      <c r="FZ481" s="149"/>
      <c r="GA481" s="149"/>
      <c r="GB481" s="149"/>
      <c r="GC481" s="149"/>
      <c r="GD481" s="149"/>
      <c r="GE481" s="149"/>
      <c r="GF481" s="149"/>
      <c r="GG481" s="149"/>
      <c r="GH481" s="149"/>
      <c r="GI481" s="149"/>
      <c r="GJ481" s="149"/>
      <c r="GK481" s="149"/>
      <c r="GL481" s="149"/>
      <c r="GM481" s="149"/>
      <c r="GN481" s="149"/>
      <c r="GO481" s="149"/>
      <c r="GP481" s="149"/>
      <c r="GQ481" s="149"/>
      <c r="GR481" s="149"/>
      <c r="GS481" s="149"/>
      <c r="GT481" s="149"/>
      <c r="GU481" s="149"/>
      <c r="GV481" s="149"/>
      <c r="GW481" s="149"/>
      <c r="GX481" s="149"/>
      <c r="GY481" s="149"/>
      <c r="GZ481" s="149"/>
      <c r="HA481" s="149"/>
      <c r="HB481" s="149"/>
      <c r="HC481" s="149"/>
      <c r="HD481" s="149"/>
      <c r="HE481" s="149"/>
      <c r="HF481" s="149"/>
      <c r="HG481" s="149"/>
      <c r="HH481" s="149"/>
      <c r="HI481" s="149"/>
      <c r="HJ481" s="149"/>
      <c r="HK481" s="149"/>
      <c r="HL481" s="149"/>
      <c r="HM481" s="149"/>
      <c r="HN481" s="149"/>
      <c r="HO481" s="149"/>
      <c r="HP481" s="149"/>
      <c r="HQ481" s="149"/>
      <c r="HR481" s="149"/>
      <c r="HS481" s="149"/>
      <c r="HT481" s="149"/>
      <c r="HU481" s="149"/>
      <c r="HV481" s="149"/>
      <c r="HW481" s="149"/>
      <c r="HX481" s="149"/>
      <c r="HY481" s="149"/>
      <c r="HZ481" s="149"/>
      <c r="IA481" s="149"/>
      <c r="IB481" s="149"/>
      <c r="IC481" s="149"/>
      <c r="ID481" s="149"/>
      <c r="IE481" s="149"/>
      <c r="IF481" s="149"/>
      <c r="IG481" s="149"/>
      <c r="IH481" s="149"/>
      <c r="II481" s="149"/>
      <c r="IJ481" s="149"/>
      <c r="IK481" s="149"/>
      <c r="IL481" s="149"/>
      <c r="IM481" s="149"/>
      <c r="IN481" s="149"/>
      <c r="IO481" s="149"/>
      <c r="IP481" s="149"/>
      <c r="IQ481" s="149"/>
      <c r="IR481" s="149"/>
      <c r="IS481" s="149"/>
      <c r="IT481" s="149"/>
      <c r="IU481" s="149"/>
    </row>
    <row r="482" spans="1:255">
      <c r="A482" s="145"/>
      <c r="B482" s="62" t="s">
        <v>203</v>
      </c>
      <c r="C482" s="93" t="s">
        <v>445</v>
      </c>
      <c r="D482" s="62" t="s">
        <v>410</v>
      </c>
      <c r="E482" s="49">
        <v>45471</v>
      </c>
      <c r="F482" s="49">
        <v>45474</v>
      </c>
      <c r="G482" s="49">
        <v>45477</v>
      </c>
      <c r="H482" s="63"/>
      <c r="I482" s="65">
        <v>6.6853999999999996</v>
      </c>
      <c r="J482" s="65">
        <v>0</v>
      </c>
      <c r="K482" s="65">
        <v>6.6853999999999996</v>
      </c>
      <c r="L482" s="36">
        <f>+K482-((K482*0.474*0.125)+(K482*(1-0.474)*0.26))</f>
        <v>5.3749947459999996</v>
      </c>
      <c r="M482" s="64">
        <f t="shared" si="11"/>
        <v>5.3749947459999996</v>
      </c>
      <c r="N482" s="62" t="s">
        <v>248</v>
      </c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  <c r="BT482" s="149"/>
      <c r="BU482" s="149"/>
      <c r="BV482" s="149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49"/>
      <c r="CM482" s="149"/>
      <c r="CN482" s="149"/>
      <c r="CO482" s="149"/>
      <c r="CP482" s="149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  <c r="DO482" s="149"/>
      <c r="DP482" s="149"/>
      <c r="DQ482" s="149"/>
      <c r="DR482" s="149"/>
      <c r="DS482" s="149"/>
      <c r="DT482" s="149"/>
      <c r="DU482" s="149"/>
      <c r="DV482" s="149"/>
      <c r="DW482" s="149"/>
      <c r="DX482" s="149"/>
      <c r="DY482" s="149"/>
      <c r="DZ482" s="149"/>
      <c r="EA482" s="149"/>
      <c r="EB482" s="149"/>
      <c r="EC482" s="149"/>
      <c r="ED482" s="149"/>
      <c r="EE482" s="149"/>
      <c r="EF482" s="149"/>
      <c r="EG482" s="149"/>
      <c r="EH482" s="149"/>
      <c r="EI482" s="149"/>
      <c r="EJ482" s="149"/>
      <c r="EK482" s="149"/>
      <c r="EL482" s="149"/>
      <c r="EM482" s="149"/>
      <c r="EN482" s="149"/>
      <c r="EO482" s="149"/>
      <c r="EP482" s="149"/>
      <c r="EQ482" s="149"/>
      <c r="ER482" s="149"/>
      <c r="ES482" s="149"/>
      <c r="ET482" s="149"/>
      <c r="EU482" s="149"/>
      <c r="EV482" s="149"/>
      <c r="EW482" s="149"/>
      <c r="EX482" s="149"/>
      <c r="EY482" s="149"/>
      <c r="EZ482" s="149"/>
      <c r="FA482" s="149"/>
      <c r="FB482" s="149"/>
      <c r="FC482" s="149"/>
      <c r="FD482" s="149"/>
      <c r="FE482" s="149"/>
      <c r="FF482" s="149"/>
      <c r="FG482" s="149"/>
      <c r="FH482" s="149"/>
      <c r="FI482" s="149"/>
      <c r="FJ482" s="149"/>
      <c r="FK482" s="149"/>
      <c r="FL482" s="149"/>
      <c r="FM482" s="149"/>
      <c r="FN482" s="149"/>
      <c r="FO482" s="149"/>
      <c r="FP482" s="149"/>
      <c r="FQ482" s="149"/>
      <c r="FR482" s="149"/>
      <c r="FS482" s="149"/>
      <c r="FT482" s="149"/>
      <c r="FU482" s="149"/>
      <c r="FV482" s="149"/>
      <c r="FW482" s="149"/>
      <c r="FX482" s="149"/>
      <c r="FY482" s="149"/>
      <c r="FZ482" s="149"/>
      <c r="GA482" s="149"/>
      <c r="GB482" s="149"/>
      <c r="GC482" s="149"/>
      <c r="GD482" s="149"/>
      <c r="GE482" s="149"/>
      <c r="GF482" s="149"/>
      <c r="GG482" s="149"/>
      <c r="GH482" s="149"/>
      <c r="GI482" s="149"/>
      <c r="GJ482" s="149"/>
      <c r="GK482" s="149"/>
      <c r="GL482" s="149"/>
      <c r="GM482" s="149"/>
      <c r="GN482" s="149"/>
      <c r="GO482" s="149"/>
      <c r="GP482" s="149"/>
      <c r="GQ482" s="149"/>
      <c r="GR482" s="149"/>
      <c r="GS482" s="149"/>
      <c r="GT482" s="149"/>
      <c r="GU482" s="149"/>
      <c r="GV482" s="149"/>
      <c r="GW482" s="149"/>
      <c r="GX482" s="149"/>
      <c r="GY482" s="149"/>
      <c r="GZ482" s="149"/>
      <c r="HA482" s="149"/>
      <c r="HB482" s="149"/>
      <c r="HC482" s="149"/>
      <c r="HD482" s="149"/>
      <c r="HE482" s="149"/>
      <c r="HF482" s="149"/>
      <c r="HG482" s="149"/>
      <c r="HH482" s="149"/>
      <c r="HI482" s="149"/>
      <c r="HJ482" s="149"/>
      <c r="HK482" s="149"/>
      <c r="HL482" s="149"/>
      <c r="HM482" s="149"/>
      <c r="HN482" s="149"/>
      <c r="HO482" s="149"/>
      <c r="HP482" s="149"/>
      <c r="HQ482" s="149"/>
      <c r="HR482" s="149"/>
      <c r="HS482" s="149"/>
      <c r="HT482" s="149"/>
      <c r="HU482" s="149"/>
      <c r="HV482" s="149"/>
      <c r="HW482" s="149"/>
      <c r="HX482" s="149"/>
      <c r="HY482" s="149"/>
      <c r="HZ482" s="149"/>
      <c r="IA482" s="149"/>
      <c r="IB482" s="149"/>
      <c r="IC482" s="149"/>
      <c r="ID482" s="149"/>
      <c r="IE482" s="149"/>
      <c r="IF482" s="149"/>
      <c r="IG482" s="149"/>
      <c r="IH482" s="149"/>
      <c r="II482" s="149"/>
      <c r="IJ482" s="149"/>
      <c r="IK482" s="149"/>
      <c r="IL482" s="149"/>
      <c r="IM482" s="149"/>
      <c r="IN482" s="149"/>
      <c r="IO482" s="149"/>
      <c r="IP482" s="149"/>
      <c r="IQ482" s="149"/>
      <c r="IR482" s="149"/>
      <c r="IS482" s="149"/>
      <c r="IT482" s="149"/>
      <c r="IU482" s="149"/>
    </row>
    <row r="483" spans="1:255">
      <c r="A483" s="145"/>
      <c r="B483" s="62" t="s">
        <v>204</v>
      </c>
      <c r="C483" s="93" t="s">
        <v>890</v>
      </c>
      <c r="D483" s="62" t="s">
        <v>410</v>
      </c>
      <c r="E483" s="49">
        <v>45471</v>
      </c>
      <c r="F483" s="49">
        <v>45474</v>
      </c>
      <c r="G483" s="49">
        <v>45477</v>
      </c>
      <c r="H483" s="63" t="s">
        <v>856</v>
      </c>
      <c r="I483" s="65">
        <v>0</v>
      </c>
      <c r="J483" s="65">
        <v>0</v>
      </c>
      <c r="K483" s="65">
        <v>0</v>
      </c>
      <c r="L483" s="36">
        <f>+K483-((K483*0.062*0.125)+(K483*(1-0.062)*0.26))</f>
        <v>0</v>
      </c>
      <c r="M483" s="64">
        <f t="shared" si="11"/>
        <v>0</v>
      </c>
      <c r="N483" s="62" t="s">
        <v>248</v>
      </c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  <c r="BT483" s="149"/>
      <c r="BU483" s="149"/>
      <c r="BV483" s="149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49"/>
      <c r="CM483" s="149"/>
      <c r="CN483" s="149"/>
      <c r="CO483" s="149"/>
      <c r="CP483" s="149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  <c r="DO483" s="149"/>
      <c r="DP483" s="149"/>
      <c r="DQ483" s="149"/>
      <c r="DR483" s="149"/>
      <c r="DS483" s="149"/>
      <c r="DT483" s="149"/>
      <c r="DU483" s="149"/>
      <c r="DV483" s="149"/>
      <c r="DW483" s="149"/>
      <c r="DX483" s="149"/>
      <c r="DY483" s="149"/>
      <c r="DZ483" s="149"/>
      <c r="EA483" s="149"/>
      <c r="EB483" s="149"/>
      <c r="EC483" s="149"/>
      <c r="ED483" s="149"/>
      <c r="EE483" s="149"/>
      <c r="EF483" s="149"/>
      <c r="EG483" s="149"/>
      <c r="EH483" s="149"/>
      <c r="EI483" s="149"/>
      <c r="EJ483" s="149"/>
      <c r="EK483" s="149"/>
      <c r="EL483" s="149"/>
      <c r="EM483" s="149"/>
      <c r="EN483" s="149"/>
      <c r="EO483" s="149"/>
      <c r="EP483" s="149"/>
      <c r="EQ483" s="149"/>
      <c r="ER483" s="149"/>
      <c r="ES483" s="149"/>
      <c r="ET483" s="149"/>
      <c r="EU483" s="149"/>
      <c r="EV483" s="149"/>
      <c r="EW483" s="149"/>
      <c r="EX483" s="149"/>
      <c r="EY483" s="149"/>
      <c r="EZ483" s="149"/>
      <c r="FA483" s="149"/>
      <c r="FB483" s="149"/>
      <c r="FC483" s="149"/>
      <c r="FD483" s="149"/>
      <c r="FE483" s="149"/>
      <c r="FF483" s="149"/>
      <c r="FG483" s="149"/>
      <c r="FH483" s="149"/>
      <c r="FI483" s="149"/>
      <c r="FJ483" s="149"/>
      <c r="FK483" s="149"/>
      <c r="FL483" s="149"/>
      <c r="FM483" s="149"/>
      <c r="FN483" s="149"/>
      <c r="FO483" s="149"/>
      <c r="FP483" s="149"/>
      <c r="FQ483" s="149"/>
      <c r="FR483" s="149"/>
      <c r="FS483" s="149"/>
      <c r="FT483" s="149"/>
      <c r="FU483" s="149"/>
      <c r="FV483" s="149"/>
      <c r="FW483" s="149"/>
      <c r="FX483" s="149"/>
      <c r="FY483" s="149"/>
      <c r="FZ483" s="149"/>
      <c r="GA483" s="149"/>
      <c r="GB483" s="149"/>
      <c r="GC483" s="149"/>
      <c r="GD483" s="149"/>
      <c r="GE483" s="149"/>
      <c r="GF483" s="149"/>
      <c r="GG483" s="149"/>
      <c r="GH483" s="149"/>
      <c r="GI483" s="149"/>
      <c r="GJ483" s="149"/>
      <c r="GK483" s="149"/>
      <c r="GL483" s="149"/>
      <c r="GM483" s="149"/>
      <c r="GN483" s="149"/>
      <c r="GO483" s="149"/>
      <c r="GP483" s="149"/>
      <c r="GQ483" s="149"/>
      <c r="GR483" s="149"/>
      <c r="GS483" s="149"/>
      <c r="GT483" s="149"/>
      <c r="GU483" s="149"/>
      <c r="GV483" s="149"/>
      <c r="GW483" s="149"/>
      <c r="GX483" s="149"/>
      <c r="GY483" s="149"/>
      <c r="GZ483" s="149"/>
      <c r="HA483" s="149"/>
      <c r="HB483" s="149"/>
      <c r="HC483" s="149"/>
      <c r="HD483" s="149"/>
      <c r="HE483" s="149"/>
      <c r="HF483" s="149"/>
      <c r="HG483" s="149"/>
      <c r="HH483" s="149"/>
      <c r="HI483" s="149"/>
      <c r="HJ483" s="149"/>
      <c r="HK483" s="149"/>
      <c r="HL483" s="149"/>
      <c r="HM483" s="149"/>
      <c r="HN483" s="149"/>
      <c r="HO483" s="149"/>
      <c r="HP483" s="149"/>
      <c r="HQ483" s="149"/>
      <c r="HR483" s="149"/>
      <c r="HS483" s="149"/>
      <c r="HT483" s="149"/>
      <c r="HU483" s="149"/>
      <c r="HV483" s="149"/>
      <c r="HW483" s="149"/>
      <c r="HX483" s="149"/>
      <c r="HY483" s="149"/>
      <c r="HZ483" s="149"/>
      <c r="IA483" s="149"/>
      <c r="IB483" s="149"/>
      <c r="IC483" s="149"/>
      <c r="ID483" s="149"/>
      <c r="IE483" s="149"/>
      <c r="IF483" s="149"/>
      <c r="IG483" s="149"/>
      <c r="IH483" s="149"/>
      <c r="II483" s="149"/>
      <c r="IJ483" s="149"/>
      <c r="IK483" s="149"/>
      <c r="IL483" s="149"/>
      <c r="IM483" s="149"/>
      <c r="IN483" s="149"/>
      <c r="IO483" s="149"/>
      <c r="IP483" s="149"/>
      <c r="IQ483" s="149"/>
      <c r="IR483" s="149"/>
      <c r="IS483" s="149"/>
      <c r="IT483" s="149"/>
      <c r="IU483" s="149"/>
    </row>
    <row r="484" spans="1:255">
      <c r="A484" s="145"/>
      <c r="B484" s="62" t="s">
        <v>207</v>
      </c>
      <c r="C484" s="93" t="s">
        <v>447</v>
      </c>
      <c r="D484" s="62" t="s">
        <v>410</v>
      </c>
      <c r="E484" s="49">
        <v>45471</v>
      </c>
      <c r="F484" s="49">
        <v>45474</v>
      </c>
      <c r="G484" s="49">
        <v>45477</v>
      </c>
      <c r="H484" s="63"/>
      <c r="I484" s="65">
        <v>6.5743999999999998</v>
      </c>
      <c r="J484" s="65">
        <v>0</v>
      </c>
      <c r="K484" s="65">
        <v>6.5743999999999998</v>
      </c>
      <c r="L484" s="36">
        <f>+K484-((K484*0.6995*0.125)+(K484*(1-0.6995)*0.26))</f>
        <v>5.4858930279999996</v>
      </c>
      <c r="M484" s="64">
        <f t="shared" si="11"/>
        <v>5.4858930279999996</v>
      </c>
      <c r="N484" s="62" t="s">
        <v>248</v>
      </c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  <c r="BT484" s="149"/>
      <c r="BU484" s="149"/>
      <c r="BV484" s="149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49"/>
      <c r="CM484" s="149"/>
      <c r="CN484" s="149"/>
      <c r="CO484" s="149"/>
      <c r="CP484" s="149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  <c r="DO484" s="149"/>
      <c r="DP484" s="149"/>
      <c r="DQ484" s="149"/>
      <c r="DR484" s="149"/>
      <c r="DS484" s="149"/>
      <c r="DT484" s="149"/>
      <c r="DU484" s="149"/>
      <c r="DV484" s="149"/>
      <c r="DW484" s="149"/>
      <c r="DX484" s="149"/>
      <c r="DY484" s="149"/>
      <c r="DZ484" s="149"/>
      <c r="EA484" s="149"/>
      <c r="EB484" s="149"/>
      <c r="EC484" s="149"/>
      <c r="ED484" s="149"/>
      <c r="EE484" s="149"/>
      <c r="EF484" s="149"/>
      <c r="EG484" s="149"/>
      <c r="EH484" s="149"/>
      <c r="EI484" s="149"/>
      <c r="EJ484" s="149"/>
      <c r="EK484" s="149"/>
      <c r="EL484" s="149"/>
      <c r="EM484" s="149"/>
      <c r="EN484" s="149"/>
      <c r="EO484" s="149"/>
      <c r="EP484" s="149"/>
      <c r="EQ484" s="149"/>
      <c r="ER484" s="149"/>
      <c r="ES484" s="149"/>
      <c r="ET484" s="149"/>
      <c r="EU484" s="149"/>
      <c r="EV484" s="149"/>
      <c r="EW484" s="149"/>
      <c r="EX484" s="149"/>
      <c r="EY484" s="149"/>
      <c r="EZ484" s="149"/>
      <c r="FA484" s="149"/>
      <c r="FB484" s="149"/>
      <c r="FC484" s="149"/>
      <c r="FD484" s="149"/>
      <c r="FE484" s="149"/>
      <c r="FF484" s="149"/>
      <c r="FG484" s="149"/>
      <c r="FH484" s="149"/>
      <c r="FI484" s="149"/>
      <c r="FJ484" s="149"/>
      <c r="FK484" s="149"/>
      <c r="FL484" s="149"/>
      <c r="FM484" s="149"/>
      <c r="FN484" s="149"/>
      <c r="FO484" s="149"/>
      <c r="FP484" s="149"/>
      <c r="FQ484" s="149"/>
      <c r="FR484" s="149"/>
      <c r="FS484" s="149"/>
      <c r="FT484" s="149"/>
      <c r="FU484" s="149"/>
      <c r="FV484" s="149"/>
      <c r="FW484" s="149"/>
      <c r="FX484" s="149"/>
      <c r="FY484" s="149"/>
      <c r="FZ484" s="149"/>
      <c r="GA484" s="149"/>
      <c r="GB484" s="149"/>
      <c r="GC484" s="149"/>
      <c r="GD484" s="149"/>
      <c r="GE484" s="149"/>
      <c r="GF484" s="149"/>
      <c r="GG484" s="149"/>
      <c r="GH484" s="149"/>
      <c r="GI484" s="149"/>
      <c r="GJ484" s="149"/>
      <c r="GK484" s="149"/>
      <c r="GL484" s="149"/>
      <c r="GM484" s="149"/>
      <c r="GN484" s="149"/>
      <c r="GO484" s="149"/>
      <c r="GP484" s="149"/>
      <c r="GQ484" s="149"/>
      <c r="GR484" s="149"/>
      <c r="GS484" s="149"/>
      <c r="GT484" s="149"/>
      <c r="GU484" s="149"/>
      <c r="GV484" s="149"/>
      <c r="GW484" s="149"/>
      <c r="GX484" s="149"/>
      <c r="GY484" s="149"/>
      <c r="GZ484" s="149"/>
      <c r="HA484" s="149"/>
      <c r="HB484" s="149"/>
      <c r="HC484" s="149"/>
      <c r="HD484" s="149"/>
      <c r="HE484" s="149"/>
      <c r="HF484" s="149"/>
      <c r="HG484" s="149"/>
      <c r="HH484" s="149"/>
      <c r="HI484" s="149"/>
      <c r="HJ484" s="149"/>
      <c r="HK484" s="149"/>
      <c r="HL484" s="149"/>
      <c r="HM484" s="149"/>
      <c r="HN484" s="149"/>
      <c r="HO484" s="149"/>
      <c r="HP484" s="149"/>
      <c r="HQ484" s="149"/>
      <c r="HR484" s="149"/>
      <c r="HS484" s="149"/>
      <c r="HT484" s="149"/>
      <c r="HU484" s="149"/>
      <c r="HV484" s="149"/>
      <c r="HW484" s="149"/>
      <c r="HX484" s="149"/>
      <c r="HY484" s="149"/>
      <c r="HZ484" s="149"/>
      <c r="IA484" s="149"/>
      <c r="IB484" s="149"/>
      <c r="IC484" s="149"/>
      <c r="ID484" s="149"/>
      <c r="IE484" s="149"/>
      <c r="IF484" s="149"/>
      <c r="IG484" s="149"/>
      <c r="IH484" s="149"/>
      <c r="II484" s="149"/>
      <c r="IJ484" s="149"/>
      <c r="IK484" s="149"/>
      <c r="IL484" s="149"/>
      <c r="IM484" s="149"/>
      <c r="IN484" s="149"/>
      <c r="IO484" s="149"/>
      <c r="IP484" s="149"/>
      <c r="IQ484" s="149"/>
      <c r="IR484" s="149"/>
      <c r="IS484" s="149"/>
      <c r="IT484" s="149"/>
      <c r="IU484" s="149"/>
    </row>
    <row r="485" spans="1:255">
      <c r="A485" s="145"/>
      <c r="B485" s="62" t="s">
        <v>678</v>
      </c>
      <c r="C485" s="93" t="s">
        <v>707</v>
      </c>
      <c r="D485" s="62" t="s">
        <v>410</v>
      </c>
      <c r="E485" s="49">
        <v>45471</v>
      </c>
      <c r="F485" s="49">
        <v>45474</v>
      </c>
      <c r="G485" s="49">
        <v>45477</v>
      </c>
      <c r="H485" s="63"/>
      <c r="I485" s="65">
        <v>17.168800000000001</v>
      </c>
      <c r="J485" s="65">
        <v>0</v>
      </c>
      <c r="K485" s="65">
        <v>17.168800000000001</v>
      </c>
      <c r="L485" s="36">
        <f>+K485-((K485*0.001*0.125)+(K485*(1-0.001)*0.26))</f>
        <v>12.707229787999999</v>
      </c>
      <c r="M485" s="64">
        <f t="shared" si="11"/>
        <v>12.707229787999999</v>
      </c>
      <c r="N485" s="62" t="s">
        <v>248</v>
      </c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49"/>
      <c r="CM485" s="149"/>
      <c r="CN485" s="149"/>
      <c r="CO485" s="149"/>
      <c r="CP485" s="149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  <c r="DO485" s="149"/>
      <c r="DP485" s="149"/>
      <c r="DQ485" s="149"/>
      <c r="DR485" s="149"/>
      <c r="DS485" s="149"/>
      <c r="DT485" s="149"/>
      <c r="DU485" s="149"/>
      <c r="DV485" s="149"/>
      <c r="DW485" s="149"/>
      <c r="DX485" s="149"/>
      <c r="DY485" s="149"/>
      <c r="DZ485" s="149"/>
      <c r="EA485" s="149"/>
      <c r="EB485" s="149"/>
      <c r="EC485" s="149"/>
      <c r="ED485" s="149"/>
      <c r="EE485" s="149"/>
      <c r="EF485" s="149"/>
      <c r="EG485" s="149"/>
      <c r="EH485" s="149"/>
      <c r="EI485" s="149"/>
      <c r="EJ485" s="149"/>
      <c r="EK485" s="149"/>
      <c r="EL485" s="149"/>
      <c r="EM485" s="149"/>
      <c r="EN485" s="149"/>
      <c r="EO485" s="149"/>
      <c r="EP485" s="149"/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49"/>
      <c r="FA485" s="149"/>
      <c r="FB485" s="149"/>
      <c r="FC485" s="149"/>
      <c r="FD485" s="149"/>
      <c r="FE485" s="149"/>
      <c r="FF485" s="149"/>
      <c r="FG485" s="149"/>
      <c r="FH485" s="149"/>
      <c r="FI485" s="149"/>
      <c r="FJ485" s="149"/>
      <c r="FK485" s="149"/>
      <c r="FL485" s="149"/>
      <c r="FM485" s="149"/>
      <c r="FN485" s="149"/>
      <c r="FO485" s="149"/>
      <c r="FP485" s="149"/>
      <c r="FQ485" s="149"/>
      <c r="FR485" s="149"/>
      <c r="FS485" s="149"/>
      <c r="FT485" s="149"/>
      <c r="FU485" s="149"/>
      <c r="FV485" s="149"/>
      <c r="FW485" s="149"/>
      <c r="FX485" s="149"/>
      <c r="FY485" s="149"/>
      <c r="FZ485" s="149"/>
      <c r="GA485" s="149"/>
      <c r="GB485" s="149"/>
      <c r="GC485" s="149"/>
      <c r="GD485" s="149"/>
      <c r="GE485" s="149"/>
      <c r="GF485" s="149"/>
      <c r="GG485" s="149"/>
      <c r="GH485" s="149"/>
      <c r="GI485" s="149"/>
      <c r="GJ485" s="149"/>
      <c r="GK485" s="149"/>
      <c r="GL485" s="149"/>
      <c r="GM485" s="149"/>
      <c r="GN485" s="149"/>
      <c r="GO485" s="149"/>
      <c r="GP485" s="149"/>
      <c r="GQ485" s="149"/>
      <c r="GR485" s="149"/>
      <c r="GS485" s="149"/>
      <c r="GT485" s="149"/>
      <c r="GU485" s="149"/>
      <c r="GV485" s="149"/>
      <c r="GW485" s="149"/>
      <c r="GX485" s="149"/>
      <c r="GY485" s="149"/>
      <c r="GZ485" s="149"/>
      <c r="HA485" s="149"/>
      <c r="HB485" s="149"/>
      <c r="HC485" s="149"/>
      <c r="HD485" s="149"/>
      <c r="HE485" s="149"/>
      <c r="HF485" s="149"/>
      <c r="HG485" s="149"/>
      <c r="HH485" s="149"/>
      <c r="HI485" s="149"/>
      <c r="HJ485" s="149"/>
      <c r="HK485" s="149"/>
      <c r="HL485" s="149"/>
      <c r="HM485" s="149"/>
      <c r="HN485" s="149"/>
      <c r="HO485" s="149"/>
      <c r="HP485" s="149"/>
      <c r="HQ485" s="149"/>
      <c r="HR485" s="149"/>
      <c r="HS485" s="149"/>
      <c r="HT485" s="149"/>
      <c r="HU485" s="149"/>
      <c r="HV485" s="149"/>
      <c r="HW485" s="149"/>
      <c r="HX485" s="149"/>
      <c r="HY485" s="149"/>
      <c r="HZ485" s="149"/>
      <c r="IA485" s="149"/>
      <c r="IB485" s="149"/>
      <c r="IC485" s="149"/>
      <c r="ID485" s="149"/>
      <c r="IE485" s="149"/>
      <c r="IF485" s="149"/>
      <c r="IG485" s="149"/>
      <c r="IH485" s="149"/>
      <c r="II485" s="149"/>
      <c r="IJ485" s="149"/>
      <c r="IK485" s="149"/>
      <c r="IL485" s="149"/>
      <c r="IM485" s="149"/>
      <c r="IN485" s="149"/>
      <c r="IO485" s="149"/>
      <c r="IP485" s="149"/>
      <c r="IQ485" s="149"/>
      <c r="IR485" s="149"/>
      <c r="IS485" s="149"/>
      <c r="IT485" s="149"/>
      <c r="IU485" s="149"/>
    </row>
    <row r="486" spans="1:255">
      <c r="A486" s="145"/>
      <c r="B486" s="62" t="s">
        <v>205</v>
      </c>
      <c r="C486" s="93" t="s">
        <v>448</v>
      </c>
      <c r="D486" s="62" t="s">
        <v>410</v>
      </c>
      <c r="E486" s="49">
        <v>45471</v>
      </c>
      <c r="F486" s="49">
        <v>45474</v>
      </c>
      <c r="G486" s="49">
        <v>45477</v>
      </c>
      <c r="H486" s="63"/>
      <c r="I486" s="65">
        <v>11.226000000000001</v>
      </c>
      <c r="J486" s="65">
        <v>0</v>
      </c>
      <c r="K486" s="65">
        <v>11.226000000000001</v>
      </c>
      <c r="L486" s="36">
        <f>+K486-((K486*0.5055*0.125)+(K486*(1-0.5055)*0.26))</f>
        <v>9.0733303050000007</v>
      </c>
      <c r="M486" s="64">
        <f t="shared" si="11"/>
        <v>9.0733303050000007</v>
      </c>
      <c r="N486" s="62" t="s">
        <v>248</v>
      </c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  <c r="BT486" s="149"/>
      <c r="BU486" s="149"/>
      <c r="BV486" s="149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49"/>
      <c r="CM486" s="149"/>
      <c r="CN486" s="149"/>
      <c r="CO486" s="149"/>
      <c r="CP486" s="149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  <c r="DO486" s="149"/>
      <c r="DP486" s="149"/>
      <c r="DQ486" s="149"/>
      <c r="DR486" s="149"/>
      <c r="DS486" s="149"/>
      <c r="DT486" s="149"/>
      <c r="DU486" s="149"/>
      <c r="DV486" s="149"/>
      <c r="DW486" s="149"/>
      <c r="DX486" s="149"/>
      <c r="DY486" s="149"/>
      <c r="DZ486" s="149"/>
      <c r="EA486" s="149"/>
      <c r="EB486" s="149"/>
      <c r="EC486" s="149"/>
      <c r="ED486" s="149"/>
      <c r="EE486" s="149"/>
      <c r="EF486" s="149"/>
      <c r="EG486" s="149"/>
      <c r="EH486" s="149"/>
      <c r="EI486" s="149"/>
      <c r="EJ486" s="149"/>
      <c r="EK486" s="149"/>
      <c r="EL486" s="149"/>
      <c r="EM486" s="149"/>
      <c r="EN486" s="149"/>
      <c r="EO486" s="149"/>
      <c r="EP486" s="149"/>
      <c r="EQ486" s="149"/>
      <c r="ER486" s="149"/>
      <c r="ES486" s="149"/>
      <c r="ET486" s="149"/>
      <c r="EU486" s="149"/>
      <c r="EV486" s="149"/>
      <c r="EW486" s="149"/>
      <c r="EX486" s="149"/>
      <c r="EY486" s="149"/>
      <c r="EZ486" s="149"/>
      <c r="FA486" s="149"/>
      <c r="FB486" s="149"/>
      <c r="FC486" s="149"/>
      <c r="FD486" s="149"/>
      <c r="FE486" s="149"/>
      <c r="FF486" s="149"/>
      <c r="FG486" s="149"/>
      <c r="FH486" s="149"/>
      <c r="FI486" s="149"/>
      <c r="FJ486" s="149"/>
      <c r="FK486" s="149"/>
      <c r="FL486" s="149"/>
      <c r="FM486" s="149"/>
      <c r="FN486" s="149"/>
      <c r="FO486" s="149"/>
      <c r="FP486" s="149"/>
      <c r="FQ486" s="149"/>
      <c r="FR486" s="149"/>
      <c r="FS486" s="149"/>
      <c r="FT486" s="149"/>
      <c r="FU486" s="149"/>
      <c r="FV486" s="149"/>
      <c r="FW486" s="149"/>
      <c r="FX486" s="149"/>
      <c r="FY486" s="149"/>
      <c r="FZ486" s="149"/>
      <c r="GA486" s="149"/>
      <c r="GB486" s="149"/>
      <c r="GC486" s="149"/>
      <c r="GD486" s="149"/>
      <c r="GE486" s="149"/>
      <c r="GF486" s="149"/>
      <c r="GG486" s="149"/>
      <c r="GH486" s="149"/>
      <c r="GI486" s="149"/>
      <c r="GJ486" s="149"/>
      <c r="GK486" s="149"/>
      <c r="GL486" s="149"/>
      <c r="GM486" s="149"/>
      <c r="GN486" s="149"/>
      <c r="GO486" s="149"/>
      <c r="GP486" s="149"/>
      <c r="GQ486" s="149"/>
      <c r="GR486" s="149"/>
      <c r="GS486" s="149"/>
      <c r="GT486" s="149"/>
      <c r="GU486" s="149"/>
      <c r="GV486" s="149"/>
      <c r="GW486" s="149"/>
      <c r="GX486" s="149"/>
      <c r="GY486" s="149"/>
      <c r="GZ486" s="149"/>
      <c r="HA486" s="149"/>
      <c r="HB486" s="149"/>
      <c r="HC486" s="149"/>
      <c r="HD486" s="149"/>
      <c r="HE486" s="149"/>
      <c r="HF486" s="149"/>
      <c r="HG486" s="149"/>
      <c r="HH486" s="149"/>
      <c r="HI486" s="149"/>
      <c r="HJ486" s="149"/>
      <c r="HK486" s="149"/>
      <c r="HL486" s="149"/>
      <c r="HM486" s="149"/>
      <c r="HN486" s="149"/>
      <c r="HO486" s="149"/>
      <c r="HP486" s="149"/>
      <c r="HQ486" s="149"/>
      <c r="HR486" s="149"/>
      <c r="HS486" s="149"/>
      <c r="HT486" s="149"/>
      <c r="HU486" s="149"/>
      <c r="HV486" s="149"/>
      <c r="HW486" s="149"/>
      <c r="HX486" s="149"/>
      <c r="HY486" s="149"/>
      <c r="HZ486" s="149"/>
      <c r="IA486" s="149"/>
      <c r="IB486" s="149"/>
      <c r="IC486" s="149"/>
      <c r="ID486" s="149"/>
      <c r="IE486" s="149"/>
      <c r="IF486" s="149"/>
      <c r="IG486" s="149"/>
      <c r="IH486" s="149"/>
      <c r="II486" s="149"/>
      <c r="IJ486" s="149"/>
      <c r="IK486" s="149"/>
      <c r="IL486" s="149"/>
      <c r="IM486" s="149"/>
      <c r="IN486" s="149"/>
      <c r="IO486" s="149"/>
      <c r="IP486" s="149"/>
      <c r="IQ486" s="149"/>
      <c r="IR486" s="149"/>
      <c r="IS486" s="149"/>
      <c r="IT486" s="149"/>
      <c r="IU486" s="149"/>
    </row>
    <row r="487" spans="1:255">
      <c r="A487" s="145"/>
      <c r="B487" s="62" t="s">
        <v>206</v>
      </c>
      <c r="C487" s="93" t="s">
        <v>449</v>
      </c>
      <c r="D487" s="62" t="s">
        <v>410</v>
      </c>
      <c r="E487" s="49">
        <v>45471</v>
      </c>
      <c r="F487" s="49">
        <v>45474</v>
      </c>
      <c r="G487" s="49">
        <v>45477</v>
      </c>
      <c r="H487" s="63"/>
      <c r="I487" s="65">
        <v>12.5863</v>
      </c>
      <c r="J487" s="65">
        <v>0</v>
      </c>
      <c r="K487" s="65">
        <v>12.5863</v>
      </c>
      <c r="L487" s="36">
        <f>+K487-((K487*0.5055*0.125)+(K487*(1-0.5055)*0.26))</f>
        <v>10.172782577749999</v>
      </c>
      <c r="M487" s="64">
        <f t="shared" si="11"/>
        <v>10.172782577749999</v>
      </c>
      <c r="N487" s="62" t="s">
        <v>248</v>
      </c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  <c r="BT487" s="149"/>
      <c r="BU487" s="149"/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49"/>
      <c r="CO487" s="149"/>
      <c r="CP487" s="149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P487" s="149"/>
      <c r="DQ487" s="149"/>
      <c r="DR487" s="149"/>
      <c r="DS487" s="149"/>
      <c r="DT487" s="149"/>
      <c r="DU487" s="149"/>
      <c r="DV487" s="149"/>
      <c r="DW487" s="149"/>
      <c r="DX487" s="149"/>
      <c r="DY487" s="149"/>
      <c r="DZ487" s="149"/>
      <c r="EA487" s="149"/>
      <c r="EB487" s="149"/>
      <c r="EC487" s="149"/>
      <c r="ED487" s="149"/>
      <c r="EE487" s="149"/>
      <c r="EF487" s="149"/>
      <c r="EG487" s="149"/>
      <c r="EH487" s="149"/>
      <c r="EI487" s="149"/>
      <c r="EJ487" s="149"/>
      <c r="EK487" s="149"/>
      <c r="EL487" s="149"/>
      <c r="EM487" s="149"/>
      <c r="EN487" s="149"/>
      <c r="EO487" s="149"/>
      <c r="EP487" s="149"/>
      <c r="EQ487" s="149"/>
      <c r="ER487" s="149"/>
      <c r="ES487" s="149"/>
      <c r="ET487" s="149"/>
      <c r="EU487" s="149"/>
      <c r="EV487" s="149"/>
      <c r="EW487" s="149"/>
      <c r="EX487" s="149"/>
      <c r="EY487" s="149"/>
      <c r="EZ487" s="149"/>
      <c r="FA487" s="149"/>
      <c r="FB487" s="149"/>
      <c r="FC487" s="149"/>
      <c r="FD487" s="149"/>
      <c r="FE487" s="149"/>
      <c r="FF487" s="149"/>
      <c r="FG487" s="149"/>
      <c r="FH487" s="149"/>
      <c r="FI487" s="149"/>
      <c r="FJ487" s="149"/>
      <c r="FK487" s="149"/>
      <c r="FL487" s="149"/>
      <c r="FM487" s="149"/>
      <c r="FN487" s="149"/>
      <c r="FO487" s="149"/>
      <c r="FP487" s="149"/>
      <c r="FQ487" s="149"/>
      <c r="FR487" s="149"/>
      <c r="FS487" s="149"/>
      <c r="FT487" s="149"/>
      <c r="FU487" s="149"/>
      <c r="FV487" s="149"/>
      <c r="FW487" s="149"/>
      <c r="FX487" s="149"/>
      <c r="FY487" s="149"/>
      <c r="FZ487" s="149"/>
      <c r="GA487" s="149"/>
      <c r="GB487" s="149"/>
      <c r="GC487" s="149"/>
      <c r="GD487" s="149"/>
      <c r="GE487" s="149"/>
      <c r="GF487" s="149"/>
      <c r="GG487" s="149"/>
      <c r="GH487" s="149"/>
      <c r="GI487" s="149"/>
      <c r="GJ487" s="149"/>
      <c r="GK487" s="149"/>
      <c r="GL487" s="149"/>
      <c r="GM487" s="149"/>
      <c r="GN487" s="149"/>
      <c r="GO487" s="149"/>
      <c r="GP487" s="149"/>
      <c r="GQ487" s="149"/>
      <c r="GR487" s="149"/>
      <c r="GS487" s="149"/>
      <c r="GT487" s="149"/>
      <c r="GU487" s="149"/>
      <c r="GV487" s="149"/>
      <c r="GW487" s="149"/>
      <c r="GX487" s="149"/>
      <c r="GY487" s="149"/>
      <c r="GZ487" s="149"/>
      <c r="HA487" s="149"/>
      <c r="HB487" s="149"/>
      <c r="HC487" s="149"/>
      <c r="HD487" s="149"/>
      <c r="HE487" s="149"/>
      <c r="HF487" s="149"/>
      <c r="HG487" s="149"/>
      <c r="HH487" s="149"/>
      <c r="HI487" s="149"/>
      <c r="HJ487" s="149"/>
      <c r="HK487" s="149"/>
      <c r="HL487" s="149"/>
      <c r="HM487" s="149"/>
      <c r="HN487" s="149"/>
      <c r="HO487" s="149"/>
      <c r="HP487" s="149"/>
      <c r="HQ487" s="149"/>
      <c r="HR487" s="149"/>
      <c r="HS487" s="149"/>
      <c r="HT487" s="149"/>
      <c r="HU487" s="149"/>
      <c r="HV487" s="149"/>
      <c r="HW487" s="149"/>
      <c r="HX487" s="149"/>
      <c r="HY487" s="149"/>
      <c r="HZ487" s="149"/>
      <c r="IA487" s="149"/>
      <c r="IB487" s="149"/>
      <c r="IC487" s="149"/>
      <c r="ID487" s="149"/>
      <c r="IE487" s="149"/>
      <c r="IF487" s="149"/>
      <c r="IG487" s="149"/>
      <c r="IH487" s="149"/>
      <c r="II487" s="149"/>
      <c r="IJ487" s="149"/>
      <c r="IK487" s="149"/>
      <c r="IL487" s="149"/>
      <c r="IM487" s="149"/>
      <c r="IN487" s="149"/>
      <c r="IO487" s="149"/>
      <c r="IP487" s="149"/>
      <c r="IQ487" s="149"/>
      <c r="IR487" s="149"/>
      <c r="IS487" s="149"/>
      <c r="IT487" s="149"/>
      <c r="IU487" s="149"/>
    </row>
    <row r="488" spans="1:255">
      <c r="A488" s="145"/>
      <c r="B488" s="62" t="s">
        <v>505</v>
      </c>
      <c r="C488" s="93" t="s">
        <v>506</v>
      </c>
      <c r="D488" s="62" t="s">
        <v>410</v>
      </c>
      <c r="E488" s="49">
        <v>45471</v>
      </c>
      <c r="F488" s="49">
        <v>45474</v>
      </c>
      <c r="G488" s="49">
        <v>45477</v>
      </c>
      <c r="H488" s="63"/>
      <c r="I488" s="65">
        <v>11.4154</v>
      </c>
      <c r="J488" s="65">
        <v>0</v>
      </c>
      <c r="K488" s="65">
        <v>11.4154</v>
      </c>
      <c r="L488" s="36">
        <f>+K488-((K488*0.056*0.125)+(K488*(1-0.056)*0.26))</f>
        <v>8.5336964240000004</v>
      </c>
      <c r="M488" s="64">
        <f t="shared" si="11"/>
        <v>8.5336964240000004</v>
      </c>
      <c r="N488" s="62" t="s">
        <v>248</v>
      </c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  <c r="BT488" s="149"/>
      <c r="BU488" s="149"/>
      <c r="BV488" s="149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49"/>
      <c r="CM488" s="149"/>
      <c r="CN488" s="149"/>
      <c r="CO488" s="149"/>
      <c r="CP488" s="149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  <c r="DO488" s="149"/>
      <c r="DP488" s="149"/>
      <c r="DQ488" s="149"/>
      <c r="DR488" s="149"/>
      <c r="DS488" s="149"/>
      <c r="DT488" s="149"/>
      <c r="DU488" s="149"/>
      <c r="DV488" s="149"/>
      <c r="DW488" s="149"/>
      <c r="DX488" s="149"/>
      <c r="DY488" s="149"/>
      <c r="DZ488" s="149"/>
      <c r="EA488" s="149"/>
      <c r="EB488" s="149"/>
      <c r="EC488" s="149"/>
      <c r="ED488" s="149"/>
      <c r="EE488" s="149"/>
      <c r="EF488" s="149"/>
      <c r="EG488" s="149"/>
      <c r="EH488" s="149"/>
      <c r="EI488" s="149"/>
      <c r="EJ488" s="149"/>
      <c r="EK488" s="149"/>
      <c r="EL488" s="149"/>
      <c r="EM488" s="149"/>
      <c r="EN488" s="149"/>
      <c r="EO488" s="149"/>
      <c r="EP488" s="149"/>
      <c r="EQ488" s="149"/>
      <c r="ER488" s="149"/>
      <c r="ES488" s="149"/>
      <c r="ET488" s="149"/>
      <c r="EU488" s="149"/>
      <c r="EV488" s="149"/>
      <c r="EW488" s="149"/>
      <c r="EX488" s="149"/>
      <c r="EY488" s="149"/>
      <c r="EZ488" s="149"/>
      <c r="FA488" s="149"/>
      <c r="FB488" s="149"/>
      <c r="FC488" s="149"/>
      <c r="FD488" s="149"/>
      <c r="FE488" s="149"/>
      <c r="FF488" s="149"/>
      <c r="FG488" s="149"/>
      <c r="FH488" s="149"/>
      <c r="FI488" s="149"/>
      <c r="FJ488" s="149"/>
      <c r="FK488" s="149"/>
      <c r="FL488" s="149"/>
      <c r="FM488" s="149"/>
      <c r="FN488" s="149"/>
      <c r="FO488" s="149"/>
      <c r="FP488" s="149"/>
      <c r="FQ488" s="149"/>
      <c r="FR488" s="149"/>
      <c r="FS488" s="149"/>
      <c r="FT488" s="149"/>
      <c r="FU488" s="149"/>
      <c r="FV488" s="149"/>
      <c r="FW488" s="149"/>
      <c r="FX488" s="149"/>
      <c r="FY488" s="149"/>
      <c r="FZ488" s="149"/>
      <c r="GA488" s="149"/>
      <c r="GB488" s="149"/>
      <c r="GC488" s="149"/>
      <c r="GD488" s="149"/>
      <c r="GE488" s="149"/>
      <c r="GF488" s="149"/>
      <c r="GG488" s="149"/>
      <c r="GH488" s="149"/>
      <c r="GI488" s="149"/>
      <c r="GJ488" s="149"/>
      <c r="GK488" s="149"/>
      <c r="GL488" s="149"/>
      <c r="GM488" s="149"/>
      <c r="GN488" s="149"/>
      <c r="GO488" s="149"/>
      <c r="GP488" s="149"/>
      <c r="GQ488" s="149"/>
      <c r="GR488" s="149"/>
      <c r="GS488" s="149"/>
      <c r="GT488" s="149"/>
      <c r="GU488" s="149"/>
      <c r="GV488" s="149"/>
      <c r="GW488" s="149"/>
      <c r="GX488" s="149"/>
      <c r="GY488" s="149"/>
      <c r="GZ488" s="149"/>
      <c r="HA488" s="149"/>
      <c r="HB488" s="149"/>
      <c r="HC488" s="149"/>
      <c r="HD488" s="149"/>
      <c r="HE488" s="149"/>
      <c r="HF488" s="149"/>
      <c r="HG488" s="149"/>
      <c r="HH488" s="149"/>
      <c r="HI488" s="149"/>
      <c r="HJ488" s="149"/>
      <c r="HK488" s="149"/>
      <c r="HL488" s="149"/>
      <c r="HM488" s="149"/>
      <c r="HN488" s="149"/>
      <c r="HO488" s="149"/>
      <c r="HP488" s="149"/>
      <c r="HQ488" s="149"/>
      <c r="HR488" s="149"/>
      <c r="HS488" s="149"/>
      <c r="HT488" s="149"/>
      <c r="HU488" s="149"/>
      <c r="HV488" s="149"/>
      <c r="HW488" s="149"/>
      <c r="HX488" s="149"/>
      <c r="HY488" s="149"/>
      <c r="HZ488" s="149"/>
      <c r="IA488" s="149"/>
      <c r="IB488" s="149"/>
      <c r="IC488" s="149"/>
      <c r="ID488" s="149"/>
      <c r="IE488" s="149"/>
      <c r="IF488" s="149"/>
      <c r="IG488" s="149"/>
      <c r="IH488" s="149"/>
      <c r="II488" s="149"/>
      <c r="IJ488" s="149"/>
      <c r="IK488" s="149"/>
      <c r="IL488" s="149"/>
      <c r="IM488" s="149"/>
      <c r="IN488" s="149"/>
      <c r="IO488" s="149"/>
      <c r="IP488" s="149"/>
      <c r="IQ488" s="149"/>
      <c r="IR488" s="149"/>
      <c r="IS488" s="149"/>
      <c r="IT488" s="149"/>
      <c r="IU488" s="149"/>
    </row>
    <row r="489" spans="1:255">
      <c r="A489" s="145"/>
      <c r="B489" s="62" t="s">
        <v>212</v>
      </c>
      <c r="C489" s="93" t="s">
        <v>450</v>
      </c>
      <c r="D489" s="62" t="s">
        <v>410</v>
      </c>
      <c r="E489" s="49">
        <v>45471</v>
      </c>
      <c r="F489" s="49">
        <v>45474</v>
      </c>
      <c r="G489" s="49">
        <v>45477</v>
      </c>
      <c r="H489" s="63"/>
      <c r="I489" s="65">
        <v>18.016500000000001</v>
      </c>
      <c r="J489" s="65">
        <v>9.084332565891572E-3</v>
      </c>
      <c r="K489" s="65">
        <v>18.00741566743411</v>
      </c>
      <c r="L489" s="36">
        <f>+K489-((K489*0.0225*0.125)+(K489*(1-0.0225)*0.26))</f>
        <v>13.380185118991072</v>
      </c>
      <c r="M489" s="64">
        <f t="shared" si="11"/>
        <v>13.389269451556963</v>
      </c>
      <c r="N489" s="62" t="s">
        <v>248</v>
      </c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  <c r="BT489" s="149"/>
      <c r="BU489" s="149"/>
      <c r="BV489" s="149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49"/>
      <c r="CM489" s="149"/>
      <c r="CN489" s="149"/>
      <c r="CO489" s="149"/>
      <c r="CP489" s="149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  <c r="DO489" s="149"/>
      <c r="DP489" s="149"/>
      <c r="DQ489" s="149"/>
      <c r="DR489" s="149"/>
      <c r="DS489" s="149"/>
      <c r="DT489" s="149"/>
      <c r="DU489" s="149"/>
      <c r="DV489" s="149"/>
      <c r="DW489" s="149"/>
      <c r="DX489" s="149"/>
      <c r="DY489" s="149"/>
      <c r="DZ489" s="149"/>
      <c r="EA489" s="149"/>
      <c r="EB489" s="149"/>
      <c r="EC489" s="149"/>
      <c r="ED489" s="149"/>
      <c r="EE489" s="149"/>
      <c r="EF489" s="149"/>
      <c r="EG489" s="149"/>
      <c r="EH489" s="149"/>
      <c r="EI489" s="149"/>
      <c r="EJ489" s="149"/>
      <c r="EK489" s="149"/>
      <c r="EL489" s="149"/>
      <c r="EM489" s="149"/>
      <c r="EN489" s="149"/>
      <c r="EO489" s="149"/>
      <c r="EP489" s="149"/>
      <c r="EQ489" s="149"/>
      <c r="ER489" s="149"/>
      <c r="ES489" s="149"/>
      <c r="ET489" s="149"/>
      <c r="EU489" s="149"/>
      <c r="EV489" s="149"/>
      <c r="EW489" s="149"/>
      <c r="EX489" s="149"/>
      <c r="EY489" s="149"/>
      <c r="EZ489" s="149"/>
      <c r="FA489" s="149"/>
      <c r="FB489" s="149"/>
      <c r="FC489" s="149"/>
      <c r="FD489" s="149"/>
      <c r="FE489" s="149"/>
      <c r="FF489" s="149"/>
      <c r="FG489" s="149"/>
      <c r="FH489" s="149"/>
      <c r="FI489" s="149"/>
      <c r="FJ489" s="149"/>
      <c r="FK489" s="149"/>
      <c r="FL489" s="149"/>
      <c r="FM489" s="149"/>
      <c r="FN489" s="149"/>
      <c r="FO489" s="149"/>
      <c r="FP489" s="149"/>
      <c r="FQ489" s="149"/>
      <c r="FR489" s="149"/>
      <c r="FS489" s="149"/>
      <c r="FT489" s="149"/>
      <c r="FU489" s="149"/>
      <c r="FV489" s="149"/>
      <c r="FW489" s="149"/>
      <c r="FX489" s="149"/>
      <c r="FY489" s="149"/>
      <c r="FZ489" s="149"/>
      <c r="GA489" s="149"/>
      <c r="GB489" s="149"/>
      <c r="GC489" s="149"/>
      <c r="GD489" s="149"/>
      <c r="GE489" s="149"/>
      <c r="GF489" s="149"/>
      <c r="GG489" s="149"/>
      <c r="GH489" s="149"/>
      <c r="GI489" s="149"/>
      <c r="GJ489" s="149"/>
      <c r="GK489" s="149"/>
      <c r="GL489" s="149"/>
      <c r="GM489" s="149"/>
      <c r="GN489" s="149"/>
      <c r="GO489" s="149"/>
      <c r="GP489" s="149"/>
      <c r="GQ489" s="149"/>
      <c r="GR489" s="149"/>
      <c r="GS489" s="149"/>
      <c r="GT489" s="149"/>
      <c r="GU489" s="149"/>
      <c r="GV489" s="149"/>
      <c r="GW489" s="149"/>
      <c r="GX489" s="149"/>
      <c r="GY489" s="149"/>
      <c r="GZ489" s="149"/>
      <c r="HA489" s="149"/>
      <c r="HB489" s="149"/>
      <c r="HC489" s="149"/>
      <c r="HD489" s="149"/>
      <c r="HE489" s="149"/>
      <c r="HF489" s="149"/>
      <c r="HG489" s="149"/>
      <c r="HH489" s="149"/>
      <c r="HI489" s="149"/>
      <c r="HJ489" s="149"/>
      <c r="HK489" s="149"/>
      <c r="HL489" s="149"/>
      <c r="HM489" s="149"/>
      <c r="HN489" s="149"/>
      <c r="HO489" s="149"/>
      <c r="HP489" s="149"/>
      <c r="HQ489" s="149"/>
      <c r="HR489" s="149"/>
      <c r="HS489" s="149"/>
      <c r="HT489" s="149"/>
      <c r="HU489" s="149"/>
      <c r="HV489" s="149"/>
      <c r="HW489" s="149"/>
      <c r="HX489" s="149"/>
      <c r="HY489" s="149"/>
      <c r="HZ489" s="149"/>
      <c r="IA489" s="149"/>
      <c r="IB489" s="149"/>
      <c r="IC489" s="149"/>
      <c r="ID489" s="149"/>
      <c r="IE489" s="149"/>
      <c r="IF489" s="149"/>
      <c r="IG489" s="149"/>
      <c r="IH489" s="149"/>
      <c r="II489" s="149"/>
      <c r="IJ489" s="149"/>
      <c r="IK489" s="149"/>
      <c r="IL489" s="149"/>
      <c r="IM489" s="149"/>
      <c r="IN489" s="149"/>
      <c r="IO489" s="149"/>
      <c r="IP489" s="149"/>
      <c r="IQ489" s="149"/>
      <c r="IR489" s="149"/>
      <c r="IS489" s="149"/>
      <c r="IT489" s="149"/>
      <c r="IU489" s="149"/>
    </row>
    <row r="490" spans="1:255">
      <c r="A490" s="145"/>
      <c r="B490" s="62" t="s">
        <v>210</v>
      </c>
      <c r="C490" s="93" t="s">
        <v>458</v>
      </c>
      <c r="D490" s="62" t="s">
        <v>410</v>
      </c>
      <c r="E490" s="49">
        <v>45471</v>
      </c>
      <c r="F490" s="49">
        <v>45474</v>
      </c>
      <c r="G490" s="49">
        <v>45477</v>
      </c>
      <c r="H490" s="63" t="s">
        <v>856</v>
      </c>
      <c r="I490" s="65">
        <v>0</v>
      </c>
      <c r="J490" s="65">
        <v>0</v>
      </c>
      <c r="K490" s="65">
        <v>0</v>
      </c>
      <c r="L490" s="36">
        <f>+K490-((K490*0.042*0.125)+(K490*(1-0.042)*0.26))</f>
        <v>0</v>
      </c>
      <c r="M490" s="64">
        <f t="shared" si="11"/>
        <v>0</v>
      </c>
      <c r="N490" s="62" t="s">
        <v>248</v>
      </c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  <c r="BT490" s="149"/>
      <c r="BU490" s="149"/>
      <c r="BV490" s="149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49"/>
      <c r="CM490" s="149"/>
      <c r="CN490" s="149"/>
      <c r="CO490" s="149"/>
      <c r="CP490" s="149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  <c r="DO490" s="149"/>
      <c r="DP490" s="149"/>
      <c r="DQ490" s="149"/>
      <c r="DR490" s="149"/>
      <c r="DS490" s="149"/>
      <c r="DT490" s="149"/>
      <c r="DU490" s="149"/>
      <c r="DV490" s="149"/>
      <c r="DW490" s="149"/>
      <c r="DX490" s="149"/>
      <c r="DY490" s="149"/>
      <c r="DZ490" s="149"/>
      <c r="EA490" s="149"/>
      <c r="EB490" s="149"/>
      <c r="EC490" s="149"/>
      <c r="ED490" s="149"/>
      <c r="EE490" s="149"/>
      <c r="EF490" s="149"/>
      <c r="EG490" s="149"/>
      <c r="EH490" s="149"/>
      <c r="EI490" s="149"/>
      <c r="EJ490" s="149"/>
      <c r="EK490" s="149"/>
      <c r="EL490" s="149"/>
      <c r="EM490" s="149"/>
      <c r="EN490" s="149"/>
      <c r="EO490" s="149"/>
      <c r="EP490" s="149"/>
      <c r="EQ490" s="149"/>
      <c r="ER490" s="149"/>
      <c r="ES490" s="149"/>
      <c r="ET490" s="149"/>
      <c r="EU490" s="149"/>
      <c r="EV490" s="149"/>
      <c r="EW490" s="149"/>
      <c r="EX490" s="149"/>
      <c r="EY490" s="149"/>
      <c r="EZ490" s="149"/>
      <c r="FA490" s="149"/>
      <c r="FB490" s="149"/>
      <c r="FC490" s="149"/>
      <c r="FD490" s="149"/>
      <c r="FE490" s="149"/>
      <c r="FF490" s="149"/>
      <c r="FG490" s="149"/>
      <c r="FH490" s="149"/>
      <c r="FI490" s="149"/>
      <c r="FJ490" s="149"/>
      <c r="FK490" s="149"/>
      <c r="FL490" s="149"/>
      <c r="FM490" s="149"/>
      <c r="FN490" s="149"/>
      <c r="FO490" s="149"/>
      <c r="FP490" s="149"/>
      <c r="FQ490" s="149"/>
      <c r="FR490" s="149"/>
      <c r="FS490" s="149"/>
      <c r="FT490" s="149"/>
      <c r="FU490" s="149"/>
      <c r="FV490" s="149"/>
      <c r="FW490" s="149"/>
      <c r="FX490" s="149"/>
      <c r="FY490" s="149"/>
      <c r="FZ490" s="149"/>
      <c r="GA490" s="149"/>
      <c r="GB490" s="149"/>
      <c r="GC490" s="149"/>
      <c r="GD490" s="149"/>
      <c r="GE490" s="149"/>
      <c r="GF490" s="149"/>
      <c r="GG490" s="149"/>
      <c r="GH490" s="149"/>
      <c r="GI490" s="149"/>
      <c r="GJ490" s="149"/>
      <c r="GK490" s="149"/>
      <c r="GL490" s="149"/>
      <c r="GM490" s="149"/>
      <c r="GN490" s="149"/>
      <c r="GO490" s="149"/>
      <c r="GP490" s="149"/>
      <c r="GQ490" s="149"/>
      <c r="GR490" s="149"/>
      <c r="GS490" s="149"/>
      <c r="GT490" s="149"/>
      <c r="GU490" s="149"/>
      <c r="GV490" s="149"/>
      <c r="GW490" s="149"/>
      <c r="GX490" s="149"/>
      <c r="GY490" s="149"/>
      <c r="GZ490" s="149"/>
      <c r="HA490" s="149"/>
      <c r="HB490" s="149"/>
      <c r="HC490" s="149"/>
      <c r="HD490" s="149"/>
      <c r="HE490" s="149"/>
      <c r="HF490" s="149"/>
      <c r="HG490" s="149"/>
      <c r="HH490" s="149"/>
      <c r="HI490" s="149"/>
      <c r="HJ490" s="149"/>
      <c r="HK490" s="149"/>
      <c r="HL490" s="149"/>
      <c r="HM490" s="149"/>
      <c r="HN490" s="149"/>
      <c r="HO490" s="149"/>
      <c r="HP490" s="149"/>
      <c r="HQ490" s="149"/>
      <c r="HR490" s="149"/>
      <c r="HS490" s="149"/>
      <c r="HT490" s="149"/>
      <c r="HU490" s="149"/>
      <c r="HV490" s="149"/>
      <c r="HW490" s="149"/>
      <c r="HX490" s="149"/>
      <c r="HY490" s="149"/>
      <c r="HZ490" s="149"/>
      <c r="IA490" s="149"/>
      <c r="IB490" s="149"/>
      <c r="IC490" s="149"/>
      <c r="ID490" s="149"/>
      <c r="IE490" s="149"/>
      <c r="IF490" s="149"/>
      <c r="IG490" s="149"/>
      <c r="IH490" s="149"/>
      <c r="II490" s="149"/>
      <c r="IJ490" s="149"/>
      <c r="IK490" s="149"/>
      <c r="IL490" s="149"/>
      <c r="IM490" s="149"/>
      <c r="IN490" s="149"/>
      <c r="IO490" s="149"/>
      <c r="IP490" s="149"/>
      <c r="IQ490" s="149"/>
      <c r="IR490" s="149"/>
      <c r="IS490" s="149"/>
      <c r="IT490" s="149"/>
      <c r="IU490" s="149"/>
    </row>
    <row r="491" spans="1:255">
      <c r="A491" s="145"/>
      <c r="B491" s="62" t="s">
        <v>225</v>
      </c>
      <c r="C491" s="93" t="s">
        <v>454</v>
      </c>
      <c r="D491" s="62" t="s">
        <v>410</v>
      </c>
      <c r="E491" s="49">
        <v>45498</v>
      </c>
      <c r="F491" s="49">
        <v>45499</v>
      </c>
      <c r="G491" s="49">
        <v>45504</v>
      </c>
      <c r="H491" s="63"/>
      <c r="I491" s="65">
        <v>10.4312</v>
      </c>
      <c r="J491" s="65">
        <v>0</v>
      </c>
      <c r="K491" s="65">
        <v>10.4312</v>
      </c>
      <c r="L491" s="36">
        <f>+K491-((K491*0.2685*0.125)+(K491*(1-0.2685)*0.26))</f>
        <v>8.0971929219999996</v>
      </c>
      <c r="M491" s="64">
        <f t="shared" si="11"/>
        <v>8.0971929219999996</v>
      </c>
      <c r="N491" s="62" t="s">
        <v>249</v>
      </c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49"/>
      <c r="DW491" s="149"/>
      <c r="DX491" s="149"/>
      <c r="DY491" s="149"/>
      <c r="DZ491" s="149"/>
      <c r="EA491" s="149"/>
      <c r="EB491" s="149"/>
      <c r="EC491" s="149"/>
      <c r="ED491" s="149"/>
      <c r="EE491" s="149"/>
      <c r="EF491" s="149"/>
      <c r="EG491" s="149"/>
      <c r="EH491" s="149"/>
      <c r="EI491" s="149"/>
      <c r="EJ491" s="149"/>
      <c r="EK491" s="149"/>
      <c r="EL491" s="149"/>
      <c r="EM491" s="149"/>
      <c r="EN491" s="149"/>
      <c r="EO491" s="149"/>
      <c r="EP491" s="149"/>
      <c r="EQ491" s="149"/>
      <c r="ER491" s="149"/>
      <c r="ES491" s="149"/>
      <c r="ET491" s="149"/>
      <c r="EU491" s="149"/>
      <c r="EV491" s="149"/>
      <c r="EW491" s="149"/>
      <c r="EX491" s="149"/>
      <c r="EY491" s="149"/>
      <c r="EZ491" s="149"/>
      <c r="FA491" s="149"/>
      <c r="FB491" s="149"/>
      <c r="FC491" s="149"/>
      <c r="FD491" s="149"/>
      <c r="FE491" s="149"/>
      <c r="FF491" s="149"/>
      <c r="FG491" s="149"/>
      <c r="FH491" s="149"/>
      <c r="FI491" s="149"/>
      <c r="FJ491" s="149"/>
      <c r="FK491" s="149"/>
      <c r="FL491" s="149"/>
      <c r="FM491" s="149"/>
      <c r="FN491" s="149"/>
      <c r="FO491" s="149"/>
      <c r="FP491" s="149"/>
      <c r="FQ491" s="149"/>
      <c r="FR491" s="149"/>
      <c r="FS491" s="149"/>
      <c r="FT491" s="149"/>
      <c r="FU491" s="149"/>
      <c r="FV491" s="149"/>
      <c r="FW491" s="149"/>
      <c r="FX491" s="149"/>
      <c r="FY491" s="149"/>
      <c r="FZ491" s="149"/>
      <c r="GA491" s="149"/>
      <c r="GB491" s="149"/>
      <c r="GC491" s="149"/>
      <c r="GD491" s="149"/>
      <c r="GE491" s="149"/>
      <c r="GF491" s="149"/>
      <c r="GG491" s="149"/>
      <c r="GH491" s="149"/>
      <c r="GI491" s="149"/>
      <c r="GJ491" s="149"/>
      <c r="GK491" s="149"/>
      <c r="GL491" s="149"/>
      <c r="GM491" s="149"/>
      <c r="GN491" s="149"/>
      <c r="GO491" s="149"/>
      <c r="GP491" s="149"/>
      <c r="GQ491" s="149"/>
      <c r="GR491" s="149"/>
      <c r="GS491" s="149"/>
      <c r="GT491" s="149"/>
      <c r="GU491" s="149"/>
      <c r="GV491" s="149"/>
      <c r="GW491" s="149"/>
      <c r="GX491" s="149"/>
      <c r="GY491" s="149"/>
      <c r="GZ491" s="149"/>
      <c r="HA491" s="149"/>
      <c r="HB491" s="149"/>
      <c r="HC491" s="149"/>
      <c r="HD491" s="149"/>
      <c r="HE491" s="149"/>
      <c r="HF491" s="149"/>
      <c r="HG491" s="149"/>
      <c r="HH491" s="149"/>
      <c r="HI491" s="149"/>
      <c r="HJ491" s="149"/>
      <c r="HK491" s="149"/>
      <c r="HL491" s="149"/>
      <c r="HM491" s="149"/>
      <c r="HN491" s="149"/>
      <c r="HO491" s="149"/>
      <c r="HP491" s="149"/>
      <c r="HQ491" s="149"/>
      <c r="HR491" s="149"/>
      <c r="HS491" s="149"/>
      <c r="HT491" s="149"/>
      <c r="HU491" s="149"/>
      <c r="HV491" s="149"/>
      <c r="HW491" s="149"/>
      <c r="HX491" s="149"/>
      <c r="HY491" s="149"/>
      <c r="HZ491" s="149"/>
      <c r="IA491" s="149"/>
      <c r="IB491" s="149"/>
      <c r="IC491" s="149"/>
      <c r="ID491" s="149"/>
      <c r="IE491" s="149"/>
      <c r="IF491" s="149"/>
      <c r="IG491" s="149"/>
      <c r="IH491" s="149"/>
      <c r="II491" s="149"/>
      <c r="IJ491" s="149"/>
      <c r="IK491" s="149"/>
      <c r="IL491" s="149"/>
      <c r="IM491" s="149"/>
      <c r="IN491" s="149"/>
      <c r="IO491" s="149"/>
      <c r="IP491" s="149"/>
      <c r="IQ491" s="149"/>
      <c r="IR491" s="149"/>
      <c r="IS491" s="149"/>
      <c r="IT491" s="149"/>
      <c r="IU491" s="149"/>
    </row>
    <row r="492" spans="1:255">
      <c r="A492" s="145"/>
      <c r="B492" s="62" t="s">
        <v>223</v>
      </c>
      <c r="C492" s="93" t="s">
        <v>865</v>
      </c>
      <c r="D492" s="62" t="s">
        <v>413</v>
      </c>
      <c r="E492" s="49">
        <v>45498</v>
      </c>
      <c r="F492" s="49">
        <v>45499</v>
      </c>
      <c r="G492" s="49">
        <v>45504</v>
      </c>
      <c r="H492" s="63"/>
      <c r="I492" s="65">
        <v>21.0806</v>
      </c>
      <c r="J492" s="65">
        <v>0</v>
      </c>
      <c r="K492" s="65">
        <v>21.0806</v>
      </c>
      <c r="L492" s="36">
        <f>+K492-((K492*0.000000000001*0.125)+(K492*(1-0.00000001)*0.26))</f>
        <v>15.599644054806925</v>
      </c>
      <c r="M492" s="64">
        <f t="shared" si="11"/>
        <v>15.599644054806925</v>
      </c>
      <c r="N492" s="62" t="s">
        <v>250</v>
      </c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  <c r="BT492" s="149"/>
      <c r="BU492" s="149"/>
      <c r="BV492" s="149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49"/>
      <c r="CM492" s="149"/>
      <c r="CN492" s="149"/>
      <c r="CO492" s="149"/>
      <c r="CP492" s="149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  <c r="DO492" s="149"/>
      <c r="DP492" s="149"/>
      <c r="DQ492" s="149"/>
      <c r="DR492" s="149"/>
      <c r="DS492" s="149"/>
      <c r="DT492" s="149"/>
      <c r="DU492" s="149"/>
      <c r="DV492" s="149"/>
      <c r="DW492" s="149"/>
      <c r="DX492" s="149"/>
      <c r="DY492" s="149"/>
      <c r="DZ492" s="149"/>
      <c r="EA492" s="149"/>
      <c r="EB492" s="149"/>
      <c r="EC492" s="149"/>
      <c r="ED492" s="149"/>
      <c r="EE492" s="149"/>
      <c r="EF492" s="149"/>
      <c r="EG492" s="149"/>
      <c r="EH492" s="149"/>
      <c r="EI492" s="149"/>
      <c r="EJ492" s="149"/>
      <c r="EK492" s="149"/>
      <c r="EL492" s="149"/>
      <c r="EM492" s="149"/>
      <c r="EN492" s="149"/>
      <c r="EO492" s="149"/>
      <c r="EP492" s="149"/>
      <c r="EQ492" s="149"/>
      <c r="ER492" s="149"/>
      <c r="ES492" s="149"/>
      <c r="ET492" s="149"/>
      <c r="EU492" s="149"/>
      <c r="EV492" s="149"/>
      <c r="EW492" s="149"/>
      <c r="EX492" s="149"/>
      <c r="EY492" s="149"/>
      <c r="EZ492" s="149"/>
      <c r="FA492" s="149"/>
      <c r="FB492" s="149"/>
      <c r="FC492" s="149"/>
      <c r="FD492" s="149"/>
      <c r="FE492" s="149"/>
      <c r="FF492" s="149"/>
      <c r="FG492" s="149"/>
      <c r="FH492" s="149"/>
      <c r="FI492" s="149"/>
      <c r="FJ492" s="149"/>
      <c r="FK492" s="149"/>
      <c r="FL492" s="149"/>
      <c r="FM492" s="149"/>
      <c r="FN492" s="149"/>
      <c r="FO492" s="149"/>
      <c r="FP492" s="149"/>
      <c r="FQ492" s="149"/>
      <c r="FR492" s="149"/>
      <c r="FS492" s="149"/>
      <c r="FT492" s="149"/>
      <c r="FU492" s="149"/>
      <c r="FV492" s="149"/>
      <c r="FW492" s="149"/>
      <c r="FX492" s="149"/>
      <c r="FY492" s="149"/>
      <c r="FZ492" s="149"/>
      <c r="GA492" s="149"/>
      <c r="GB492" s="149"/>
      <c r="GC492" s="149"/>
      <c r="GD492" s="149"/>
      <c r="GE492" s="149"/>
      <c r="GF492" s="149"/>
      <c r="GG492" s="149"/>
      <c r="GH492" s="149"/>
      <c r="GI492" s="149"/>
      <c r="GJ492" s="149"/>
      <c r="GK492" s="149"/>
      <c r="GL492" s="149"/>
      <c r="GM492" s="149"/>
      <c r="GN492" s="149"/>
      <c r="GO492" s="149"/>
      <c r="GP492" s="149"/>
      <c r="GQ492" s="149"/>
      <c r="GR492" s="149"/>
      <c r="GS492" s="149"/>
      <c r="GT492" s="149"/>
      <c r="GU492" s="149"/>
      <c r="GV492" s="149"/>
      <c r="GW492" s="149"/>
      <c r="GX492" s="149"/>
      <c r="GY492" s="149"/>
      <c r="GZ492" s="149"/>
      <c r="HA492" s="149"/>
      <c r="HB492" s="149"/>
      <c r="HC492" s="149"/>
      <c r="HD492" s="149"/>
      <c r="HE492" s="149"/>
      <c r="HF492" s="149"/>
      <c r="HG492" s="149"/>
      <c r="HH492" s="149"/>
      <c r="HI492" s="149"/>
      <c r="HJ492" s="149"/>
      <c r="HK492" s="149"/>
      <c r="HL492" s="149"/>
      <c r="HM492" s="149"/>
      <c r="HN492" s="149"/>
      <c r="HO492" s="149"/>
      <c r="HP492" s="149"/>
      <c r="HQ492" s="149"/>
      <c r="HR492" s="149"/>
      <c r="HS492" s="149"/>
      <c r="HT492" s="149"/>
      <c r="HU492" s="149"/>
      <c r="HV492" s="149"/>
      <c r="HW492" s="149"/>
      <c r="HX492" s="149"/>
      <c r="HY492" s="149"/>
      <c r="HZ492" s="149"/>
      <c r="IA492" s="149"/>
      <c r="IB492" s="149"/>
      <c r="IC492" s="149"/>
      <c r="ID492" s="149"/>
      <c r="IE492" s="149"/>
      <c r="IF492" s="149"/>
      <c r="IG492" s="149"/>
      <c r="IH492" s="149"/>
      <c r="II492" s="149"/>
      <c r="IJ492" s="149"/>
      <c r="IK492" s="149"/>
      <c r="IL492" s="149"/>
      <c r="IM492" s="149"/>
      <c r="IN492" s="149"/>
      <c r="IO492" s="149"/>
      <c r="IP492" s="149"/>
      <c r="IQ492" s="149"/>
      <c r="IR492" s="149"/>
      <c r="IS492" s="149"/>
      <c r="IT492" s="149"/>
      <c r="IU492" s="149"/>
    </row>
    <row r="493" spans="1:255">
      <c r="A493" s="145"/>
      <c r="B493" s="62" t="s">
        <v>219</v>
      </c>
      <c r="C493" s="93" t="s">
        <v>861</v>
      </c>
      <c r="D493" s="62" t="s">
        <v>410</v>
      </c>
      <c r="E493" s="49">
        <v>45498</v>
      </c>
      <c r="F493" s="49">
        <v>45499</v>
      </c>
      <c r="G493" s="49">
        <v>45504</v>
      </c>
      <c r="H493" s="63"/>
      <c r="I493" s="65">
        <v>8.5594999999999999</v>
      </c>
      <c r="J493" s="65">
        <v>0</v>
      </c>
      <c r="K493" s="65">
        <v>8.5594999999999999</v>
      </c>
      <c r="L493" s="36">
        <f>+K493-((K493*0.0025*0.125)+(K493*(1-0.0025)*0.26))</f>
        <v>6.3369188312499993</v>
      </c>
      <c r="M493" s="64">
        <f t="shared" si="11"/>
        <v>6.3369188312499993</v>
      </c>
      <c r="N493" s="62" t="s">
        <v>249</v>
      </c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  <c r="BT493" s="149"/>
      <c r="BU493" s="149"/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49"/>
      <c r="CO493" s="149"/>
      <c r="CP493" s="149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P493" s="149"/>
      <c r="DQ493" s="149"/>
      <c r="DR493" s="149"/>
      <c r="DS493" s="149"/>
      <c r="DT493" s="149"/>
      <c r="DU493" s="149"/>
      <c r="DV493" s="149"/>
      <c r="DW493" s="149"/>
      <c r="DX493" s="149"/>
      <c r="DY493" s="149"/>
      <c r="DZ493" s="149"/>
      <c r="EA493" s="149"/>
      <c r="EB493" s="149"/>
      <c r="EC493" s="149"/>
      <c r="ED493" s="149"/>
      <c r="EE493" s="149"/>
      <c r="EF493" s="149"/>
      <c r="EG493" s="149"/>
      <c r="EH493" s="149"/>
      <c r="EI493" s="149"/>
      <c r="EJ493" s="149"/>
      <c r="EK493" s="149"/>
      <c r="EL493" s="149"/>
      <c r="EM493" s="149"/>
      <c r="EN493" s="149"/>
      <c r="EO493" s="149"/>
      <c r="EP493" s="149"/>
      <c r="EQ493" s="149"/>
      <c r="ER493" s="149"/>
      <c r="ES493" s="149"/>
      <c r="ET493" s="149"/>
      <c r="EU493" s="149"/>
      <c r="EV493" s="149"/>
      <c r="EW493" s="149"/>
      <c r="EX493" s="149"/>
      <c r="EY493" s="149"/>
      <c r="EZ493" s="149"/>
      <c r="FA493" s="149"/>
      <c r="FB493" s="149"/>
      <c r="FC493" s="149"/>
      <c r="FD493" s="149"/>
      <c r="FE493" s="149"/>
      <c r="FF493" s="149"/>
      <c r="FG493" s="149"/>
      <c r="FH493" s="149"/>
      <c r="FI493" s="149"/>
      <c r="FJ493" s="149"/>
      <c r="FK493" s="149"/>
      <c r="FL493" s="149"/>
      <c r="FM493" s="149"/>
      <c r="FN493" s="149"/>
      <c r="FO493" s="149"/>
      <c r="FP493" s="149"/>
      <c r="FQ493" s="149"/>
      <c r="FR493" s="149"/>
      <c r="FS493" s="149"/>
      <c r="FT493" s="149"/>
      <c r="FU493" s="149"/>
      <c r="FV493" s="149"/>
      <c r="FW493" s="149"/>
      <c r="FX493" s="149"/>
      <c r="FY493" s="149"/>
      <c r="FZ493" s="149"/>
      <c r="GA493" s="149"/>
      <c r="GB493" s="149"/>
      <c r="GC493" s="149"/>
      <c r="GD493" s="149"/>
      <c r="GE493" s="149"/>
      <c r="GF493" s="149"/>
      <c r="GG493" s="149"/>
      <c r="GH493" s="149"/>
      <c r="GI493" s="149"/>
      <c r="GJ493" s="149"/>
      <c r="GK493" s="149"/>
      <c r="GL493" s="149"/>
      <c r="GM493" s="149"/>
      <c r="GN493" s="149"/>
      <c r="GO493" s="149"/>
      <c r="GP493" s="149"/>
      <c r="GQ493" s="149"/>
      <c r="GR493" s="149"/>
      <c r="GS493" s="149"/>
      <c r="GT493" s="149"/>
      <c r="GU493" s="149"/>
      <c r="GV493" s="149"/>
      <c r="GW493" s="149"/>
      <c r="GX493" s="149"/>
      <c r="GY493" s="149"/>
      <c r="GZ493" s="149"/>
      <c r="HA493" s="149"/>
      <c r="HB493" s="149"/>
      <c r="HC493" s="149"/>
      <c r="HD493" s="149"/>
      <c r="HE493" s="149"/>
      <c r="HF493" s="149"/>
      <c r="HG493" s="149"/>
      <c r="HH493" s="149"/>
      <c r="HI493" s="149"/>
      <c r="HJ493" s="149"/>
      <c r="HK493" s="149"/>
      <c r="HL493" s="149"/>
      <c r="HM493" s="149"/>
      <c r="HN493" s="149"/>
      <c r="HO493" s="149"/>
      <c r="HP493" s="149"/>
      <c r="HQ493" s="149"/>
      <c r="HR493" s="149"/>
      <c r="HS493" s="149"/>
      <c r="HT493" s="149"/>
      <c r="HU493" s="149"/>
      <c r="HV493" s="149"/>
      <c r="HW493" s="149"/>
      <c r="HX493" s="149"/>
      <c r="HY493" s="149"/>
      <c r="HZ493" s="149"/>
      <c r="IA493" s="149"/>
      <c r="IB493" s="149"/>
      <c r="IC493" s="149"/>
      <c r="ID493" s="149"/>
      <c r="IE493" s="149"/>
      <c r="IF493" s="149"/>
      <c r="IG493" s="149"/>
      <c r="IH493" s="149"/>
      <c r="II493" s="149"/>
      <c r="IJ493" s="149"/>
      <c r="IK493" s="149"/>
      <c r="IL493" s="149"/>
      <c r="IM493" s="149"/>
      <c r="IN493" s="149"/>
      <c r="IO493" s="149"/>
      <c r="IP493" s="149"/>
      <c r="IQ493" s="149"/>
      <c r="IR493" s="149"/>
      <c r="IS493" s="149"/>
      <c r="IT493" s="149"/>
      <c r="IU493" s="149"/>
    </row>
    <row r="494" spans="1:255">
      <c r="A494" s="145"/>
      <c r="B494" s="62" t="s">
        <v>486</v>
      </c>
      <c r="C494" s="93" t="s">
        <v>862</v>
      </c>
      <c r="D494" s="62" t="s">
        <v>413</v>
      </c>
      <c r="E494" s="49">
        <v>45498</v>
      </c>
      <c r="F494" s="49">
        <v>45499</v>
      </c>
      <c r="G494" s="49">
        <v>45504</v>
      </c>
      <c r="H494" s="63"/>
      <c r="I494" s="65">
        <v>24.0763</v>
      </c>
      <c r="J494" s="65">
        <v>0</v>
      </c>
      <c r="K494" s="65">
        <v>24.0763</v>
      </c>
      <c r="L494" s="36">
        <f>+K494-((K494*0.0025*0.125)+(K494*(1-0.0025)*0.26))</f>
        <v>17.82458775125</v>
      </c>
      <c r="M494" s="64">
        <f t="shared" si="11"/>
        <v>17.82458775125</v>
      </c>
      <c r="N494" s="62" t="s">
        <v>250</v>
      </c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  <c r="BT494" s="149"/>
      <c r="BU494" s="149"/>
      <c r="BV494" s="149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49"/>
      <c r="CM494" s="149"/>
      <c r="CN494" s="149"/>
      <c r="CO494" s="149"/>
      <c r="CP494" s="149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  <c r="DO494" s="149"/>
      <c r="DP494" s="149"/>
      <c r="DQ494" s="149"/>
      <c r="DR494" s="149"/>
      <c r="DS494" s="149"/>
      <c r="DT494" s="149"/>
      <c r="DU494" s="149"/>
      <c r="DV494" s="149"/>
      <c r="DW494" s="149"/>
      <c r="DX494" s="149"/>
      <c r="DY494" s="149"/>
      <c r="DZ494" s="149"/>
      <c r="EA494" s="149"/>
      <c r="EB494" s="149"/>
      <c r="EC494" s="149"/>
      <c r="ED494" s="149"/>
      <c r="EE494" s="149"/>
      <c r="EF494" s="149"/>
      <c r="EG494" s="149"/>
      <c r="EH494" s="149"/>
      <c r="EI494" s="149"/>
      <c r="EJ494" s="149"/>
      <c r="EK494" s="149"/>
      <c r="EL494" s="149"/>
      <c r="EM494" s="149"/>
      <c r="EN494" s="149"/>
      <c r="EO494" s="149"/>
      <c r="EP494" s="149"/>
      <c r="EQ494" s="149"/>
      <c r="ER494" s="149"/>
      <c r="ES494" s="149"/>
      <c r="ET494" s="149"/>
      <c r="EU494" s="149"/>
      <c r="EV494" s="149"/>
      <c r="EW494" s="149"/>
      <c r="EX494" s="149"/>
      <c r="EY494" s="149"/>
      <c r="EZ494" s="149"/>
      <c r="FA494" s="149"/>
      <c r="FB494" s="149"/>
      <c r="FC494" s="149"/>
      <c r="FD494" s="149"/>
      <c r="FE494" s="149"/>
      <c r="FF494" s="149"/>
      <c r="FG494" s="149"/>
      <c r="FH494" s="149"/>
      <c r="FI494" s="149"/>
      <c r="FJ494" s="149"/>
      <c r="FK494" s="149"/>
      <c r="FL494" s="149"/>
      <c r="FM494" s="149"/>
      <c r="FN494" s="149"/>
      <c r="FO494" s="149"/>
      <c r="FP494" s="149"/>
      <c r="FQ494" s="149"/>
      <c r="FR494" s="149"/>
      <c r="FS494" s="149"/>
      <c r="FT494" s="149"/>
      <c r="FU494" s="149"/>
      <c r="FV494" s="149"/>
      <c r="FW494" s="149"/>
      <c r="FX494" s="149"/>
      <c r="FY494" s="149"/>
      <c r="FZ494" s="149"/>
      <c r="GA494" s="149"/>
      <c r="GB494" s="149"/>
      <c r="GC494" s="149"/>
      <c r="GD494" s="149"/>
      <c r="GE494" s="149"/>
      <c r="GF494" s="149"/>
      <c r="GG494" s="149"/>
      <c r="GH494" s="149"/>
      <c r="GI494" s="149"/>
      <c r="GJ494" s="149"/>
      <c r="GK494" s="149"/>
      <c r="GL494" s="149"/>
      <c r="GM494" s="149"/>
      <c r="GN494" s="149"/>
      <c r="GO494" s="149"/>
      <c r="GP494" s="149"/>
      <c r="GQ494" s="149"/>
      <c r="GR494" s="149"/>
      <c r="GS494" s="149"/>
      <c r="GT494" s="149"/>
      <c r="GU494" s="149"/>
      <c r="GV494" s="149"/>
      <c r="GW494" s="149"/>
      <c r="GX494" s="149"/>
      <c r="GY494" s="149"/>
      <c r="GZ494" s="149"/>
      <c r="HA494" s="149"/>
      <c r="HB494" s="149"/>
      <c r="HC494" s="149"/>
      <c r="HD494" s="149"/>
      <c r="HE494" s="149"/>
      <c r="HF494" s="149"/>
      <c r="HG494" s="149"/>
      <c r="HH494" s="149"/>
      <c r="HI494" s="149"/>
      <c r="HJ494" s="149"/>
      <c r="HK494" s="149"/>
      <c r="HL494" s="149"/>
      <c r="HM494" s="149"/>
      <c r="HN494" s="149"/>
      <c r="HO494" s="149"/>
      <c r="HP494" s="149"/>
      <c r="HQ494" s="149"/>
      <c r="HR494" s="149"/>
      <c r="HS494" s="149"/>
      <c r="HT494" s="149"/>
      <c r="HU494" s="149"/>
      <c r="HV494" s="149"/>
      <c r="HW494" s="149"/>
      <c r="HX494" s="149"/>
      <c r="HY494" s="149"/>
      <c r="HZ494" s="149"/>
      <c r="IA494" s="149"/>
      <c r="IB494" s="149"/>
      <c r="IC494" s="149"/>
      <c r="ID494" s="149"/>
      <c r="IE494" s="149"/>
      <c r="IF494" s="149"/>
      <c r="IG494" s="149"/>
      <c r="IH494" s="149"/>
      <c r="II494" s="149"/>
      <c r="IJ494" s="149"/>
      <c r="IK494" s="149"/>
      <c r="IL494" s="149"/>
      <c r="IM494" s="149"/>
      <c r="IN494" s="149"/>
      <c r="IO494" s="149"/>
      <c r="IP494" s="149"/>
      <c r="IQ494" s="149"/>
      <c r="IR494" s="149"/>
      <c r="IS494" s="149"/>
      <c r="IT494" s="149"/>
      <c r="IU494" s="149"/>
    </row>
    <row r="495" spans="1:255">
      <c r="A495" s="145"/>
      <c r="B495" s="62" t="s">
        <v>489</v>
      </c>
      <c r="C495" s="93" t="s">
        <v>521</v>
      </c>
      <c r="D495" s="62" t="s">
        <v>413</v>
      </c>
      <c r="E495" s="49">
        <v>45498</v>
      </c>
      <c r="F495" s="49">
        <v>45499</v>
      </c>
      <c r="G495" s="49">
        <v>45504</v>
      </c>
      <c r="H495" s="63" t="s">
        <v>856</v>
      </c>
      <c r="I495" s="65">
        <v>0</v>
      </c>
      <c r="J495" s="65">
        <v>0</v>
      </c>
      <c r="K495" s="65">
        <v>0</v>
      </c>
      <c r="L495" s="36">
        <f>+K495-((K495*0.239*0.125)+(K495*(1-0.239)*0.26))</f>
        <v>0</v>
      </c>
      <c r="M495" s="64">
        <f t="shared" si="11"/>
        <v>0</v>
      </c>
      <c r="N495" s="62" t="s">
        <v>250</v>
      </c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  <c r="BT495" s="149"/>
      <c r="BU495" s="149"/>
      <c r="BV495" s="149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49"/>
      <c r="CM495" s="149"/>
      <c r="CN495" s="149"/>
      <c r="CO495" s="149"/>
      <c r="CP495" s="149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  <c r="DO495" s="149"/>
      <c r="DP495" s="149"/>
      <c r="DQ495" s="149"/>
      <c r="DR495" s="149"/>
      <c r="DS495" s="149"/>
      <c r="DT495" s="149"/>
      <c r="DU495" s="149"/>
      <c r="DV495" s="149"/>
      <c r="DW495" s="149"/>
      <c r="DX495" s="149"/>
      <c r="DY495" s="149"/>
      <c r="DZ495" s="149"/>
      <c r="EA495" s="149"/>
      <c r="EB495" s="149"/>
      <c r="EC495" s="149"/>
      <c r="ED495" s="149"/>
      <c r="EE495" s="149"/>
      <c r="EF495" s="149"/>
      <c r="EG495" s="149"/>
      <c r="EH495" s="149"/>
      <c r="EI495" s="149"/>
      <c r="EJ495" s="149"/>
      <c r="EK495" s="149"/>
      <c r="EL495" s="149"/>
      <c r="EM495" s="149"/>
      <c r="EN495" s="149"/>
      <c r="EO495" s="149"/>
      <c r="EP495" s="149"/>
      <c r="EQ495" s="149"/>
      <c r="ER495" s="149"/>
      <c r="ES495" s="149"/>
      <c r="ET495" s="149"/>
      <c r="EU495" s="149"/>
      <c r="EV495" s="149"/>
      <c r="EW495" s="149"/>
      <c r="EX495" s="149"/>
      <c r="EY495" s="149"/>
      <c r="EZ495" s="149"/>
      <c r="FA495" s="149"/>
      <c r="FB495" s="149"/>
      <c r="FC495" s="149"/>
      <c r="FD495" s="149"/>
      <c r="FE495" s="149"/>
      <c r="FF495" s="149"/>
      <c r="FG495" s="149"/>
      <c r="FH495" s="149"/>
      <c r="FI495" s="149"/>
      <c r="FJ495" s="149"/>
      <c r="FK495" s="149"/>
      <c r="FL495" s="149"/>
      <c r="FM495" s="149"/>
      <c r="FN495" s="149"/>
      <c r="FO495" s="149"/>
      <c r="FP495" s="149"/>
      <c r="FQ495" s="149"/>
      <c r="FR495" s="149"/>
      <c r="FS495" s="149"/>
      <c r="FT495" s="149"/>
      <c r="FU495" s="149"/>
      <c r="FV495" s="149"/>
      <c r="FW495" s="149"/>
      <c r="FX495" s="149"/>
      <c r="FY495" s="149"/>
      <c r="FZ495" s="149"/>
      <c r="GA495" s="149"/>
      <c r="GB495" s="149"/>
      <c r="GC495" s="149"/>
      <c r="GD495" s="149"/>
      <c r="GE495" s="149"/>
      <c r="GF495" s="149"/>
      <c r="GG495" s="149"/>
      <c r="GH495" s="149"/>
      <c r="GI495" s="149"/>
      <c r="GJ495" s="149"/>
      <c r="GK495" s="149"/>
      <c r="GL495" s="149"/>
      <c r="GM495" s="149"/>
      <c r="GN495" s="149"/>
      <c r="GO495" s="149"/>
      <c r="GP495" s="149"/>
      <c r="GQ495" s="149"/>
      <c r="GR495" s="149"/>
      <c r="GS495" s="149"/>
      <c r="GT495" s="149"/>
      <c r="GU495" s="149"/>
      <c r="GV495" s="149"/>
      <c r="GW495" s="149"/>
      <c r="GX495" s="149"/>
      <c r="GY495" s="149"/>
      <c r="GZ495" s="149"/>
      <c r="HA495" s="149"/>
      <c r="HB495" s="149"/>
      <c r="HC495" s="149"/>
      <c r="HD495" s="149"/>
      <c r="HE495" s="149"/>
      <c r="HF495" s="149"/>
      <c r="HG495" s="149"/>
      <c r="HH495" s="149"/>
      <c r="HI495" s="149"/>
      <c r="HJ495" s="149"/>
      <c r="HK495" s="149"/>
      <c r="HL495" s="149"/>
      <c r="HM495" s="149"/>
      <c r="HN495" s="149"/>
      <c r="HO495" s="149"/>
      <c r="HP495" s="149"/>
      <c r="HQ495" s="149"/>
      <c r="HR495" s="149"/>
      <c r="HS495" s="149"/>
      <c r="HT495" s="149"/>
      <c r="HU495" s="149"/>
      <c r="HV495" s="149"/>
      <c r="HW495" s="149"/>
      <c r="HX495" s="149"/>
      <c r="HY495" s="149"/>
      <c r="HZ495" s="149"/>
      <c r="IA495" s="149"/>
      <c r="IB495" s="149"/>
      <c r="IC495" s="149"/>
      <c r="ID495" s="149"/>
      <c r="IE495" s="149"/>
      <c r="IF495" s="149"/>
      <c r="IG495" s="149"/>
      <c r="IH495" s="149"/>
      <c r="II495" s="149"/>
      <c r="IJ495" s="149"/>
      <c r="IK495" s="149"/>
      <c r="IL495" s="149"/>
      <c r="IM495" s="149"/>
      <c r="IN495" s="149"/>
      <c r="IO495" s="149"/>
      <c r="IP495" s="149"/>
      <c r="IQ495" s="149"/>
      <c r="IR495" s="149"/>
      <c r="IS495" s="149"/>
      <c r="IT495" s="149"/>
      <c r="IU495" s="149"/>
    </row>
    <row r="496" spans="1:255">
      <c r="A496" s="145"/>
      <c r="B496" s="62" t="s">
        <v>218</v>
      </c>
      <c r="C496" s="93" t="s">
        <v>455</v>
      </c>
      <c r="D496" s="62" t="s">
        <v>413</v>
      </c>
      <c r="E496" s="49">
        <v>45498</v>
      </c>
      <c r="F496" s="49">
        <v>45499</v>
      </c>
      <c r="G496" s="49">
        <v>45504</v>
      </c>
      <c r="H496" s="63"/>
      <c r="I496" s="65">
        <v>29.421399999999998</v>
      </c>
      <c r="J496" s="65">
        <v>0</v>
      </c>
      <c r="K496" s="65">
        <v>29.421399999999998</v>
      </c>
      <c r="L496" s="36">
        <f>+K496-((K496*0.239*0.125)+(K496*(1-0.239)*0.26))</f>
        <v>22.721117470999999</v>
      </c>
      <c r="M496" s="64">
        <f t="shared" si="11"/>
        <v>22.721117470999999</v>
      </c>
      <c r="N496" s="62" t="s">
        <v>250</v>
      </c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  <c r="BT496" s="149"/>
      <c r="BU496" s="149"/>
      <c r="BV496" s="149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49"/>
      <c r="CM496" s="149"/>
      <c r="CN496" s="149"/>
      <c r="CO496" s="149"/>
      <c r="CP496" s="149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  <c r="DO496" s="149"/>
      <c r="DP496" s="149"/>
      <c r="DQ496" s="149"/>
      <c r="DR496" s="149"/>
      <c r="DS496" s="149"/>
      <c r="DT496" s="149"/>
      <c r="DU496" s="149"/>
      <c r="DV496" s="149"/>
      <c r="DW496" s="149"/>
      <c r="DX496" s="149"/>
      <c r="DY496" s="149"/>
      <c r="DZ496" s="149"/>
      <c r="EA496" s="149"/>
      <c r="EB496" s="149"/>
      <c r="EC496" s="149"/>
      <c r="ED496" s="149"/>
      <c r="EE496" s="149"/>
      <c r="EF496" s="149"/>
      <c r="EG496" s="149"/>
      <c r="EH496" s="149"/>
      <c r="EI496" s="149"/>
      <c r="EJ496" s="149"/>
      <c r="EK496" s="149"/>
      <c r="EL496" s="149"/>
      <c r="EM496" s="149"/>
      <c r="EN496" s="149"/>
      <c r="EO496" s="149"/>
      <c r="EP496" s="149"/>
      <c r="EQ496" s="149"/>
      <c r="ER496" s="149"/>
      <c r="ES496" s="149"/>
      <c r="ET496" s="149"/>
      <c r="EU496" s="149"/>
      <c r="EV496" s="149"/>
      <c r="EW496" s="149"/>
      <c r="EX496" s="149"/>
      <c r="EY496" s="149"/>
      <c r="EZ496" s="149"/>
      <c r="FA496" s="149"/>
      <c r="FB496" s="149"/>
      <c r="FC496" s="149"/>
      <c r="FD496" s="149"/>
      <c r="FE496" s="149"/>
      <c r="FF496" s="149"/>
      <c r="FG496" s="149"/>
      <c r="FH496" s="149"/>
      <c r="FI496" s="149"/>
      <c r="FJ496" s="149"/>
      <c r="FK496" s="149"/>
      <c r="FL496" s="149"/>
      <c r="FM496" s="149"/>
      <c r="FN496" s="149"/>
      <c r="FO496" s="149"/>
      <c r="FP496" s="149"/>
      <c r="FQ496" s="149"/>
      <c r="FR496" s="149"/>
      <c r="FS496" s="149"/>
      <c r="FT496" s="149"/>
      <c r="FU496" s="149"/>
      <c r="FV496" s="149"/>
      <c r="FW496" s="149"/>
      <c r="FX496" s="149"/>
      <c r="FY496" s="149"/>
      <c r="FZ496" s="149"/>
      <c r="GA496" s="149"/>
      <c r="GB496" s="149"/>
      <c r="GC496" s="149"/>
      <c r="GD496" s="149"/>
      <c r="GE496" s="149"/>
      <c r="GF496" s="149"/>
      <c r="GG496" s="149"/>
      <c r="GH496" s="149"/>
      <c r="GI496" s="149"/>
      <c r="GJ496" s="149"/>
      <c r="GK496" s="149"/>
      <c r="GL496" s="149"/>
      <c r="GM496" s="149"/>
      <c r="GN496" s="149"/>
      <c r="GO496" s="149"/>
      <c r="GP496" s="149"/>
      <c r="GQ496" s="149"/>
      <c r="GR496" s="149"/>
      <c r="GS496" s="149"/>
      <c r="GT496" s="149"/>
      <c r="GU496" s="149"/>
      <c r="GV496" s="149"/>
      <c r="GW496" s="149"/>
      <c r="GX496" s="149"/>
      <c r="GY496" s="149"/>
      <c r="GZ496" s="149"/>
      <c r="HA496" s="149"/>
      <c r="HB496" s="149"/>
      <c r="HC496" s="149"/>
      <c r="HD496" s="149"/>
      <c r="HE496" s="149"/>
      <c r="HF496" s="149"/>
      <c r="HG496" s="149"/>
      <c r="HH496" s="149"/>
      <c r="HI496" s="149"/>
      <c r="HJ496" s="149"/>
      <c r="HK496" s="149"/>
      <c r="HL496" s="149"/>
      <c r="HM496" s="149"/>
      <c r="HN496" s="149"/>
      <c r="HO496" s="149"/>
      <c r="HP496" s="149"/>
      <c r="HQ496" s="149"/>
      <c r="HR496" s="149"/>
      <c r="HS496" s="149"/>
      <c r="HT496" s="149"/>
      <c r="HU496" s="149"/>
      <c r="HV496" s="149"/>
      <c r="HW496" s="149"/>
      <c r="HX496" s="149"/>
      <c r="HY496" s="149"/>
      <c r="HZ496" s="149"/>
      <c r="IA496" s="149"/>
      <c r="IB496" s="149"/>
      <c r="IC496" s="149"/>
      <c r="ID496" s="149"/>
      <c r="IE496" s="149"/>
      <c r="IF496" s="149"/>
      <c r="IG496" s="149"/>
      <c r="IH496" s="149"/>
      <c r="II496" s="149"/>
      <c r="IJ496" s="149"/>
      <c r="IK496" s="149"/>
      <c r="IL496" s="149"/>
      <c r="IM496" s="149"/>
      <c r="IN496" s="149"/>
      <c r="IO496" s="149"/>
      <c r="IP496" s="149"/>
      <c r="IQ496" s="149"/>
      <c r="IR496" s="149"/>
      <c r="IS496" s="149"/>
      <c r="IT496" s="149"/>
      <c r="IU496" s="149"/>
    </row>
    <row r="497" spans="1:255">
      <c r="A497" s="145"/>
      <c r="B497" s="62" t="s">
        <v>491</v>
      </c>
      <c r="C497" s="93" t="s">
        <v>671</v>
      </c>
      <c r="D497" s="62" t="s">
        <v>413</v>
      </c>
      <c r="E497" s="49">
        <v>45498</v>
      </c>
      <c r="F497" s="49">
        <v>45499</v>
      </c>
      <c r="G497" s="49">
        <v>45504</v>
      </c>
      <c r="H497" s="63" t="s">
        <v>856</v>
      </c>
      <c r="I497" s="65">
        <v>0</v>
      </c>
      <c r="J497" s="65">
        <v>0</v>
      </c>
      <c r="K497" s="65">
        <v>0</v>
      </c>
      <c r="L497" s="36">
        <f>+K497-((K497*0.1155*0.125)+(K497*(1-0.1155)*0.26))</f>
        <v>0</v>
      </c>
      <c r="M497" s="64">
        <f t="shared" si="11"/>
        <v>0</v>
      </c>
      <c r="N497" s="62" t="s">
        <v>250</v>
      </c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  <c r="BT497" s="149"/>
      <c r="BU497" s="149"/>
      <c r="BV497" s="149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49"/>
      <c r="CM497" s="149"/>
      <c r="CN497" s="149"/>
      <c r="CO497" s="149"/>
      <c r="CP497" s="149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  <c r="DO497" s="149"/>
      <c r="DP497" s="149"/>
      <c r="DQ497" s="149"/>
      <c r="DR497" s="149"/>
      <c r="DS497" s="149"/>
      <c r="DT497" s="149"/>
      <c r="DU497" s="149"/>
      <c r="DV497" s="149"/>
      <c r="DW497" s="149"/>
      <c r="DX497" s="149"/>
      <c r="DY497" s="149"/>
      <c r="DZ497" s="149"/>
      <c r="EA497" s="149"/>
      <c r="EB497" s="149"/>
      <c r="EC497" s="149"/>
      <c r="ED497" s="149"/>
      <c r="EE497" s="149"/>
      <c r="EF497" s="149"/>
      <c r="EG497" s="149"/>
      <c r="EH497" s="149"/>
      <c r="EI497" s="149"/>
      <c r="EJ497" s="149"/>
      <c r="EK497" s="149"/>
      <c r="EL497" s="149"/>
      <c r="EM497" s="149"/>
      <c r="EN497" s="149"/>
      <c r="EO497" s="149"/>
      <c r="EP497" s="149"/>
      <c r="EQ497" s="149"/>
      <c r="ER497" s="149"/>
      <c r="ES497" s="149"/>
      <c r="ET497" s="149"/>
      <c r="EU497" s="149"/>
      <c r="EV497" s="149"/>
      <c r="EW497" s="149"/>
      <c r="EX497" s="149"/>
      <c r="EY497" s="149"/>
      <c r="EZ497" s="149"/>
      <c r="FA497" s="149"/>
      <c r="FB497" s="149"/>
      <c r="FC497" s="149"/>
      <c r="FD497" s="149"/>
      <c r="FE497" s="149"/>
      <c r="FF497" s="149"/>
      <c r="FG497" s="149"/>
      <c r="FH497" s="149"/>
      <c r="FI497" s="149"/>
      <c r="FJ497" s="149"/>
      <c r="FK497" s="149"/>
      <c r="FL497" s="149"/>
      <c r="FM497" s="149"/>
      <c r="FN497" s="149"/>
      <c r="FO497" s="149"/>
      <c r="FP497" s="149"/>
      <c r="FQ497" s="149"/>
      <c r="FR497" s="149"/>
      <c r="FS497" s="149"/>
      <c r="FT497" s="149"/>
      <c r="FU497" s="149"/>
      <c r="FV497" s="149"/>
      <c r="FW497" s="149"/>
      <c r="FX497" s="149"/>
      <c r="FY497" s="149"/>
      <c r="FZ497" s="149"/>
      <c r="GA497" s="149"/>
      <c r="GB497" s="149"/>
      <c r="GC497" s="149"/>
      <c r="GD497" s="149"/>
      <c r="GE497" s="149"/>
      <c r="GF497" s="149"/>
      <c r="GG497" s="149"/>
      <c r="GH497" s="149"/>
      <c r="GI497" s="149"/>
      <c r="GJ497" s="149"/>
      <c r="GK497" s="149"/>
      <c r="GL497" s="149"/>
      <c r="GM497" s="149"/>
      <c r="GN497" s="149"/>
      <c r="GO497" s="149"/>
      <c r="GP497" s="149"/>
      <c r="GQ497" s="149"/>
      <c r="GR497" s="149"/>
      <c r="GS497" s="149"/>
      <c r="GT497" s="149"/>
      <c r="GU497" s="149"/>
      <c r="GV497" s="149"/>
      <c r="GW497" s="149"/>
      <c r="GX497" s="149"/>
      <c r="GY497" s="149"/>
      <c r="GZ497" s="149"/>
      <c r="HA497" s="149"/>
      <c r="HB497" s="149"/>
      <c r="HC497" s="149"/>
      <c r="HD497" s="149"/>
      <c r="HE497" s="149"/>
      <c r="HF497" s="149"/>
      <c r="HG497" s="149"/>
      <c r="HH497" s="149"/>
      <c r="HI497" s="149"/>
      <c r="HJ497" s="149"/>
      <c r="HK497" s="149"/>
      <c r="HL497" s="149"/>
      <c r="HM497" s="149"/>
      <c r="HN497" s="149"/>
      <c r="HO497" s="149"/>
      <c r="HP497" s="149"/>
      <c r="HQ497" s="149"/>
      <c r="HR497" s="149"/>
      <c r="HS497" s="149"/>
      <c r="HT497" s="149"/>
      <c r="HU497" s="149"/>
      <c r="HV497" s="149"/>
      <c r="HW497" s="149"/>
      <c r="HX497" s="149"/>
      <c r="HY497" s="149"/>
      <c r="HZ497" s="149"/>
      <c r="IA497" s="149"/>
      <c r="IB497" s="149"/>
      <c r="IC497" s="149"/>
      <c r="ID497" s="149"/>
      <c r="IE497" s="149"/>
      <c r="IF497" s="149"/>
      <c r="IG497" s="149"/>
      <c r="IH497" s="149"/>
      <c r="II497" s="149"/>
      <c r="IJ497" s="149"/>
      <c r="IK497" s="149"/>
      <c r="IL497" s="149"/>
      <c r="IM497" s="149"/>
      <c r="IN497" s="149"/>
      <c r="IO497" s="149"/>
      <c r="IP497" s="149"/>
      <c r="IQ497" s="149"/>
      <c r="IR497" s="149"/>
      <c r="IS497" s="149"/>
      <c r="IT497" s="149"/>
      <c r="IU497" s="149"/>
    </row>
    <row r="498" spans="1:255">
      <c r="A498" s="145"/>
      <c r="B498" s="62" t="s">
        <v>293</v>
      </c>
      <c r="C498" s="93" t="s">
        <v>553</v>
      </c>
      <c r="D498" s="62" t="s">
        <v>412</v>
      </c>
      <c r="E498" s="49">
        <v>45544</v>
      </c>
      <c r="F498" s="49">
        <v>45545</v>
      </c>
      <c r="G498" s="49">
        <v>45548</v>
      </c>
      <c r="H498" s="63"/>
      <c r="I498" s="65">
        <v>6.7</v>
      </c>
      <c r="J498" s="65">
        <v>0</v>
      </c>
      <c r="K498" s="65">
        <v>6.7</v>
      </c>
      <c r="L498" s="36">
        <f>+K498-((K498*0.0055*0.125)+(K498*(1-0.0055)*0.26))</f>
        <v>4.9629747499999999</v>
      </c>
      <c r="M498" s="64">
        <f t="shared" si="11"/>
        <v>4.9629747499999999</v>
      </c>
      <c r="N498" s="62" t="s">
        <v>288</v>
      </c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  <c r="BT498" s="149"/>
      <c r="BU498" s="149"/>
      <c r="BV498" s="149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49"/>
      <c r="CM498" s="149"/>
      <c r="CN498" s="149"/>
      <c r="CO498" s="149"/>
      <c r="CP498" s="149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  <c r="DO498" s="149"/>
      <c r="DP498" s="149"/>
      <c r="DQ498" s="149"/>
      <c r="DR498" s="149"/>
      <c r="DS498" s="149"/>
      <c r="DT498" s="149"/>
      <c r="DU498" s="149"/>
      <c r="DV498" s="149"/>
      <c r="DW498" s="149"/>
      <c r="DX498" s="149"/>
      <c r="DY498" s="149"/>
      <c r="DZ498" s="149"/>
      <c r="EA498" s="149"/>
      <c r="EB498" s="149"/>
      <c r="EC498" s="149"/>
      <c r="ED498" s="149"/>
      <c r="EE498" s="149"/>
      <c r="EF498" s="149"/>
      <c r="EG498" s="149"/>
      <c r="EH498" s="149"/>
      <c r="EI498" s="149"/>
      <c r="EJ498" s="149"/>
      <c r="EK498" s="149"/>
      <c r="EL498" s="149"/>
      <c r="EM498" s="149"/>
      <c r="EN498" s="149"/>
      <c r="EO498" s="149"/>
      <c r="EP498" s="149"/>
      <c r="EQ498" s="149"/>
      <c r="ER498" s="149"/>
      <c r="ES498" s="149"/>
      <c r="ET498" s="149"/>
      <c r="EU498" s="149"/>
      <c r="EV498" s="149"/>
      <c r="EW498" s="149"/>
      <c r="EX498" s="149"/>
      <c r="EY498" s="149"/>
      <c r="EZ498" s="149"/>
      <c r="FA498" s="149"/>
      <c r="FB498" s="149"/>
      <c r="FC498" s="149"/>
      <c r="FD498" s="149"/>
      <c r="FE498" s="149"/>
      <c r="FF498" s="149"/>
      <c r="FG498" s="149"/>
      <c r="FH498" s="149"/>
      <c r="FI498" s="149"/>
      <c r="FJ498" s="149"/>
      <c r="FK498" s="149"/>
      <c r="FL498" s="149"/>
      <c r="FM498" s="149"/>
      <c r="FN498" s="149"/>
      <c r="FO498" s="149"/>
      <c r="FP498" s="149"/>
      <c r="FQ498" s="149"/>
      <c r="FR498" s="149"/>
      <c r="FS498" s="149"/>
      <c r="FT498" s="149"/>
      <c r="FU498" s="149"/>
      <c r="FV498" s="149"/>
      <c r="FW498" s="149"/>
      <c r="FX498" s="149"/>
      <c r="FY498" s="149"/>
      <c r="FZ498" s="149"/>
      <c r="GA498" s="149"/>
      <c r="GB498" s="149"/>
      <c r="GC498" s="149"/>
      <c r="GD498" s="149"/>
      <c r="GE498" s="149"/>
      <c r="GF498" s="149"/>
      <c r="GG498" s="149"/>
      <c r="GH498" s="149"/>
      <c r="GI498" s="149"/>
      <c r="GJ498" s="149"/>
      <c r="GK498" s="149"/>
      <c r="GL498" s="149"/>
      <c r="GM498" s="149"/>
      <c r="GN498" s="149"/>
      <c r="GO498" s="149"/>
      <c r="GP498" s="149"/>
      <c r="GQ498" s="149"/>
      <c r="GR498" s="149"/>
      <c r="GS498" s="149"/>
      <c r="GT498" s="149"/>
      <c r="GU498" s="149"/>
      <c r="GV498" s="149"/>
      <c r="GW498" s="149"/>
      <c r="GX498" s="149"/>
      <c r="GY498" s="149"/>
      <c r="GZ498" s="149"/>
      <c r="HA498" s="149"/>
      <c r="HB498" s="149"/>
      <c r="HC498" s="149"/>
      <c r="HD498" s="149"/>
      <c r="HE498" s="149"/>
      <c r="HF498" s="149"/>
      <c r="HG498" s="149"/>
      <c r="HH498" s="149"/>
      <c r="HI498" s="149"/>
      <c r="HJ498" s="149"/>
      <c r="HK498" s="149"/>
      <c r="HL498" s="149"/>
      <c r="HM498" s="149"/>
      <c r="HN498" s="149"/>
      <c r="HO498" s="149"/>
      <c r="HP498" s="149"/>
      <c r="HQ498" s="149"/>
      <c r="HR498" s="149"/>
      <c r="HS498" s="149"/>
      <c r="HT498" s="149"/>
      <c r="HU498" s="149"/>
      <c r="HV498" s="149"/>
      <c r="HW498" s="149"/>
      <c r="HX498" s="149"/>
      <c r="HY498" s="149"/>
      <c r="HZ498" s="149"/>
      <c r="IA498" s="149"/>
      <c r="IB498" s="149"/>
      <c r="IC498" s="149"/>
      <c r="ID498" s="149"/>
      <c r="IE498" s="149"/>
      <c r="IF498" s="149"/>
      <c r="IG498" s="149"/>
      <c r="IH498" s="149"/>
      <c r="II498" s="149"/>
      <c r="IJ498" s="149"/>
      <c r="IK498" s="149"/>
      <c r="IL498" s="149"/>
      <c r="IM498" s="149"/>
      <c r="IN498" s="149"/>
      <c r="IO498" s="149"/>
      <c r="IP498" s="149"/>
      <c r="IQ498" s="149"/>
      <c r="IR498" s="149"/>
      <c r="IS498" s="149"/>
      <c r="IT498" s="149"/>
      <c r="IU498" s="149"/>
    </row>
    <row r="499" spans="1:255">
      <c r="A499" s="145"/>
      <c r="B499" s="62" t="s">
        <v>295</v>
      </c>
      <c r="C499" s="93" t="s">
        <v>461</v>
      </c>
      <c r="D499" s="62" t="s">
        <v>412</v>
      </c>
      <c r="E499" s="49">
        <v>45544</v>
      </c>
      <c r="F499" s="49">
        <v>45545</v>
      </c>
      <c r="G499" s="49">
        <v>45548</v>
      </c>
      <c r="H499" s="63"/>
      <c r="I499" s="65">
        <v>87.11</v>
      </c>
      <c r="J499" s="65">
        <v>0</v>
      </c>
      <c r="K499" s="65">
        <v>87.11</v>
      </c>
      <c r="L499" s="36">
        <f>+K499-((K499*0.363*0.125)+(K499*(1-0.363)*0.26))</f>
        <v>68.73022555</v>
      </c>
      <c r="M499" s="64">
        <f t="shared" si="11"/>
        <v>68.73022555</v>
      </c>
      <c r="N499" s="62" t="s">
        <v>288</v>
      </c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49"/>
      <c r="DW499" s="149"/>
      <c r="DX499" s="149"/>
      <c r="DY499" s="149"/>
      <c r="DZ499" s="149"/>
      <c r="EA499" s="149"/>
      <c r="EB499" s="149"/>
      <c r="EC499" s="149"/>
      <c r="ED499" s="149"/>
      <c r="EE499" s="149"/>
      <c r="EF499" s="149"/>
      <c r="EG499" s="149"/>
      <c r="EH499" s="149"/>
      <c r="EI499" s="149"/>
      <c r="EJ499" s="149"/>
      <c r="EK499" s="149"/>
      <c r="EL499" s="149"/>
      <c r="EM499" s="149"/>
      <c r="EN499" s="149"/>
      <c r="EO499" s="149"/>
      <c r="EP499" s="149"/>
      <c r="EQ499" s="149"/>
      <c r="ER499" s="149"/>
      <c r="ES499" s="149"/>
      <c r="ET499" s="149"/>
      <c r="EU499" s="149"/>
      <c r="EV499" s="149"/>
      <c r="EW499" s="149"/>
      <c r="EX499" s="149"/>
      <c r="EY499" s="149"/>
      <c r="EZ499" s="149"/>
      <c r="FA499" s="149"/>
      <c r="FB499" s="149"/>
      <c r="FC499" s="149"/>
      <c r="FD499" s="149"/>
      <c r="FE499" s="149"/>
      <c r="FF499" s="149"/>
      <c r="FG499" s="149"/>
      <c r="FH499" s="149"/>
      <c r="FI499" s="149"/>
      <c r="FJ499" s="149"/>
      <c r="FK499" s="149"/>
      <c r="FL499" s="149"/>
      <c r="FM499" s="149"/>
      <c r="FN499" s="149"/>
      <c r="FO499" s="149"/>
      <c r="FP499" s="149"/>
      <c r="FQ499" s="149"/>
      <c r="FR499" s="149"/>
      <c r="FS499" s="149"/>
      <c r="FT499" s="149"/>
      <c r="FU499" s="149"/>
      <c r="FV499" s="149"/>
      <c r="FW499" s="149"/>
      <c r="FX499" s="149"/>
      <c r="FY499" s="149"/>
      <c r="FZ499" s="149"/>
      <c r="GA499" s="149"/>
      <c r="GB499" s="149"/>
      <c r="GC499" s="149"/>
      <c r="GD499" s="149"/>
      <c r="GE499" s="149"/>
      <c r="GF499" s="149"/>
      <c r="GG499" s="149"/>
      <c r="GH499" s="149"/>
      <c r="GI499" s="149"/>
      <c r="GJ499" s="149"/>
      <c r="GK499" s="149"/>
      <c r="GL499" s="149"/>
      <c r="GM499" s="149"/>
      <c r="GN499" s="149"/>
      <c r="GO499" s="149"/>
      <c r="GP499" s="149"/>
      <c r="GQ499" s="149"/>
      <c r="GR499" s="149"/>
      <c r="GS499" s="149"/>
      <c r="GT499" s="149"/>
      <c r="GU499" s="149"/>
      <c r="GV499" s="149"/>
      <c r="GW499" s="149"/>
      <c r="GX499" s="149"/>
      <c r="GY499" s="149"/>
      <c r="GZ499" s="149"/>
      <c r="HA499" s="149"/>
      <c r="HB499" s="149"/>
      <c r="HC499" s="149"/>
      <c r="HD499" s="149"/>
      <c r="HE499" s="149"/>
      <c r="HF499" s="149"/>
      <c r="HG499" s="149"/>
      <c r="HH499" s="149"/>
      <c r="HI499" s="149"/>
      <c r="HJ499" s="149"/>
      <c r="HK499" s="149"/>
      <c r="HL499" s="149"/>
      <c r="HM499" s="149"/>
      <c r="HN499" s="149"/>
      <c r="HO499" s="149"/>
      <c r="HP499" s="149"/>
      <c r="HQ499" s="149"/>
      <c r="HR499" s="149"/>
      <c r="HS499" s="149"/>
      <c r="HT499" s="149"/>
      <c r="HU499" s="149"/>
      <c r="HV499" s="149"/>
      <c r="HW499" s="149"/>
      <c r="HX499" s="149"/>
      <c r="HY499" s="149"/>
      <c r="HZ499" s="149"/>
      <c r="IA499" s="149"/>
      <c r="IB499" s="149"/>
      <c r="IC499" s="149"/>
      <c r="ID499" s="149"/>
      <c r="IE499" s="149"/>
      <c r="IF499" s="149"/>
      <c r="IG499" s="149"/>
      <c r="IH499" s="149"/>
      <c r="II499" s="149"/>
      <c r="IJ499" s="149"/>
      <c r="IK499" s="149"/>
      <c r="IL499" s="149"/>
      <c r="IM499" s="149"/>
      <c r="IN499" s="149"/>
      <c r="IO499" s="149"/>
      <c r="IP499" s="149"/>
      <c r="IQ499" s="149"/>
      <c r="IR499" s="149"/>
      <c r="IS499" s="149"/>
      <c r="IT499" s="149"/>
      <c r="IU499" s="149"/>
    </row>
    <row r="500" spans="1:255">
      <c r="A500" s="145"/>
      <c r="B500" s="62" t="s">
        <v>297</v>
      </c>
      <c r="C500" s="93" t="s">
        <v>463</v>
      </c>
      <c r="D500" s="62" t="s">
        <v>412</v>
      </c>
      <c r="E500" s="49">
        <v>45544</v>
      </c>
      <c r="F500" s="49">
        <v>45545</v>
      </c>
      <c r="G500" s="49">
        <v>45548</v>
      </c>
      <c r="H500" s="63"/>
      <c r="I500" s="65">
        <v>56.46</v>
      </c>
      <c r="J500" s="65">
        <v>0</v>
      </c>
      <c r="K500" s="65">
        <v>56.46</v>
      </c>
      <c r="L500" s="36">
        <f>+K500-((K500*0.8545*0.125)+(K500*(1-0.8545)*0.26))</f>
        <v>48.293484450000001</v>
      </c>
      <c r="M500" s="64">
        <f t="shared" si="11"/>
        <v>48.293484450000001</v>
      </c>
      <c r="N500" s="62" t="s">
        <v>288</v>
      </c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  <c r="ER500" s="149"/>
      <c r="ES500" s="149"/>
      <c r="ET500" s="149"/>
      <c r="EU500" s="149"/>
      <c r="EV500" s="149"/>
      <c r="EW500" s="149"/>
      <c r="EX500" s="149"/>
      <c r="EY500" s="149"/>
      <c r="EZ500" s="149"/>
      <c r="FA500" s="149"/>
      <c r="FB500" s="149"/>
      <c r="FC500" s="149"/>
      <c r="FD500" s="149"/>
      <c r="FE500" s="149"/>
      <c r="FF500" s="149"/>
      <c r="FG500" s="149"/>
      <c r="FH500" s="149"/>
      <c r="FI500" s="149"/>
      <c r="FJ500" s="149"/>
      <c r="FK500" s="149"/>
      <c r="FL500" s="149"/>
      <c r="FM500" s="149"/>
      <c r="FN500" s="149"/>
      <c r="FO500" s="149"/>
      <c r="FP500" s="149"/>
      <c r="FQ500" s="149"/>
      <c r="FR500" s="149"/>
      <c r="FS500" s="149"/>
      <c r="FT500" s="149"/>
      <c r="FU500" s="149"/>
      <c r="FV500" s="149"/>
      <c r="FW500" s="149"/>
      <c r="FX500" s="149"/>
      <c r="FY500" s="149"/>
      <c r="FZ500" s="149"/>
      <c r="GA500" s="149"/>
      <c r="GB500" s="149"/>
      <c r="GC500" s="149"/>
      <c r="GD500" s="149"/>
      <c r="GE500" s="149"/>
      <c r="GF500" s="149"/>
      <c r="GG500" s="149"/>
      <c r="GH500" s="149"/>
      <c r="GI500" s="149"/>
      <c r="GJ500" s="149"/>
      <c r="GK500" s="149"/>
      <c r="GL500" s="149"/>
      <c r="GM500" s="149"/>
      <c r="GN500" s="149"/>
      <c r="GO500" s="149"/>
      <c r="GP500" s="149"/>
      <c r="GQ500" s="149"/>
      <c r="GR500" s="149"/>
      <c r="GS500" s="149"/>
      <c r="GT500" s="149"/>
      <c r="GU500" s="149"/>
      <c r="GV500" s="149"/>
      <c r="GW500" s="149"/>
      <c r="GX500" s="149"/>
      <c r="GY500" s="149"/>
      <c r="GZ500" s="149"/>
      <c r="HA500" s="149"/>
      <c r="HB500" s="149"/>
      <c r="HC500" s="149"/>
      <c r="HD500" s="149"/>
      <c r="HE500" s="149"/>
      <c r="HF500" s="149"/>
      <c r="HG500" s="149"/>
      <c r="HH500" s="149"/>
      <c r="HI500" s="149"/>
      <c r="HJ500" s="149"/>
      <c r="HK500" s="149"/>
      <c r="HL500" s="149"/>
      <c r="HM500" s="149"/>
      <c r="HN500" s="149"/>
      <c r="HO500" s="149"/>
      <c r="HP500" s="149"/>
      <c r="HQ500" s="149"/>
      <c r="HR500" s="149"/>
      <c r="HS500" s="149"/>
      <c r="HT500" s="149"/>
      <c r="HU500" s="149"/>
      <c r="HV500" s="149"/>
      <c r="HW500" s="149"/>
      <c r="HX500" s="149"/>
      <c r="HY500" s="149"/>
      <c r="HZ500" s="149"/>
      <c r="IA500" s="149"/>
      <c r="IB500" s="149"/>
      <c r="IC500" s="149"/>
      <c r="ID500" s="149"/>
      <c r="IE500" s="149"/>
      <c r="IF500" s="149"/>
      <c r="IG500" s="149"/>
      <c r="IH500" s="149"/>
      <c r="II500" s="149"/>
      <c r="IJ500" s="149"/>
      <c r="IK500" s="149"/>
      <c r="IL500" s="149"/>
      <c r="IM500" s="149"/>
      <c r="IN500" s="149"/>
      <c r="IO500" s="149"/>
      <c r="IP500" s="149"/>
      <c r="IQ500" s="149"/>
      <c r="IR500" s="149"/>
      <c r="IS500" s="149"/>
      <c r="IT500" s="149"/>
      <c r="IU500" s="149"/>
    </row>
    <row r="501" spans="1:255">
      <c r="A501" s="145"/>
      <c r="B501" s="62" t="s">
        <v>290</v>
      </c>
      <c r="C501" s="93" t="s">
        <v>460</v>
      </c>
      <c r="D501" s="62" t="s">
        <v>412</v>
      </c>
      <c r="E501" s="49">
        <v>45544</v>
      </c>
      <c r="F501" s="49">
        <v>45545</v>
      </c>
      <c r="G501" s="49">
        <v>45548</v>
      </c>
      <c r="H501" s="63"/>
      <c r="I501" s="65">
        <v>16.07</v>
      </c>
      <c r="J501" s="65">
        <v>0</v>
      </c>
      <c r="K501" s="65">
        <v>16.07</v>
      </c>
      <c r="L501" s="36">
        <f>+K501-((K501*0.449*0.125)+(K501*(1-0.449)*0.26))</f>
        <v>12.865883050000001</v>
      </c>
      <c r="M501" s="64">
        <f t="shared" si="11"/>
        <v>12.865883050000001</v>
      </c>
      <c r="N501" s="62" t="s">
        <v>288</v>
      </c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49"/>
      <c r="DW501" s="149"/>
      <c r="DX501" s="149"/>
      <c r="DY501" s="149"/>
      <c r="DZ501" s="149"/>
      <c r="EA501" s="149"/>
      <c r="EB501" s="149"/>
      <c r="EC501" s="149"/>
      <c r="ED501" s="149"/>
      <c r="EE501" s="149"/>
      <c r="EF501" s="149"/>
      <c r="EG501" s="149"/>
      <c r="EH501" s="149"/>
      <c r="EI501" s="149"/>
      <c r="EJ501" s="149"/>
      <c r="EK501" s="149"/>
      <c r="EL501" s="149"/>
      <c r="EM501" s="149"/>
      <c r="EN501" s="149"/>
      <c r="EO501" s="149"/>
      <c r="EP501" s="149"/>
      <c r="EQ501" s="149"/>
      <c r="ER501" s="149"/>
      <c r="ES501" s="149"/>
      <c r="ET501" s="149"/>
      <c r="EU501" s="149"/>
      <c r="EV501" s="149"/>
      <c r="EW501" s="149"/>
      <c r="EX501" s="149"/>
      <c r="EY501" s="149"/>
      <c r="EZ501" s="149"/>
      <c r="FA501" s="149"/>
      <c r="FB501" s="149"/>
      <c r="FC501" s="149"/>
      <c r="FD501" s="149"/>
      <c r="FE501" s="149"/>
      <c r="FF501" s="149"/>
      <c r="FG501" s="149"/>
      <c r="FH501" s="149"/>
      <c r="FI501" s="149"/>
      <c r="FJ501" s="149"/>
      <c r="FK501" s="149"/>
      <c r="FL501" s="149"/>
      <c r="FM501" s="149"/>
      <c r="FN501" s="149"/>
      <c r="FO501" s="149"/>
      <c r="FP501" s="149"/>
      <c r="FQ501" s="149"/>
      <c r="FR501" s="149"/>
      <c r="FS501" s="149"/>
      <c r="FT501" s="149"/>
      <c r="FU501" s="149"/>
      <c r="FV501" s="149"/>
      <c r="FW501" s="149"/>
      <c r="FX501" s="149"/>
      <c r="FY501" s="149"/>
      <c r="FZ501" s="149"/>
      <c r="GA501" s="149"/>
      <c r="GB501" s="149"/>
      <c r="GC501" s="149"/>
      <c r="GD501" s="149"/>
      <c r="GE501" s="149"/>
      <c r="GF501" s="149"/>
      <c r="GG501" s="149"/>
      <c r="GH501" s="149"/>
      <c r="GI501" s="149"/>
      <c r="GJ501" s="149"/>
      <c r="GK501" s="149"/>
      <c r="GL501" s="149"/>
      <c r="GM501" s="149"/>
      <c r="GN501" s="149"/>
      <c r="GO501" s="149"/>
      <c r="GP501" s="149"/>
      <c r="GQ501" s="149"/>
      <c r="GR501" s="149"/>
      <c r="GS501" s="149"/>
      <c r="GT501" s="149"/>
      <c r="GU501" s="149"/>
      <c r="GV501" s="149"/>
      <c r="GW501" s="149"/>
      <c r="GX501" s="149"/>
      <c r="GY501" s="149"/>
      <c r="GZ501" s="149"/>
      <c r="HA501" s="149"/>
      <c r="HB501" s="149"/>
      <c r="HC501" s="149"/>
      <c r="HD501" s="149"/>
      <c r="HE501" s="149"/>
      <c r="HF501" s="149"/>
      <c r="HG501" s="149"/>
      <c r="HH501" s="149"/>
      <c r="HI501" s="149"/>
      <c r="HJ501" s="149"/>
      <c r="HK501" s="149"/>
      <c r="HL501" s="149"/>
      <c r="HM501" s="149"/>
      <c r="HN501" s="149"/>
      <c r="HO501" s="149"/>
      <c r="HP501" s="149"/>
      <c r="HQ501" s="149"/>
      <c r="HR501" s="149"/>
      <c r="HS501" s="149"/>
      <c r="HT501" s="149"/>
      <c r="HU501" s="149"/>
      <c r="HV501" s="149"/>
      <c r="HW501" s="149"/>
      <c r="HX501" s="149"/>
      <c r="HY501" s="149"/>
      <c r="HZ501" s="149"/>
      <c r="IA501" s="149"/>
      <c r="IB501" s="149"/>
      <c r="IC501" s="149"/>
      <c r="ID501" s="149"/>
      <c r="IE501" s="149"/>
      <c r="IF501" s="149"/>
      <c r="IG501" s="149"/>
      <c r="IH501" s="149"/>
      <c r="II501" s="149"/>
      <c r="IJ501" s="149"/>
      <c r="IK501" s="149"/>
      <c r="IL501" s="149"/>
      <c r="IM501" s="149"/>
      <c r="IN501" s="149"/>
      <c r="IO501" s="149"/>
      <c r="IP501" s="149"/>
      <c r="IQ501" s="149"/>
      <c r="IR501" s="149"/>
      <c r="IS501" s="149"/>
      <c r="IT501" s="149"/>
      <c r="IU501" s="149"/>
    </row>
    <row r="502" spans="1:255">
      <c r="A502" s="145"/>
      <c r="B502" s="62" t="s">
        <v>291</v>
      </c>
      <c r="C502" s="93" t="s">
        <v>891</v>
      </c>
      <c r="D502" s="62" t="s">
        <v>412</v>
      </c>
      <c r="E502" s="49">
        <v>45544</v>
      </c>
      <c r="F502" s="49">
        <v>45545</v>
      </c>
      <c r="G502" s="49">
        <v>45548</v>
      </c>
      <c r="H502" s="63"/>
      <c r="I502" s="65">
        <v>31.14</v>
      </c>
      <c r="J502" s="65">
        <v>0</v>
      </c>
      <c r="K502" s="65">
        <v>31.14</v>
      </c>
      <c r="L502" s="36">
        <f>+K502-((K502*0.0275*0.125)+(K502*(1-0.0275)*0.26))</f>
        <v>23.159207250000001</v>
      </c>
      <c r="M502" s="64">
        <f t="shared" si="11"/>
        <v>23.159207250000001</v>
      </c>
      <c r="N502" s="62" t="s">
        <v>288</v>
      </c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49"/>
      <c r="DW502" s="149"/>
      <c r="DX502" s="149"/>
      <c r="DY502" s="149"/>
      <c r="DZ502" s="149"/>
      <c r="EA502" s="149"/>
      <c r="EB502" s="149"/>
      <c r="EC502" s="149"/>
      <c r="ED502" s="149"/>
      <c r="EE502" s="149"/>
      <c r="EF502" s="149"/>
      <c r="EG502" s="149"/>
      <c r="EH502" s="149"/>
      <c r="EI502" s="149"/>
      <c r="EJ502" s="149"/>
      <c r="EK502" s="149"/>
      <c r="EL502" s="149"/>
      <c r="EM502" s="149"/>
      <c r="EN502" s="149"/>
      <c r="EO502" s="149"/>
      <c r="EP502" s="149"/>
      <c r="EQ502" s="149"/>
      <c r="ER502" s="149"/>
      <c r="ES502" s="149"/>
      <c r="ET502" s="149"/>
      <c r="EU502" s="149"/>
      <c r="EV502" s="149"/>
      <c r="EW502" s="149"/>
      <c r="EX502" s="149"/>
      <c r="EY502" s="149"/>
      <c r="EZ502" s="149"/>
      <c r="FA502" s="149"/>
      <c r="FB502" s="149"/>
      <c r="FC502" s="149"/>
      <c r="FD502" s="149"/>
      <c r="FE502" s="149"/>
      <c r="FF502" s="149"/>
      <c r="FG502" s="149"/>
      <c r="FH502" s="149"/>
      <c r="FI502" s="149"/>
      <c r="FJ502" s="149"/>
      <c r="FK502" s="149"/>
      <c r="FL502" s="149"/>
      <c r="FM502" s="149"/>
      <c r="FN502" s="149"/>
      <c r="FO502" s="149"/>
      <c r="FP502" s="149"/>
      <c r="FQ502" s="149"/>
      <c r="FR502" s="149"/>
      <c r="FS502" s="149"/>
      <c r="FT502" s="149"/>
      <c r="FU502" s="149"/>
      <c r="FV502" s="149"/>
      <c r="FW502" s="149"/>
      <c r="FX502" s="149"/>
      <c r="FY502" s="149"/>
      <c r="FZ502" s="149"/>
      <c r="GA502" s="149"/>
      <c r="GB502" s="149"/>
      <c r="GC502" s="149"/>
      <c r="GD502" s="149"/>
      <c r="GE502" s="149"/>
      <c r="GF502" s="149"/>
      <c r="GG502" s="149"/>
      <c r="GH502" s="149"/>
      <c r="GI502" s="149"/>
      <c r="GJ502" s="149"/>
      <c r="GK502" s="149"/>
      <c r="GL502" s="149"/>
      <c r="GM502" s="149"/>
      <c r="GN502" s="149"/>
      <c r="GO502" s="149"/>
      <c r="GP502" s="149"/>
      <c r="GQ502" s="149"/>
      <c r="GR502" s="149"/>
      <c r="GS502" s="149"/>
      <c r="GT502" s="149"/>
      <c r="GU502" s="149"/>
      <c r="GV502" s="149"/>
      <c r="GW502" s="149"/>
      <c r="GX502" s="149"/>
      <c r="GY502" s="149"/>
      <c r="GZ502" s="149"/>
      <c r="HA502" s="149"/>
      <c r="HB502" s="149"/>
      <c r="HC502" s="149"/>
      <c r="HD502" s="149"/>
      <c r="HE502" s="149"/>
      <c r="HF502" s="149"/>
      <c r="HG502" s="149"/>
      <c r="HH502" s="149"/>
      <c r="HI502" s="149"/>
      <c r="HJ502" s="149"/>
      <c r="HK502" s="149"/>
      <c r="HL502" s="149"/>
      <c r="HM502" s="149"/>
      <c r="HN502" s="149"/>
      <c r="HO502" s="149"/>
      <c r="HP502" s="149"/>
      <c r="HQ502" s="149"/>
      <c r="HR502" s="149"/>
      <c r="HS502" s="149"/>
      <c r="HT502" s="149"/>
      <c r="HU502" s="149"/>
      <c r="HV502" s="149"/>
      <c r="HW502" s="149"/>
      <c r="HX502" s="149"/>
      <c r="HY502" s="149"/>
      <c r="HZ502" s="149"/>
      <c r="IA502" s="149"/>
      <c r="IB502" s="149"/>
      <c r="IC502" s="149"/>
      <c r="ID502" s="149"/>
      <c r="IE502" s="149"/>
      <c r="IF502" s="149"/>
      <c r="IG502" s="149"/>
      <c r="IH502" s="149"/>
      <c r="II502" s="149"/>
      <c r="IJ502" s="149"/>
      <c r="IK502" s="149"/>
      <c r="IL502" s="149"/>
      <c r="IM502" s="149"/>
      <c r="IN502" s="149"/>
      <c r="IO502" s="149"/>
      <c r="IP502" s="149"/>
      <c r="IQ502" s="149"/>
      <c r="IR502" s="149"/>
      <c r="IS502" s="149"/>
      <c r="IT502" s="149"/>
      <c r="IU502" s="149"/>
    </row>
    <row r="503" spans="1:255">
      <c r="A503" s="145"/>
      <c r="B503" s="62" t="s">
        <v>554</v>
      </c>
      <c r="C503" s="93" t="s">
        <v>558</v>
      </c>
      <c r="D503" s="62" t="s">
        <v>412</v>
      </c>
      <c r="E503" s="49">
        <v>45544</v>
      </c>
      <c r="F503" s="49">
        <v>45545</v>
      </c>
      <c r="G503" s="49">
        <v>45548</v>
      </c>
      <c r="H503" s="63"/>
      <c r="I503" s="65">
        <v>23.84</v>
      </c>
      <c r="J503" s="65">
        <v>0</v>
      </c>
      <c r="K503" s="65">
        <v>23.84</v>
      </c>
      <c r="L503" s="36">
        <f>+K503-((K503*0.5195*0.125)+(K503*(1-0.5195)*0.26))</f>
        <v>19.313558799999999</v>
      </c>
      <c r="M503" s="64">
        <f t="shared" si="11"/>
        <v>19.313558799999999</v>
      </c>
      <c r="N503" s="62" t="s">
        <v>288</v>
      </c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49"/>
      <c r="DW503" s="149"/>
      <c r="DX503" s="149"/>
      <c r="DY503" s="149"/>
      <c r="DZ503" s="149"/>
      <c r="EA503" s="149"/>
      <c r="EB503" s="149"/>
      <c r="EC503" s="149"/>
      <c r="ED503" s="149"/>
      <c r="EE503" s="149"/>
      <c r="EF503" s="149"/>
      <c r="EG503" s="149"/>
      <c r="EH503" s="149"/>
      <c r="EI503" s="149"/>
      <c r="EJ503" s="149"/>
      <c r="EK503" s="149"/>
      <c r="EL503" s="149"/>
      <c r="EM503" s="149"/>
      <c r="EN503" s="149"/>
      <c r="EO503" s="149"/>
      <c r="EP503" s="149"/>
      <c r="EQ503" s="149"/>
      <c r="ER503" s="149"/>
      <c r="ES503" s="149"/>
      <c r="ET503" s="149"/>
      <c r="EU503" s="149"/>
      <c r="EV503" s="149"/>
      <c r="EW503" s="149"/>
      <c r="EX503" s="149"/>
      <c r="EY503" s="149"/>
      <c r="EZ503" s="149"/>
      <c r="FA503" s="149"/>
      <c r="FB503" s="149"/>
      <c r="FC503" s="149"/>
      <c r="FD503" s="149"/>
      <c r="FE503" s="149"/>
      <c r="FF503" s="149"/>
      <c r="FG503" s="149"/>
      <c r="FH503" s="149"/>
      <c r="FI503" s="149"/>
      <c r="FJ503" s="149"/>
      <c r="FK503" s="149"/>
      <c r="FL503" s="149"/>
      <c r="FM503" s="149"/>
      <c r="FN503" s="149"/>
      <c r="FO503" s="149"/>
      <c r="FP503" s="149"/>
      <c r="FQ503" s="149"/>
      <c r="FR503" s="149"/>
      <c r="FS503" s="149"/>
      <c r="FT503" s="149"/>
      <c r="FU503" s="149"/>
      <c r="FV503" s="149"/>
      <c r="FW503" s="149"/>
      <c r="FX503" s="149"/>
      <c r="FY503" s="149"/>
      <c r="FZ503" s="149"/>
      <c r="GA503" s="149"/>
      <c r="GB503" s="149"/>
      <c r="GC503" s="149"/>
      <c r="GD503" s="149"/>
      <c r="GE503" s="149"/>
      <c r="GF503" s="149"/>
      <c r="GG503" s="149"/>
      <c r="GH503" s="149"/>
      <c r="GI503" s="149"/>
      <c r="GJ503" s="149"/>
      <c r="GK503" s="149"/>
      <c r="GL503" s="149"/>
      <c r="GM503" s="149"/>
      <c r="GN503" s="149"/>
      <c r="GO503" s="149"/>
      <c r="GP503" s="149"/>
      <c r="GQ503" s="149"/>
      <c r="GR503" s="149"/>
      <c r="GS503" s="149"/>
      <c r="GT503" s="149"/>
      <c r="GU503" s="149"/>
      <c r="GV503" s="149"/>
      <c r="GW503" s="149"/>
      <c r="GX503" s="149"/>
      <c r="GY503" s="149"/>
      <c r="GZ503" s="149"/>
      <c r="HA503" s="149"/>
      <c r="HB503" s="149"/>
      <c r="HC503" s="149"/>
      <c r="HD503" s="149"/>
      <c r="HE503" s="149"/>
      <c r="HF503" s="149"/>
      <c r="HG503" s="149"/>
      <c r="HH503" s="149"/>
      <c r="HI503" s="149"/>
      <c r="HJ503" s="149"/>
      <c r="HK503" s="149"/>
      <c r="HL503" s="149"/>
      <c r="HM503" s="149"/>
      <c r="HN503" s="149"/>
      <c r="HO503" s="149"/>
      <c r="HP503" s="149"/>
      <c r="HQ503" s="149"/>
      <c r="HR503" s="149"/>
      <c r="HS503" s="149"/>
      <c r="HT503" s="149"/>
      <c r="HU503" s="149"/>
      <c r="HV503" s="149"/>
      <c r="HW503" s="149"/>
      <c r="HX503" s="149"/>
      <c r="HY503" s="149"/>
      <c r="HZ503" s="149"/>
      <c r="IA503" s="149"/>
      <c r="IB503" s="149"/>
      <c r="IC503" s="149"/>
      <c r="ID503" s="149"/>
      <c r="IE503" s="149"/>
      <c r="IF503" s="149"/>
      <c r="IG503" s="149"/>
      <c r="IH503" s="149"/>
      <c r="II503" s="149"/>
      <c r="IJ503" s="149"/>
      <c r="IK503" s="149"/>
      <c r="IL503" s="149"/>
      <c r="IM503" s="149"/>
      <c r="IN503" s="149"/>
      <c r="IO503" s="149"/>
      <c r="IP503" s="149"/>
      <c r="IQ503" s="149"/>
      <c r="IR503" s="149"/>
      <c r="IS503" s="149"/>
      <c r="IT503" s="149"/>
      <c r="IU503" s="149"/>
    </row>
    <row r="504" spans="1:255">
      <c r="A504" s="145"/>
      <c r="B504" s="62" t="s">
        <v>557</v>
      </c>
      <c r="C504" s="93" t="s">
        <v>561</v>
      </c>
      <c r="D504" s="62" t="s">
        <v>412</v>
      </c>
      <c r="E504" s="49">
        <v>45544</v>
      </c>
      <c r="F504" s="49">
        <v>45545</v>
      </c>
      <c r="G504" s="49">
        <v>45548</v>
      </c>
      <c r="H504" s="63"/>
      <c r="I504" s="65">
        <v>32.76</v>
      </c>
      <c r="J504" s="65">
        <v>0</v>
      </c>
      <c r="K504" s="65">
        <v>32.76</v>
      </c>
      <c r="L504" s="36">
        <f>+K504-((K504*0.2195*0.125)+(K504*(1-0.2195)*0.26))</f>
        <v>25.2131607</v>
      </c>
      <c r="M504" s="64">
        <f t="shared" si="11"/>
        <v>25.2131607</v>
      </c>
      <c r="N504" s="62" t="s">
        <v>288</v>
      </c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49"/>
      <c r="DW504" s="149"/>
      <c r="DX504" s="149"/>
      <c r="DY504" s="149"/>
      <c r="DZ504" s="149"/>
      <c r="EA504" s="149"/>
      <c r="EB504" s="149"/>
      <c r="EC504" s="149"/>
      <c r="ED504" s="149"/>
      <c r="EE504" s="149"/>
      <c r="EF504" s="149"/>
      <c r="EG504" s="149"/>
      <c r="EH504" s="149"/>
      <c r="EI504" s="149"/>
      <c r="EJ504" s="149"/>
      <c r="EK504" s="149"/>
      <c r="EL504" s="149"/>
      <c r="EM504" s="149"/>
      <c r="EN504" s="149"/>
      <c r="EO504" s="149"/>
      <c r="EP504" s="149"/>
      <c r="EQ504" s="149"/>
      <c r="ER504" s="149"/>
      <c r="ES504" s="149"/>
      <c r="ET504" s="149"/>
      <c r="EU504" s="149"/>
      <c r="EV504" s="149"/>
      <c r="EW504" s="149"/>
      <c r="EX504" s="149"/>
      <c r="EY504" s="149"/>
      <c r="EZ504" s="149"/>
      <c r="FA504" s="149"/>
      <c r="FB504" s="149"/>
      <c r="FC504" s="149"/>
      <c r="FD504" s="149"/>
      <c r="FE504" s="149"/>
      <c r="FF504" s="149"/>
      <c r="FG504" s="149"/>
      <c r="FH504" s="149"/>
      <c r="FI504" s="149"/>
      <c r="FJ504" s="149"/>
      <c r="FK504" s="149"/>
      <c r="FL504" s="149"/>
      <c r="FM504" s="149"/>
      <c r="FN504" s="149"/>
      <c r="FO504" s="149"/>
      <c r="FP504" s="149"/>
      <c r="FQ504" s="149"/>
      <c r="FR504" s="149"/>
      <c r="FS504" s="149"/>
      <c r="FT504" s="149"/>
      <c r="FU504" s="149"/>
      <c r="FV504" s="149"/>
      <c r="FW504" s="149"/>
      <c r="FX504" s="149"/>
      <c r="FY504" s="149"/>
      <c r="FZ504" s="149"/>
      <c r="GA504" s="149"/>
      <c r="GB504" s="149"/>
      <c r="GC504" s="149"/>
      <c r="GD504" s="149"/>
      <c r="GE504" s="149"/>
      <c r="GF504" s="149"/>
      <c r="GG504" s="149"/>
      <c r="GH504" s="149"/>
      <c r="GI504" s="149"/>
      <c r="GJ504" s="149"/>
      <c r="GK504" s="149"/>
      <c r="GL504" s="149"/>
      <c r="GM504" s="149"/>
      <c r="GN504" s="149"/>
      <c r="GO504" s="149"/>
      <c r="GP504" s="149"/>
      <c r="GQ504" s="149"/>
      <c r="GR504" s="149"/>
      <c r="GS504" s="149"/>
      <c r="GT504" s="149"/>
      <c r="GU504" s="149"/>
      <c r="GV504" s="149"/>
      <c r="GW504" s="149"/>
      <c r="GX504" s="149"/>
      <c r="GY504" s="149"/>
      <c r="GZ504" s="149"/>
      <c r="HA504" s="149"/>
      <c r="HB504" s="149"/>
      <c r="HC504" s="149"/>
      <c r="HD504" s="149"/>
      <c r="HE504" s="149"/>
      <c r="HF504" s="149"/>
      <c r="HG504" s="149"/>
      <c r="HH504" s="149"/>
      <c r="HI504" s="149"/>
      <c r="HJ504" s="149"/>
      <c r="HK504" s="149"/>
      <c r="HL504" s="149"/>
      <c r="HM504" s="149"/>
      <c r="HN504" s="149"/>
      <c r="HO504" s="149"/>
      <c r="HP504" s="149"/>
      <c r="HQ504" s="149"/>
      <c r="HR504" s="149"/>
      <c r="HS504" s="149"/>
      <c r="HT504" s="149"/>
      <c r="HU504" s="149"/>
      <c r="HV504" s="149"/>
      <c r="HW504" s="149"/>
      <c r="HX504" s="149"/>
      <c r="HY504" s="149"/>
      <c r="HZ504" s="149"/>
      <c r="IA504" s="149"/>
      <c r="IB504" s="149"/>
      <c r="IC504" s="149"/>
      <c r="ID504" s="149"/>
      <c r="IE504" s="149"/>
      <c r="IF504" s="149"/>
      <c r="IG504" s="149"/>
      <c r="IH504" s="149"/>
      <c r="II504" s="149"/>
      <c r="IJ504" s="149"/>
      <c r="IK504" s="149"/>
      <c r="IL504" s="149"/>
      <c r="IM504" s="149"/>
      <c r="IN504" s="149"/>
      <c r="IO504" s="149"/>
      <c r="IP504" s="149"/>
      <c r="IQ504" s="149"/>
      <c r="IR504" s="149"/>
      <c r="IS504" s="149"/>
      <c r="IT504" s="149"/>
      <c r="IU504" s="149"/>
    </row>
    <row r="505" spans="1:255">
      <c r="A505" s="145"/>
      <c r="B505" s="62" t="s">
        <v>296</v>
      </c>
      <c r="C505" s="93" t="s">
        <v>464</v>
      </c>
      <c r="D505" s="62" t="s">
        <v>412</v>
      </c>
      <c r="E505" s="49">
        <v>45544</v>
      </c>
      <c r="F505" s="49">
        <v>45545</v>
      </c>
      <c r="G505" s="49">
        <v>45548</v>
      </c>
      <c r="H505" s="63"/>
      <c r="I505" s="65">
        <v>60.1</v>
      </c>
      <c r="J505" s="65">
        <v>0</v>
      </c>
      <c r="K505" s="65">
        <v>60.1</v>
      </c>
      <c r="L505" s="36">
        <f>+K505-((K505*0.0305*0.125)+(K505*(1-0.0305)*0.26))</f>
        <v>44.721461750000003</v>
      </c>
      <c r="M505" s="64">
        <f t="shared" si="11"/>
        <v>44.721461750000003</v>
      </c>
      <c r="N505" s="62" t="s">
        <v>288</v>
      </c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  <c r="BT505" s="149"/>
      <c r="BU505" s="149"/>
      <c r="BV505" s="149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49"/>
      <c r="CM505" s="149"/>
      <c r="CN505" s="149"/>
      <c r="CO505" s="149"/>
      <c r="CP505" s="149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  <c r="DO505" s="149"/>
      <c r="DP505" s="149"/>
      <c r="DQ505" s="149"/>
      <c r="DR505" s="149"/>
      <c r="DS505" s="149"/>
      <c r="DT505" s="149"/>
      <c r="DU505" s="149"/>
      <c r="DV505" s="149"/>
      <c r="DW505" s="149"/>
      <c r="DX505" s="149"/>
      <c r="DY505" s="149"/>
      <c r="DZ505" s="149"/>
      <c r="EA505" s="149"/>
      <c r="EB505" s="149"/>
      <c r="EC505" s="149"/>
      <c r="ED505" s="149"/>
      <c r="EE505" s="149"/>
      <c r="EF505" s="149"/>
      <c r="EG505" s="149"/>
      <c r="EH505" s="149"/>
      <c r="EI505" s="149"/>
      <c r="EJ505" s="149"/>
      <c r="EK505" s="149"/>
      <c r="EL505" s="149"/>
      <c r="EM505" s="149"/>
      <c r="EN505" s="149"/>
      <c r="EO505" s="149"/>
      <c r="EP505" s="149"/>
      <c r="EQ505" s="149"/>
      <c r="ER505" s="149"/>
      <c r="ES505" s="149"/>
      <c r="ET505" s="149"/>
      <c r="EU505" s="149"/>
      <c r="EV505" s="149"/>
      <c r="EW505" s="149"/>
      <c r="EX505" s="149"/>
      <c r="EY505" s="149"/>
      <c r="EZ505" s="149"/>
      <c r="FA505" s="149"/>
      <c r="FB505" s="149"/>
      <c r="FC505" s="149"/>
      <c r="FD505" s="149"/>
      <c r="FE505" s="149"/>
      <c r="FF505" s="149"/>
      <c r="FG505" s="149"/>
      <c r="FH505" s="149"/>
      <c r="FI505" s="149"/>
      <c r="FJ505" s="149"/>
      <c r="FK505" s="149"/>
      <c r="FL505" s="149"/>
      <c r="FM505" s="149"/>
      <c r="FN505" s="149"/>
      <c r="FO505" s="149"/>
      <c r="FP505" s="149"/>
      <c r="FQ505" s="149"/>
      <c r="FR505" s="149"/>
      <c r="FS505" s="149"/>
      <c r="FT505" s="149"/>
      <c r="FU505" s="149"/>
      <c r="FV505" s="149"/>
      <c r="FW505" s="149"/>
      <c r="FX505" s="149"/>
      <c r="FY505" s="149"/>
      <c r="FZ505" s="149"/>
      <c r="GA505" s="149"/>
      <c r="GB505" s="149"/>
      <c r="GC505" s="149"/>
      <c r="GD505" s="149"/>
      <c r="GE505" s="149"/>
      <c r="GF505" s="149"/>
      <c r="GG505" s="149"/>
      <c r="GH505" s="149"/>
      <c r="GI505" s="149"/>
      <c r="GJ505" s="149"/>
      <c r="GK505" s="149"/>
      <c r="GL505" s="149"/>
      <c r="GM505" s="149"/>
      <c r="GN505" s="149"/>
      <c r="GO505" s="149"/>
      <c r="GP505" s="149"/>
      <c r="GQ505" s="149"/>
      <c r="GR505" s="149"/>
      <c r="GS505" s="149"/>
      <c r="GT505" s="149"/>
      <c r="GU505" s="149"/>
      <c r="GV505" s="149"/>
      <c r="GW505" s="149"/>
      <c r="GX505" s="149"/>
      <c r="GY505" s="149"/>
      <c r="GZ505" s="149"/>
      <c r="HA505" s="149"/>
      <c r="HB505" s="149"/>
      <c r="HC505" s="149"/>
      <c r="HD505" s="149"/>
      <c r="HE505" s="149"/>
      <c r="HF505" s="149"/>
      <c r="HG505" s="149"/>
      <c r="HH505" s="149"/>
      <c r="HI505" s="149"/>
      <c r="HJ505" s="149"/>
      <c r="HK505" s="149"/>
      <c r="HL505" s="149"/>
      <c r="HM505" s="149"/>
      <c r="HN505" s="149"/>
      <c r="HO505" s="149"/>
      <c r="HP505" s="149"/>
      <c r="HQ505" s="149"/>
      <c r="HR505" s="149"/>
      <c r="HS505" s="149"/>
      <c r="HT505" s="149"/>
      <c r="HU505" s="149"/>
      <c r="HV505" s="149"/>
      <c r="HW505" s="149"/>
      <c r="HX505" s="149"/>
      <c r="HY505" s="149"/>
      <c r="HZ505" s="149"/>
      <c r="IA505" s="149"/>
      <c r="IB505" s="149"/>
      <c r="IC505" s="149"/>
      <c r="ID505" s="149"/>
      <c r="IE505" s="149"/>
      <c r="IF505" s="149"/>
      <c r="IG505" s="149"/>
      <c r="IH505" s="149"/>
      <c r="II505" s="149"/>
      <c r="IJ505" s="149"/>
      <c r="IK505" s="149"/>
      <c r="IL505" s="149"/>
      <c r="IM505" s="149"/>
      <c r="IN505" s="149"/>
      <c r="IO505" s="149"/>
      <c r="IP505" s="149"/>
      <c r="IQ505" s="149"/>
      <c r="IR505" s="149"/>
      <c r="IS505" s="149"/>
      <c r="IT505" s="149"/>
      <c r="IU505" s="149"/>
    </row>
    <row r="506" spans="1:255">
      <c r="A506" s="145"/>
      <c r="B506" s="62" t="s">
        <v>294</v>
      </c>
      <c r="C506" s="93" t="s">
        <v>706</v>
      </c>
      <c r="D506" s="62" t="s">
        <v>412</v>
      </c>
      <c r="E506" s="49">
        <v>45544</v>
      </c>
      <c r="F506" s="49">
        <v>45545</v>
      </c>
      <c r="G506" s="49">
        <v>45548</v>
      </c>
      <c r="H506" s="63"/>
      <c r="I506" s="65">
        <v>78.92</v>
      </c>
      <c r="J506" s="65">
        <v>0</v>
      </c>
      <c r="K506" s="65">
        <v>78.92</v>
      </c>
      <c r="L506" s="36">
        <f>+K506-((K506*0.107*0.125)+(K506*(1-0.107)*0.26))</f>
        <v>59.540799399999997</v>
      </c>
      <c r="M506" s="64">
        <f t="shared" si="11"/>
        <v>59.540799399999997</v>
      </c>
      <c r="N506" s="62" t="s">
        <v>288</v>
      </c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49"/>
      <c r="DW506" s="149"/>
      <c r="DX506" s="149"/>
      <c r="DY506" s="149"/>
      <c r="DZ506" s="149"/>
      <c r="EA506" s="149"/>
      <c r="EB506" s="149"/>
      <c r="EC506" s="149"/>
      <c r="ED506" s="149"/>
      <c r="EE506" s="149"/>
      <c r="EF506" s="149"/>
      <c r="EG506" s="149"/>
      <c r="EH506" s="149"/>
      <c r="EI506" s="149"/>
      <c r="EJ506" s="149"/>
      <c r="EK506" s="149"/>
      <c r="EL506" s="149"/>
      <c r="EM506" s="149"/>
      <c r="EN506" s="149"/>
      <c r="EO506" s="149"/>
      <c r="EP506" s="149"/>
      <c r="EQ506" s="149"/>
      <c r="ER506" s="149"/>
      <c r="ES506" s="149"/>
      <c r="ET506" s="149"/>
      <c r="EU506" s="149"/>
      <c r="EV506" s="149"/>
      <c r="EW506" s="149"/>
      <c r="EX506" s="149"/>
      <c r="EY506" s="149"/>
      <c r="EZ506" s="149"/>
      <c r="FA506" s="149"/>
      <c r="FB506" s="149"/>
      <c r="FC506" s="149"/>
      <c r="FD506" s="149"/>
      <c r="FE506" s="149"/>
      <c r="FF506" s="149"/>
      <c r="FG506" s="149"/>
      <c r="FH506" s="149"/>
      <c r="FI506" s="149"/>
      <c r="FJ506" s="149"/>
      <c r="FK506" s="149"/>
      <c r="FL506" s="149"/>
      <c r="FM506" s="149"/>
      <c r="FN506" s="149"/>
      <c r="FO506" s="149"/>
      <c r="FP506" s="149"/>
      <c r="FQ506" s="149"/>
      <c r="FR506" s="149"/>
      <c r="FS506" s="149"/>
      <c r="FT506" s="149"/>
      <c r="FU506" s="149"/>
      <c r="FV506" s="149"/>
      <c r="FW506" s="149"/>
      <c r="FX506" s="149"/>
      <c r="FY506" s="149"/>
      <c r="FZ506" s="149"/>
      <c r="GA506" s="149"/>
      <c r="GB506" s="149"/>
      <c r="GC506" s="149"/>
      <c r="GD506" s="149"/>
      <c r="GE506" s="149"/>
      <c r="GF506" s="149"/>
      <c r="GG506" s="149"/>
      <c r="GH506" s="149"/>
      <c r="GI506" s="149"/>
      <c r="GJ506" s="149"/>
      <c r="GK506" s="149"/>
      <c r="GL506" s="149"/>
      <c r="GM506" s="149"/>
      <c r="GN506" s="149"/>
      <c r="GO506" s="149"/>
      <c r="GP506" s="149"/>
      <c r="GQ506" s="149"/>
      <c r="GR506" s="149"/>
      <c r="GS506" s="149"/>
      <c r="GT506" s="149"/>
      <c r="GU506" s="149"/>
      <c r="GV506" s="149"/>
      <c r="GW506" s="149"/>
      <c r="GX506" s="149"/>
      <c r="GY506" s="149"/>
      <c r="GZ506" s="149"/>
      <c r="HA506" s="149"/>
      <c r="HB506" s="149"/>
      <c r="HC506" s="149"/>
      <c r="HD506" s="149"/>
      <c r="HE506" s="149"/>
      <c r="HF506" s="149"/>
      <c r="HG506" s="149"/>
      <c r="HH506" s="149"/>
      <c r="HI506" s="149"/>
      <c r="HJ506" s="149"/>
      <c r="HK506" s="149"/>
      <c r="HL506" s="149"/>
      <c r="HM506" s="149"/>
      <c r="HN506" s="149"/>
      <c r="HO506" s="149"/>
      <c r="HP506" s="149"/>
      <c r="HQ506" s="149"/>
      <c r="HR506" s="149"/>
      <c r="HS506" s="149"/>
      <c r="HT506" s="149"/>
      <c r="HU506" s="149"/>
      <c r="HV506" s="149"/>
      <c r="HW506" s="149"/>
      <c r="HX506" s="149"/>
      <c r="HY506" s="149"/>
      <c r="HZ506" s="149"/>
      <c r="IA506" s="149"/>
      <c r="IB506" s="149"/>
      <c r="IC506" s="149"/>
      <c r="ID506" s="149"/>
      <c r="IE506" s="149"/>
      <c r="IF506" s="149"/>
      <c r="IG506" s="149"/>
      <c r="IH506" s="149"/>
      <c r="II506" s="149"/>
      <c r="IJ506" s="149"/>
      <c r="IK506" s="149"/>
      <c r="IL506" s="149"/>
      <c r="IM506" s="149"/>
      <c r="IN506" s="149"/>
      <c r="IO506" s="149"/>
      <c r="IP506" s="149"/>
      <c r="IQ506" s="149"/>
      <c r="IR506" s="149"/>
      <c r="IS506" s="149"/>
      <c r="IT506" s="149"/>
      <c r="IU506" s="149"/>
    </row>
    <row r="507" spans="1:255">
      <c r="A507" s="12"/>
      <c r="B507" s="33" t="s">
        <v>677</v>
      </c>
      <c r="C507" s="92" t="s">
        <v>693</v>
      </c>
      <c r="D507" s="33" t="s">
        <v>410</v>
      </c>
      <c r="E507" s="34">
        <v>45562</v>
      </c>
      <c r="F507" s="34">
        <v>45565</v>
      </c>
      <c r="G507" s="34">
        <v>45568</v>
      </c>
      <c r="H507" s="35"/>
      <c r="I507" s="67">
        <v>0.94388899999999998</v>
      </c>
      <c r="J507" s="67">
        <v>0</v>
      </c>
      <c r="K507" s="67">
        <v>0.94388879000000003</v>
      </c>
      <c r="L507" s="36">
        <f>+K507-((K507*0.00000000001*0.125)+(K507*(1-0.0000000001)*0.26))</f>
        <v>0.69847770462336123</v>
      </c>
      <c r="M507" s="64">
        <f t="shared" si="11"/>
        <v>0.69847770462336123</v>
      </c>
      <c r="N507" s="33" t="s">
        <v>247</v>
      </c>
    </row>
    <row r="508" spans="1:255">
      <c r="A508" s="12"/>
      <c r="B508" s="33" t="s">
        <v>676</v>
      </c>
      <c r="C508" s="92" t="s">
        <v>888</v>
      </c>
      <c r="D508" s="33" t="s">
        <v>410</v>
      </c>
      <c r="E508" s="34">
        <v>45562</v>
      </c>
      <c r="F508" s="34">
        <v>45565</v>
      </c>
      <c r="G508" s="34">
        <v>45568</v>
      </c>
      <c r="H508" s="35"/>
      <c r="I508" s="67">
        <v>8.8358919999999994</v>
      </c>
      <c r="J508" s="67">
        <v>0</v>
      </c>
      <c r="K508" s="67">
        <v>8.8358919999999994</v>
      </c>
      <c r="L508" s="36">
        <f>+K508-((K508*0.063*0.125)+(K508*(1-0.063)*0.26))</f>
        <v>6.6137093414599999</v>
      </c>
      <c r="M508" s="64">
        <f t="shared" si="11"/>
        <v>6.6137093414599999</v>
      </c>
      <c r="N508" s="33" t="s">
        <v>247</v>
      </c>
    </row>
    <row r="509" spans="1:255">
      <c r="A509" s="12"/>
      <c r="B509" s="33" t="s">
        <v>203</v>
      </c>
      <c r="C509" s="92" t="s">
        <v>445</v>
      </c>
      <c r="D509" s="33" t="s">
        <v>410</v>
      </c>
      <c r="E509" s="34">
        <v>45565</v>
      </c>
      <c r="F509" s="34">
        <v>45566</v>
      </c>
      <c r="G509" s="34">
        <v>45569</v>
      </c>
      <c r="H509" s="35"/>
      <c r="I509" s="67">
        <v>6.6853999999999996</v>
      </c>
      <c r="J509" s="67">
        <v>1.2837327968110455</v>
      </c>
      <c r="K509" s="67">
        <v>5.4016672031889543</v>
      </c>
      <c r="L509" s="36">
        <f>+K509-((K509*0.449*0.125)+(K509*(1-0.449)*0.26))</f>
        <v>4.3246557878811247</v>
      </c>
      <c r="M509" s="64">
        <f t="shared" si="11"/>
        <v>5.6083885846921699</v>
      </c>
      <c r="N509" s="33" t="s">
        <v>248</v>
      </c>
    </row>
    <row r="510" spans="1:255">
      <c r="A510" s="12"/>
      <c r="B510" s="33" t="s">
        <v>204</v>
      </c>
      <c r="C510" s="92" t="s">
        <v>890</v>
      </c>
      <c r="D510" s="33" t="s">
        <v>410</v>
      </c>
      <c r="E510" s="34">
        <v>45565</v>
      </c>
      <c r="F510" s="34">
        <v>45566</v>
      </c>
      <c r="G510" s="34">
        <v>45569</v>
      </c>
      <c r="H510" s="35"/>
      <c r="I510" s="67">
        <v>10</v>
      </c>
      <c r="J510" s="67">
        <v>6.4652865152831946</v>
      </c>
      <c r="K510" s="67">
        <v>3.5347134847168049</v>
      </c>
      <c r="L510" s="36">
        <f>+K510-((K510*0.0275*0.125)+(K510*(1-0.0275)*0.26))</f>
        <v>2.6288106025024467</v>
      </c>
      <c r="M510" s="64">
        <f t="shared" si="11"/>
        <v>9.0940971177856404</v>
      </c>
      <c r="N510" s="33" t="s">
        <v>248</v>
      </c>
    </row>
    <row r="511" spans="1:255">
      <c r="A511" s="12"/>
      <c r="B511" s="33" t="s">
        <v>207</v>
      </c>
      <c r="C511" s="92" t="s">
        <v>990</v>
      </c>
      <c r="D511" s="33" t="s">
        <v>410</v>
      </c>
      <c r="E511" s="34">
        <v>45565</v>
      </c>
      <c r="F511" s="34">
        <v>45566</v>
      </c>
      <c r="G511" s="34">
        <v>45569</v>
      </c>
      <c r="H511" s="35"/>
      <c r="I511" s="67">
        <v>6.5743999999999998</v>
      </c>
      <c r="J511" s="67">
        <v>2.1972937855605053</v>
      </c>
      <c r="K511" s="67">
        <v>4.3771062144394941</v>
      </c>
      <c r="L511" s="36">
        <f>+K511-((K511*0.7185*0.125)+(K511*(1-0.7185)*0.26))</f>
        <v>3.6636269587203207</v>
      </c>
      <c r="M511" s="64">
        <f t="shared" si="11"/>
        <v>5.8609207442808255</v>
      </c>
      <c r="N511" s="33" t="s">
        <v>248</v>
      </c>
    </row>
    <row r="512" spans="1:255">
      <c r="A512" s="12"/>
      <c r="B512" s="33" t="s">
        <v>678</v>
      </c>
      <c r="C512" s="92" t="s">
        <v>707</v>
      </c>
      <c r="D512" s="33" t="s">
        <v>410</v>
      </c>
      <c r="E512" s="34">
        <v>45565</v>
      </c>
      <c r="F512" s="34">
        <v>45566</v>
      </c>
      <c r="G512" s="34">
        <v>45569</v>
      </c>
      <c r="H512" s="35"/>
      <c r="I512" s="67">
        <v>17.168800000000001</v>
      </c>
      <c r="J512" s="67">
        <v>5.283051707084959</v>
      </c>
      <c r="K512" s="67">
        <v>11.885748292915043</v>
      </c>
      <c r="L512" s="36">
        <f>+K512-((K512*0.0000001*0.125)+(K512*(1-0.00000001)*0.26))</f>
        <v>8.7954536190882244</v>
      </c>
      <c r="M512" s="64">
        <f t="shared" ref="M512:M575" si="12">L512+J512</f>
        <v>14.078505326173183</v>
      </c>
      <c r="N512" s="33" t="s">
        <v>248</v>
      </c>
      <c r="IT512" s="15"/>
    </row>
    <row r="513" spans="1:255">
      <c r="A513" s="12"/>
      <c r="B513" s="33" t="s">
        <v>205</v>
      </c>
      <c r="C513" s="92" t="s">
        <v>448</v>
      </c>
      <c r="D513" s="33" t="s">
        <v>410</v>
      </c>
      <c r="E513" s="34">
        <v>45565</v>
      </c>
      <c r="F513" s="34">
        <v>45566</v>
      </c>
      <c r="G513" s="34">
        <v>45569</v>
      </c>
      <c r="H513" s="35"/>
      <c r="I513" s="67">
        <v>11.226000000000001</v>
      </c>
      <c r="J513" s="67">
        <v>3.6693088228223689</v>
      </c>
      <c r="K513" s="67">
        <v>7.5566911771776324</v>
      </c>
      <c r="L513" s="36">
        <f>+K513-((K513*0.5195*0.125)+(K513*(1-0.5195)*0.26))</f>
        <v>6.1219211150948585</v>
      </c>
      <c r="M513" s="64">
        <f t="shared" si="12"/>
        <v>9.7912299379172278</v>
      </c>
      <c r="N513" s="33" t="s">
        <v>248</v>
      </c>
      <c r="IU513" s="15"/>
    </row>
    <row r="514" spans="1:255">
      <c r="A514" s="12"/>
      <c r="B514" s="33" t="s">
        <v>206</v>
      </c>
      <c r="C514" s="92" t="s">
        <v>449</v>
      </c>
      <c r="D514" s="33" t="s">
        <v>410</v>
      </c>
      <c r="E514" s="34">
        <v>45565</v>
      </c>
      <c r="F514" s="34">
        <v>45566</v>
      </c>
      <c r="G514" s="34">
        <v>45569</v>
      </c>
      <c r="H514" s="35"/>
      <c r="I514" s="67">
        <v>12.5863</v>
      </c>
      <c r="J514" s="67">
        <v>3.9574227376262323</v>
      </c>
      <c r="K514" s="67">
        <v>8.6288772623737682</v>
      </c>
      <c r="L514" s="36">
        <f>+K514-((K514*0.5195*0.125)+(K514*(1-0.5195)*0.26))</f>
        <v>6.9905339087600167</v>
      </c>
      <c r="M514" s="64">
        <f t="shared" si="12"/>
        <v>10.947956646386249</v>
      </c>
      <c r="N514" s="33" t="s">
        <v>248</v>
      </c>
    </row>
    <row r="515" spans="1:255">
      <c r="A515" s="12"/>
      <c r="B515" s="33" t="s">
        <v>505</v>
      </c>
      <c r="C515" s="92" t="s">
        <v>506</v>
      </c>
      <c r="D515" s="33" t="s">
        <v>410</v>
      </c>
      <c r="E515" s="34">
        <v>45565</v>
      </c>
      <c r="F515" s="34">
        <v>45566</v>
      </c>
      <c r="G515" s="34">
        <v>45569</v>
      </c>
      <c r="H515" s="35"/>
      <c r="I515" s="67">
        <v>11.4154</v>
      </c>
      <c r="J515" s="67">
        <v>3.1124219165781573</v>
      </c>
      <c r="K515" s="67">
        <v>8.3029780834218432</v>
      </c>
      <c r="L515" s="36">
        <f>+K515-((K515*0.0515*0.125)+(K515*(1-0.0515)*0.26))</f>
        <v>6.2019302368571543</v>
      </c>
      <c r="M515" s="64">
        <f t="shared" si="12"/>
        <v>9.314352153435312</v>
      </c>
      <c r="N515" s="33" t="s">
        <v>248</v>
      </c>
    </row>
    <row r="516" spans="1:255">
      <c r="A516" s="12"/>
      <c r="B516" s="33" t="s">
        <v>212</v>
      </c>
      <c r="C516" s="92" t="s">
        <v>450</v>
      </c>
      <c r="D516" s="33" t="s">
        <v>410</v>
      </c>
      <c r="E516" s="34">
        <v>45565</v>
      </c>
      <c r="F516" s="34">
        <v>45566</v>
      </c>
      <c r="G516" s="34">
        <v>45569</v>
      </c>
      <c r="H516" s="35"/>
      <c r="I516" s="67">
        <v>18.016500000000001</v>
      </c>
      <c r="J516" s="67">
        <v>4.4031031154990572</v>
      </c>
      <c r="K516" s="67">
        <v>13.613396884500943</v>
      </c>
      <c r="L516" s="36">
        <f>+K516-((K516*0.000000001*0.125)+(K516*(1-0.00000001)*0.26))</f>
        <v>10.073913728223856</v>
      </c>
      <c r="M516" s="64">
        <f t="shared" si="12"/>
        <v>14.477016843722913</v>
      </c>
      <c r="N516" s="33" t="s">
        <v>248</v>
      </c>
    </row>
    <row r="517" spans="1:255">
      <c r="A517" s="12"/>
      <c r="B517" s="33" t="s">
        <v>210</v>
      </c>
      <c r="C517" s="92" t="s">
        <v>458</v>
      </c>
      <c r="D517" s="33" t="s">
        <v>410</v>
      </c>
      <c r="E517" s="34">
        <v>45565</v>
      </c>
      <c r="F517" s="34">
        <v>45566</v>
      </c>
      <c r="G517" s="34">
        <v>45569</v>
      </c>
      <c r="H517" s="35" t="s">
        <v>856</v>
      </c>
      <c r="I517" s="67">
        <v>0</v>
      </c>
      <c r="J517" s="67">
        <v>0</v>
      </c>
      <c r="K517" s="67">
        <v>0</v>
      </c>
      <c r="L517" s="36">
        <f>+K517-((K517*0.0305*0.125)+(K517*(1-0.0305)*0.26))</f>
        <v>0</v>
      </c>
      <c r="M517" s="64">
        <f t="shared" si="12"/>
        <v>0</v>
      </c>
      <c r="N517" s="33" t="s">
        <v>248</v>
      </c>
    </row>
    <row r="518" spans="1:255">
      <c r="A518" s="12"/>
      <c r="B518" s="33" t="s">
        <v>225</v>
      </c>
      <c r="C518" s="92" t="s">
        <v>454</v>
      </c>
      <c r="D518" s="33" t="s">
        <v>410</v>
      </c>
      <c r="E518" s="34">
        <v>45590</v>
      </c>
      <c r="F518" s="34">
        <v>45593</v>
      </c>
      <c r="G518" s="34">
        <v>45596</v>
      </c>
      <c r="H518" s="35"/>
      <c r="I518" s="67">
        <v>10.4312</v>
      </c>
      <c r="J518" s="67">
        <v>0</v>
      </c>
      <c r="K518" s="67">
        <v>10.4312</v>
      </c>
      <c r="L518" s="36">
        <f>+K518-((K518*0.2685*0.125)+(K518*(1-0.2685)*0.26))</f>
        <v>8.0971929219999996</v>
      </c>
      <c r="M518" s="64">
        <f t="shared" si="12"/>
        <v>8.0971929219999996</v>
      </c>
      <c r="N518" s="33" t="s">
        <v>249</v>
      </c>
    </row>
    <row r="519" spans="1:255">
      <c r="A519" s="12"/>
      <c r="B519" s="33" t="s">
        <v>219</v>
      </c>
      <c r="C519" s="92" t="s">
        <v>861</v>
      </c>
      <c r="D519" s="33" t="s">
        <v>410</v>
      </c>
      <c r="E519" s="34">
        <v>45590</v>
      </c>
      <c r="F519" s="34">
        <v>45593</v>
      </c>
      <c r="G519" s="34">
        <v>45596</v>
      </c>
      <c r="H519" s="35"/>
      <c r="I519" s="67">
        <v>8.5594999999999999</v>
      </c>
      <c r="J519" s="67">
        <v>2.1829484400000001</v>
      </c>
      <c r="K519" s="67">
        <v>6.3765515600000002</v>
      </c>
      <c r="L519" s="36">
        <f>+K519-((K519*0.0025*0.125)+(K519*(1-0.0025)*0.26))</f>
        <v>4.7208002405515002</v>
      </c>
      <c r="M519" s="64">
        <f t="shared" si="12"/>
        <v>6.9037486805514998</v>
      </c>
      <c r="N519" s="33" t="s">
        <v>249</v>
      </c>
    </row>
    <row r="520" spans="1:255">
      <c r="A520" s="12"/>
      <c r="B520" s="33" t="s">
        <v>551</v>
      </c>
      <c r="C520" s="92" t="s">
        <v>552</v>
      </c>
      <c r="D520" s="33" t="s">
        <v>412</v>
      </c>
      <c r="E520" s="34">
        <v>45608</v>
      </c>
      <c r="F520" s="34">
        <v>45609</v>
      </c>
      <c r="G520" s="34">
        <v>45614</v>
      </c>
      <c r="H520" s="35"/>
      <c r="I520" s="67">
        <v>45</v>
      </c>
      <c r="J520" s="67">
        <v>0</v>
      </c>
      <c r="K520" s="67">
        <v>45</v>
      </c>
      <c r="L520" s="36">
        <f>+K520-((K520*0.0000001*0.125)+(K520*(1-0.000001)*0.26))</f>
        <v>33.3000111375</v>
      </c>
      <c r="M520" s="64">
        <f t="shared" si="12"/>
        <v>33.3000111375</v>
      </c>
      <c r="N520" s="33" t="s">
        <v>288</v>
      </c>
    </row>
    <row r="521" spans="1:255">
      <c r="A521" s="12"/>
      <c r="B521" s="33" t="s">
        <v>677</v>
      </c>
      <c r="C521" s="92" t="s">
        <v>693</v>
      </c>
      <c r="D521" s="33" t="s">
        <v>410</v>
      </c>
      <c r="E521" s="34">
        <v>45656</v>
      </c>
      <c r="F521" s="34">
        <v>45657</v>
      </c>
      <c r="G521" s="34">
        <v>45663</v>
      </c>
      <c r="H521" s="35"/>
      <c r="I521" s="67">
        <v>0</v>
      </c>
      <c r="J521" s="67">
        <v>0</v>
      </c>
      <c r="K521" s="67">
        <v>0</v>
      </c>
      <c r="L521" s="36">
        <f>+K521-((K521*0.00000000001*0.125)+(K521*(1-0.0000000001)*0.26))</f>
        <v>0</v>
      </c>
      <c r="M521" s="64">
        <f t="shared" si="12"/>
        <v>0</v>
      </c>
      <c r="N521" s="33" t="s">
        <v>247</v>
      </c>
    </row>
    <row r="522" spans="1:255">
      <c r="A522" s="12"/>
      <c r="B522" s="33" t="s">
        <v>676</v>
      </c>
      <c r="C522" s="92" t="s">
        <v>888</v>
      </c>
      <c r="D522" s="33" t="s">
        <v>410</v>
      </c>
      <c r="E522" s="34">
        <v>45656</v>
      </c>
      <c r="F522" s="34">
        <v>45657</v>
      </c>
      <c r="G522" s="34">
        <v>45663</v>
      </c>
      <c r="H522" s="35"/>
      <c r="I522" s="67">
        <v>9.4526690000000002</v>
      </c>
      <c r="J522" s="67">
        <v>0</v>
      </c>
      <c r="K522" s="67">
        <v>9.4526685500000003</v>
      </c>
      <c r="L522" s="36">
        <f>+K522-((K522*0.063*0.125)+(K522*(1-0.063)*0.26))</f>
        <v>7.0753696730177502</v>
      </c>
      <c r="M522" s="64">
        <f t="shared" si="12"/>
        <v>7.0753696730177502</v>
      </c>
      <c r="N522" s="33" t="s">
        <v>247</v>
      </c>
    </row>
    <row r="523" spans="1:255">
      <c r="A523" s="12"/>
      <c r="B523" s="33" t="s">
        <v>203</v>
      </c>
      <c r="C523" s="92" t="s">
        <v>445</v>
      </c>
      <c r="D523" s="33" t="s">
        <v>410</v>
      </c>
      <c r="E523" s="34">
        <v>45657</v>
      </c>
      <c r="F523" s="34">
        <v>45659</v>
      </c>
      <c r="G523" s="34">
        <v>45664</v>
      </c>
      <c r="H523" s="35"/>
      <c r="I523" s="67">
        <v>6.6853999999999996</v>
      </c>
      <c r="J523" s="67">
        <v>0.58447018588195487</v>
      </c>
      <c r="K523" s="67">
        <v>6.1009298141180448</v>
      </c>
      <c r="L523" s="36">
        <f>+K523-((K523*0.449*0.125)+(K523*(1-0.449)*0.26))</f>
        <v>4.8844959231301184</v>
      </c>
      <c r="M523" s="64">
        <f t="shared" si="12"/>
        <v>5.4689661090120731</v>
      </c>
      <c r="N523" s="33" t="s">
        <v>248</v>
      </c>
    </row>
    <row r="524" spans="1:255">
      <c r="A524" s="12"/>
      <c r="B524" s="33" t="s">
        <v>204</v>
      </c>
      <c r="C524" s="92" t="s">
        <v>890</v>
      </c>
      <c r="D524" s="33" t="s">
        <v>410</v>
      </c>
      <c r="E524" s="34">
        <v>45657</v>
      </c>
      <c r="F524" s="34">
        <v>45659</v>
      </c>
      <c r="G524" s="34">
        <v>45664</v>
      </c>
      <c r="H524" s="35"/>
      <c r="I524" s="67">
        <v>10</v>
      </c>
      <c r="J524" s="67">
        <v>2.0746951032054128</v>
      </c>
      <c r="K524" s="67">
        <v>7.9253048967945876</v>
      </c>
      <c r="L524" s="36">
        <f>+K524-((K524*0.0275*0.125)+(K524*(1-0.0275)*0.26))</f>
        <v>5.8941483180573444</v>
      </c>
      <c r="M524" s="64">
        <f t="shared" si="12"/>
        <v>7.9688434212627577</v>
      </c>
      <c r="N524" s="33" t="s">
        <v>248</v>
      </c>
    </row>
    <row r="525" spans="1:255">
      <c r="A525" s="12"/>
      <c r="B525" s="33" t="s">
        <v>207</v>
      </c>
      <c r="C525" s="92" t="s">
        <v>990</v>
      </c>
      <c r="D525" s="33" t="s">
        <v>410</v>
      </c>
      <c r="E525" s="34">
        <v>45657</v>
      </c>
      <c r="F525" s="34">
        <v>45659</v>
      </c>
      <c r="G525" s="34">
        <v>45664</v>
      </c>
      <c r="H525" s="35"/>
      <c r="I525" s="67">
        <v>6.5743999999999998</v>
      </c>
      <c r="J525" s="67">
        <v>2.4486892893745189</v>
      </c>
      <c r="K525" s="67">
        <v>4.1257107106254809</v>
      </c>
      <c r="L525" s="36">
        <f>+K525-((K525*0.7185*0.125)+(K525*(1-0.7185)*0.26))</f>
        <v>3.453209550516751</v>
      </c>
      <c r="M525" s="64">
        <f t="shared" si="12"/>
        <v>5.9018988398912704</v>
      </c>
      <c r="N525" s="33" t="s">
        <v>248</v>
      </c>
    </row>
    <row r="526" spans="1:255">
      <c r="A526" s="12"/>
      <c r="B526" s="33" t="s">
        <v>678</v>
      </c>
      <c r="C526" s="92" t="s">
        <v>707</v>
      </c>
      <c r="D526" s="33" t="s">
        <v>410</v>
      </c>
      <c r="E526" s="34">
        <v>45657</v>
      </c>
      <c r="F526" s="34">
        <v>45659</v>
      </c>
      <c r="G526" s="34">
        <v>45664</v>
      </c>
      <c r="H526" s="35"/>
      <c r="I526" s="67">
        <v>17.168800000000001</v>
      </c>
      <c r="J526" s="67">
        <v>5.3556425703413471</v>
      </c>
      <c r="K526" s="67">
        <v>11.813157429658654</v>
      </c>
      <c r="L526" s="36">
        <f>+K526-((K526*0.0000001*0.125)+(K526*(1-0.00000001)*0.26))</f>
        <v>8.7417363809971462</v>
      </c>
      <c r="M526" s="64">
        <f t="shared" si="12"/>
        <v>14.097378951338493</v>
      </c>
      <c r="N526" s="33" t="s">
        <v>248</v>
      </c>
    </row>
    <row r="527" spans="1:255">
      <c r="A527" s="12"/>
      <c r="B527" s="33" t="s">
        <v>205</v>
      </c>
      <c r="C527" s="92" t="s">
        <v>448</v>
      </c>
      <c r="D527" s="33" t="s">
        <v>410</v>
      </c>
      <c r="E527" s="34">
        <v>45657</v>
      </c>
      <c r="F527" s="34">
        <v>45659</v>
      </c>
      <c r="G527" s="34">
        <v>45664</v>
      </c>
      <c r="H527" s="35"/>
      <c r="I527" s="67">
        <v>11.226000000000001</v>
      </c>
      <c r="J527" s="67">
        <v>4.9632767070631667</v>
      </c>
      <c r="K527" s="67">
        <v>6.2627232929368342</v>
      </c>
      <c r="L527" s="36">
        <f>+K527-((K527*0.5195*0.125)+(K527*(1-0.5195)*0.26))</f>
        <v>5.0736356781151493</v>
      </c>
      <c r="M527" s="64">
        <f t="shared" si="12"/>
        <v>10.036912385178315</v>
      </c>
      <c r="N527" s="33" t="s">
        <v>248</v>
      </c>
    </row>
    <row r="528" spans="1:255">
      <c r="A528" s="12"/>
      <c r="B528" s="33" t="s">
        <v>206</v>
      </c>
      <c r="C528" s="92" t="s">
        <v>449</v>
      </c>
      <c r="D528" s="33" t="s">
        <v>410</v>
      </c>
      <c r="E528" s="34">
        <v>45657</v>
      </c>
      <c r="F528" s="34">
        <v>45659</v>
      </c>
      <c r="G528" s="34">
        <v>45664</v>
      </c>
      <c r="H528" s="35"/>
      <c r="I528" s="67">
        <v>12.5863</v>
      </c>
      <c r="J528" s="67">
        <v>5.1854376760256029</v>
      </c>
      <c r="K528" s="67">
        <v>7.4008623239743967</v>
      </c>
      <c r="L528" s="36">
        <f>+K528-((K528*0.5195*0.125)+(K528*(1-0.5195)*0.26))</f>
        <v>5.995679096677188</v>
      </c>
      <c r="M528" s="64">
        <f t="shared" si="12"/>
        <v>11.18111677270279</v>
      </c>
      <c r="N528" s="33" t="s">
        <v>248</v>
      </c>
    </row>
    <row r="529" spans="1:14">
      <c r="A529" s="12"/>
      <c r="B529" s="33" t="s">
        <v>505</v>
      </c>
      <c r="C529" s="92" t="s">
        <v>506</v>
      </c>
      <c r="D529" s="33" t="s">
        <v>410</v>
      </c>
      <c r="E529" s="34">
        <v>45657</v>
      </c>
      <c r="F529" s="34">
        <v>45659</v>
      </c>
      <c r="G529" s="34">
        <v>45664</v>
      </c>
      <c r="H529" s="35"/>
      <c r="I529" s="67">
        <v>11.4154</v>
      </c>
      <c r="J529" s="67">
        <v>3.3445837388192801</v>
      </c>
      <c r="K529" s="67">
        <v>8.0708162611807204</v>
      </c>
      <c r="L529" s="36">
        <f>+K529-((K529*0.0515*0.125)+(K529*(1-0.0515)*0.26))</f>
        <v>6.0285163833295918</v>
      </c>
      <c r="M529" s="64">
        <f t="shared" si="12"/>
        <v>9.3731001221488714</v>
      </c>
      <c r="N529" s="33" t="s">
        <v>248</v>
      </c>
    </row>
    <row r="530" spans="1:14">
      <c r="A530" s="12"/>
      <c r="B530" s="33" t="s">
        <v>212</v>
      </c>
      <c r="C530" s="92" t="s">
        <v>450</v>
      </c>
      <c r="D530" s="33" t="s">
        <v>410</v>
      </c>
      <c r="E530" s="34">
        <v>45657</v>
      </c>
      <c r="F530" s="34">
        <v>45659</v>
      </c>
      <c r="G530" s="34">
        <v>45664</v>
      </c>
      <c r="H530" s="35"/>
      <c r="I530" s="67">
        <v>18.016500000000001</v>
      </c>
      <c r="J530" s="67">
        <v>5.163769762998224</v>
      </c>
      <c r="K530" s="67">
        <v>12.852730237001776</v>
      </c>
      <c r="L530" s="36">
        <f>+K530-((K530*0.000000001*0.125)+(K530*(1-0.00000001)*0.26))</f>
        <v>9.5110204071918218</v>
      </c>
      <c r="M530" s="64">
        <f t="shared" si="12"/>
        <v>14.674790170190047</v>
      </c>
      <c r="N530" s="33" t="s">
        <v>248</v>
      </c>
    </row>
    <row r="531" spans="1:14">
      <c r="A531" s="12"/>
      <c r="B531" s="33" t="s">
        <v>210</v>
      </c>
      <c r="C531" s="92" t="s">
        <v>458</v>
      </c>
      <c r="D531" s="33" t="s">
        <v>410</v>
      </c>
      <c r="E531" s="34">
        <v>45657</v>
      </c>
      <c r="F531" s="34">
        <v>45659</v>
      </c>
      <c r="G531" s="34">
        <v>45664</v>
      </c>
      <c r="H531" s="35" t="s">
        <v>856</v>
      </c>
      <c r="I531" s="67">
        <v>0</v>
      </c>
      <c r="J531" s="67">
        <v>0</v>
      </c>
      <c r="K531" s="67">
        <v>0</v>
      </c>
      <c r="L531" s="36">
        <f>+K531-((K531*0.0305*0.125)+(K531*(1-0.0305)*0.26))</f>
        <v>0</v>
      </c>
      <c r="M531" s="64">
        <f t="shared" si="12"/>
        <v>0</v>
      </c>
      <c r="N531" s="33" t="s">
        <v>248</v>
      </c>
    </row>
    <row r="532" spans="1:14">
      <c r="A532" s="12"/>
      <c r="B532" s="33" t="s">
        <v>492</v>
      </c>
      <c r="C532" s="92" t="s">
        <v>494</v>
      </c>
      <c r="D532" s="33" t="s">
        <v>412</v>
      </c>
      <c r="E532" s="34">
        <v>45684</v>
      </c>
      <c r="F532" s="34">
        <v>45685</v>
      </c>
      <c r="G532" s="34">
        <v>45688</v>
      </c>
      <c r="H532" s="35"/>
      <c r="I532" s="67">
        <v>60.903700000000001</v>
      </c>
      <c r="J532" s="67">
        <v>0</v>
      </c>
      <c r="K532" s="67">
        <v>60.903700000000001</v>
      </c>
      <c r="L532" s="36">
        <f>+K532-((K532*0.1102*0.125)+(K532*(1-0.1102)*0.26))</f>
        <v>45.974802344899999</v>
      </c>
      <c r="M532" s="64">
        <f t="shared" si="12"/>
        <v>45.974802344899999</v>
      </c>
      <c r="N532" s="33" t="s">
        <v>495</v>
      </c>
    </row>
    <row r="533" spans="1:14">
      <c r="A533" s="12"/>
      <c r="B533" s="33" t="s">
        <v>225</v>
      </c>
      <c r="C533" s="92" t="s">
        <v>454</v>
      </c>
      <c r="D533" s="33" t="s">
        <v>410</v>
      </c>
      <c r="E533" s="34">
        <v>45684</v>
      </c>
      <c r="F533" s="34">
        <v>45685</v>
      </c>
      <c r="G533" s="34">
        <v>45688</v>
      </c>
      <c r="H533" s="35"/>
      <c r="I533" s="67">
        <v>9.4461999999999993</v>
      </c>
      <c r="J533" s="67">
        <v>0</v>
      </c>
      <c r="K533" s="67">
        <v>9.4461999999999993</v>
      </c>
      <c r="L533" s="36">
        <f>+K533-((K533*0.2675*0.125)+(K533*(1-0.2675)*0.26))</f>
        <v>7.3313138974999994</v>
      </c>
      <c r="M533" s="64">
        <f t="shared" si="12"/>
        <v>7.3313138974999994</v>
      </c>
      <c r="N533" s="33" t="s">
        <v>249</v>
      </c>
    </row>
    <row r="534" spans="1:14">
      <c r="A534" s="12"/>
      <c r="B534" s="33" t="s">
        <v>219</v>
      </c>
      <c r="C534" s="92" t="s">
        <v>861</v>
      </c>
      <c r="D534" s="33" t="s">
        <v>410</v>
      </c>
      <c r="E534" s="34">
        <v>45684</v>
      </c>
      <c r="F534" s="34">
        <v>45685</v>
      </c>
      <c r="G534" s="34">
        <v>45688</v>
      </c>
      <c r="H534" s="35"/>
      <c r="I534" s="67">
        <v>8.9013000000000009</v>
      </c>
      <c r="J534" s="67">
        <v>7.4417453399999989</v>
      </c>
      <c r="K534" s="67">
        <v>1.459554660000002</v>
      </c>
      <c r="L534" s="36">
        <f>+K534-((K534*0.0017*0.125)+(K534*(1-0.0017)*0.26))</f>
        <v>1.0804054161944716</v>
      </c>
      <c r="M534" s="64">
        <f t="shared" si="12"/>
        <v>8.5221507561944705</v>
      </c>
      <c r="N534" s="33" t="s">
        <v>249</v>
      </c>
    </row>
    <row r="535" spans="1:14">
      <c r="A535" s="12"/>
      <c r="B535" s="33" t="s">
        <v>223</v>
      </c>
      <c r="C535" s="92" t="s">
        <v>865</v>
      </c>
      <c r="D535" s="33" t="s">
        <v>413</v>
      </c>
      <c r="E535" s="34">
        <v>45684</v>
      </c>
      <c r="F535" s="34">
        <v>45685</v>
      </c>
      <c r="G535" s="34">
        <v>45688</v>
      </c>
      <c r="H535" s="35"/>
      <c r="I535" s="67">
        <v>20.5198</v>
      </c>
      <c r="J535" s="67">
        <v>0</v>
      </c>
      <c r="K535" s="67">
        <v>20.5198</v>
      </c>
      <c r="L535" s="36">
        <f>+K535-((K535*0.000000000001*0.125)+(K535*(1-0.00000001)*0.26))</f>
        <v>15.184652053348916</v>
      </c>
      <c r="M535" s="64">
        <f t="shared" si="12"/>
        <v>15.184652053348916</v>
      </c>
      <c r="N535" s="33" t="s">
        <v>250</v>
      </c>
    </row>
    <row r="536" spans="1:14">
      <c r="A536" s="12"/>
      <c r="B536" s="33" t="s">
        <v>486</v>
      </c>
      <c r="C536" s="92" t="s">
        <v>862</v>
      </c>
      <c r="D536" s="33" t="s">
        <v>413</v>
      </c>
      <c r="E536" s="34">
        <v>45684</v>
      </c>
      <c r="F536" s="34">
        <v>45685</v>
      </c>
      <c r="G536" s="34">
        <v>45688</v>
      </c>
      <c r="H536" s="35"/>
      <c r="I536" s="67">
        <v>26.3398</v>
      </c>
      <c r="J536" s="67">
        <v>11.894984909999998</v>
      </c>
      <c r="K536" s="67">
        <v>14.444815090000002</v>
      </c>
      <c r="L536" s="36">
        <f>+K536-((K536*0.0017*0.125)+(K536*(1-0.0017)*0.26))</f>
        <v>10.692478251663157</v>
      </c>
      <c r="M536" s="64">
        <f t="shared" si="12"/>
        <v>22.587463161663155</v>
      </c>
      <c r="N536" s="33" t="s">
        <v>250</v>
      </c>
    </row>
    <row r="537" spans="1:14">
      <c r="A537" s="12"/>
      <c r="B537" s="33" t="s">
        <v>489</v>
      </c>
      <c r="C537" s="92" t="s">
        <v>521</v>
      </c>
      <c r="D537" s="33" t="s">
        <v>413</v>
      </c>
      <c r="E537" s="34">
        <v>45684</v>
      </c>
      <c r="F537" s="34">
        <v>45685</v>
      </c>
      <c r="G537" s="34">
        <v>45688</v>
      </c>
      <c r="H537" s="35" t="s">
        <v>856</v>
      </c>
      <c r="I537" s="67">
        <v>0</v>
      </c>
      <c r="J537" s="67">
        <v>0</v>
      </c>
      <c r="K537" s="67">
        <v>0</v>
      </c>
      <c r="L537" s="36">
        <f>+K537-((K537*0.2224*0.125)+(K537*(1-0.2224)*0.26))</f>
        <v>0</v>
      </c>
      <c r="M537" s="64">
        <f t="shared" si="12"/>
        <v>0</v>
      </c>
      <c r="N537" s="33" t="s">
        <v>250</v>
      </c>
    </row>
    <row r="538" spans="1:14">
      <c r="A538" s="12"/>
      <c r="B538" s="33" t="s">
        <v>218</v>
      </c>
      <c r="C538" s="92" t="s">
        <v>455</v>
      </c>
      <c r="D538" s="33" t="s">
        <v>413</v>
      </c>
      <c r="E538" s="34">
        <v>45684</v>
      </c>
      <c r="F538" s="34">
        <v>45685</v>
      </c>
      <c r="G538" s="34">
        <v>45688</v>
      </c>
      <c r="H538" s="35"/>
      <c r="I538" s="67">
        <v>31.733599999999999</v>
      </c>
      <c r="J538" s="67">
        <v>0</v>
      </c>
      <c r="K538" s="67">
        <v>31.733599999999999</v>
      </c>
      <c r="L538" s="36">
        <f>+K538-((K538*0.2224*0.125)+(K538*(1-0.2224)*0.26))</f>
        <v>24.4356336064</v>
      </c>
      <c r="M538" s="64">
        <f t="shared" si="12"/>
        <v>24.4356336064</v>
      </c>
      <c r="N538" s="33" t="s">
        <v>250</v>
      </c>
    </row>
    <row r="539" spans="1:14">
      <c r="A539" s="12"/>
      <c r="B539" s="33" t="s">
        <v>491</v>
      </c>
      <c r="C539" s="92" t="s">
        <v>671</v>
      </c>
      <c r="D539" s="33" t="s">
        <v>413</v>
      </c>
      <c r="E539" s="34">
        <v>45684</v>
      </c>
      <c r="F539" s="34">
        <v>45685</v>
      </c>
      <c r="G539" s="34">
        <v>45688</v>
      </c>
      <c r="H539" s="35" t="s">
        <v>856</v>
      </c>
      <c r="I539" s="67">
        <v>0</v>
      </c>
      <c r="J539" s="67">
        <v>0</v>
      </c>
      <c r="K539" s="67">
        <v>0</v>
      </c>
      <c r="L539" s="36">
        <f>+K539-((K539*0.1102*0.125)+(K539*(1-0.1102)*0.26))</f>
        <v>0</v>
      </c>
      <c r="M539" s="64">
        <f t="shared" si="12"/>
        <v>0</v>
      </c>
      <c r="N539" s="33" t="s">
        <v>250</v>
      </c>
    </row>
    <row r="540" spans="1:14">
      <c r="A540" s="12"/>
      <c r="B540" s="33" t="s">
        <v>677</v>
      </c>
      <c r="C540" s="92" t="s">
        <v>693</v>
      </c>
      <c r="D540" s="33" t="s">
        <v>410</v>
      </c>
      <c r="E540" s="34">
        <v>45744</v>
      </c>
      <c r="F540" s="34">
        <v>45747</v>
      </c>
      <c r="G540" s="34">
        <v>45750</v>
      </c>
      <c r="H540" s="35"/>
      <c r="I540" s="67">
        <f>VLOOKUP(B540,[5]NAVPRICE_20250401014200_FPNO_20!$A$1:$K$2562,9,FALSE)</f>
        <v>0</v>
      </c>
      <c r="J540" s="67">
        <v>0</v>
      </c>
      <c r="K540" s="67">
        <v>0</v>
      </c>
      <c r="L540" s="36">
        <f>+K540-((K540*0.000000001*0.125)+(K540*(1-0.000000001)*0.26))</f>
        <v>0</v>
      </c>
      <c r="M540" s="64">
        <f t="shared" si="12"/>
        <v>0</v>
      </c>
      <c r="N540" s="33" t="s">
        <v>247</v>
      </c>
    </row>
    <row r="541" spans="1:14">
      <c r="A541" s="12"/>
      <c r="B541" s="33" t="s">
        <v>676</v>
      </c>
      <c r="C541" s="92" t="s">
        <v>888</v>
      </c>
      <c r="D541" s="33" t="s">
        <v>410</v>
      </c>
      <c r="E541" s="34">
        <v>45744</v>
      </c>
      <c r="F541" s="34">
        <v>45747</v>
      </c>
      <c r="G541" s="34">
        <v>45750</v>
      </c>
      <c r="H541" s="35"/>
      <c r="I541" s="67">
        <f>VLOOKUP(B541,[5]NAVPRICE_20250401014200_FPNO_20!$A$1:$K$2562,9,FALSE)</f>
        <v>8.7958010000000009</v>
      </c>
      <c r="J541" s="67">
        <v>0</v>
      </c>
      <c r="K541" s="67">
        <v>8.7958005400000001</v>
      </c>
      <c r="L541" s="36">
        <f>+K541-((K541*0.0586*0.125)+(K541*(1-0.0586)*0.26))</f>
        <v>6.5784759776719399</v>
      </c>
      <c r="M541" s="64">
        <f t="shared" si="12"/>
        <v>6.5784759776719399</v>
      </c>
      <c r="N541" s="33" t="s">
        <v>247</v>
      </c>
    </row>
    <row r="542" spans="1:14">
      <c r="A542" s="12"/>
      <c r="B542" s="33" t="s">
        <v>203</v>
      </c>
      <c r="C542" s="92" t="s">
        <v>445</v>
      </c>
      <c r="D542" s="33" t="s">
        <v>410</v>
      </c>
      <c r="E542" s="34">
        <v>45747</v>
      </c>
      <c r="F542" s="34">
        <v>45748</v>
      </c>
      <c r="G542" s="34">
        <v>45751</v>
      </c>
      <c r="H542" s="35"/>
      <c r="I542" s="67">
        <v>5.6196000000000002</v>
      </c>
      <c r="J542" s="67">
        <v>0</v>
      </c>
      <c r="K542" s="67">
        <v>5.6196000000000002</v>
      </c>
      <c r="L542" s="36">
        <f>+K542-((K542*0.4252*0.125)+(K542*(1-0.4252)*0.26))</f>
        <v>4.4810802792000004</v>
      </c>
      <c r="M542" s="64">
        <f t="shared" si="12"/>
        <v>4.4810802792000004</v>
      </c>
      <c r="N542" s="33" t="s">
        <v>248</v>
      </c>
    </row>
    <row r="543" spans="1:14">
      <c r="A543" s="12"/>
      <c r="B543" s="33" t="s">
        <v>204</v>
      </c>
      <c r="C543" s="92" t="s">
        <v>890</v>
      </c>
      <c r="D543" s="33" t="s">
        <v>410</v>
      </c>
      <c r="E543" s="34">
        <v>45747</v>
      </c>
      <c r="F543" s="34">
        <v>45748</v>
      </c>
      <c r="G543" s="34">
        <v>45751</v>
      </c>
      <c r="H543" s="35"/>
      <c r="I543" s="67">
        <v>7.6379999999999999</v>
      </c>
      <c r="J543" s="67">
        <v>0</v>
      </c>
      <c r="K543" s="67">
        <v>7.6379999999999999</v>
      </c>
      <c r="L543" s="36">
        <f>+K543-((K543*0.051*0.125)+(K543*(1-0.051)*0.26))</f>
        <v>5.7047076299999997</v>
      </c>
      <c r="M543" s="64">
        <f t="shared" si="12"/>
        <v>5.7047076299999997</v>
      </c>
      <c r="N543" s="33" t="s">
        <v>248</v>
      </c>
    </row>
    <row r="544" spans="1:14">
      <c r="A544" s="12"/>
      <c r="B544" s="33" t="s">
        <v>207</v>
      </c>
      <c r="C544" s="92" t="s">
        <v>990</v>
      </c>
      <c r="D544" s="33" t="s">
        <v>410</v>
      </c>
      <c r="E544" s="34">
        <v>45747</v>
      </c>
      <c r="F544" s="34">
        <v>45748</v>
      </c>
      <c r="G544" s="34">
        <v>45751</v>
      </c>
      <c r="H544" s="35"/>
      <c r="I544" s="67">
        <v>4.3780000000000001</v>
      </c>
      <c r="J544" s="67">
        <v>0</v>
      </c>
      <c r="K544" s="67">
        <v>4.3780000000000001</v>
      </c>
      <c r="L544" s="36">
        <f>+K544-((K544*0.737*0.125)+(K544*(1-0.737)*0.26))</f>
        <v>3.6753091100000002</v>
      </c>
      <c r="M544" s="64">
        <f t="shared" si="12"/>
        <v>3.6753091100000002</v>
      </c>
      <c r="N544" s="33" t="s">
        <v>248</v>
      </c>
    </row>
    <row r="545" spans="1:14">
      <c r="A545" s="12"/>
      <c r="B545" s="33" t="s">
        <v>678</v>
      </c>
      <c r="C545" s="92" t="s">
        <v>707</v>
      </c>
      <c r="D545" s="33" t="s">
        <v>410</v>
      </c>
      <c r="E545" s="34">
        <v>45747</v>
      </c>
      <c r="F545" s="34">
        <v>45748</v>
      </c>
      <c r="G545" s="34">
        <v>45751</v>
      </c>
      <c r="H545" s="35"/>
      <c r="I545" s="67">
        <v>12.0586</v>
      </c>
      <c r="J545" s="67">
        <v>0</v>
      </c>
      <c r="K545" s="67">
        <v>12.0586</v>
      </c>
      <c r="L545" s="36">
        <f>+K545-((K545*0.0358*0.125)+(K545*(1-0.0358)*0.26))</f>
        <v>8.9816432138</v>
      </c>
      <c r="M545" s="64">
        <f t="shared" si="12"/>
        <v>8.9816432138</v>
      </c>
      <c r="N545" s="33" t="s">
        <v>248</v>
      </c>
    </row>
    <row r="546" spans="1:14">
      <c r="A546" s="12"/>
      <c r="B546" s="33" t="s">
        <v>205</v>
      </c>
      <c r="C546" s="92" t="s">
        <v>448</v>
      </c>
      <c r="D546" s="33" t="s">
        <v>410</v>
      </c>
      <c r="E546" s="34">
        <v>45747</v>
      </c>
      <c r="F546" s="34">
        <v>45748</v>
      </c>
      <c r="G546" s="34">
        <v>45751</v>
      </c>
      <c r="H546" s="35"/>
      <c r="I546" s="67">
        <v>10.971399999999999</v>
      </c>
      <c r="J546" s="67">
        <v>0</v>
      </c>
      <c r="K546" s="67">
        <v>10.971399999999999</v>
      </c>
      <c r="L546" s="36">
        <f>+K546-((K546*0.5205*0.125)+(K546*(1-0.05205)*0.26))</f>
        <v>7.5534852436999991</v>
      </c>
      <c r="M546" s="64">
        <f t="shared" si="12"/>
        <v>7.5534852436999991</v>
      </c>
      <c r="N546" s="33" t="s">
        <v>248</v>
      </c>
    </row>
    <row r="547" spans="1:14">
      <c r="A547" s="12"/>
      <c r="B547" s="33" t="s">
        <v>206</v>
      </c>
      <c r="C547" s="92" t="s">
        <v>449</v>
      </c>
      <c r="D547" s="33" t="s">
        <v>410</v>
      </c>
      <c r="E547" s="34">
        <v>45747</v>
      </c>
      <c r="F547" s="34">
        <v>45748</v>
      </c>
      <c r="G547" s="34">
        <v>45751</v>
      </c>
      <c r="H547" s="35"/>
      <c r="I547" s="67">
        <v>13.3589</v>
      </c>
      <c r="J547" s="67">
        <v>0</v>
      </c>
      <c r="K547" s="67">
        <v>13.3589</v>
      </c>
      <c r="L547" s="36">
        <f>+K547-((K547*0.5205*0.125)+(K547*(1-0.05205)*0.26))</f>
        <v>9.1972085624500011</v>
      </c>
      <c r="M547" s="64">
        <f t="shared" si="12"/>
        <v>9.1972085624500011</v>
      </c>
      <c r="N547" s="33" t="s">
        <v>248</v>
      </c>
    </row>
    <row r="548" spans="1:14">
      <c r="A548" s="12"/>
      <c r="B548" s="33" t="s">
        <v>505</v>
      </c>
      <c r="C548" s="92" t="s">
        <v>506</v>
      </c>
      <c r="D548" s="33" t="s">
        <v>410</v>
      </c>
      <c r="E548" s="34">
        <v>45747</v>
      </c>
      <c r="F548" s="34">
        <v>45748</v>
      </c>
      <c r="G548" s="34">
        <v>45751</v>
      </c>
      <c r="H548" s="35"/>
      <c r="I548" s="67">
        <v>10.1046</v>
      </c>
      <c r="J548" s="67">
        <v>0</v>
      </c>
      <c r="K548" s="67">
        <v>10.1046</v>
      </c>
      <c r="L548" s="36">
        <f>+K548-((K548*0.0436*0.125)+(K548*(1-0.0436)*0.26))</f>
        <v>7.5368796755999998</v>
      </c>
      <c r="M548" s="64">
        <f t="shared" si="12"/>
        <v>7.5368796755999998</v>
      </c>
      <c r="N548" s="33" t="s">
        <v>248</v>
      </c>
    </row>
    <row r="549" spans="1:14">
      <c r="A549" s="12"/>
      <c r="B549" s="33" t="s">
        <v>212</v>
      </c>
      <c r="C549" s="92" t="s">
        <v>450</v>
      </c>
      <c r="D549" s="33" t="s">
        <v>410</v>
      </c>
      <c r="E549" s="34">
        <v>45747</v>
      </c>
      <c r="F549" s="34">
        <v>45748</v>
      </c>
      <c r="G549" s="34">
        <v>45751</v>
      </c>
      <c r="H549" s="35"/>
      <c r="I549" s="67">
        <v>13.6136</v>
      </c>
      <c r="J549" s="67">
        <v>0</v>
      </c>
      <c r="K549" s="67">
        <v>13.6136</v>
      </c>
      <c r="L549" s="36">
        <f>+K549-((K549*0.000000001*0.125)+(K549*(1-0.000000001)*0.26))</f>
        <v>10.074064001837836</v>
      </c>
      <c r="M549" s="64">
        <f t="shared" si="12"/>
        <v>10.074064001837836</v>
      </c>
      <c r="N549" s="33" t="s">
        <v>248</v>
      </c>
    </row>
    <row r="550" spans="1:14">
      <c r="A550" s="12"/>
      <c r="B550" s="33" t="s">
        <v>210</v>
      </c>
      <c r="C550" s="92" t="s">
        <v>458</v>
      </c>
      <c r="D550" s="33" t="s">
        <v>410</v>
      </c>
      <c r="E550" s="34">
        <v>45747</v>
      </c>
      <c r="F550" s="34">
        <v>45748</v>
      </c>
      <c r="G550" s="34">
        <v>45751</v>
      </c>
      <c r="H550" s="35" t="s">
        <v>856</v>
      </c>
      <c r="I550" s="67">
        <v>0</v>
      </c>
      <c r="J550" s="67">
        <v>0</v>
      </c>
      <c r="K550" s="67">
        <v>0</v>
      </c>
      <c r="L550" s="36">
        <f>+K550-((K550*0.0282*0.125)+(K550*(1-0.0282)*0.26))</f>
        <v>0</v>
      </c>
      <c r="M550" s="64">
        <f t="shared" si="12"/>
        <v>0</v>
      </c>
      <c r="N550" s="33" t="s">
        <v>248</v>
      </c>
    </row>
    <row r="551" spans="1:14">
      <c r="A551" s="12"/>
      <c r="B551" s="33" t="s">
        <v>225</v>
      </c>
      <c r="C551" s="92" t="s">
        <v>454</v>
      </c>
      <c r="D551" s="33" t="s">
        <v>410</v>
      </c>
      <c r="E551" s="34">
        <v>45771</v>
      </c>
      <c r="F551" s="34">
        <v>45772</v>
      </c>
      <c r="G551" s="34">
        <v>45777</v>
      </c>
      <c r="H551" s="35"/>
      <c r="I551" s="67">
        <v>9.4461999999999993</v>
      </c>
      <c r="J551" s="67">
        <v>0</v>
      </c>
      <c r="K551" s="67">
        <v>9.4461999999999993</v>
      </c>
      <c r="L551" s="36">
        <f>+K551-((K551*0.2675*0.125)+(K551*(1-0.2675)*0.26))</f>
        <v>7.3313138974999994</v>
      </c>
      <c r="M551" s="64">
        <f t="shared" si="12"/>
        <v>7.3313138974999994</v>
      </c>
      <c r="N551" s="33" t="s">
        <v>249</v>
      </c>
    </row>
    <row r="552" spans="1:14">
      <c r="A552" s="12"/>
      <c r="B552" s="33" t="s">
        <v>219</v>
      </c>
      <c r="C552" s="92" t="s">
        <v>861</v>
      </c>
      <c r="D552" s="33" t="s">
        <v>410</v>
      </c>
      <c r="E552" s="34">
        <v>45771</v>
      </c>
      <c r="F552" s="34">
        <v>45772</v>
      </c>
      <c r="G552" s="34">
        <v>45777</v>
      </c>
      <c r="H552" s="35"/>
      <c r="I552" s="67">
        <v>8.9013000000000009</v>
      </c>
      <c r="J552" s="67">
        <v>3.1801390400000007</v>
      </c>
      <c r="K552" s="67">
        <v>5.7211609599999997</v>
      </c>
      <c r="L552" s="36">
        <f>+K552-((K552*0.0017*0.125)+(K552*(1-0.0017)*0.26))</f>
        <v>4.2349721168403196</v>
      </c>
      <c r="M552" s="64">
        <f t="shared" si="12"/>
        <v>7.4151111568403199</v>
      </c>
      <c r="N552" s="33" t="s">
        <v>249</v>
      </c>
    </row>
    <row r="553" spans="1:14">
      <c r="A553" s="12"/>
      <c r="B553" s="33" t="s">
        <v>677</v>
      </c>
      <c r="C553" s="92" t="s">
        <v>992</v>
      </c>
      <c r="D553" s="33" t="s">
        <v>410</v>
      </c>
      <c r="E553" s="34">
        <v>45835</v>
      </c>
      <c r="F553" s="34">
        <v>45838</v>
      </c>
      <c r="G553" s="34">
        <v>45841</v>
      </c>
      <c r="H553" s="35"/>
      <c r="I553" s="67">
        <v>7.8991949999999997</v>
      </c>
      <c r="J553" s="67">
        <v>0</v>
      </c>
      <c r="K553" s="67">
        <v>7.8991949999999997</v>
      </c>
      <c r="L553" s="36">
        <f>+K553-((K553*0.000000001*0.125)+(K553*(1-0.000000001)*0.26))</f>
        <v>5.8454043010663908</v>
      </c>
      <c r="M553" s="64">
        <f t="shared" si="12"/>
        <v>5.8454043010663908</v>
      </c>
      <c r="N553" s="33" t="s">
        <v>247</v>
      </c>
    </row>
    <row r="554" spans="1:14">
      <c r="A554" s="12"/>
      <c r="B554" s="33" t="s">
        <v>676</v>
      </c>
      <c r="C554" s="92" t="s">
        <v>995</v>
      </c>
      <c r="D554" s="33" t="s">
        <v>410</v>
      </c>
      <c r="E554" s="34">
        <v>45835</v>
      </c>
      <c r="F554" s="34">
        <v>45838</v>
      </c>
      <c r="G554" s="34">
        <v>45841</v>
      </c>
      <c r="H554" s="35"/>
      <c r="I554" s="67">
        <v>8.8214900000000007</v>
      </c>
      <c r="J554" s="67">
        <v>0</v>
      </c>
      <c r="K554" s="67">
        <v>8.8214900000000007</v>
      </c>
      <c r="L554" s="36">
        <f>+K554-((K554*0.0586*0.125)+(K554*(1-0.0586)*0.26))</f>
        <v>6.5976894073900008</v>
      </c>
      <c r="M554" s="64">
        <f t="shared" si="12"/>
        <v>6.5976894073900008</v>
      </c>
      <c r="N554" s="33" t="s">
        <v>247</v>
      </c>
    </row>
    <row r="555" spans="1:14">
      <c r="A555" s="12"/>
      <c r="B555" s="33" t="s">
        <v>203</v>
      </c>
      <c r="C555" s="92" t="s">
        <v>445</v>
      </c>
      <c r="D555" s="33" t="s">
        <v>410</v>
      </c>
      <c r="E555" s="34">
        <v>45838</v>
      </c>
      <c r="F555" s="34">
        <v>45839</v>
      </c>
      <c r="G555" s="34">
        <v>45842</v>
      </c>
      <c r="H555" s="35"/>
      <c r="I555" s="67">
        <v>5.6196000000000002</v>
      </c>
      <c r="J555" s="67">
        <v>0.25173194999999904</v>
      </c>
      <c r="K555" s="67">
        <v>5.3678680500000011</v>
      </c>
      <c r="L555" s="36">
        <f>+K555-((K555*0.4252*0.125)+(K555*(1-0.4252)*0.26))</f>
        <v>4.2803487188061009</v>
      </c>
      <c r="M555" s="64">
        <f t="shared" si="12"/>
        <v>4.5320806688060999</v>
      </c>
      <c r="N555" s="33" t="s">
        <v>248</v>
      </c>
    </row>
    <row r="556" spans="1:14">
      <c r="A556" s="12"/>
      <c r="B556" s="33" t="s">
        <v>204</v>
      </c>
      <c r="C556" s="92" t="s">
        <v>988</v>
      </c>
      <c r="D556" s="33" t="s">
        <v>410</v>
      </c>
      <c r="E556" s="34">
        <v>45838</v>
      </c>
      <c r="F556" s="34">
        <v>45839</v>
      </c>
      <c r="G556" s="34">
        <v>45842</v>
      </c>
      <c r="H556" s="35"/>
      <c r="I556" s="67">
        <v>7.6379999999999999</v>
      </c>
      <c r="J556" s="67">
        <v>0</v>
      </c>
      <c r="K556" s="67">
        <v>7.6379999999999999</v>
      </c>
      <c r="L556" s="36">
        <f>+K556-((K556*0.051*0.125)+(K556*(1-0.051)*0.26))</f>
        <v>5.7047076299999997</v>
      </c>
      <c r="M556" s="64">
        <f t="shared" si="12"/>
        <v>5.7047076299999997</v>
      </c>
      <c r="N556" s="33" t="s">
        <v>248</v>
      </c>
    </row>
    <row r="557" spans="1:14">
      <c r="A557" s="12"/>
      <c r="B557" s="33" t="s">
        <v>207</v>
      </c>
      <c r="C557" s="92" t="s">
        <v>989</v>
      </c>
      <c r="D557" s="33" t="s">
        <v>410</v>
      </c>
      <c r="E557" s="34">
        <v>45838</v>
      </c>
      <c r="F557" s="34">
        <v>45839</v>
      </c>
      <c r="G557" s="34">
        <v>45842</v>
      </c>
      <c r="H557" s="35"/>
      <c r="I557" s="67">
        <v>4.3780000000000001</v>
      </c>
      <c r="J557" s="67">
        <v>0.62259930000000008</v>
      </c>
      <c r="K557" s="67">
        <v>3.7554007</v>
      </c>
      <c r="L557" s="36">
        <f>+K557-((K557*0.737*0.125)+(K557*(1-0.737)*0.26))</f>
        <v>3.1526401106464998</v>
      </c>
      <c r="M557" s="64">
        <f t="shared" si="12"/>
        <v>3.7752394106464999</v>
      </c>
      <c r="N557" s="33" t="s">
        <v>248</v>
      </c>
    </row>
    <row r="558" spans="1:14">
      <c r="A558" s="12"/>
      <c r="B558" s="33" t="s">
        <v>678</v>
      </c>
      <c r="C558" s="92" t="s">
        <v>707</v>
      </c>
      <c r="D558" s="33" t="s">
        <v>410</v>
      </c>
      <c r="E558" s="34">
        <v>45838</v>
      </c>
      <c r="F558" s="34">
        <v>45839</v>
      </c>
      <c r="G558" s="34">
        <v>45842</v>
      </c>
      <c r="H558" s="35"/>
      <c r="I558" s="67">
        <v>12.0586</v>
      </c>
      <c r="J558" s="67">
        <v>0</v>
      </c>
      <c r="K558" s="67">
        <v>12.0586</v>
      </c>
      <c r="L558" s="36">
        <f>+K558-((K558*0.0358*0.125)+(K558*(1-0.0358)*0.26))</f>
        <v>8.9816432138</v>
      </c>
      <c r="M558" s="64">
        <f t="shared" si="12"/>
        <v>8.9816432138</v>
      </c>
      <c r="N558" s="33" t="s">
        <v>248</v>
      </c>
    </row>
    <row r="559" spans="1:14">
      <c r="A559" s="12"/>
      <c r="B559" s="33" t="s">
        <v>205</v>
      </c>
      <c r="C559" s="92" t="s">
        <v>448</v>
      </c>
      <c r="D559" s="33" t="s">
        <v>410</v>
      </c>
      <c r="E559" s="34">
        <v>45838</v>
      </c>
      <c r="F559" s="34">
        <v>45839</v>
      </c>
      <c r="G559" s="34">
        <v>45842</v>
      </c>
      <c r="H559" s="35"/>
      <c r="I559" s="67">
        <v>10.971399999999999</v>
      </c>
      <c r="J559" s="67">
        <v>3.2960341639427737</v>
      </c>
      <c r="K559" s="67">
        <v>7.6753658360572254</v>
      </c>
      <c r="L559" s="36">
        <f>+K559-((K559*0.5205*0.125)+(K559*(1-0.05205)*0.26))</f>
        <v>5.2842629548332365</v>
      </c>
      <c r="M559" s="64">
        <f t="shared" si="12"/>
        <v>8.5802971187760093</v>
      </c>
      <c r="N559" s="33" t="s">
        <v>248</v>
      </c>
    </row>
    <row r="560" spans="1:14">
      <c r="A560" s="12"/>
      <c r="B560" s="33" t="s">
        <v>206</v>
      </c>
      <c r="C560" s="92" t="s">
        <v>449</v>
      </c>
      <c r="D560" s="33" t="s">
        <v>410</v>
      </c>
      <c r="E560" s="34">
        <v>45838</v>
      </c>
      <c r="F560" s="34">
        <v>45839</v>
      </c>
      <c r="G560" s="34">
        <v>45842</v>
      </c>
      <c r="H560" s="35"/>
      <c r="I560" s="67">
        <v>13.3589</v>
      </c>
      <c r="J560" s="67">
        <v>4.756208992469471</v>
      </c>
      <c r="K560" s="67">
        <v>8.6026910075305292</v>
      </c>
      <c r="L560" s="36">
        <f>+K560-((K560*0.5205*0.125)+(K560*(1-0.05205)*0.26))</f>
        <v>5.9226989793000477</v>
      </c>
      <c r="M560" s="64">
        <f t="shared" si="12"/>
        <v>10.678907971769519</v>
      </c>
      <c r="N560" s="33" t="s">
        <v>248</v>
      </c>
    </row>
    <row r="561" spans="1:14">
      <c r="A561" s="12"/>
      <c r="B561" s="33" t="s">
        <v>505</v>
      </c>
      <c r="C561" s="92" t="s">
        <v>506</v>
      </c>
      <c r="D561" s="33" t="s">
        <v>410</v>
      </c>
      <c r="E561" s="34">
        <v>45838</v>
      </c>
      <c r="F561" s="34">
        <v>45839</v>
      </c>
      <c r="G561" s="34">
        <v>45842</v>
      </c>
      <c r="H561" s="35"/>
      <c r="I561" s="67">
        <v>10.1046</v>
      </c>
      <c r="J561" s="67">
        <v>2.2239775862800872</v>
      </c>
      <c r="K561" s="67">
        <v>7.8806224137199123</v>
      </c>
      <c r="L561" s="36">
        <f>+K561-((K561*0.0436*0.125)+(K561*(1-0.0436)*0.26))</f>
        <v>5.8780459296798906</v>
      </c>
      <c r="M561" s="64">
        <f t="shared" si="12"/>
        <v>8.1020235159599778</v>
      </c>
      <c r="N561" s="33" t="s">
        <v>248</v>
      </c>
    </row>
    <row r="562" spans="1:14">
      <c r="A562" s="12"/>
      <c r="B562" s="33" t="s">
        <v>212</v>
      </c>
      <c r="C562" s="92" t="s">
        <v>450</v>
      </c>
      <c r="D562" s="33" t="s">
        <v>410</v>
      </c>
      <c r="E562" s="34">
        <v>45838</v>
      </c>
      <c r="F562" s="34">
        <v>45839</v>
      </c>
      <c r="G562" s="34">
        <v>45842</v>
      </c>
      <c r="H562" s="35"/>
      <c r="I562" s="67">
        <v>13.6136</v>
      </c>
      <c r="J562" s="67">
        <v>0.86174304000000035</v>
      </c>
      <c r="K562" s="67">
        <v>12.75185696</v>
      </c>
      <c r="L562" s="36">
        <f>+K562-((K562*0.000000001*0.125)+(K562*(1-0.000000001)*0.26))</f>
        <v>9.4363741521215001</v>
      </c>
      <c r="M562" s="64">
        <f t="shared" si="12"/>
        <v>10.2981171921215</v>
      </c>
      <c r="N562" s="33" t="s">
        <v>248</v>
      </c>
    </row>
    <row r="563" spans="1:14">
      <c r="A563" s="12"/>
      <c r="B563" s="33" t="s">
        <v>210</v>
      </c>
      <c r="C563" s="92" t="s">
        <v>458</v>
      </c>
      <c r="D563" s="33" t="s">
        <v>410</v>
      </c>
      <c r="E563" s="34">
        <v>45838</v>
      </c>
      <c r="F563" s="34">
        <v>45839</v>
      </c>
      <c r="G563" s="34">
        <v>45842</v>
      </c>
      <c r="H563" s="35" t="s">
        <v>856</v>
      </c>
      <c r="I563" s="67">
        <v>0</v>
      </c>
      <c r="J563" s="67">
        <v>0</v>
      </c>
      <c r="K563" s="67">
        <v>0</v>
      </c>
      <c r="L563" s="36">
        <f>+K563-((K563*0.0282*0.125)+(K563*(1-0.0282)*0.26))</f>
        <v>0</v>
      </c>
      <c r="M563" s="64">
        <f t="shared" si="12"/>
        <v>0</v>
      </c>
      <c r="N563" s="33" t="s">
        <v>248</v>
      </c>
    </row>
    <row r="564" spans="1:14">
      <c r="A564" s="12"/>
      <c r="B564" s="33" t="s">
        <v>225</v>
      </c>
      <c r="C564" s="92" t="s">
        <v>454</v>
      </c>
      <c r="D564" s="33" t="s">
        <v>410</v>
      </c>
      <c r="E564" s="34">
        <v>45863</v>
      </c>
      <c r="F564" s="34">
        <v>45866</v>
      </c>
      <c r="G564" s="34">
        <v>45869</v>
      </c>
      <c r="H564" s="35"/>
      <c r="I564" s="67">
        <v>9.4461999999999993</v>
      </c>
      <c r="J564" s="67">
        <v>0</v>
      </c>
      <c r="K564" s="67">
        <v>9.4461999999999993</v>
      </c>
      <c r="L564" s="36">
        <f>+K564-((K564*0.274*0.125)+(K564*(1-0.274)*0.26))</f>
        <v>7.3396029379999996</v>
      </c>
      <c r="M564" s="64">
        <f t="shared" si="12"/>
        <v>7.3396029379999996</v>
      </c>
      <c r="N564" s="33" t="s">
        <v>249</v>
      </c>
    </row>
    <row r="565" spans="1:14">
      <c r="A565" s="12"/>
      <c r="B565" s="33" t="s">
        <v>219</v>
      </c>
      <c r="C565" s="92" t="s">
        <v>993</v>
      </c>
      <c r="D565" s="33" t="s">
        <v>410</v>
      </c>
      <c r="E565" s="34">
        <v>45863</v>
      </c>
      <c r="F565" s="34">
        <v>45866</v>
      </c>
      <c r="G565" s="34">
        <v>45869</v>
      </c>
      <c r="H565" s="35"/>
      <c r="I565" s="67">
        <v>8.9013000000000009</v>
      </c>
      <c r="J565" s="67">
        <v>2.696193930000002</v>
      </c>
      <c r="K565" s="67">
        <v>6.2051060699999994</v>
      </c>
      <c r="L565" s="36">
        <f>+K565-((K565*0.0011*0.125)+(K565*(1-0.0011)*0.26))</f>
        <v>4.5926999500513945</v>
      </c>
      <c r="M565" s="64">
        <f t="shared" si="12"/>
        <v>7.2888938800513969</v>
      </c>
      <c r="N565" s="33" t="s">
        <v>249</v>
      </c>
    </row>
    <row r="566" spans="1:14">
      <c r="A566" s="12"/>
      <c r="B566" s="33" t="s">
        <v>223</v>
      </c>
      <c r="C566" s="92" t="s">
        <v>991</v>
      </c>
      <c r="D566" s="33" t="s">
        <v>413</v>
      </c>
      <c r="E566" s="34">
        <v>45863</v>
      </c>
      <c r="F566" s="34">
        <v>45866</v>
      </c>
      <c r="G566" s="34">
        <v>45869</v>
      </c>
      <c r="H566" s="35"/>
      <c r="I566" s="67">
        <v>20.5198</v>
      </c>
      <c r="J566" s="67">
        <v>0</v>
      </c>
      <c r="K566" s="67">
        <v>20.5198</v>
      </c>
      <c r="L566" s="36">
        <f>+K566-((K566*0.000001*0.125)+(K566*(1-0.000001)*0.26))</f>
        <v>15.184654770172999</v>
      </c>
      <c r="M566" s="64">
        <f t="shared" si="12"/>
        <v>15.184654770172999</v>
      </c>
      <c r="N566" s="33" t="s">
        <v>250</v>
      </c>
    </row>
    <row r="567" spans="1:14">
      <c r="A567" s="12"/>
      <c r="B567" s="33" t="s">
        <v>486</v>
      </c>
      <c r="C567" s="92" t="s">
        <v>994</v>
      </c>
      <c r="D567" s="33" t="s">
        <v>413</v>
      </c>
      <c r="E567" s="34">
        <v>45863</v>
      </c>
      <c r="F567" s="34">
        <v>45866</v>
      </c>
      <c r="G567" s="34">
        <v>45869</v>
      </c>
      <c r="H567" s="35"/>
      <c r="I567" s="67">
        <v>26.3398</v>
      </c>
      <c r="J567" s="67">
        <v>5.3411270500000025</v>
      </c>
      <c r="K567" s="67">
        <v>20.99867295</v>
      </c>
      <c r="L567" s="36">
        <f>+K567-((K567*0.0011*0.125)+(K567*(1-0.0011)*0.26))</f>
        <v>15.542136285933074</v>
      </c>
      <c r="M567" s="64">
        <f t="shared" si="12"/>
        <v>20.883263335933076</v>
      </c>
      <c r="N567" s="33" t="s">
        <v>250</v>
      </c>
    </row>
    <row r="568" spans="1:14">
      <c r="A568" s="12"/>
      <c r="B568" s="33" t="s">
        <v>489</v>
      </c>
      <c r="C568" s="92" t="s">
        <v>521</v>
      </c>
      <c r="D568" s="33" t="s">
        <v>413</v>
      </c>
      <c r="E568" s="34">
        <v>45863</v>
      </c>
      <c r="F568" s="34">
        <v>45866</v>
      </c>
      <c r="G568" s="34">
        <v>45869</v>
      </c>
      <c r="H568" s="35" t="s">
        <v>856</v>
      </c>
      <c r="I568" s="67">
        <v>0</v>
      </c>
      <c r="J568" s="67">
        <v>0</v>
      </c>
      <c r="K568" s="67">
        <v>0</v>
      </c>
      <c r="L568" s="36">
        <f>+K568-((K568*0.2888*0.125)+(K568*(1-0.2888)*0.26))</f>
        <v>0</v>
      </c>
      <c r="M568" s="64">
        <f t="shared" si="12"/>
        <v>0</v>
      </c>
      <c r="N568" s="33" t="s">
        <v>250</v>
      </c>
    </row>
    <row r="569" spans="1:14">
      <c r="A569" s="12"/>
      <c r="B569" s="33" t="s">
        <v>218</v>
      </c>
      <c r="C569" s="92" t="s">
        <v>455</v>
      </c>
      <c r="D569" s="33" t="s">
        <v>413</v>
      </c>
      <c r="E569" s="34">
        <v>45863</v>
      </c>
      <c r="F569" s="34">
        <v>45866</v>
      </c>
      <c r="G569" s="34">
        <v>45869</v>
      </c>
      <c r="H569" s="35"/>
      <c r="I569" s="67">
        <v>31.733599999999999</v>
      </c>
      <c r="J569" s="67">
        <v>0</v>
      </c>
      <c r="K569" s="67">
        <v>31.733599999999999</v>
      </c>
      <c r="L569" s="36">
        <f>+K569-((K569*0.2888*0.125)+(K569*(1-0.2888)*0.26))</f>
        <v>24.720093596799998</v>
      </c>
      <c r="M569" s="64">
        <f t="shared" si="12"/>
        <v>24.720093596799998</v>
      </c>
      <c r="N569" s="33" t="s">
        <v>250</v>
      </c>
    </row>
    <row r="570" spans="1:14">
      <c r="A570" s="12"/>
      <c r="B570" s="33" t="s">
        <v>491</v>
      </c>
      <c r="C570" s="92" t="s">
        <v>671</v>
      </c>
      <c r="D570" s="33" t="s">
        <v>413</v>
      </c>
      <c r="E570" s="34">
        <v>45863</v>
      </c>
      <c r="F570" s="34">
        <v>45866</v>
      </c>
      <c r="G570" s="34">
        <v>45869</v>
      </c>
      <c r="H570" s="35" t="s">
        <v>856</v>
      </c>
      <c r="I570" s="67">
        <v>0</v>
      </c>
      <c r="J570" s="67">
        <v>0</v>
      </c>
      <c r="K570" s="67">
        <v>0</v>
      </c>
      <c r="L570" s="36">
        <f>+K570-((K570*0.0904*0.125)+(K570*(1-0.0904)*0.26))</f>
        <v>0</v>
      </c>
      <c r="M570" s="64">
        <f t="shared" si="12"/>
        <v>0</v>
      </c>
      <c r="N570" s="33" t="s">
        <v>250</v>
      </c>
    </row>
    <row r="571" spans="1:14">
      <c r="A571" s="12"/>
      <c r="B571" s="33" t="s">
        <v>293</v>
      </c>
      <c r="C571" s="92" t="s">
        <v>553</v>
      </c>
      <c r="D571" s="33" t="s">
        <v>412</v>
      </c>
      <c r="E571" s="34">
        <v>45908</v>
      </c>
      <c r="F571" s="34">
        <v>45909</v>
      </c>
      <c r="G571" s="34">
        <v>45912</v>
      </c>
      <c r="H571" s="35"/>
      <c r="I571" s="67">
        <v>12.45</v>
      </c>
      <c r="J571" s="67">
        <v>0</v>
      </c>
      <c r="K571" s="67">
        <v>12.45</v>
      </c>
      <c r="L571" s="36">
        <f>+K571-((K571*0.0026*0.125)+(K571*(1-0.0026)*0.26))</f>
        <v>9.2173699499999984</v>
      </c>
      <c r="M571" s="64">
        <f t="shared" si="12"/>
        <v>9.2173699499999984</v>
      </c>
      <c r="N571" s="33" t="s">
        <v>288</v>
      </c>
    </row>
    <row r="572" spans="1:14">
      <c r="A572" s="12"/>
      <c r="B572" s="33" t="s">
        <v>295</v>
      </c>
      <c r="C572" s="92" t="s">
        <v>461</v>
      </c>
      <c r="D572" s="33" t="s">
        <v>412</v>
      </c>
      <c r="E572" s="34">
        <v>45908</v>
      </c>
      <c r="F572" s="34">
        <v>45909</v>
      </c>
      <c r="G572" s="34">
        <v>45912</v>
      </c>
      <c r="H572" s="35"/>
      <c r="I572" s="67">
        <v>75.239999999999995</v>
      </c>
      <c r="J572" s="67">
        <v>0</v>
      </c>
      <c r="K572" s="67">
        <v>75.239999999999995</v>
      </c>
      <c r="L572" s="36">
        <f>+K572-((K572*0.3726*0.125)+(K572*(1-0.3726)*0.26))</f>
        <v>59.462247239999996</v>
      </c>
      <c r="M572" s="64">
        <f t="shared" si="12"/>
        <v>59.462247239999996</v>
      </c>
      <c r="N572" s="33" t="s">
        <v>288</v>
      </c>
    </row>
    <row r="573" spans="1:14">
      <c r="A573" s="12"/>
      <c r="B573" s="33" t="s">
        <v>297</v>
      </c>
      <c r="C573" s="92" t="s">
        <v>463</v>
      </c>
      <c r="D573" s="33" t="s">
        <v>412</v>
      </c>
      <c r="E573" s="34">
        <v>45908</v>
      </c>
      <c r="F573" s="34">
        <v>45909</v>
      </c>
      <c r="G573" s="34">
        <v>45912</v>
      </c>
      <c r="H573" s="35"/>
      <c r="I573" s="67">
        <v>60.96</v>
      </c>
      <c r="J573" s="67">
        <v>0</v>
      </c>
      <c r="K573" s="67">
        <v>60.96</v>
      </c>
      <c r="L573" s="36">
        <f>+K573-((K573*0.8353*0.125)+(K573*(1-0.8353)*0.26))</f>
        <v>51.98458488</v>
      </c>
      <c r="M573" s="64">
        <f t="shared" si="12"/>
        <v>51.98458488</v>
      </c>
      <c r="N573" s="33" t="s">
        <v>288</v>
      </c>
    </row>
    <row r="574" spans="1:14">
      <c r="A574" s="12"/>
      <c r="B574" s="33" t="s">
        <v>290</v>
      </c>
      <c r="C574" s="92" t="s">
        <v>460</v>
      </c>
      <c r="D574" s="33" t="s">
        <v>412</v>
      </c>
      <c r="E574" s="34">
        <v>45908</v>
      </c>
      <c r="F574" s="34">
        <v>45909</v>
      </c>
      <c r="G574" s="34">
        <v>45912</v>
      </c>
      <c r="H574" s="35"/>
      <c r="I574" s="67">
        <v>23.14</v>
      </c>
      <c r="J574" s="67">
        <v>0</v>
      </c>
      <c r="K574" s="67">
        <v>23.14</v>
      </c>
      <c r="L574" s="36">
        <f>+K574-((K574*0.371*0.125)+(K574*(1-0.371)*0.26))</f>
        <v>18.282566899999999</v>
      </c>
      <c r="M574" s="64">
        <f t="shared" si="12"/>
        <v>18.282566899999999</v>
      </c>
      <c r="N574" s="33" t="s">
        <v>288</v>
      </c>
    </row>
    <row r="575" spans="1:14">
      <c r="A575" s="12"/>
      <c r="B575" s="33" t="s">
        <v>291</v>
      </c>
      <c r="C575" s="92" t="s">
        <v>987</v>
      </c>
      <c r="D575" s="33" t="s">
        <v>412</v>
      </c>
      <c r="E575" s="34">
        <v>45908</v>
      </c>
      <c r="F575" s="34">
        <v>45909</v>
      </c>
      <c r="G575" s="34">
        <v>45912</v>
      </c>
      <c r="H575" s="35"/>
      <c r="I575" s="67">
        <v>30.89</v>
      </c>
      <c r="J575" s="67">
        <v>0</v>
      </c>
      <c r="K575" s="67">
        <v>30.89</v>
      </c>
      <c r="L575" s="36">
        <f>+K575-((K575*0.0511*0.125)+(K575*(1-0.0511)*0.26))</f>
        <v>23.071694665000003</v>
      </c>
      <c r="M575" s="64">
        <f t="shared" si="12"/>
        <v>23.071694665000003</v>
      </c>
      <c r="N575" s="33" t="s">
        <v>288</v>
      </c>
    </row>
    <row r="576" spans="1:14">
      <c r="A576" s="12"/>
      <c r="B576" s="33" t="s">
        <v>554</v>
      </c>
      <c r="C576" s="92" t="s">
        <v>558</v>
      </c>
      <c r="D576" s="33" t="s">
        <v>412</v>
      </c>
      <c r="E576" s="34">
        <v>45908</v>
      </c>
      <c r="F576" s="34">
        <v>45909</v>
      </c>
      <c r="G576" s="34">
        <v>45912</v>
      </c>
      <c r="H576" s="35"/>
      <c r="I576" s="67">
        <v>26.14</v>
      </c>
      <c r="J576" s="67">
        <v>0</v>
      </c>
      <c r="K576" s="67">
        <v>26.14</v>
      </c>
      <c r="L576" s="36">
        <f>+K576-((K576*0.4847*0.125)+(K576*(1-0.4847)*0.26))</f>
        <v>21.054057830000001</v>
      </c>
      <c r="M576" s="64">
        <f t="shared" ref="M576:M636" si="13">L576+J576</f>
        <v>21.054057830000001</v>
      </c>
      <c r="N576" s="33" t="s">
        <v>288</v>
      </c>
    </row>
    <row r="577" spans="1:14">
      <c r="A577" s="12"/>
      <c r="B577" s="33" t="s">
        <v>557</v>
      </c>
      <c r="C577" s="92" t="s">
        <v>561</v>
      </c>
      <c r="D577" s="33" t="s">
        <v>412</v>
      </c>
      <c r="E577" s="34">
        <v>45908</v>
      </c>
      <c r="F577" s="34">
        <v>45909</v>
      </c>
      <c r="G577" s="34">
        <v>45912</v>
      </c>
      <c r="H577" s="35"/>
      <c r="I577" s="67">
        <v>80.680000000000007</v>
      </c>
      <c r="J577" s="67">
        <v>0</v>
      </c>
      <c r="K577" s="67">
        <v>80.680000000000007</v>
      </c>
      <c r="L577" s="36">
        <f>+K577-((K577*0.1016*0.125)+(K577*(1-0.1016)*0.26))</f>
        <v>60.809806880000011</v>
      </c>
      <c r="M577" s="64">
        <f t="shared" si="13"/>
        <v>60.809806880000011</v>
      </c>
      <c r="N577" s="33" t="s">
        <v>288</v>
      </c>
    </row>
    <row r="578" spans="1:14">
      <c r="A578" s="12"/>
      <c r="B578" s="33" t="s">
        <v>296</v>
      </c>
      <c r="C578" s="92" t="s">
        <v>464</v>
      </c>
      <c r="D578" s="33" t="s">
        <v>412</v>
      </c>
      <c r="E578" s="34">
        <v>45908</v>
      </c>
      <c r="F578" s="34">
        <v>45909</v>
      </c>
      <c r="G578" s="34">
        <v>45912</v>
      </c>
      <c r="H578" s="35"/>
      <c r="I578" s="67">
        <v>58.93</v>
      </c>
      <c r="J578" s="67">
        <v>0</v>
      </c>
      <c r="K578" s="67">
        <v>58.93</v>
      </c>
      <c r="L578" s="36">
        <f>+K578-((K578*0.0338*0.125)+(K578*(1-0.0338)*0.26))</f>
        <v>43.877097589999998</v>
      </c>
      <c r="M578" s="64">
        <f t="shared" si="13"/>
        <v>43.877097589999998</v>
      </c>
      <c r="N578" s="33" t="s">
        <v>288</v>
      </c>
    </row>
    <row r="579" spans="1:14">
      <c r="A579" s="12"/>
      <c r="B579" s="33" t="s">
        <v>294</v>
      </c>
      <c r="C579" s="92" t="s">
        <v>706</v>
      </c>
      <c r="D579" s="33" t="s">
        <v>412</v>
      </c>
      <c r="E579" s="34">
        <v>45908</v>
      </c>
      <c r="F579" s="34">
        <v>45909</v>
      </c>
      <c r="G579" s="34">
        <v>45912</v>
      </c>
      <c r="H579" s="35"/>
      <c r="I579" s="67">
        <v>58.76</v>
      </c>
      <c r="J579" s="67">
        <v>0</v>
      </c>
      <c r="K579" s="67">
        <v>58.76</v>
      </c>
      <c r="L579" s="36">
        <f>+K579-((K579*0.0611*0.125)+(K579*(1-0.0611)*0.26))</f>
        <v>43.96708186</v>
      </c>
      <c r="M579" s="64">
        <f t="shared" si="13"/>
        <v>43.96708186</v>
      </c>
      <c r="N579" s="33" t="s">
        <v>288</v>
      </c>
    </row>
    <row r="580" spans="1:14">
      <c r="A580" s="12"/>
      <c r="B580" s="33" t="s">
        <v>551</v>
      </c>
      <c r="C580" s="92" t="s">
        <v>1002</v>
      </c>
      <c r="D580" s="33" t="s">
        <v>412</v>
      </c>
      <c r="E580" s="34">
        <v>45908</v>
      </c>
      <c r="F580" s="34">
        <v>45909</v>
      </c>
      <c r="G580" s="34">
        <v>45912</v>
      </c>
      <c r="H580" s="35"/>
      <c r="I580" s="67">
        <v>47.5</v>
      </c>
      <c r="J580" s="67">
        <v>0</v>
      </c>
      <c r="K580" s="67">
        <v>47.5</v>
      </c>
      <c r="L580" s="36">
        <f>+K580-((K580*0.000001*0.125)+(K580*(1-0.000001)*0.26))</f>
        <v>35.150006412499998</v>
      </c>
      <c r="M580" s="64">
        <f t="shared" si="13"/>
        <v>35.150006412499998</v>
      </c>
      <c r="N580" s="33" t="s">
        <v>288</v>
      </c>
    </row>
    <row r="581" spans="1:14">
      <c r="A581" s="12"/>
      <c r="B581" s="33" t="s">
        <v>677</v>
      </c>
      <c r="C581" s="92" t="s">
        <v>992</v>
      </c>
      <c r="D581" s="33" t="s">
        <v>410</v>
      </c>
      <c r="E581" s="34">
        <v>45929</v>
      </c>
      <c r="F581" s="34">
        <v>45930</v>
      </c>
      <c r="G581" s="34">
        <v>45933</v>
      </c>
      <c r="H581" s="35"/>
      <c r="I581" s="67">
        <f>VLOOKUP($B581,[8]Feuil2!$A$2:$G$40,5,FALSE)</f>
        <v>0</v>
      </c>
      <c r="J581" s="67">
        <v>0</v>
      </c>
      <c r="K581" s="67">
        <v>0</v>
      </c>
      <c r="L581" s="36">
        <f>+K581-((K581*0.000001*0.125)+(K581*(1-0.000001)*0.26))</f>
        <v>0</v>
      </c>
      <c r="M581" s="64">
        <f t="shared" si="13"/>
        <v>0</v>
      </c>
      <c r="N581" s="33" t="s">
        <v>247</v>
      </c>
    </row>
    <row r="582" spans="1:14">
      <c r="A582" s="12"/>
      <c r="B582" s="33" t="s">
        <v>676</v>
      </c>
      <c r="C582" s="92" t="s">
        <v>995</v>
      </c>
      <c r="D582" s="33" t="s">
        <v>410</v>
      </c>
      <c r="E582" s="34">
        <v>45929</v>
      </c>
      <c r="F582" s="34">
        <v>45930</v>
      </c>
      <c r="G582" s="34">
        <v>45933</v>
      </c>
      <c r="H582" s="35"/>
      <c r="I582" s="67">
        <v>9.0790179999999996</v>
      </c>
      <c r="J582" s="67">
        <v>0</v>
      </c>
      <c r="K582" s="67">
        <v>9.0790181000000008</v>
      </c>
      <c r="L582" s="36">
        <f>+K582-((K582*0.0363*0.125)+(K582*(1-0.0363)*0.26))</f>
        <v>6.7629651221990503</v>
      </c>
      <c r="M582" s="64">
        <f t="shared" si="13"/>
        <v>6.7629651221990503</v>
      </c>
      <c r="N582" s="33" t="s">
        <v>247</v>
      </c>
    </row>
    <row r="583" spans="1:14">
      <c r="A583" s="12"/>
      <c r="B583" s="33" t="s">
        <v>203</v>
      </c>
      <c r="C583" s="92" t="s">
        <v>445</v>
      </c>
      <c r="D583" s="33" t="s">
        <v>410</v>
      </c>
      <c r="E583" s="34">
        <v>45930</v>
      </c>
      <c r="F583" s="34">
        <v>45931</v>
      </c>
      <c r="G583" s="34">
        <v>45936</v>
      </c>
      <c r="H583" s="35"/>
      <c r="I583" s="67">
        <v>5.6196000000000002</v>
      </c>
      <c r="J583" s="67">
        <v>0</v>
      </c>
      <c r="K583" s="67">
        <v>5.6196000000000002</v>
      </c>
      <c r="L583" s="36">
        <f>+K583-((K583*0.371*0.125)+(K583*(1-0.371)*0.26))</f>
        <v>4.4399616660000003</v>
      </c>
      <c r="M583" s="64">
        <f t="shared" si="13"/>
        <v>4.4399616660000003</v>
      </c>
      <c r="N583" s="33" t="s">
        <v>248</v>
      </c>
    </row>
    <row r="584" spans="1:14">
      <c r="A584" s="12"/>
      <c r="B584" s="33" t="s">
        <v>204</v>
      </c>
      <c r="C584" s="92" t="s">
        <v>988</v>
      </c>
      <c r="D584" s="33" t="s">
        <v>410</v>
      </c>
      <c r="E584" s="34">
        <v>45930</v>
      </c>
      <c r="F584" s="34">
        <v>45931</v>
      </c>
      <c r="G584" s="34">
        <v>45936</v>
      </c>
      <c r="H584" s="35"/>
      <c r="I584" s="67">
        <v>7.6379999999999999</v>
      </c>
      <c r="J584" s="67">
        <v>0</v>
      </c>
      <c r="K584" s="67">
        <v>7.6379999999999999</v>
      </c>
      <c r="L584" s="36">
        <f>+K584-((K584*0.0511*0.125)+(K584*(1-0.0511)*0.26))</f>
        <v>5.7048107430000004</v>
      </c>
      <c r="M584" s="64">
        <f t="shared" si="13"/>
        <v>5.7048107430000004</v>
      </c>
      <c r="N584" s="33" t="s">
        <v>248</v>
      </c>
    </row>
    <row r="585" spans="1:14">
      <c r="A585" s="12"/>
      <c r="B585" s="33" t="s">
        <v>207</v>
      </c>
      <c r="C585" s="92" t="s">
        <v>989</v>
      </c>
      <c r="D585" s="33" t="s">
        <v>410</v>
      </c>
      <c r="E585" s="34">
        <v>45930</v>
      </c>
      <c r="F585" s="34">
        <v>45931</v>
      </c>
      <c r="G585" s="34">
        <v>45936</v>
      </c>
      <c r="H585" s="35"/>
      <c r="I585" s="67">
        <v>4.3780000000000001</v>
      </c>
      <c r="J585" s="67">
        <v>0.48179269999999974</v>
      </c>
      <c r="K585" s="67">
        <v>3.8962073000000004</v>
      </c>
      <c r="L585" s="36">
        <f>+K585-((K585*0.7973*0.125)+(K585*(1-0.7973)*0.26))</f>
        <v>3.3025636228391502</v>
      </c>
      <c r="M585" s="64">
        <f t="shared" si="13"/>
        <v>3.7843563228391499</v>
      </c>
      <c r="N585" s="33" t="s">
        <v>248</v>
      </c>
    </row>
    <row r="586" spans="1:14">
      <c r="A586" s="12"/>
      <c r="B586" s="33" t="s">
        <v>678</v>
      </c>
      <c r="C586" s="92" t="s">
        <v>707</v>
      </c>
      <c r="D586" s="33" t="s">
        <v>410</v>
      </c>
      <c r="E586" s="34">
        <v>45930</v>
      </c>
      <c r="F586" s="34">
        <v>45931</v>
      </c>
      <c r="G586" s="34">
        <v>45936</v>
      </c>
      <c r="H586" s="35"/>
      <c r="I586" s="67">
        <v>12.0586</v>
      </c>
      <c r="J586" s="67">
        <v>0</v>
      </c>
      <c r="K586" s="67">
        <v>12.0586</v>
      </c>
      <c r="L586" s="36">
        <f>+K586-((K586*0.0359*0.125)+(K586*(1-0.0359)*0.26))</f>
        <v>8.981806004900001</v>
      </c>
      <c r="M586" s="64">
        <f t="shared" si="13"/>
        <v>8.981806004900001</v>
      </c>
      <c r="N586" s="33" t="s">
        <v>248</v>
      </c>
    </row>
    <row r="587" spans="1:14">
      <c r="A587" s="12"/>
      <c r="B587" s="33" t="s">
        <v>205</v>
      </c>
      <c r="C587" s="92" t="s">
        <v>448</v>
      </c>
      <c r="D587" s="33" t="s">
        <v>410</v>
      </c>
      <c r="E587" s="34">
        <v>45930</v>
      </c>
      <c r="F587" s="34">
        <v>45931</v>
      </c>
      <c r="G587" s="34">
        <v>45936</v>
      </c>
      <c r="H587" s="35"/>
      <c r="I587" s="67">
        <v>10.971399999999999</v>
      </c>
      <c r="J587" s="67">
        <v>2.8668095870583219</v>
      </c>
      <c r="K587" s="67">
        <v>8.1045904129416773</v>
      </c>
      <c r="L587" s="36">
        <f>+K587-((K587*0.4847*0.125)+(K587*(1-0.4847)*0.26))</f>
        <v>6.5277167269524732</v>
      </c>
      <c r="M587" s="64">
        <f t="shared" si="13"/>
        <v>9.3945263140107951</v>
      </c>
      <c r="N587" s="33" t="s">
        <v>248</v>
      </c>
    </row>
    <row r="588" spans="1:14">
      <c r="A588" s="12"/>
      <c r="B588" s="33" t="s">
        <v>206</v>
      </c>
      <c r="C588" s="92" t="s">
        <v>449</v>
      </c>
      <c r="D588" s="33" t="s">
        <v>410</v>
      </c>
      <c r="E588" s="34">
        <v>45930</v>
      </c>
      <c r="F588" s="34">
        <v>45931</v>
      </c>
      <c r="G588" s="34">
        <v>45936</v>
      </c>
      <c r="H588" s="35"/>
      <c r="I588" s="67">
        <v>13.3589</v>
      </c>
      <c r="J588" s="67">
        <v>4.5017730353341854</v>
      </c>
      <c r="K588" s="67">
        <v>8.8571269646658148</v>
      </c>
      <c r="L588" s="36">
        <f>+K588-((K588*0.4847*0.125)+(K588*(1-0.4847)*0.26))</f>
        <v>7.133835628222128</v>
      </c>
      <c r="M588" s="64">
        <f t="shared" si="13"/>
        <v>11.635608663556313</v>
      </c>
      <c r="N588" s="33" t="s">
        <v>248</v>
      </c>
    </row>
    <row r="589" spans="1:14">
      <c r="A589" s="12"/>
      <c r="B589" s="33" t="s">
        <v>505</v>
      </c>
      <c r="C589" s="92" t="s">
        <v>506</v>
      </c>
      <c r="D589" s="33" t="s">
        <v>410</v>
      </c>
      <c r="E589" s="34">
        <v>45930</v>
      </c>
      <c r="F589" s="34">
        <v>45931</v>
      </c>
      <c r="G589" s="34">
        <v>45936</v>
      </c>
      <c r="H589" s="35"/>
      <c r="I589" s="67">
        <v>10.1046</v>
      </c>
      <c r="J589" s="67">
        <v>2.4301213878246068</v>
      </c>
      <c r="K589" s="67">
        <v>7.6744786121753927</v>
      </c>
      <c r="L589" s="36">
        <f>+K589-((K589*0.0283*0.125)+(K589*(1-0.0283)*0.26))</f>
        <v>5.7084345185476071</v>
      </c>
      <c r="M589" s="64">
        <f t="shared" si="13"/>
        <v>8.1385559063722148</v>
      </c>
      <c r="N589" s="33" t="s">
        <v>248</v>
      </c>
    </row>
    <row r="590" spans="1:14">
      <c r="A590" s="12"/>
      <c r="B590" s="33" t="s">
        <v>212</v>
      </c>
      <c r="C590" s="92" t="s">
        <v>450</v>
      </c>
      <c r="D590" s="33" t="s">
        <v>410</v>
      </c>
      <c r="E590" s="34">
        <v>45930</v>
      </c>
      <c r="F590" s="34">
        <v>45931</v>
      </c>
      <c r="G590" s="34">
        <v>45936</v>
      </c>
      <c r="H590" s="35"/>
      <c r="I590" s="67">
        <v>13.6136</v>
      </c>
      <c r="J590" s="67">
        <v>0.99807232000000035</v>
      </c>
      <c r="K590" s="67">
        <v>12.61552768</v>
      </c>
      <c r="L590" s="36">
        <f>+K590-((K590*0.0325*0.125)+(K590*(1-0.0325)*0.26))</f>
        <v>9.3908411108959999</v>
      </c>
      <c r="M590" s="64">
        <f t="shared" si="13"/>
        <v>10.388913430896</v>
      </c>
      <c r="N590" s="33" t="s">
        <v>248</v>
      </c>
    </row>
    <row r="591" spans="1:14">
      <c r="A591" s="12"/>
      <c r="B591" s="33" t="s">
        <v>210</v>
      </c>
      <c r="C591" s="92" t="s">
        <v>458</v>
      </c>
      <c r="D591" s="33" t="s">
        <v>410</v>
      </c>
      <c r="E591" s="34">
        <v>45930</v>
      </c>
      <c r="F591" s="34">
        <v>45931</v>
      </c>
      <c r="G591" s="34">
        <v>45936</v>
      </c>
      <c r="H591" s="35" t="s">
        <v>856</v>
      </c>
      <c r="I591" s="67">
        <v>0</v>
      </c>
      <c r="J591" s="67">
        <v>0</v>
      </c>
      <c r="K591" s="67">
        <v>0</v>
      </c>
      <c r="L591" s="36">
        <f>+K591-((K591*0.0338*0.125)+(K591*(1-0.0338)*0.26))</f>
        <v>0</v>
      </c>
      <c r="M591" s="64">
        <f t="shared" si="13"/>
        <v>0</v>
      </c>
      <c r="N591" s="33" t="s">
        <v>248</v>
      </c>
    </row>
    <row r="592" spans="1:14">
      <c r="A592" s="12"/>
      <c r="B592" s="33" t="s">
        <v>225</v>
      </c>
      <c r="C592" s="92" t="s">
        <v>454</v>
      </c>
      <c r="D592" s="33" t="s">
        <v>410</v>
      </c>
      <c r="E592" s="34">
        <v>45957</v>
      </c>
      <c r="F592" s="34">
        <v>45958</v>
      </c>
      <c r="G592" s="34">
        <v>45961</v>
      </c>
      <c r="H592" s="35"/>
      <c r="I592" s="67">
        <v>9.4461999999999993</v>
      </c>
      <c r="J592" s="67">
        <v>0</v>
      </c>
      <c r="K592" s="67">
        <v>9.4461999999999993</v>
      </c>
      <c r="L592" s="36">
        <f>+K592-((K592*0.274*0.125)+(K592*(1-0.274)*0.26))</f>
        <v>7.3396029379999996</v>
      </c>
      <c r="M592" s="64">
        <f t="shared" si="13"/>
        <v>7.3396029379999996</v>
      </c>
      <c r="N592" s="33" t="s">
        <v>249</v>
      </c>
    </row>
    <row r="593" spans="1:14">
      <c r="A593" s="12"/>
      <c r="B593" s="33" t="s">
        <v>219</v>
      </c>
      <c r="C593" s="92" t="s">
        <v>993</v>
      </c>
      <c r="D593" s="33" t="s">
        <v>410</v>
      </c>
      <c r="E593" s="34">
        <v>45957</v>
      </c>
      <c r="F593" s="34">
        <v>45958</v>
      </c>
      <c r="G593" s="34">
        <v>45961</v>
      </c>
      <c r="H593" s="35"/>
      <c r="I593" s="67">
        <v>8.9013000000000009</v>
      </c>
      <c r="J593" s="67">
        <v>3.6593634500000025</v>
      </c>
      <c r="K593" s="67">
        <v>5.2419365499999984</v>
      </c>
      <c r="L593" s="36">
        <f>+K593-((K593*0.0011*0.125)+(K593*(1-0.0011)*0.26))</f>
        <v>3.8798114745776737</v>
      </c>
      <c r="M593" s="64">
        <f t="shared" si="13"/>
        <v>7.5391749245776758</v>
      </c>
      <c r="N593" s="33" t="s">
        <v>249</v>
      </c>
    </row>
    <row r="594" spans="1:14">
      <c r="A594" s="12"/>
      <c r="B594" s="33" t="s">
        <v>677</v>
      </c>
      <c r="C594" s="92" t="s">
        <v>992</v>
      </c>
      <c r="D594" s="33" t="s">
        <v>410</v>
      </c>
      <c r="E594" s="34">
        <v>46021</v>
      </c>
      <c r="F594" s="34">
        <v>46022</v>
      </c>
      <c r="G594" s="34">
        <v>45663</v>
      </c>
      <c r="H594" s="35"/>
      <c r="I594" s="67">
        <v>0</v>
      </c>
      <c r="J594" s="67">
        <v>0</v>
      </c>
      <c r="K594" s="67">
        <v>0</v>
      </c>
      <c r="L594" s="36">
        <f>+K594-((K594*0.000001*0.125)+(K594*(1-0.000001)*0.26))</f>
        <v>0</v>
      </c>
      <c r="M594" s="64">
        <f t="shared" si="13"/>
        <v>0</v>
      </c>
      <c r="N594" s="33" t="s">
        <v>247</v>
      </c>
    </row>
    <row r="595" spans="1:14">
      <c r="A595" s="12"/>
      <c r="B595" s="33" t="s">
        <v>676</v>
      </c>
      <c r="C595" s="92" t="s">
        <v>995</v>
      </c>
      <c r="D595" s="33" t="s">
        <v>410</v>
      </c>
      <c r="E595" s="34">
        <v>46021</v>
      </c>
      <c r="F595" s="34">
        <v>46022</v>
      </c>
      <c r="G595" s="34">
        <v>45663</v>
      </c>
      <c r="H595" s="35"/>
      <c r="I595" s="67">
        <v>8.9806069999999991</v>
      </c>
      <c r="J595" s="67">
        <v>0</v>
      </c>
      <c r="K595" s="67">
        <v>8.9806072399999994</v>
      </c>
      <c r="L595" s="36">
        <f>+K595-((K595*0.0363*0.125)+(K595*(1-0.0363)*0.26))</f>
        <v>6.6896588233796193</v>
      </c>
      <c r="M595" s="64">
        <f t="shared" si="13"/>
        <v>6.6896588233796193</v>
      </c>
      <c r="N595" s="33" t="s">
        <v>247</v>
      </c>
    </row>
    <row r="596" spans="1:14">
      <c r="A596" s="12"/>
      <c r="B596" s="33" t="s">
        <v>203</v>
      </c>
      <c r="C596" s="92" t="s">
        <v>445</v>
      </c>
      <c r="D596" s="33" t="s">
        <v>410</v>
      </c>
      <c r="E596" s="34">
        <v>46022</v>
      </c>
      <c r="F596" s="34">
        <v>46024</v>
      </c>
      <c r="G596" s="34">
        <v>46029</v>
      </c>
      <c r="H596" s="35"/>
      <c r="I596" s="67">
        <v>5.6196000000000002</v>
      </c>
      <c r="J596" s="67">
        <v>0</v>
      </c>
      <c r="K596" s="67">
        <v>5.6196000000000002</v>
      </c>
      <c r="L596" s="36">
        <f>+K596-((K596*0.371*0.125)+(K596*(1-0.371)*0.26))</f>
        <v>4.4399616660000003</v>
      </c>
      <c r="M596" s="64">
        <f t="shared" si="13"/>
        <v>4.4399616660000003</v>
      </c>
      <c r="N596" s="33" t="s">
        <v>248</v>
      </c>
    </row>
    <row r="597" spans="1:14">
      <c r="A597" s="12"/>
      <c r="B597" s="33" t="s">
        <v>204</v>
      </c>
      <c r="C597" s="92" t="s">
        <v>988</v>
      </c>
      <c r="D597" s="33" t="s">
        <v>410</v>
      </c>
      <c r="E597" s="34">
        <v>46022</v>
      </c>
      <c r="F597" s="34">
        <v>46024</v>
      </c>
      <c r="G597" s="34">
        <v>46029</v>
      </c>
      <c r="H597" s="35"/>
      <c r="I597" s="67">
        <v>7.6379999999999999</v>
      </c>
      <c r="J597" s="67">
        <v>0</v>
      </c>
      <c r="K597" s="67">
        <v>7.6379999999999999</v>
      </c>
      <c r="L597" s="36">
        <f>+K597-((K597*0.0511*0.125)+(K597*(1-0.0511)*0.26))</f>
        <v>5.7048107430000004</v>
      </c>
      <c r="M597" s="64">
        <f t="shared" si="13"/>
        <v>5.7048107430000004</v>
      </c>
      <c r="N597" s="33" t="s">
        <v>248</v>
      </c>
    </row>
    <row r="598" spans="1:14">
      <c r="A598" s="12"/>
      <c r="B598" s="33" t="s">
        <v>207</v>
      </c>
      <c r="C598" s="92" t="s">
        <v>989</v>
      </c>
      <c r="D598" s="33" t="s">
        <v>410</v>
      </c>
      <c r="E598" s="34">
        <v>46022</v>
      </c>
      <c r="F598" s="34">
        <v>46024</v>
      </c>
      <c r="G598" s="34">
        <v>46029</v>
      </c>
      <c r="H598" s="35"/>
      <c r="I598" s="67">
        <v>4.3780000000000001</v>
      </c>
      <c r="J598" s="67">
        <v>5.7754600000006207E-3</v>
      </c>
      <c r="K598" s="67">
        <v>4.3722245399999995</v>
      </c>
      <c r="L598" s="36">
        <f>+K598-((K598*0.7973*0.125)+(K598*(1-0.7973)*0.26))</f>
        <v>3.7060527340751697</v>
      </c>
      <c r="M598" s="64">
        <f t="shared" si="13"/>
        <v>3.7118281940751703</v>
      </c>
      <c r="N598" s="33" t="s">
        <v>248</v>
      </c>
    </row>
    <row r="599" spans="1:14">
      <c r="A599" s="12"/>
      <c r="B599" s="33" t="s">
        <v>678</v>
      </c>
      <c r="C599" s="92" t="s">
        <v>707</v>
      </c>
      <c r="D599" s="33" t="s">
        <v>410</v>
      </c>
      <c r="E599" s="34">
        <v>46022</v>
      </c>
      <c r="F599" s="34">
        <v>46024</v>
      </c>
      <c r="G599" s="34">
        <v>46029</v>
      </c>
      <c r="H599" s="35"/>
      <c r="I599" s="67">
        <v>12.0586</v>
      </c>
      <c r="J599" s="67">
        <v>0</v>
      </c>
      <c r="K599" s="67">
        <v>12.0586</v>
      </c>
      <c r="L599" s="36">
        <f>+K599-((K599*0.0359*0.125)+(K599*(1-0.0359)*0.26))</f>
        <v>8.981806004900001</v>
      </c>
      <c r="M599" s="64">
        <f t="shared" si="13"/>
        <v>8.981806004900001</v>
      </c>
      <c r="N599" s="33" t="s">
        <v>248</v>
      </c>
    </row>
    <row r="600" spans="1:14">
      <c r="A600" s="12"/>
      <c r="B600" s="33" t="s">
        <v>205</v>
      </c>
      <c r="C600" s="92" t="s">
        <v>448</v>
      </c>
      <c r="D600" s="33" t="s">
        <v>410</v>
      </c>
      <c r="E600" s="34">
        <v>46022</v>
      </c>
      <c r="F600" s="34">
        <v>46024</v>
      </c>
      <c r="G600" s="34">
        <v>46029</v>
      </c>
      <c r="H600" s="35"/>
      <c r="I600" s="67">
        <v>10.971399999999999</v>
      </c>
      <c r="J600" s="67">
        <v>2.7862064162021856</v>
      </c>
      <c r="K600" s="67">
        <v>8.1851935837978136</v>
      </c>
      <c r="L600" s="36">
        <f>+K600-((K600*0.4847*0.125)+(K600*(1-0.4847)*0.26))</f>
        <v>6.5926373015694004</v>
      </c>
      <c r="M600" s="64">
        <f t="shared" si="13"/>
        <v>9.378843717771586</v>
      </c>
      <c r="N600" s="33" t="s">
        <v>248</v>
      </c>
    </row>
    <row r="601" spans="1:14">
      <c r="A601" s="12"/>
      <c r="B601" s="33" t="s">
        <v>206</v>
      </c>
      <c r="C601" s="92" t="s">
        <v>449</v>
      </c>
      <c r="D601" s="33" t="s">
        <v>410</v>
      </c>
      <c r="E601" s="34">
        <v>46022</v>
      </c>
      <c r="F601" s="34">
        <v>46024</v>
      </c>
      <c r="G601" s="34">
        <v>46029</v>
      </c>
      <c r="H601" s="35"/>
      <c r="I601" s="67">
        <v>13.3589</v>
      </c>
      <c r="J601" s="67">
        <v>4.3367728191097505</v>
      </c>
      <c r="K601" s="67">
        <v>9.0221271808902497</v>
      </c>
      <c r="L601" s="36">
        <f>+K601-((K601*0.4847*0.125)+(K601*(1-0.4847)*0.26))</f>
        <v>7.2667324948767478</v>
      </c>
      <c r="M601" s="64">
        <f t="shared" si="13"/>
        <v>11.603505313986499</v>
      </c>
      <c r="N601" s="33" t="s">
        <v>248</v>
      </c>
    </row>
    <row r="602" spans="1:14">
      <c r="A602" s="12"/>
      <c r="B602" s="33" t="s">
        <v>505</v>
      </c>
      <c r="C602" s="92" t="s">
        <v>506</v>
      </c>
      <c r="D602" s="33" t="s">
        <v>410</v>
      </c>
      <c r="E602" s="34">
        <v>46022</v>
      </c>
      <c r="F602" s="34">
        <v>46024</v>
      </c>
      <c r="G602" s="34">
        <v>46029</v>
      </c>
      <c r="H602" s="35"/>
      <c r="I602" s="67">
        <v>10.1046</v>
      </c>
      <c r="J602" s="67">
        <v>2.9443122920478233</v>
      </c>
      <c r="K602" s="67">
        <v>7.1602877079521763</v>
      </c>
      <c r="L602" s="36">
        <f>+K602-((K602*0.0283*0.125)+(K602*(1-0.0283)*0.26))</f>
        <v>5.3259687830728417</v>
      </c>
      <c r="M602" s="64">
        <f t="shared" si="13"/>
        <v>8.2702810751206641</v>
      </c>
      <c r="N602" s="33" t="s">
        <v>248</v>
      </c>
    </row>
    <row r="603" spans="1:14">
      <c r="A603" s="12"/>
      <c r="B603" s="33" t="s">
        <v>212</v>
      </c>
      <c r="C603" s="92" t="s">
        <v>450</v>
      </c>
      <c r="D603" s="33" t="s">
        <v>410</v>
      </c>
      <c r="E603" s="34">
        <v>46022</v>
      </c>
      <c r="F603" s="34">
        <v>46024</v>
      </c>
      <c r="G603" s="34">
        <v>46029</v>
      </c>
      <c r="H603" s="35"/>
      <c r="I603" s="67">
        <v>13.6136</v>
      </c>
      <c r="J603" s="67">
        <v>0.96143046999999981</v>
      </c>
      <c r="K603" s="67">
        <v>12.65216953</v>
      </c>
      <c r="L603" s="36">
        <f>+K603-((K603*0.0325*0.125)+(K603*(1-0.0325)*0.26))</f>
        <v>9.4181168460128752</v>
      </c>
      <c r="M603" s="64">
        <f t="shared" si="13"/>
        <v>10.379547316012875</v>
      </c>
      <c r="N603" s="33" t="s">
        <v>248</v>
      </c>
    </row>
    <row r="604" spans="1:14">
      <c r="B604" s="109" t="s">
        <v>492</v>
      </c>
      <c r="C604" s="110" t="s">
        <v>494</v>
      </c>
      <c r="D604" s="109" t="s">
        <v>412</v>
      </c>
      <c r="E604" s="116">
        <v>46048</v>
      </c>
      <c r="F604" s="116">
        <v>46049</v>
      </c>
      <c r="G604" s="116">
        <v>46052</v>
      </c>
      <c r="H604" s="112"/>
      <c r="I604" s="113"/>
      <c r="J604" s="113"/>
      <c r="K604" s="113"/>
      <c r="L604" s="107">
        <f>+K604-((K604*0.1483*0.125)+(K604*(1-0.1483)*0.26))</f>
        <v>0</v>
      </c>
      <c r="M604" s="114">
        <f t="shared" si="13"/>
        <v>0</v>
      </c>
      <c r="N604" s="109" t="s">
        <v>495</v>
      </c>
    </row>
    <row r="605" spans="1:14">
      <c r="B605" s="109" t="s">
        <v>225</v>
      </c>
      <c r="C605" s="110" t="s">
        <v>454</v>
      </c>
      <c r="D605" s="109" t="s">
        <v>410</v>
      </c>
      <c r="E605" s="116">
        <v>46048</v>
      </c>
      <c r="F605" s="116">
        <v>46049</v>
      </c>
      <c r="G605" s="116">
        <v>46052</v>
      </c>
      <c r="H605" s="112"/>
      <c r="I605" s="113"/>
      <c r="J605" s="113"/>
      <c r="K605" s="113"/>
      <c r="L605" s="107">
        <f>+K605-((K605*0.2741*0.125)+(K605*(1-0.2741)*0.26))</f>
        <v>0</v>
      </c>
      <c r="M605" s="114">
        <f t="shared" si="13"/>
        <v>0</v>
      </c>
      <c r="N605" s="109" t="s">
        <v>249</v>
      </c>
    </row>
    <row r="606" spans="1:14">
      <c r="B606" s="109" t="s">
        <v>219</v>
      </c>
      <c r="C606" s="110" t="s">
        <v>993</v>
      </c>
      <c r="D606" s="109" t="s">
        <v>410</v>
      </c>
      <c r="E606" s="116">
        <v>46048</v>
      </c>
      <c r="F606" s="116">
        <v>46049</v>
      </c>
      <c r="G606" s="116">
        <v>46052</v>
      </c>
      <c r="H606" s="112"/>
      <c r="I606" s="113"/>
      <c r="J606" s="113"/>
      <c r="K606" s="113"/>
      <c r="L606" s="107">
        <f>+K606-((K606*0.002*0.125)+(K606*(1-0.002)*0.26))</f>
        <v>0</v>
      </c>
      <c r="M606" s="114">
        <f t="shared" si="13"/>
        <v>0</v>
      </c>
      <c r="N606" s="109" t="s">
        <v>249</v>
      </c>
    </row>
    <row r="607" spans="1:14">
      <c r="B607" s="109" t="s">
        <v>223</v>
      </c>
      <c r="C607" s="110" t="s">
        <v>991</v>
      </c>
      <c r="D607" s="109" t="s">
        <v>413</v>
      </c>
      <c r="E607" s="116">
        <v>46048</v>
      </c>
      <c r="F607" s="116">
        <v>46049</v>
      </c>
      <c r="G607" s="116">
        <v>46052</v>
      </c>
      <c r="H607" s="112"/>
      <c r="I607" s="113"/>
      <c r="J607" s="113"/>
      <c r="K607" s="113"/>
      <c r="L607" s="107">
        <f>+K607-((K607*0.000001*0.125)+(K607*(1-0.000001)*0.26))</f>
        <v>0</v>
      </c>
      <c r="M607" s="114">
        <f t="shared" si="13"/>
        <v>0</v>
      </c>
      <c r="N607" s="109" t="s">
        <v>250</v>
      </c>
    </row>
    <row r="608" spans="1:14">
      <c r="B608" s="109" t="s">
        <v>486</v>
      </c>
      <c r="C608" s="110" t="s">
        <v>994</v>
      </c>
      <c r="D608" s="109" t="s">
        <v>413</v>
      </c>
      <c r="E608" s="116">
        <v>46048</v>
      </c>
      <c r="F608" s="116">
        <v>46049</v>
      </c>
      <c r="G608" s="116">
        <v>46052</v>
      </c>
      <c r="H608" s="112"/>
      <c r="I608" s="113"/>
      <c r="J608" s="113"/>
      <c r="K608" s="113"/>
      <c r="L608" s="107">
        <f>+K608-((K608*0.002*0.125)+(K608*(1-0.002)*0.26))</f>
        <v>0</v>
      </c>
      <c r="M608" s="114">
        <f t="shared" si="13"/>
        <v>0</v>
      </c>
      <c r="N608" s="109" t="s">
        <v>250</v>
      </c>
    </row>
    <row r="609" spans="2:14">
      <c r="B609" s="109" t="s">
        <v>489</v>
      </c>
      <c r="C609" s="110" t="s">
        <v>521</v>
      </c>
      <c r="D609" s="109" t="s">
        <v>413</v>
      </c>
      <c r="E609" s="116">
        <v>46048</v>
      </c>
      <c r="F609" s="116">
        <v>46049</v>
      </c>
      <c r="G609" s="116">
        <v>46052</v>
      </c>
      <c r="H609" s="112" t="s">
        <v>856</v>
      </c>
      <c r="I609" s="113"/>
      <c r="J609" s="113"/>
      <c r="K609" s="113"/>
      <c r="L609" s="107">
        <f>+K609-((K609*0.3662*0.125)+(K609*(1-0.3662)*0.26))</f>
        <v>0</v>
      </c>
      <c r="M609" s="114">
        <f t="shared" si="13"/>
        <v>0</v>
      </c>
      <c r="N609" s="109" t="s">
        <v>250</v>
      </c>
    </row>
    <row r="610" spans="2:14">
      <c r="B610" s="109" t="s">
        <v>218</v>
      </c>
      <c r="C610" s="110" t="s">
        <v>455</v>
      </c>
      <c r="D610" s="109" t="s">
        <v>413</v>
      </c>
      <c r="E610" s="116">
        <v>46048</v>
      </c>
      <c r="F610" s="116">
        <v>46049</v>
      </c>
      <c r="G610" s="116">
        <v>46052</v>
      </c>
      <c r="H610" s="112"/>
      <c r="I610" s="113"/>
      <c r="J610" s="113"/>
      <c r="K610" s="113"/>
      <c r="L610" s="107">
        <f>+K610-((K610*0.3662*0.125)+(K610*(1-0.3662)*0.26))</f>
        <v>0</v>
      </c>
      <c r="M610" s="114">
        <f t="shared" si="13"/>
        <v>0</v>
      </c>
      <c r="N610" s="109" t="s">
        <v>250</v>
      </c>
    </row>
    <row r="611" spans="2:14">
      <c r="B611" s="109" t="s">
        <v>491</v>
      </c>
      <c r="C611" s="110" t="s">
        <v>671</v>
      </c>
      <c r="D611" s="109" t="s">
        <v>413</v>
      </c>
      <c r="E611" s="116">
        <v>46048</v>
      </c>
      <c r="F611" s="116">
        <v>46049</v>
      </c>
      <c r="G611" s="116">
        <v>46052</v>
      </c>
      <c r="H611" s="112" t="s">
        <v>856</v>
      </c>
      <c r="I611" s="113"/>
      <c r="J611" s="113"/>
      <c r="K611" s="113"/>
      <c r="L611" s="107">
        <f>+K611-((K611*0.1483*0.125)+(K611*(1-0.1483)*0.26))</f>
        <v>0</v>
      </c>
      <c r="M611" s="114">
        <f t="shared" si="13"/>
        <v>0</v>
      </c>
      <c r="N611" s="109" t="s">
        <v>250</v>
      </c>
    </row>
    <row r="612" spans="2:14">
      <c r="B612" s="109" t="s">
        <v>677</v>
      </c>
      <c r="C612" s="110" t="s">
        <v>992</v>
      </c>
      <c r="D612" s="111" t="s">
        <v>410</v>
      </c>
      <c r="E612" s="111">
        <v>46111</v>
      </c>
      <c r="F612" s="111">
        <v>46112</v>
      </c>
      <c r="G612" s="111">
        <v>46115</v>
      </c>
      <c r="H612" s="113"/>
      <c r="I612" s="113"/>
      <c r="J612" s="113"/>
      <c r="K612" s="107"/>
      <c r="L612" s="107">
        <f>+K612-((K612*0.000001*0.125)+(K612*(1-0.000001)*0.26))</f>
        <v>0</v>
      </c>
      <c r="M612" s="114">
        <f t="shared" si="13"/>
        <v>0</v>
      </c>
      <c r="N612" s="109" t="s">
        <v>247</v>
      </c>
    </row>
    <row r="613" spans="2:14">
      <c r="B613" s="109" t="s">
        <v>676</v>
      </c>
      <c r="C613" s="110" t="s">
        <v>995</v>
      </c>
      <c r="D613" s="111" t="s">
        <v>410</v>
      </c>
      <c r="E613" s="111">
        <v>46111</v>
      </c>
      <c r="F613" s="111">
        <v>46112</v>
      </c>
      <c r="G613" s="111">
        <v>46115</v>
      </c>
      <c r="H613" s="113"/>
      <c r="I613" s="113"/>
      <c r="J613" s="113"/>
      <c r="K613" s="107"/>
      <c r="L613" s="107">
        <f>+K613-((K613*0.0158*0.125)+(K613*(1-0.0158)*0.26))</f>
        <v>0</v>
      </c>
      <c r="M613" s="114">
        <f t="shared" si="13"/>
        <v>0</v>
      </c>
      <c r="N613" s="109" t="s">
        <v>247</v>
      </c>
    </row>
    <row r="614" spans="2:14">
      <c r="B614" s="164" t="s">
        <v>203</v>
      </c>
      <c r="C614" s="165" t="s">
        <v>445</v>
      </c>
      <c r="D614" s="164" t="s">
        <v>410</v>
      </c>
      <c r="E614" s="166">
        <v>46112</v>
      </c>
      <c r="F614" s="166">
        <v>46113</v>
      </c>
      <c r="G614" s="166">
        <v>46119</v>
      </c>
      <c r="H614" s="167"/>
      <c r="I614" s="168"/>
      <c r="J614" s="164"/>
      <c r="K614" s="164"/>
      <c r="L614" s="107">
        <f>+K614-((K614*0.3656*0.125)+(K614*(1-0.3656)*0.26))</f>
        <v>0</v>
      </c>
      <c r="M614" s="169">
        <f t="shared" si="13"/>
        <v>0</v>
      </c>
      <c r="N614" s="164" t="s">
        <v>248</v>
      </c>
    </row>
    <row r="615" spans="2:14">
      <c r="B615" s="109" t="s">
        <v>204</v>
      </c>
      <c r="C615" s="110" t="s">
        <v>988</v>
      </c>
      <c r="D615" s="109" t="s">
        <v>410</v>
      </c>
      <c r="E615" s="116">
        <v>46112</v>
      </c>
      <c r="F615" s="116">
        <v>46113</v>
      </c>
      <c r="G615" s="116">
        <v>46119</v>
      </c>
      <c r="H615" s="112"/>
      <c r="I615" s="113"/>
      <c r="J615" s="109"/>
      <c r="K615" s="109"/>
      <c r="L615" s="107">
        <f>+K615-((K615*0.0257*0.125)+(K615*(1-0.0257)*0.26))</f>
        <v>0</v>
      </c>
      <c r="M615" s="114">
        <f t="shared" si="13"/>
        <v>0</v>
      </c>
      <c r="N615" s="109" t="s">
        <v>248</v>
      </c>
    </row>
    <row r="616" spans="2:14">
      <c r="B616" s="109" t="s">
        <v>207</v>
      </c>
      <c r="C616" s="110" t="s">
        <v>989</v>
      </c>
      <c r="D616" s="109" t="s">
        <v>410</v>
      </c>
      <c r="E616" s="116">
        <v>46112</v>
      </c>
      <c r="F616" s="116">
        <v>46113</v>
      </c>
      <c r="G616" s="116">
        <v>46119</v>
      </c>
      <c r="H616" s="112"/>
      <c r="I616" s="113"/>
      <c r="J616" s="109"/>
      <c r="K616" s="109"/>
      <c r="L616" s="107">
        <f>+K616-((K616*0.8783*0.125)+(K616*(1-0.8783)*0.26))</f>
        <v>0</v>
      </c>
      <c r="M616" s="114">
        <f t="shared" si="13"/>
        <v>0</v>
      </c>
      <c r="N616" s="109" t="s">
        <v>248</v>
      </c>
    </row>
    <row r="617" spans="2:14">
      <c r="B617" s="109" t="s">
        <v>678</v>
      </c>
      <c r="C617" s="110" t="s">
        <v>707</v>
      </c>
      <c r="D617" s="109" t="s">
        <v>410</v>
      </c>
      <c r="E617" s="116">
        <v>46112</v>
      </c>
      <c r="F617" s="116">
        <v>46113</v>
      </c>
      <c r="G617" s="116">
        <v>46119</v>
      </c>
      <c r="H617" s="112"/>
      <c r="I617" s="113"/>
      <c r="J617" s="109"/>
      <c r="K617" s="109"/>
      <c r="L617" s="107">
        <f>+K617-((K617*0.0003*0.125)+(K617*(1-0.0003)*0.26))</f>
        <v>0</v>
      </c>
      <c r="M617" s="114">
        <f t="shared" si="13"/>
        <v>0</v>
      </c>
      <c r="N617" s="109" t="s">
        <v>248</v>
      </c>
    </row>
    <row r="618" spans="2:14">
      <c r="B618" s="109" t="s">
        <v>205</v>
      </c>
      <c r="C618" s="110" t="s">
        <v>448</v>
      </c>
      <c r="D618" s="109" t="s">
        <v>410</v>
      </c>
      <c r="E618" s="116">
        <v>46112</v>
      </c>
      <c r="F618" s="116">
        <v>46113</v>
      </c>
      <c r="G618" s="116">
        <v>46119</v>
      </c>
      <c r="H618" s="112"/>
      <c r="I618" s="113"/>
      <c r="J618" s="109"/>
      <c r="K618" s="109"/>
      <c r="L618" s="107">
        <f>+K618-((K618*0.4566*0.125)+(K618*(1-0.4566)*0.26))</f>
        <v>0</v>
      </c>
      <c r="M618" s="114">
        <f t="shared" si="13"/>
        <v>0</v>
      </c>
      <c r="N618" s="109" t="s">
        <v>248</v>
      </c>
    </row>
    <row r="619" spans="2:14">
      <c r="B619" s="109" t="s">
        <v>206</v>
      </c>
      <c r="C619" s="110" t="s">
        <v>449</v>
      </c>
      <c r="D619" s="109" t="s">
        <v>410</v>
      </c>
      <c r="E619" s="116">
        <v>46112</v>
      </c>
      <c r="F619" s="116">
        <v>46113</v>
      </c>
      <c r="G619" s="116">
        <v>46119</v>
      </c>
      <c r="H619" s="112"/>
      <c r="I619" s="113"/>
      <c r="J619" s="109"/>
      <c r="K619" s="109"/>
      <c r="L619" s="107">
        <f>+K619-((K619*0.4566*0.125)+(K619*(1-0.4566)*0.26))</f>
        <v>0</v>
      </c>
      <c r="M619" s="114">
        <f t="shared" si="13"/>
        <v>0</v>
      </c>
      <c r="N619" s="109" t="s">
        <v>248</v>
      </c>
    </row>
    <row r="620" spans="2:14">
      <c r="B620" s="109" t="s">
        <v>505</v>
      </c>
      <c r="C620" s="110" t="s">
        <v>506</v>
      </c>
      <c r="D620" s="109" t="s">
        <v>410</v>
      </c>
      <c r="E620" s="116">
        <v>46112</v>
      </c>
      <c r="F620" s="116">
        <v>46113</v>
      </c>
      <c r="G620" s="116">
        <v>46119</v>
      </c>
      <c r="H620" s="112"/>
      <c r="I620" s="113"/>
      <c r="J620" s="109"/>
      <c r="K620" s="109"/>
      <c r="L620" s="107">
        <f>+K620-((K620*0.0269*0.125)+(K620*(1-0.0269)*0.26))</f>
        <v>0</v>
      </c>
      <c r="M620" s="114">
        <f t="shared" si="13"/>
        <v>0</v>
      </c>
      <c r="N620" s="109" t="s">
        <v>248</v>
      </c>
    </row>
    <row r="621" spans="2:14">
      <c r="B621" s="109" t="s">
        <v>212</v>
      </c>
      <c r="C621" s="110" t="s">
        <v>450</v>
      </c>
      <c r="D621" s="109" t="s">
        <v>410</v>
      </c>
      <c r="E621" s="116">
        <v>46112</v>
      </c>
      <c r="F621" s="116">
        <v>46113</v>
      </c>
      <c r="G621" s="116">
        <v>46119</v>
      </c>
      <c r="H621" s="112"/>
      <c r="I621" s="113"/>
      <c r="J621" s="109"/>
      <c r="K621" s="109"/>
      <c r="L621" s="107">
        <f>+K621-((K621*0.0468*0.125)+(K621*(1-0.468)*0.26))</f>
        <v>0</v>
      </c>
      <c r="M621" s="114">
        <f t="shared" si="13"/>
        <v>0</v>
      </c>
      <c r="N621" s="109" t="s">
        <v>248</v>
      </c>
    </row>
    <row r="622" spans="2:14">
      <c r="B622" s="109" t="s">
        <v>225</v>
      </c>
      <c r="C622" s="110" t="s">
        <v>454</v>
      </c>
      <c r="D622" s="109" t="s">
        <v>410</v>
      </c>
      <c r="E622" s="116">
        <v>46136</v>
      </c>
      <c r="F622" s="116">
        <v>46139</v>
      </c>
      <c r="G622" s="116">
        <v>46142</v>
      </c>
      <c r="H622" s="112"/>
      <c r="I622" s="113"/>
      <c r="J622" s="113"/>
      <c r="K622" s="113"/>
      <c r="L622" s="107">
        <f>+K622-((K622*0.2741*0.125)+(K622*(1-0.2741)*0.26))</f>
        <v>0</v>
      </c>
      <c r="M622" s="114">
        <f t="shared" si="13"/>
        <v>0</v>
      </c>
      <c r="N622" s="109" t="s">
        <v>249</v>
      </c>
    </row>
    <row r="623" spans="2:14">
      <c r="B623" s="109" t="s">
        <v>219</v>
      </c>
      <c r="C623" s="110" t="s">
        <v>993</v>
      </c>
      <c r="D623" s="109" t="s">
        <v>410</v>
      </c>
      <c r="E623" s="116">
        <v>46136</v>
      </c>
      <c r="F623" s="116">
        <v>46139</v>
      </c>
      <c r="G623" s="116">
        <v>46142</v>
      </c>
      <c r="H623" s="112"/>
      <c r="I623" s="113"/>
      <c r="J623" s="113"/>
      <c r="K623" s="113"/>
      <c r="L623" s="107">
        <f>+K623-((K623*0.002*0.125)+(K623*(1-0.002)*0.26))</f>
        <v>0</v>
      </c>
      <c r="M623" s="114">
        <f t="shared" si="13"/>
        <v>0</v>
      </c>
      <c r="N623" s="109" t="s">
        <v>249</v>
      </c>
    </row>
    <row r="624" spans="2:14">
      <c r="B624" s="109" t="s">
        <v>677</v>
      </c>
      <c r="C624" s="110" t="s">
        <v>992</v>
      </c>
      <c r="D624" s="111" t="s">
        <v>410</v>
      </c>
      <c r="E624" s="111">
        <v>46202</v>
      </c>
      <c r="F624" s="111">
        <v>46203</v>
      </c>
      <c r="G624" s="111">
        <v>46206</v>
      </c>
      <c r="H624" s="113"/>
      <c r="I624" s="113"/>
      <c r="J624" s="113"/>
      <c r="K624" s="107"/>
      <c r="L624" s="107">
        <f>+K624-((K624*0.000001*0.125)+(K624*(1-0.000001)*0.26))</f>
        <v>0</v>
      </c>
      <c r="M624" s="114">
        <f t="shared" si="13"/>
        <v>0</v>
      </c>
      <c r="N624" s="109" t="s">
        <v>247</v>
      </c>
    </row>
    <row r="625" spans="2:14">
      <c r="B625" s="109" t="s">
        <v>676</v>
      </c>
      <c r="C625" s="110" t="s">
        <v>995</v>
      </c>
      <c r="D625" s="111" t="s">
        <v>410</v>
      </c>
      <c r="E625" s="111">
        <v>46202</v>
      </c>
      <c r="F625" s="111">
        <v>46203</v>
      </c>
      <c r="G625" s="111">
        <v>46206</v>
      </c>
      <c r="H625" s="113"/>
      <c r="I625" s="113"/>
      <c r="J625" s="113"/>
      <c r="K625" s="107"/>
      <c r="L625" s="107">
        <f>+K625-((K625*0.0158*0.125)+(K625*(1-0.0158)*0.26))</f>
        <v>0</v>
      </c>
      <c r="M625" s="114">
        <f t="shared" si="13"/>
        <v>0</v>
      </c>
      <c r="N625" s="109" t="s">
        <v>247</v>
      </c>
    </row>
    <row r="626" spans="2:14">
      <c r="B626" s="164" t="s">
        <v>203</v>
      </c>
      <c r="C626" s="165" t="s">
        <v>445</v>
      </c>
      <c r="D626" s="164" t="s">
        <v>410</v>
      </c>
      <c r="E626" s="166">
        <v>46203</v>
      </c>
      <c r="F626" s="166">
        <v>46204</v>
      </c>
      <c r="G626" s="166">
        <v>46209</v>
      </c>
      <c r="H626" s="167"/>
      <c r="I626" s="168"/>
      <c r="J626" s="164"/>
      <c r="K626" s="164"/>
      <c r="L626" s="107">
        <f>+K626-((K626*0.3656*0.125)+(K626*(1-0.3656)*0.26))</f>
        <v>0</v>
      </c>
      <c r="M626" s="169">
        <f t="shared" si="13"/>
        <v>0</v>
      </c>
      <c r="N626" s="164" t="s">
        <v>248</v>
      </c>
    </row>
    <row r="627" spans="2:14">
      <c r="B627" s="109" t="s">
        <v>204</v>
      </c>
      <c r="C627" s="110" t="s">
        <v>988</v>
      </c>
      <c r="D627" s="109" t="s">
        <v>410</v>
      </c>
      <c r="E627" s="116">
        <v>46203</v>
      </c>
      <c r="F627" s="116">
        <v>46204</v>
      </c>
      <c r="G627" s="116">
        <v>46209</v>
      </c>
      <c r="H627" s="112"/>
      <c r="I627" s="113"/>
      <c r="J627" s="109"/>
      <c r="K627" s="109"/>
      <c r="L627" s="107">
        <f>+K627-((K627*0.0257*0.125)+(K627*(1-0.0257)*0.26))</f>
        <v>0</v>
      </c>
      <c r="M627" s="114">
        <f t="shared" si="13"/>
        <v>0</v>
      </c>
      <c r="N627" s="109" t="s">
        <v>248</v>
      </c>
    </row>
    <row r="628" spans="2:14">
      <c r="B628" s="109" t="s">
        <v>207</v>
      </c>
      <c r="C628" s="110" t="s">
        <v>989</v>
      </c>
      <c r="D628" s="109" t="s">
        <v>410</v>
      </c>
      <c r="E628" s="116">
        <v>46203</v>
      </c>
      <c r="F628" s="116">
        <v>46204</v>
      </c>
      <c r="G628" s="116">
        <v>46209</v>
      </c>
      <c r="H628" s="112"/>
      <c r="I628" s="113"/>
      <c r="J628" s="109"/>
      <c r="K628" s="109"/>
      <c r="L628" s="107">
        <f>+K628-((K628*0.8783*0.125)+(K628*(1-0.8783)*0.26))</f>
        <v>0</v>
      </c>
      <c r="M628" s="114">
        <f t="shared" si="13"/>
        <v>0</v>
      </c>
      <c r="N628" s="109" t="s">
        <v>248</v>
      </c>
    </row>
    <row r="629" spans="2:14">
      <c r="B629" s="109" t="s">
        <v>678</v>
      </c>
      <c r="C629" s="110" t="s">
        <v>707</v>
      </c>
      <c r="D629" s="109" t="s">
        <v>410</v>
      </c>
      <c r="E629" s="116">
        <v>46203</v>
      </c>
      <c r="F629" s="116">
        <v>46204</v>
      </c>
      <c r="G629" s="116">
        <v>46209</v>
      </c>
      <c r="H629" s="112"/>
      <c r="I629" s="113"/>
      <c r="J629" s="109"/>
      <c r="K629" s="109"/>
      <c r="L629" s="107">
        <f>+K629-((K629*0.0003*0.125)+(K629*(1-0.0003)*0.26))</f>
        <v>0</v>
      </c>
      <c r="M629" s="114">
        <f t="shared" si="13"/>
        <v>0</v>
      </c>
      <c r="N629" s="109" t="s">
        <v>248</v>
      </c>
    </row>
    <row r="630" spans="2:14">
      <c r="B630" s="109" t="s">
        <v>205</v>
      </c>
      <c r="C630" s="110" t="s">
        <v>448</v>
      </c>
      <c r="D630" s="109" t="s">
        <v>410</v>
      </c>
      <c r="E630" s="116">
        <v>46203</v>
      </c>
      <c r="F630" s="116">
        <v>46204</v>
      </c>
      <c r="G630" s="116">
        <v>46209</v>
      </c>
      <c r="H630" s="112"/>
      <c r="I630" s="113"/>
      <c r="J630" s="109"/>
      <c r="K630" s="109"/>
      <c r="L630" s="107">
        <f>+K630-((K630*0.4566*0.125)+(K630*(1-0.4566)*0.26))</f>
        <v>0</v>
      </c>
      <c r="M630" s="114">
        <f t="shared" si="13"/>
        <v>0</v>
      </c>
      <c r="N630" s="109" t="s">
        <v>248</v>
      </c>
    </row>
    <row r="631" spans="2:14">
      <c r="B631" s="109" t="s">
        <v>206</v>
      </c>
      <c r="C631" s="110" t="s">
        <v>449</v>
      </c>
      <c r="D631" s="109" t="s">
        <v>410</v>
      </c>
      <c r="E631" s="116">
        <v>46203</v>
      </c>
      <c r="F631" s="116">
        <v>46204</v>
      </c>
      <c r="G631" s="116">
        <v>46209</v>
      </c>
      <c r="H631" s="112"/>
      <c r="I631" s="113"/>
      <c r="J631" s="109"/>
      <c r="K631" s="109"/>
      <c r="L631" s="107">
        <f>+K631-((K631*0.4566*0.125)+(K631*(1-0.4566)*0.26))</f>
        <v>0</v>
      </c>
      <c r="M631" s="114">
        <f t="shared" si="13"/>
        <v>0</v>
      </c>
      <c r="N631" s="109" t="s">
        <v>248</v>
      </c>
    </row>
    <row r="632" spans="2:14">
      <c r="B632" s="109" t="s">
        <v>505</v>
      </c>
      <c r="C632" s="110" t="s">
        <v>506</v>
      </c>
      <c r="D632" s="109" t="s">
        <v>410</v>
      </c>
      <c r="E632" s="116">
        <v>46203</v>
      </c>
      <c r="F632" s="116">
        <v>46204</v>
      </c>
      <c r="G632" s="116">
        <v>46209</v>
      </c>
      <c r="H632" s="112"/>
      <c r="I632" s="113"/>
      <c r="J632" s="109"/>
      <c r="K632" s="109"/>
      <c r="L632" s="107">
        <f>+K632-((K632*0.0269*0.125)+(K632*(1-0.0269)*0.26))</f>
        <v>0</v>
      </c>
      <c r="M632" s="114">
        <f t="shared" si="13"/>
        <v>0</v>
      </c>
      <c r="N632" s="109" t="s">
        <v>248</v>
      </c>
    </row>
    <row r="633" spans="2:14">
      <c r="B633" s="109" t="s">
        <v>212</v>
      </c>
      <c r="C633" s="110" t="s">
        <v>450</v>
      </c>
      <c r="D633" s="109" t="s">
        <v>410</v>
      </c>
      <c r="E633" s="116">
        <v>46203</v>
      </c>
      <c r="F633" s="116">
        <v>46204</v>
      </c>
      <c r="G633" s="116">
        <v>46209</v>
      </c>
      <c r="H633" s="112"/>
      <c r="I633" s="113"/>
      <c r="J633" s="109"/>
      <c r="K633" s="109"/>
      <c r="L633" s="107">
        <f>+K633-((K633*0.0468*0.125)+(K633*(1-0.468)*0.26))</f>
        <v>0</v>
      </c>
      <c r="M633" s="114">
        <f t="shared" si="13"/>
        <v>0</v>
      </c>
      <c r="N633" s="109" t="s">
        <v>248</v>
      </c>
    </row>
    <row r="634" spans="2:14">
      <c r="B634" s="109" t="s">
        <v>225</v>
      </c>
      <c r="C634" s="110" t="s">
        <v>454</v>
      </c>
      <c r="D634" s="109" t="s">
        <v>410</v>
      </c>
      <c r="E634" s="116">
        <v>46230</v>
      </c>
      <c r="F634" s="116">
        <v>46231</v>
      </c>
      <c r="G634" s="116">
        <v>46234</v>
      </c>
      <c r="H634" s="112"/>
      <c r="I634" s="113"/>
      <c r="J634" s="113"/>
      <c r="K634" s="113"/>
      <c r="L634" s="107"/>
      <c r="M634" s="114">
        <f t="shared" si="13"/>
        <v>0</v>
      </c>
      <c r="N634" s="109" t="s">
        <v>249</v>
      </c>
    </row>
    <row r="635" spans="2:14">
      <c r="B635" s="109" t="s">
        <v>219</v>
      </c>
      <c r="C635" s="110" t="s">
        <v>993</v>
      </c>
      <c r="D635" s="109" t="s">
        <v>410</v>
      </c>
      <c r="E635" s="116">
        <v>46230</v>
      </c>
      <c r="F635" s="116">
        <v>46231</v>
      </c>
      <c r="G635" s="116">
        <v>46234</v>
      </c>
      <c r="H635" s="112"/>
      <c r="I635" s="113"/>
      <c r="J635" s="113"/>
      <c r="K635" s="113"/>
      <c r="L635" s="107"/>
      <c r="M635" s="114">
        <f t="shared" si="13"/>
        <v>0</v>
      </c>
      <c r="N635" s="109" t="s">
        <v>249</v>
      </c>
    </row>
    <row r="636" spans="2:14">
      <c r="B636" s="109" t="s">
        <v>223</v>
      </c>
      <c r="C636" s="110" t="s">
        <v>991</v>
      </c>
      <c r="D636" s="109" t="s">
        <v>413</v>
      </c>
      <c r="E636" s="116">
        <v>46230</v>
      </c>
      <c r="F636" s="116">
        <v>46231</v>
      </c>
      <c r="G636" s="116">
        <v>46234</v>
      </c>
      <c r="H636" s="112"/>
      <c r="I636" s="113"/>
      <c r="J636" s="113"/>
      <c r="K636" s="113"/>
      <c r="L636" s="107"/>
      <c r="M636" s="114">
        <f t="shared" si="13"/>
        <v>0</v>
      </c>
      <c r="N636" s="109" t="s">
        <v>250</v>
      </c>
    </row>
    <row r="637" spans="2:14">
      <c r="B637" s="109" t="s">
        <v>486</v>
      </c>
      <c r="C637" s="110" t="s">
        <v>994</v>
      </c>
      <c r="D637" s="109" t="s">
        <v>413</v>
      </c>
      <c r="E637" s="116">
        <v>46230</v>
      </c>
      <c r="F637" s="116">
        <v>46231</v>
      </c>
      <c r="G637" s="116">
        <v>46234</v>
      </c>
      <c r="H637" s="112"/>
      <c r="I637" s="113"/>
      <c r="J637" s="113"/>
      <c r="K637" s="113"/>
      <c r="L637" s="107"/>
      <c r="M637" s="114">
        <f t="shared" ref="M637:M672" si="14">L637+J637</f>
        <v>0</v>
      </c>
      <c r="N637" s="109" t="s">
        <v>250</v>
      </c>
    </row>
    <row r="638" spans="2:14">
      <c r="B638" s="109" t="s">
        <v>489</v>
      </c>
      <c r="C638" s="110" t="s">
        <v>521</v>
      </c>
      <c r="D638" s="109" t="s">
        <v>413</v>
      </c>
      <c r="E638" s="116">
        <v>46230</v>
      </c>
      <c r="F638" s="116">
        <v>46231</v>
      </c>
      <c r="G638" s="116">
        <v>46234</v>
      </c>
      <c r="H638" s="112" t="s">
        <v>856</v>
      </c>
      <c r="I638" s="113"/>
      <c r="J638" s="113"/>
      <c r="K638" s="113"/>
      <c r="L638" s="107"/>
      <c r="M638" s="114">
        <f t="shared" si="14"/>
        <v>0</v>
      </c>
      <c r="N638" s="109" t="s">
        <v>250</v>
      </c>
    </row>
    <row r="639" spans="2:14">
      <c r="B639" s="109" t="s">
        <v>218</v>
      </c>
      <c r="C639" s="110" t="s">
        <v>455</v>
      </c>
      <c r="D639" s="109" t="s">
        <v>413</v>
      </c>
      <c r="E639" s="116">
        <v>46230</v>
      </c>
      <c r="F639" s="116">
        <v>46231</v>
      </c>
      <c r="G639" s="116">
        <v>46234</v>
      </c>
      <c r="H639" s="112"/>
      <c r="I639" s="113"/>
      <c r="J639" s="113"/>
      <c r="K639" s="113"/>
      <c r="L639" s="107"/>
      <c r="M639" s="114">
        <f t="shared" si="14"/>
        <v>0</v>
      </c>
      <c r="N639" s="109" t="s">
        <v>250</v>
      </c>
    </row>
    <row r="640" spans="2:14">
      <c r="B640" s="109" t="s">
        <v>491</v>
      </c>
      <c r="C640" s="110" t="s">
        <v>671</v>
      </c>
      <c r="D640" s="109" t="s">
        <v>413</v>
      </c>
      <c r="E640" s="116">
        <v>46230</v>
      </c>
      <c r="F640" s="116">
        <v>46231</v>
      </c>
      <c r="G640" s="116">
        <v>46234</v>
      </c>
      <c r="H640" s="112" t="s">
        <v>856</v>
      </c>
      <c r="I640" s="113"/>
      <c r="J640" s="113"/>
      <c r="K640" s="113"/>
      <c r="L640" s="107"/>
      <c r="M640" s="114">
        <f t="shared" si="14"/>
        <v>0</v>
      </c>
      <c r="N640" s="109" t="s">
        <v>250</v>
      </c>
    </row>
    <row r="641" spans="2:14">
      <c r="B641" s="109" t="s">
        <v>293</v>
      </c>
      <c r="C641" s="110" t="s">
        <v>553</v>
      </c>
      <c r="D641" s="109" t="s">
        <v>412</v>
      </c>
      <c r="E641" s="179">
        <v>46272</v>
      </c>
      <c r="F641" s="179" t="s">
        <v>1012</v>
      </c>
      <c r="G641" s="179" t="s">
        <v>1013</v>
      </c>
      <c r="H641" s="112"/>
      <c r="I641" s="113"/>
      <c r="J641" s="113"/>
      <c r="K641" s="113"/>
      <c r="L641" s="107"/>
      <c r="M641" s="114">
        <f t="shared" si="14"/>
        <v>0</v>
      </c>
      <c r="N641" s="109" t="s">
        <v>288</v>
      </c>
    </row>
    <row r="642" spans="2:14">
      <c r="B642" s="109" t="s">
        <v>295</v>
      </c>
      <c r="C642" s="110" t="s">
        <v>461</v>
      </c>
      <c r="D642" s="109" t="s">
        <v>412</v>
      </c>
      <c r="E642" s="179">
        <v>46272</v>
      </c>
      <c r="F642" s="179" t="s">
        <v>1012</v>
      </c>
      <c r="G642" s="179" t="s">
        <v>1013</v>
      </c>
      <c r="H642" s="112"/>
      <c r="I642" s="113"/>
      <c r="J642" s="113"/>
      <c r="K642" s="113"/>
      <c r="L642" s="107"/>
      <c r="M642" s="114">
        <f t="shared" si="14"/>
        <v>0</v>
      </c>
      <c r="N642" s="109" t="s">
        <v>288</v>
      </c>
    </row>
    <row r="643" spans="2:14">
      <c r="B643" s="109" t="s">
        <v>297</v>
      </c>
      <c r="C643" s="110" t="s">
        <v>463</v>
      </c>
      <c r="D643" s="109" t="s">
        <v>412</v>
      </c>
      <c r="E643" s="179">
        <v>46272</v>
      </c>
      <c r="F643" s="179" t="s">
        <v>1012</v>
      </c>
      <c r="G643" s="179" t="s">
        <v>1013</v>
      </c>
      <c r="H643" s="112"/>
      <c r="I643" s="113"/>
      <c r="J643" s="113"/>
      <c r="K643" s="113"/>
      <c r="L643" s="107"/>
      <c r="M643" s="114">
        <f t="shared" si="14"/>
        <v>0</v>
      </c>
      <c r="N643" s="109" t="s">
        <v>288</v>
      </c>
    </row>
    <row r="644" spans="2:14">
      <c r="B644" s="109" t="s">
        <v>290</v>
      </c>
      <c r="C644" s="110" t="s">
        <v>460</v>
      </c>
      <c r="D644" s="109" t="s">
        <v>412</v>
      </c>
      <c r="E644" s="179">
        <v>46272</v>
      </c>
      <c r="F644" s="179" t="s">
        <v>1012</v>
      </c>
      <c r="G644" s="179" t="s">
        <v>1013</v>
      </c>
      <c r="H644" s="112"/>
      <c r="I644" s="113"/>
      <c r="J644" s="113"/>
      <c r="K644" s="113"/>
      <c r="L644" s="107"/>
      <c r="M644" s="114">
        <f t="shared" si="14"/>
        <v>0</v>
      </c>
      <c r="N644" s="109" t="s">
        <v>288</v>
      </c>
    </row>
    <row r="645" spans="2:14">
      <c r="B645" s="109" t="s">
        <v>291</v>
      </c>
      <c r="C645" s="110" t="s">
        <v>987</v>
      </c>
      <c r="D645" s="109" t="s">
        <v>412</v>
      </c>
      <c r="E645" s="179">
        <v>46272</v>
      </c>
      <c r="F645" s="179" t="s">
        <v>1012</v>
      </c>
      <c r="G645" s="179" t="s">
        <v>1013</v>
      </c>
      <c r="H645" s="112"/>
      <c r="I645" s="113"/>
      <c r="J645" s="113"/>
      <c r="K645" s="113"/>
      <c r="L645" s="107"/>
      <c r="M645" s="114">
        <f t="shared" si="14"/>
        <v>0</v>
      </c>
      <c r="N645" s="109" t="s">
        <v>288</v>
      </c>
    </row>
    <row r="646" spans="2:14">
      <c r="B646" s="109" t="s">
        <v>554</v>
      </c>
      <c r="C646" s="110" t="s">
        <v>558</v>
      </c>
      <c r="D646" s="109" t="s">
        <v>412</v>
      </c>
      <c r="E646" s="179">
        <v>46272</v>
      </c>
      <c r="F646" s="179" t="s">
        <v>1012</v>
      </c>
      <c r="G646" s="179" t="s">
        <v>1013</v>
      </c>
      <c r="H646" s="112"/>
      <c r="I646" s="113"/>
      <c r="J646" s="113"/>
      <c r="K646" s="113"/>
      <c r="L646" s="107"/>
      <c r="M646" s="114">
        <f t="shared" si="14"/>
        <v>0</v>
      </c>
      <c r="N646" s="109" t="s">
        <v>288</v>
      </c>
    </row>
    <row r="647" spans="2:14">
      <c r="B647" s="109" t="s">
        <v>557</v>
      </c>
      <c r="C647" s="110" t="s">
        <v>561</v>
      </c>
      <c r="D647" s="109" t="s">
        <v>412</v>
      </c>
      <c r="E647" s="179">
        <v>46272</v>
      </c>
      <c r="F647" s="179" t="s">
        <v>1012</v>
      </c>
      <c r="G647" s="179" t="s">
        <v>1013</v>
      </c>
      <c r="H647" s="112"/>
      <c r="I647" s="113"/>
      <c r="J647" s="113"/>
      <c r="K647" s="113"/>
      <c r="L647" s="107"/>
      <c r="M647" s="114">
        <f t="shared" si="14"/>
        <v>0</v>
      </c>
      <c r="N647" s="109" t="s">
        <v>288</v>
      </c>
    </row>
    <row r="648" spans="2:14">
      <c r="B648" s="109" t="s">
        <v>296</v>
      </c>
      <c r="C648" s="110" t="s">
        <v>464</v>
      </c>
      <c r="D648" s="109" t="s">
        <v>412</v>
      </c>
      <c r="E648" s="179">
        <v>46272</v>
      </c>
      <c r="F648" s="179" t="s">
        <v>1012</v>
      </c>
      <c r="G648" s="179" t="s">
        <v>1013</v>
      </c>
      <c r="H648" s="112"/>
      <c r="I648" s="113"/>
      <c r="J648" s="113"/>
      <c r="K648" s="113"/>
      <c r="L648" s="107"/>
      <c r="M648" s="114">
        <f t="shared" si="14"/>
        <v>0</v>
      </c>
      <c r="N648" s="109" t="s">
        <v>288</v>
      </c>
    </row>
    <row r="649" spans="2:14">
      <c r="B649" s="109" t="s">
        <v>294</v>
      </c>
      <c r="C649" s="110" t="s">
        <v>706</v>
      </c>
      <c r="D649" s="109" t="s">
        <v>412</v>
      </c>
      <c r="E649" s="179">
        <v>46272</v>
      </c>
      <c r="F649" s="179" t="s">
        <v>1012</v>
      </c>
      <c r="G649" s="179" t="s">
        <v>1013</v>
      </c>
      <c r="H649" s="112"/>
      <c r="I649" s="113"/>
      <c r="J649" s="113"/>
      <c r="K649" s="113"/>
      <c r="L649" s="107"/>
      <c r="M649" s="114">
        <f t="shared" si="14"/>
        <v>0</v>
      </c>
      <c r="N649" s="109" t="s">
        <v>288</v>
      </c>
    </row>
    <row r="650" spans="2:14">
      <c r="B650" s="109" t="s">
        <v>551</v>
      </c>
      <c r="C650" s="110" t="s">
        <v>1002</v>
      </c>
      <c r="D650" s="109" t="s">
        <v>412</v>
      </c>
      <c r="E650" s="179">
        <v>46272</v>
      </c>
      <c r="F650" s="179" t="s">
        <v>1012</v>
      </c>
      <c r="G650" s="179" t="s">
        <v>1013</v>
      </c>
      <c r="H650" s="112"/>
      <c r="I650" s="113"/>
      <c r="J650" s="113"/>
      <c r="K650" s="113"/>
      <c r="L650" s="107"/>
      <c r="M650" s="114">
        <f t="shared" si="14"/>
        <v>0</v>
      </c>
      <c r="N650" s="109" t="s">
        <v>288</v>
      </c>
    </row>
    <row r="651" spans="2:14">
      <c r="B651" s="109" t="s">
        <v>677</v>
      </c>
      <c r="C651" s="110" t="s">
        <v>992</v>
      </c>
      <c r="D651" s="111" t="s">
        <v>410</v>
      </c>
      <c r="E651" s="111">
        <v>46294</v>
      </c>
      <c r="F651" s="111">
        <v>46295</v>
      </c>
      <c r="G651" s="111">
        <v>46300</v>
      </c>
      <c r="H651" s="113"/>
      <c r="I651" s="113"/>
      <c r="J651" s="113"/>
      <c r="K651" s="107"/>
      <c r="L651" s="107"/>
      <c r="M651" s="114">
        <f t="shared" si="14"/>
        <v>0</v>
      </c>
      <c r="N651" s="109" t="s">
        <v>247</v>
      </c>
    </row>
    <row r="652" spans="2:14">
      <c r="B652" s="109" t="s">
        <v>676</v>
      </c>
      <c r="C652" s="110" t="s">
        <v>995</v>
      </c>
      <c r="D652" s="111" t="s">
        <v>410</v>
      </c>
      <c r="E652" s="111">
        <v>46294</v>
      </c>
      <c r="F652" s="111">
        <v>46295</v>
      </c>
      <c r="G652" s="111">
        <v>46300</v>
      </c>
      <c r="H652" s="113"/>
      <c r="I652" s="113"/>
      <c r="J652" s="113"/>
      <c r="K652" s="107"/>
      <c r="L652" s="107"/>
      <c r="M652" s="114">
        <f t="shared" si="14"/>
        <v>0</v>
      </c>
      <c r="N652" s="109" t="s">
        <v>247</v>
      </c>
    </row>
    <row r="653" spans="2:14">
      <c r="B653" s="164" t="s">
        <v>203</v>
      </c>
      <c r="C653" s="165" t="s">
        <v>445</v>
      </c>
      <c r="D653" s="164" t="s">
        <v>410</v>
      </c>
      <c r="E653" s="166">
        <v>46295</v>
      </c>
      <c r="F653" s="166">
        <v>46296</v>
      </c>
      <c r="G653" s="166">
        <v>46301</v>
      </c>
      <c r="H653" s="167"/>
      <c r="I653" s="168"/>
      <c r="J653" s="164"/>
      <c r="K653" s="164"/>
      <c r="L653" s="107"/>
      <c r="M653" s="169">
        <f t="shared" si="14"/>
        <v>0</v>
      </c>
      <c r="N653" s="164" t="s">
        <v>248</v>
      </c>
    </row>
    <row r="654" spans="2:14">
      <c r="B654" s="109" t="s">
        <v>204</v>
      </c>
      <c r="C654" s="110" t="s">
        <v>988</v>
      </c>
      <c r="D654" s="109" t="s">
        <v>410</v>
      </c>
      <c r="E654" s="116">
        <v>46295</v>
      </c>
      <c r="F654" s="116">
        <v>46296</v>
      </c>
      <c r="G654" s="116">
        <v>46301</v>
      </c>
      <c r="H654" s="112"/>
      <c r="I654" s="113"/>
      <c r="J654" s="109"/>
      <c r="K654" s="109"/>
      <c r="L654" s="107"/>
      <c r="M654" s="114">
        <f t="shared" si="14"/>
        <v>0</v>
      </c>
      <c r="N654" s="109" t="s">
        <v>248</v>
      </c>
    </row>
    <row r="655" spans="2:14">
      <c r="B655" s="109" t="s">
        <v>207</v>
      </c>
      <c r="C655" s="110" t="s">
        <v>989</v>
      </c>
      <c r="D655" s="109" t="s">
        <v>410</v>
      </c>
      <c r="E655" s="116">
        <v>46295</v>
      </c>
      <c r="F655" s="116">
        <v>46296</v>
      </c>
      <c r="G655" s="116">
        <v>46301</v>
      </c>
      <c r="H655" s="112"/>
      <c r="I655" s="113"/>
      <c r="J655" s="109"/>
      <c r="K655" s="109"/>
      <c r="L655" s="107"/>
      <c r="M655" s="114">
        <f t="shared" si="14"/>
        <v>0</v>
      </c>
      <c r="N655" s="109" t="s">
        <v>248</v>
      </c>
    </row>
    <row r="656" spans="2:14">
      <c r="B656" s="109" t="s">
        <v>678</v>
      </c>
      <c r="C656" s="110" t="s">
        <v>707</v>
      </c>
      <c r="D656" s="109" t="s">
        <v>410</v>
      </c>
      <c r="E656" s="116">
        <v>46295</v>
      </c>
      <c r="F656" s="116">
        <v>46296</v>
      </c>
      <c r="G656" s="116">
        <v>46301</v>
      </c>
      <c r="H656" s="112"/>
      <c r="I656" s="113"/>
      <c r="J656" s="109"/>
      <c r="K656" s="109"/>
      <c r="L656" s="107"/>
      <c r="M656" s="114">
        <f t="shared" si="14"/>
        <v>0</v>
      </c>
      <c r="N656" s="109" t="s">
        <v>248</v>
      </c>
    </row>
    <row r="657" spans="2:14">
      <c r="B657" s="109" t="s">
        <v>205</v>
      </c>
      <c r="C657" s="110" t="s">
        <v>448</v>
      </c>
      <c r="D657" s="109" t="s">
        <v>410</v>
      </c>
      <c r="E657" s="116">
        <v>46295</v>
      </c>
      <c r="F657" s="116">
        <v>46296</v>
      </c>
      <c r="G657" s="116">
        <v>46301</v>
      </c>
      <c r="H657" s="112"/>
      <c r="I657" s="113"/>
      <c r="J657" s="109"/>
      <c r="K657" s="109"/>
      <c r="L657" s="107"/>
      <c r="M657" s="114">
        <f t="shared" si="14"/>
        <v>0</v>
      </c>
      <c r="N657" s="109" t="s">
        <v>248</v>
      </c>
    </row>
    <row r="658" spans="2:14">
      <c r="B658" s="109" t="s">
        <v>206</v>
      </c>
      <c r="C658" s="110" t="s">
        <v>449</v>
      </c>
      <c r="D658" s="109" t="s">
        <v>410</v>
      </c>
      <c r="E658" s="116">
        <v>46295</v>
      </c>
      <c r="F658" s="116">
        <v>46296</v>
      </c>
      <c r="G658" s="116">
        <v>46301</v>
      </c>
      <c r="H658" s="112"/>
      <c r="I658" s="113"/>
      <c r="J658" s="109"/>
      <c r="K658" s="109"/>
      <c r="L658" s="107"/>
      <c r="M658" s="114">
        <f t="shared" si="14"/>
        <v>0</v>
      </c>
      <c r="N658" s="109" t="s">
        <v>248</v>
      </c>
    </row>
    <row r="659" spans="2:14">
      <c r="B659" s="109" t="s">
        <v>505</v>
      </c>
      <c r="C659" s="110" t="s">
        <v>506</v>
      </c>
      <c r="D659" s="109" t="s">
        <v>410</v>
      </c>
      <c r="E659" s="116">
        <v>46295</v>
      </c>
      <c r="F659" s="116">
        <v>46296</v>
      </c>
      <c r="G659" s="116">
        <v>46301</v>
      </c>
      <c r="H659" s="112"/>
      <c r="I659" s="113"/>
      <c r="J659" s="109"/>
      <c r="K659" s="109"/>
      <c r="L659" s="107"/>
      <c r="M659" s="114">
        <f t="shared" si="14"/>
        <v>0</v>
      </c>
      <c r="N659" s="109" t="s">
        <v>248</v>
      </c>
    </row>
    <row r="660" spans="2:14">
      <c r="B660" s="109" t="s">
        <v>212</v>
      </c>
      <c r="C660" s="110" t="s">
        <v>450</v>
      </c>
      <c r="D660" s="109" t="s">
        <v>410</v>
      </c>
      <c r="E660" s="116">
        <v>46295</v>
      </c>
      <c r="F660" s="116">
        <v>46296</v>
      </c>
      <c r="G660" s="116">
        <v>46301</v>
      </c>
      <c r="H660" s="112"/>
      <c r="I660" s="113"/>
      <c r="J660" s="109"/>
      <c r="K660" s="109"/>
      <c r="L660" s="107"/>
      <c r="M660" s="114">
        <f t="shared" si="14"/>
        <v>0</v>
      </c>
      <c r="N660" s="109" t="s">
        <v>248</v>
      </c>
    </row>
    <row r="661" spans="2:14">
      <c r="B661" s="109" t="s">
        <v>225</v>
      </c>
      <c r="C661" s="110" t="s">
        <v>454</v>
      </c>
      <c r="D661" s="109" t="s">
        <v>410</v>
      </c>
      <c r="E661" s="116">
        <v>46321</v>
      </c>
      <c r="F661" s="116">
        <v>46322</v>
      </c>
      <c r="G661" s="116">
        <v>46325</v>
      </c>
      <c r="H661" s="112"/>
      <c r="I661" s="113"/>
      <c r="J661" s="113"/>
      <c r="K661" s="113"/>
      <c r="L661" s="107"/>
      <c r="M661" s="114">
        <f t="shared" si="14"/>
        <v>0</v>
      </c>
      <c r="N661" s="109" t="s">
        <v>249</v>
      </c>
    </row>
    <row r="662" spans="2:14">
      <c r="B662" s="109" t="s">
        <v>219</v>
      </c>
      <c r="C662" s="110" t="s">
        <v>993</v>
      </c>
      <c r="D662" s="109" t="s">
        <v>410</v>
      </c>
      <c r="E662" s="116">
        <v>46321</v>
      </c>
      <c r="F662" s="116">
        <v>46322</v>
      </c>
      <c r="G662" s="116">
        <v>46325</v>
      </c>
      <c r="H662" s="112"/>
      <c r="I662" s="113"/>
      <c r="J662" s="113"/>
      <c r="K662" s="113"/>
      <c r="L662" s="107"/>
      <c r="M662" s="114">
        <f t="shared" si="14"/>
        <v>0</v>
      </c>
      <c r="N662" s="109" t="s">
        <v>249</v>
      </c>
    </row>
    <row r="663" spans="2:14">
      <c r="B663" s="109" t="s">
        <v>677</v>
      </c>
      <c r="C663" s="110" t="s">
        <v>992</v>
      </c>
      <c r="D663" s="111" t="s">
        <v>410</v>
      </c>
      <c r="E663" s="111">
        <v>46386</v>
      </c>
      <c r="F663" s="111">
        <v>46387</v>
      </c>
      <c r="G663" s="111">
        <v>46393</v>
      </c>
      <c r="H663" s="113"/>
      <c r="I663" s="113"/>
      <c r="J663" s="113"/>
      <c r="K663" s="107"/>
      <c r="L663" s="107"/>
      <c r="M663" s="114">
        <f t="shared" si="14"/>
        <v>0</v>
      </c>
      <c r="N663" s="109" t="s">
        <v>247</v>
      </c>
    </row>
    <row r="664" spans="2:14">
      <c r="B664" s="109" t="s">
        <v>676</v>
      </c>
      <c r="C664" s="110" t="s">
        <v>995</v>
      </c>
      <c r="D664" s="111" t="s">
        <v>410</v>
      </c>
      <c r="E664" s="111">
        <v>46386</v>
      </c>
      <c r="F664" s="111">
        <v>46387</v>
      </c>
      <c r="G664" s="111">
        <v>46393</v>
      </c>
      <c r="H664" s="113"/>
      <c r="I664" s="113"/>
      <c r="J664" s="113"/>
      <c r="K664" s="107"/>
      <c r="L664" s="107"/>
      <c r="M664" s="114">
        <f t="shared" si="14"/>
        <v>0</v>
      </c>
      <c r="N664" s="109" t="s">
        <v>247</v>
      </c>
    </row>
    <row r="665" spans="2:14">
      <c r="B665" s="164" t="s">
        <v>203</v>
      </c>
      <c r="C665" s="165" t="s">
        <v>445</v>
      </c>
      <c r="D665" s="164" t="s">
        <v>410</v>
      </c>
      <c r="E665" s="166">
        <v>46387</v>
      </c>
      <c r="F665" s="166">
        <v>46391</v>
      </c>
      <c r="G665" s="166">
        <v>46394</v>
      </c>
      <c r="H665" s="167"/>
      <c r="I665" s="168"/>
      <c r="J665" s="164"/>
      <c r="K665" s="164"/>
      <c r="L665" s="107"/>
      <c r="M665" s="169">
        <f t="shared" si="14"/>
        <v>0</v>
      </c>
      <c r="N665" s="164" t="s">
        <v>248</v>
      </c>
    </row>
    <row r="666" spans="2:14">
      <c r="B666" s="109" t="s">
        <v>204</v>
      </c>
      <c r="C666" s="110" t="s">
        <v>988</v>
      </c>
      <c r="D666" s="109" t="s">
        <v>410</v>
      </c>
      <c r="E666" s="116">
        <v>46387</v>
      </c>
      <c r="F666" s="116">
        <v>46391</v>
      </c>
      <c r="G666" s="116">
        <v>46394</v>
      </c>
      <c r="H666" s="112"/>
      <c r="I666" s="113"/>
      <c r="J666" s="109"/>
      <c r="K666" s="109"/>
      <c r="L666" s="107"/>
      <c r="M666" s="114">
        <f t="shared" si="14"/>
        <v>0</v>
      </c>
      <c r="N666" s="109" t="s">
        <v>248</v>
      </c>
    </row>
    <row r="667" spans="2:14">
      <c r="B667" s="109" t="s">
        <v>207</v>
      </c>
      <c r="C667" s="110" t="s">
        <v>989</v>
      </c>
      <c r="D667" s="109" t="s">
        <v>410</v>
      </c>
      <c r="E667" s="116">
        <v>46387</v>
      </c>
      <c r="F667" s="116">
        <v>46391</v>
      </c>
      <c r="G667" s="116">
        <v>46394</v>
      </c>
      <c r="H667" s="112"/>
      <c r="I667" s="113"/>
      <c r="J667" s="109"/>
      <c r="K667" s="109"/>
      <c r="L667" s="107"/>
      <c r="M667" s="114">
        <f t="shared" si="14"/>
        <v>0</v>
      </c>
      <c r="N667" s="109" t="s">
        <v>248</v>
      </c>
    </row>
    <row r="668" spans="2:14">
      <c r="B668" s="109" t="s">
        <v>678</v>
      </c>
      <c r="C668" s="110" t="s">
        <v>707</v>
      </c>
      <c r="D668" s="109" t="s">
        <v>410</v>
      </c>
      <c r="E668" s="116">
        <v>46387</v>
      </c>
      <c r="F668" s="116">
        <v>46391</v>
      </c>
      <c r="G668" s="116">
        <v>46394</v>
      </c>
      <c r="H668" s="112"/>
      <c r="I668" s="113"/>
      <c r="J668" s="109"/>
      <c r="K668" s="109"/>
      <c r="L668" s="107"/>
      <c r="M668" s="114">
        <f t="shared" si="14"/>
        <v>0</v>
      </c>
      <c r="N668" s="109" t="s">
        <v>248</v>
      </c>
    </row>
    <row r="669" spans="2:14">
      <c r="B669" s="109" t="s">
        <v>205</v>
      </c>
      <c r="C669" s="110" t="s">
        <v>448</v>
      </c>
      <c r="D669" s="109" t="s">
        <v>410</v>
      </c>
      <c r="E669" s="116">
        <v>46387</v>
      </c>
      <c r="F669" s="116">
        <v>46391</v>
      </c>
      <c r="G669" s="116">
        <v>46394</v>
      </c>
      <c r="H669" s="112"/>
      <c r="I669" s="113"/>
      <c r="J669" s="109"/>
      <c r="K669" s="109"/>
      <c r="L669" s="107"/>
      <c r="M669" s="114">
        <f t="shared" si="14"/>
        <v>0</v>
      </c>
      <c r="N669" s="109" t="s">
        <v>248</v>
      </c>
    </row>
    <row r="670" spans="2:14">
      <c r="B670" s="109" t="s">
        <v>206</v>
      </c>
      <c r="C670" s="110" t="s">
        <v>449</v>
      </c>
      <c r="D670" s="109" t="s">
        <v>410</v>
      </c>
      <c r="E670" s="116">
        <v>46387</v>
      </c>
      <c r="F670" s="116">
        <v>46391</v>
      </c>
      <c r="G670" s="116">
        <v>46394</v>
      </c>
      <c r="H670" s="112"/>
      <c r="I670" s="113"/>
      <c r="J670" s="109"/>
      <c r="K670" s="109"/>
      <c r="L670" s="107"/>
      <c r="M670" s="114">
        <f t="shared" si="14"/>
        <v>0</v>
      </c>
      <c r="N670" s="109" t="s">
        <v>248</v>
      </c>
    </row>
    <row r="671" spans="2:14">
      <c r="B671" s="109" t="s">
        <v>505</v>
      </c>
      <c r="C671" s="110" t="s">
        <v>506</v>
      </c>
      <c r="D671" s="109" t="s">
        <v>410</v>
      </c>
      <c r="E671" s="116">
        <v>46387</v>
      </c>
      <c r="F671" s="116">
        <v>46391</v>
      </c>
      <c r="G671" s="116">
        <v>46394</v>
      </c>
      <c r="H671" s="112"/>
      <c r="I671" s="113"/>
      <c r="J671" s="109"/>
      <c r="K671" s="109"/>
      <c r="L671" s="107"/>
      <c r="M671" s="114">
        <f t="shared" si="14"/>
        <v>0</v>
      </c>
      <c r="N671" s="109" t="s">
        <v>248</v>
      </c>
    </row>
    <row r="672" spans="2:14">
      <c r="B672" s="109" t="s">
        <v>212</v>
      </c>
      <c r="C672" s="110" t="s">
        <v>450</v>
      </c>
      <c r="D672" s="109" t="s">
        <v>410</v>
      </c>
      <c r="E672" s="116">
        <v>46387</v>
      </c>
      <c r="F672" s="116">
        <v>46391</v>
      </c>
      <c r="G672" s="116">
        <v>46394</v>
      </c>
      <c r="H672" s="112"/>
      <c r="I672" s="113"/>
      <c r="J672" s="109"/>
      <c r="K672" s="109"/>
      <c r="L672" s="107"/>
      <c r="M672" s="114">
        <f t="shared" si="14"/>
        <v>0</v>
      </c>
      <c r="N672" s="109" t="s">
        <v>248</v>
      </c>
    </row>
  </sheetData>
  <autoFilter ref="A5:IU672" xr:uid="{C76AA3BE-A541-45C5-B711-2422252D2C4B}">
    <sortState xmlns:xlrd2="http://schemas.microsoft.com/office/spreadsheetml/2017/richdata2" ref="A6:IU672">
      <sortCondition ref="E5:E672"/>
    </sortState>
  </autoFilter>
  <pageMargins left="0.7" right="0.7" top="0.75" bottom="0.75" header="0.3" footer="0.3"/>
  <pageSetup paperSize="9" scale="58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BC368-1FF6-4457-9A4E-A79536EB20BD}">
  <sheetPr>
    <pageSetUpPr fitToPage="1"/>
  </sheetPr>
  <dimension ref="A1:N647"/>
  <sheetViews>
    <sheetView tabSelected="1" zoomScale="80" zoomScaleNormal="80" workbookViewId="0">
      <pane ySplit="5" topLeftCell="A559" activePane="bottomLeft" state="frozen"/>
      <selection pane="bottomLeft" activeCell="D568" sqref="D568"/>
    </sheetView>
  </sheetViews>
  <sheetFormatPr defaultColWidth="8.85546875" defaultRowHeight="15"/>
  <cols>
    <col min="1" max="1" width="15.85546875" style="24" bestFit="1" customWidth="1"/>
    <col min="2" max="2" width="21" style="24" customWidth="1"/>
    <col min="3" max="3" width="13.42578125" style="24" customWidth="1"/>
    <col min="4" max="4" width="68.85546875" style="24" customWidth="1"/>
    <col min="5" max="5" width="22.85546875" style="24" customWidth="1"/>
    <col min="6" max="6" width="23.85546875" style="24" customWidth="1"/>
    <col min="7" max="7" width="21.5703125" style="24" customWidth="1"/>
    <col min="8" max="8" width="18.5703125" style="24" customWidth="1"/>
    <col min="9" max="9" width="36.140625" style="24" customWidth="1"/>
    <col min="10" max="10" width="29.85546875" style="79" customWidth="1"/>
    <col min="11" max="11" width="54.140625" style="24" customWidth="1"/>
    <col min="12" max="16384" width="8.85546875" style="24"/>
  </cols>
  <sheetData>
    <row r="1" spans="1:14" s="3" customFormat="1" ht="23.25" customHeight="1">
      <c r="B1" s="4"/>
      <c r="C1" s="6"/>
      <c r="D1" s="4"/>
      <c r="E1" s="2"/>
      <c r="F1" s="4"/>
      <c r="G1" s="2"/>
      <c r="H1" s="2"/>
      <c r="I1" s="31"/>
      <c r="J1" s="31"/>
      <c r="K1" s="31"/>
      <c r="L1" s="31"/>
      <c r="M1" s="31"/>
      <c r="N1" s="7"/>
    </row>
    <row r="2" spans="1:14" s="3" customFormat="1" ht="23.25" customHeight="1">
      <c r="B2" s="4"/>
      <c r="C2" s="6"/>
      <c r="D2" s="4"/>
      <c r="E2" s="2"/>
      <c r="F2" s="4"/>
      <c r="G2" s="2"/>
      <c r="H2" s="2"/>
      <c r="I2" s="31"/>
      <c r="J2" s="31"/>
      <c r="K2" s="31"/>
      <c r="L2" s="31"/>
      <c r="M2" s="31"/>
      <c r="N2" s="7"/>
    </row>
    <row r="3" spans="1:14" s="3" customFormat="1" ht="23.25" customHeight="1">
      <c r="B3" s="4"/>
      <c r="C3" s="6"/>
      <c r="D3" s="4"/>
      <c r="E3" s="2"/>
      <c r="F3" s="4"/>
      <c r="G3" s="2"/>
      <c r="H3" s="2"/>
      <c r="I3" s="31"/>
      <c r="J3" s="31"/>
      <c r="K3" s="31"/>
      <c r="L3" s="31"/>
      <c r="M3" s="31"/>
      <c r="N3" s="7"/>
    </row>
    <row r="4" spans="1:14" s="3" customFormat="1" ht="23.25" customHeight="1">
      <c r="B4" s="4"/>
      <c r="C4" s="6"/>
      <c r="D4" s="4"/>
      <c r="E4" s="2"/>
      <c r="F4" s="4"/>
      <c r="G4" s="2"/>
      <c r="H4" s="2"/>
      <c r="I4" s="31"/>
      <c r="J4" s="31"/>
      <c r="K4" s="31"/>
      <c r="L4" s="31"/>
      <c r="M4" s="31"/>
      <c r="N4" s="7"/>
    </row>
    <row r="5" spans="1:14" s="11" customFormat="1" ht="99.75" customHeight="1">
      <c r="A5" s="85" t="s">
        <v>0</v>
      </c>
      <c r="B5" s="95" t="s">
        <v>690</v>
      </c>
      <c r="C5" s="85" t="s">
        <v>421</v>
      </c>
      <c r="D5" s="85" t="s">
        <v>1</v>
      </c>
      <c r="E5" s="85" t="s">
        <v>2</v>
      </c>
      <c r="F5" s="87" t="s">
        <v>680</v>
      </c>
      <c r="G5" s="87" t="s">
        <v>681</v>
      </c>
      <c r="H5" s="88" t="s">
        <v>682</v>
      </c>
      <c r="I5" s="89" t="s">
        <v>684</v>
      </c>
      <c r="J5" s="89" t="s">
        <v>899</v>
      </c>
      <c r="K5" s="85" t="s">
        <v>3</v>
      </c>
    </row>
    <row r="6" spans="1:14" s="76" customFormat="1">
      <c r="A6" s="39" t="s">
        <v>179</v>
      </c>
      <c r="B6" s="41">
        <v>43544</v>
      </c>
      <c r="C6" s="44">
        <v>5</v>
      </c>
      <c r="D6" s="78" t="s">
        <v>180</v>
      </c>
      <c r="E6" s="9" t="s">
        <v>410</v>
      </c>
      <c r="F6" s="40">
        <v>43830</v>
      </c>
      <c r="G6" s="40">
        <v>43832</v>
      </c>
      <c r="H6" s="40">
        <v>43837</v>
      </c>
      <c r="I6" s="46"/>
      <c r="J6" s="36">
        <v>1.2999999999999999E-2</v>
      </c>
      <c r="K6" s="42"/>
    </row>
    <row r="7" spans="1:14" s="76" customFormat="1">
      <c r="A7" s="39" t="s">
        <v>103</v>
      </c>
      <c r="B7" s="41">
        <v>41281</v>
      </c>
      <c r="C7" s="44">
        <v>5</v>
      </c>
      <c r="D7" s="78" t="s">
        <v>573</v>
      </c>
      <c r="E7" s="9" t="s">
        <v>410</v>
      </c>
      <c r="F7" s="40">
        <v>43830</v>
      </c>
      <c r="G7" s="40">
        <v>43832</v>
      </c>
      <c r="H7" s="40">
        <v>43837</v>
      </c>
      <c r="I7" s="46">
        <v>1.4999999999999999E-2</v>
      </c>
      <c r="J7" s="36">
        <v>2.5000000000000001E-2</v>
      </c>
      <c r="K7" s="42" t="s">
        <v>8</v>
      </c>
    </row>
    <row r="8" spans="1:14" s="76" customFormat="1">
      <c r="A8" s="39" t="s">
        <v>104</v>
      </c>
      <c r="B8" s="41">
        <v>41281</v>
      </c>
      <c r="C8" s="44">
        <v>5</v>
      </c>
      <c r="D8" s="78" t="s">
        <v>105</v>
      </c>
      <c r="E8" s="9" t="s">
        <v>410</v>
      </c>
      <c r="F8" s="40">
        <v>43830</v>
      </c>
      <c r="G8" s="40">
        <v>43832</v>
      </c>
      <c r="H8" s="40">
        <v>43837</v>
      </c>
      <c r="I8" s="46">
        <v>8.0000000000000002E-3</v>
      </c>
      <c r="J8" s="36">
        <v>0.01</v>
      </c>
      <c r="K8" s="42" t="s">
        <v>8</v>
      </c>
    </row>
    <row r="9" spans="1:14" s="76" customFormat="1">
      <c r="A9" s="39" t="s">
        <v>106</v>
      </c>
      <c r="B9" s="41">
        <v>41281</v>
      </c>
      <c r="C9" s="44">
        <v>5</v>
      </c>
      <c r="D9" s="78" t="s">
        <v>574</v>
      </c>
      <c r="E9" s="9" t="s">
        <v>410</v>
      </c>
      <c r="F9" s="40">
        <v>43830</v>
      </c>
      <c r="G9" s="40">
        <v>43832</v>
      </c>
      <c r="H9" s="40">
        <v>43837</v>
      </c>
      <c r="I9" s="46">
        <v>2E-3</v>
      </c>
      <c r="J9" s="36">
        <v>2E-3</v>
      </c>
      <c r="K9" s="42" t="s">
        <v>8</v>
      </c>
    </row>
    <row r="10" spans="1:14" s="76" customFormat="1">
      <c r="A10" s="39" t="s">
        <v>16</v>
      </c>
      <c r="B10" s="41">
        <v>41991</v>
      </c>
      <c r="C10" s="44">
        <v>5</v>
      </c>
      <c r="D10" s="78" t="s">
        <v>51</v>
      </c>
      <c r="E10" s="9" t="s">
        <v>414</v>
      </c>
      <c r="F10" s="40">
        <v>43830</v>
      </c>
      <c r="G10" s="40">
        <v>43845</v>
      </c>
      <c r="H10" s="40">
        <v>44216</v>
      </c>
      <c r="I10" s="46">
        <v>0.02</v>
      </c>
      <c r="J10" s="36">
        <v>0.1</v>
      </c>
      <c r="K10" s="42" t="s">
        <v>5</v>
      </c>
    </row>
    <row r="11" spans="1:14" s="76" customFormat="1">
      <c r="A11" s="39" t="s">
        <v>26</v>
      </c>
      <c r="B11" s="41">
        <v>42355</v>
      </c>
      <c r="C11" s="44">
        <v>5</v>
      </c>
      <c r="D11" s="78" t="s">
        <v>70</v>
      </c>
      <c r="E11" s="9" t="s">
        <v>414</v>
      </c>
      <c r="F11" s="40">
        <v>43830</v>
      </c>
      <c r="G11" s="40">
        <v>43845</v>
      </c>
      <c r="H11" s="40">
        <v>44216</v>
      </c>
      <c r="I11" s="46">
        <v>0.02</v>
      </c>
      <c r="J11" s="36">
        <v>0.1</v>
      </c>
      <c r="K11" s="42" t="s">
        <v>5</v>
      </c>
    </row>
    <row r="12" spans="1:14" s="76" customFormat="1">
      <c r="A12" s="39" t="s">
        <v>68</v>
      </c>
      <c r="B12" s="41">
        <v>43454</v>
      </c>
      <c r="C12" s="44">
        <v>5</v>
      </c>
      <c r="D12" s="78" t="s">
        <v>587</v>
      </c>
      <c r="E12" s="9" t="s">
        <v>414</v>
      </c>
      <c r="F12" s="40">
        <v>43830</v>
      </c>
      <c r="G12" s="40">
        <v>43845</v>
      </c>
      <c r="H12" s="40">
        <v>44216</v>
      </c>
      <c r="I12" s="46">
        <v>0.02</v>
      </c>
      <c r="J12" s="36">
        <v>0.1</v>
      </c>
      <c r="K12" s="42" t="s">
        <v>5</v>
      </c>
    </row>
    <row r="13" spans="1:14" s="76" customFormat="1">
      <c r="A13" s="39" t="s">
        <v>598</v>
      </c>
      <c r="B13" s="41">
        <v>43100</v>
      </c>
      <c r="C13" s="44">
        <v>50</v>
      </c>
      <c r="D13" s="78" t="s">
        <v>599</v>
      </c>
      <c r="E13" s="9" t="s">
        <v>414</v>
      </c>
      <c r="F13" s="40">
        <v>43846</v>
      </c>
      <c r="G13" s="40">
        <v>43847</v>
      </c>
      <c r="H13" s="40">
        <v>43852</v>
      </c>
      <c r="I13" s="46">
        <v>0.02</v>
      </c>
      <c r="J13" s="36">
        <v>1</v>
      </c>
      <c r="K13" s="42"/>
    </row>
    <row r="14" spans="1:14" s="76" customFormat="1">
      <c r="A14" s="39" t="s">
        <v>59</v>
      </c>
      <c r="B14" s="41">
        <v>43131</v>
      </c>
      <c r="C14" s="44">
        <v>5</v>
      </c>
      <c r="D14" s="78" t="s">
        <v>600</v>
      </c>
      <c r="E14" s="9" t="s">
        <v>414</v>
      </c>
      <c r="F14" s="40">
        <v>43861</v>
      </c>
      <c r="G14" s="40">
        <v>43878</v>
      </c>
      <c r="H14" s="40">
        <v>43881</v>
      </c>
      <c r="I14" s="46">
        <v>0.02</v>
      </c>
      <c r="J14" s="36">
        <v>0.1</v>
      </c>
      <c r="K14" s="42" t="s">
        <v>5</v>
      </c>
    </row>
    <row r="15" spans="1:14" s="76" customFormat="1">
      <c r="A15" s="39" t="s">
        <v>217</v>
      </c>
      <c r="B15" s="41">
        <v>43131</v>
      </c>
      <c r="C15" s="44">
        <v>5</v>
      </c>
      <c r="D15" s="78" t="s">
        <v>601</v>
      </c>
      <c r="E15" s="9" t="s">
        <v>414</v>
      </c>
      <c r="F15" s="40">
        <v>43861</v>
      </c>
      <c r="G15" s="40">
        <v>43878</v>
      </c>
      <c r="H15" s="40">
        <v>43881</v>
      </c>
      <c r="I15" s="46">
        <v>0.02</v>
      </c>
      <c r="J15" s="36">
        <v>0.1</v>
      </c>
      <c r="K15" s="42" t="s">
        <v>5</v>
      </c>
    </row>
    <row r="16" spans="1:14" s="76" customFormat="1">
      <c r="A16" s="39" t="s">
        <v>77</v>
      </c>
      <c r="B16" s="41">
        <v>42053</v>
      </c>
      <c r="C16" s="44">
        <v>100</v>
      </c>
      <c r="D16" s="78" t="s">
        <v>593</v>
      </c>
      <c r="E16" s="9" t="s">
        <v>414</v>
      </c>
      <c r="F16" s="40">
        <v>43879</v>
      </c>
      <c r="G16" s="40">
        <v>43880</v>
      </c>
      <c r="H16" s="40">
        <v>43885</v>
      </c>
      <c r="I16" s="46"/>
      <c r="J16" s="36">
        <v>0</v>
      </c>
      <c r="K16" s="42" t="s">
        <v>6</v>
      </c>
    </row>
    <row r="17" spans="1:11" s="76" customFormat="1">
      <c r="A17" s="39" t="s">
        <v>78</v>
      </c>
      <c r="B17" s="41">
        <v>42787</v>
      </c>
      <c r="C17" s="44">
        <v>100</v>
      </c>
      <c r="D17" s="78" t="s">
        <v>589</v>
      </c>
      <c r="E17" s="9" t="s">
        <v>414</v>
      </c>
      <c r="F17" s="40">
        <v>43882</v>
      </c>
      <c r="G17" s="40">
        <v>43885</v>
      </c>
      <c r="H17" s="40">
        <v>43888</v>
      </c>
      <c r="I17" s="46"/>
      <c r="J17" s="36">
        <v>2.5</v>
      </c>
      <c r="K17" s="42" t="s">
        <v>6</v>
      </c>
    </row>
    <row r="18" spans="1:11" s="76" customFormat="1">
      <c r="A18" s="39" t="s">
        <v>499</v>
      </c>
      <c r="B18" s="41">
        <v>43518</v>
      </c>
      <c r="C18" s="44">
        <v>100</v>
      </c>
      <c r="D18" s="78" t="s">
        <v>550</v>
      </c>
      <c r="E18" s="9" t="s">
        <v>414</v>
      </c>
      <c r="F18" s="40">
        <v>43885</v>
      </c>
      <c r="G18" s="40">
        <v>43886</v>
      </c>
      <c r="H18" s="40">
        <v>43889</v>
      </c>
      <c r="I18" s="46"/>
      <c r="J18" s="36">
        <v>3.75</v>
      </c>
      <c r="K18" s="42" t="s">
        <v>6</v>
      </c>
    </row>
    <row r="19" spans="1:11" s="76" customFormat="1">
      <c r="A19" s="39" t="s">
        <v>318</v>
      </c>
      <c r="B19" s="41">
        <v>43524</v>
      </c>
      <c r="C19" s="44">
        <v>5</v>
      </c>
      <c r="D19" s="78" t="s">
        <v>575</v>
      </c>
      <c r="E19" s="9" t="s">
        <v>503</v>
      </c>
      <c r="F19" s="40">
        <v>43889</v>
      </c>
      <c r="G19" s="40">
        <v>43906</v>
      </c>
      <c r="H19" s="40">
        <v>43909</v>
      </c>
      <c r="I19" s="46" t="s">
        <v>502</v>
      </c>
      <c r="J19" s="36">
        <v>0.17399999999999999</v>
      </c>
      <c r="K19" s="42" t="s">
        <v>327</v>
      </c>
    </row>
    <row r="20" spans="1:11" s="76" customFormat="1">
      <c r="A20" s="39" t="s">
        <v>117</v>
      </c>
      <c r="B20" s="41">
        <v>43511</v>
      </c>
      <c r="C20" s="44">
        <v>5</v>
      </c>
      <c r="D20" s="78" t="s">
        <v>119</v>
      </c>
      <c r="E20" s="9" t="s">
        <v>414</v>
      </c>
      <c r="F20" s="40">
        <v>43889</v>
      </c>
      <c r="G20" s="40">
        <v>43906</v>
      </c>
      <c r="H20" s="40">
        <v>43909</v>
      </c>
      <c r="I20" s="46">
        <v>1.7000000000000001E-2</v>
      </c>
      <c r="J20" s="36">
        <v>8.5000000000000006E-2</v>
      </c>
      <c r="K20" s="42" t="s">
        <v>5</v>
      </c>
    </row>
    <row r="21" spans="1:11" s="76" customFormat="1">
      <c r="A21" s="39" t="s">
        <v>19</v>
      </c>
      <c r="B21" s="41">
        <v>42053</v>
      </c>
      <c r="C21" s="44">
        <v>5</v>
      </c>
      <c r="D21" s="78" t="s">
        <v>118</v>
      </c>
      <c r="E21" s="9" t="s">
        <v>414</v>
      </c>
      <c r="F21" s="40">
        <v>43889</v>
      </c>
      <c r="G21" s="40">
        <v>43906</v>
      </c>
      <c r="H21" s="40">
        <v>43909</v>
      </c>
      <c r="I21" s="46">
        <v>0.02</v>
      </c>
      <c r="J21" s="36">
        <v>0.1</v>
      </c>
      <c r="K21" s="42" t="s">
        <v>5</v>
      </c>
    </row>
    <row r="22" spans="1:11" s="76" customFormat="1">
      <c r="A22" s="39" t="s">
        <v>28</v>
      </c>
      <c r="B22" s="41">
        <v>42416</v>
      </c>
      <c r="C22" s="44">
        <v>5</v>
      </c>
      <c r="D22" s="78" t="s">
        <v>605</v>
      </c>
      <c r="E22" s="9" t="s">
        <v>414</v>
      </c>
      <c r="F22" s="40">
        <v>43889</v>
      </c>
      <c r="G22" s="40">
        <v>43906</v>
      </c>
      <c r="H22" s="40">
        <v>43909</v>
      </c>
      <c r="I22" s="46">
        <v>0.02</v>
      </c>
      <c r="J22" s="36">
        <v>0.1</v>
      </c>
      <c r="K22" s="42" t="s">
        <v>5</v>
      </c>
    </row>
    <row r="23" spans="1:11" s="76" customFormat="1">
      <c r="A23" s="39" t="s">
        <v>41</v>
      </c>
      <c r="B23" s="41">
        <v>42787</v>
      </c>
      <c r="C23" s="44">
        <v>5</v>
      </c>
      <c r="D23" s="78" t="s">
        <v>607</v>
      </c>
      <c r="E23" s="9" t="s">
        <v>414</v>
      </c>
      <c r="F23" s="40">
        <v>43889</v>
      </c>
      <c r="G23" s="40">
        <v>43906</v>
      </c>
      <c r="H23" s="40">
        <v>43909</v>
      </c>
      <c r="I23" s="46">
        <v>0.02</v>
      </c>
      <c r="J23" s="36">
        <v>0.1</v>
      </c>
      <c r="K23" s="42" t="s">
        <v>5</v>
      </c>
    </row>
    <row r="24" spans="1:11" s="76" customFormat="1">
      <c r="A24" s="39" t="s">
        <v>60</v>
      </c>
      <c r="B24" s="41">
        <v>43159</v>
      </c>
      <c r="C24" s="44">
        <v>5</v>
      </c>
      <c r="D24" s="78" t="s">
        <v>608</v>
      </c>
      <c r="E24" s="9" t="s">
        <v>414</v>
      </c>
      <c r="F24" s="40">
        <v>43889</v>
      </c>
      <c r="G24" s="40">
        <v>43906</v>
      </c>
      <c r="H24" s="40">
        <v>43909</v>
      </c>
      <c r="I24" s="46">
        <v>0.02</v>
      </c>
      <c r="J24" s="36">
        <v>0.1</v>
      </c>
      <c r="K24" s="42" t="s">
        <v>5</v>
      </c>
    </row>
    <row r="25" spans="1:11" s="76" customFormat="1">
      <c r="A25" s="39" t="s">
        <v>504</v>
      </c>
      <c r="B25" s="41">
        <v>43553</v>
      </c>
      <c r="C25" s="44">
        <v>100</v>
      </c>
      <c r="D25" s="78" t="s">
        <v>590</v>
      </c>
      <c r="E25" s="9" t="s">
        <v>414</v>
      </c>
      <c r="F25" s="40">
        <v>43920</v>
      </c>
      <c r="G25" s="40">
        <v>43921</v>
      </c>
      <c r="H25" s="40">
        <v>43924</v>
      </c>
      <c r="I25" s="46"/>
      <c r="J25" s="36">
        <v>0</v>
      </c>
      <c r="K25" s="42" t="s">
        <v>6</v>
      </c>
    </row>
    <row r="26" spans="1:11" s="76" customFormat="1">
      <c r="A26" s="39" t="s">
        <v>179</v>
      </c>
      <c r="B26" s="41">
        <v>43544</v>
      </c>
      <c r="C26" s="44">
        <v>5</v>
      </c>
      <c r="D26" s="78" t="s">
        <v>180</v>
      </c>
      <c r="E26" s="9" t="s">
        <v>410</v>
      </c>
      <c r="F26" s="40">
        <v>43921</v>
      </c>
      <c r="G26" s="40">
        <v>43922</v>
      </c>
      <c r="H26" s="40">
        <v>43927</v>
      </c>
      <c r="I26" s="46">
        <v>4.4999999999999997E-3</v>
      </c>
      <c r="J26" s="36">
        <v>5.7000000000000002E-3</v>
      </c>
      <c r="K26" s="42" t="s">
        <v>8</v>
      </c>
    </row>
    <row r="27" spans="1:11" s="76" customFormat="1" ht="25.5">
      <c r="A27" s="39" t="s">
        <v>103</v>
      </c>
      <c r="B27" s="41">
        <v>41281</v>
      </c>
      <c r="C27" s="44">
        <v>5</v>
      </c>
      <c r="D27" s="78" t="s">
        <v>573</v>
      </c>
      <c r="E27" s="9" t="s">
        <v>410</v>
      </c>
      <c r="F27" s="40">
        <v>43921</v>
      </c>
      <c r="G27" s="40">
        <v>43922</v>
      </c>
      <c r="H27" s="40">
        <v>43927</v>
      </c>
      <c r="I27" s="46">
        <v>1E-3</v>
      </c>
      <c r="J27" s="36">
        <v>1.6999999999999999E-3</v>
      </c>
      <c r="K27" s="42" t="s">
        <v>498</v>
      </c>
    </row>
    <row r="28" spans="1:11" s="76" customFormat="1" ht="25.5">
      <c r="A28" s="39" t="s">
        <v>104</v>
      </c>
      <c r="B28" s="41">
        <v>41281</v>
      </c>
      <c r="C28" s="44">
        <v>5</v>
      </c>
      <c r="D28" s="78" t="s">
        <v>105</v>
      </c>
      <c r="E28" s="9" t="s">
        <v>410</v>
      </c>
      <c r="F28" s="40">
        <v>43921</v>
      </c>
      <c r="G28" s="40">
        <v>43922</v>
      </c>
      <c r="H28" s="40">
        <v>43927</v>
      </c>
      <c r="I28" s="46">
        <v>1E-3</v>
      </c>
      <c r="J28" s="36">
        <v>1.4E-3</v>
      </c>
      <c r="K28" s="42" t="s">
        <v>498</v>
      </c>
    </row>
    <row r="29" spans="1:11" s="76" customFormat="1" ht="25.5">
      <c r="A29" s="39" t="s">
        <v>106</v>
      </c>
      <c r="B29" s="41">
        <v>41281</v>
      </c>
      <c r="C29" s="44">
        <v>5</v>
      </c>
      <c r="D29" s="78" t="s">
        <v>574</v>
      </c>
      <c r="E29" s="9" t="s">
        <v>410</v>
      </c>
      <c r="F29" s="40">
        <v>43921</v>
      </c>
      <c r="G29" s="40">
        <v>43922</v>
      </c>
      <c r="H29" s="40">
        <v>43927</v>
      </c>
      <c r="I29" s="46">
        <v>1E-3</v>
      </c>
      <c r="J29" s="36">
        <v>1.5E-3</v>
      </c>
      <c r="K29" s="42" t="s">
        <v>498</v>
      </c>
    </row>
    <row r="30" spans="1:11" s="76" customFormat="1">
      <c r="A30" s="39" t="s">
        <v>79</v>
      </c>
      <c r="B30" s="41">
        <v>42094</v>
      </c>
      <c r="C30" s="44">
        <v>100</v>
      </c>
      <c r="D30" s="78" t="s">
        <v>595</v>
      </c>
      <c r="E30" s="9" t="s">
        <v>414</v>
      </c>
      <c r="F30" s="40">
        <v>43921</v>
      </c>
      <c r="G30" s="40">
        <v>43922</v>
      </c>
      <c r="H30" s="40">
        <v>43927</v>
      </c>
      <c r="I30" s="46"/>
      <c r="J30" s="36">
        <v>0</v>
      </c>
      <c r="K30" s="42" t="s">
        <v>6</v>
      </c>
    </row>
    <row r="31" spans="1:11" s="76" customFormat="1">
      <c r="A31" s="39" t="s">
        <v>80</v>
      </c>
      <c r="B31" s="41">
        <v>42460</v>
      </c>
      <c r="C31" s="44">
        <v>100</v>
      </c>
      <c r="D31" s="78" t="s">
        <v>591</v>
      </c>
      <c r="E31" s="9" t="s">
        <v>414</v>
      </c>
      <c r="F31" s="40">
        <v>43921</v>
      </c>
      <c r="G31" s="40">
        <v>43922</v>
      </c>
      <c r="H31" s="40">
        <v>43927</v>
      </c>
      <c r="I31" s="46"/>
      <c r="J31" s="36">
        <v>0</v>
      </c>
      <c r="K31" s="42" t="s">
        <v>6</v>
      </c>
    </row>
    <row r="32" spans="1:11" s="76" customFormat="1">
      <c r="A32" s="39" t="s">
        <v>115</v>
      </c>
      <c r="B32" s="41">
        <v>43553</v>
      </c>
      <c r="C32" s="44">
        <v>5</v>
      </c>
      <c r="D32" s="78" t="s">
        <v>615</v>
      </c>
      <c r="E32" s="9" t="s">
        <v>414</v>
      </c>
      <c r="F32" s="40">
        <v>43921</v>
      </c>
      <c r="G32" s="40">
        <v>43936</v>
      </c>
      <c r="H32" s="40">
        <v>43941</v>
      </c>
      <c r="I32" s="46">
        <v>1.4E-2</v>
      </c>
      <c r="J32" s="36">
        <v>7.0000000000000007E-2</v>
      </c>
      <c r="K32" s="42" t="s">
        <v>5</v>
      </c>
    </row>
    <row r="33" spans="1:11" s="76" customFormat="1">
      <c r="A33" s="39" t="s">
        <v>116</v>
      </c>
      <c r="B33" s="41">
        <v>43553</v>
      </c>
      <c r="C33" s="44">
        <v>5</v>
      </c>
      <c r="D33" s="78" t="s">
        <v>612</v>
      </c>
      <c r="E33" s="9" t="s">
        <v>414</v>
      </c>
      <c r="F33" s="40">
        <v>43921</v>
      </c>
      <c r="G33" s="40">
        <v>43936</v>
      </c>
      <c r="H33" s="40">
        <v>43941</v>
      </c>
      <c r="I33" s="46">
        <v>1.4E-2</v>
      </c>
      <c r="J33" s="36">
        <v>7.0000000000000007E-2</v>
      </c>
      <c r="K33" s="42" t="s">
        <v>5</v>
      </c>
    </row>
    <row r="34" spans="1:11" s="76" customFormat="1">
      <c r="A34" s="39" t="s">
        <v>20</v>
      </c>
      <c r="B34" s="41">
        <v>42094</v>
      </c>
      <c r="C34" s="44">
        <v>5</v>
      </c>
      <c r="D34" s="78" t="s">
        <v>53</v>
      </c>
      <c r="E34" s="9" t="s">
        <v>414</v>
      </c>
      <c r="F34" s="40">
        <v>43921</v>
      </c>
      <c r="G34" s="40">
        <v>43936</v>
      </c>
      <c r="H34" s="40">
        <v>43941</v>
      </c>
      <c r="I34" s="46">
        <v>0.02</v>
      </c>
      <c r="J34" s="36">
        <v>0.1</v>
      </c>
      <c r="K34" s="42" t="s">
        <v>5</v>
      </c>
    </row>
    <row r="35" spans="1:11" s="76" customFormat="1">
      <c r="A35" s="39" t="s">
        <v>29</v>
      </c>
      <c r="B35" s="41">
        <v>42460</v>
      </c>
      <c r="C35" s="44">
        <v>5</v>
      </c>
      <c r="D35" s="78" t="s">
        <v>611</v>
      </c>
      <c r="E35" s="9" t="s">
        <v>414</v>
      </c>
      <c r="F35" s="40">
        <v>43921</v>
      </c>
      <c r="G35" s="40">
        <v>43936</v>
      </c>
      <c r="H35" s="40">
        <v>43941</v>
      </c>
      <c r="I35" s="46">
        <v>0.02</v>
      </c>
      <c r="J35" s="36">
        <v>0.1</v>
      </c>
      <c r="K35" s="42" t="s">
        <v>5</v>
      </c>
    </row>
    <row r="36" spans="1:11" s="76" customFormat="1">
      <c r="A36" s="39" t="s">
        <v>42</v>
      </c>
      <c r="B36" s="41">
        <v>42825</v>
      </c>
      <c r="C36" s="44">
        <v>5</v>
      </c>
      <c r="D36" s="78" t="s">
        <v>614</v>
      </c>
      <c r="E36" s="9" t="s">
        <v>414</v>
      </c>
      <c r="F36" s="40">
        <v>43921</v>
      </c>
      <c r="G36" s="40">
        <v>43936</v>
      </c>
      <c r="H36" s="40">
        <v>43941</v>
      </c>
      <c r="I36" s="46">
        <v>0.02</v>
      </c>
      <c r="J36" s="36">
        <v>0.1</v>
      </c>
      <c r="K36" s="42" t="s">
        <v>5</v>
      </c>
    </row>
    <row r="37" spans="1:11" s="76" customFormat="1">
      <c r="A37" s="39" t="s">
        <v>61</v>
      </c>
      <c r="B37" s="41">
        <v>43188</v>
      </c>
      <c r="C37" s="44">
        <v>5</v>
      </c>
      <c r="D37" s="78" t="s">
        <v>613</v>
      </c>
      <c r="E37" s="9" t="s">
        <v>414</v>
      </c>
      <c r="F37" s="40">
        <v>43921</v>
      </c>
      <c r="G37" s="40">
        <v>43936</v>
      </c>
      <c r="H37" s="40">
        <v>43941</v>
      </c>
      <c r="I37" s="46">
        <v>0.02</v>
      </c>
      <c r="J37" s="36">
        <v>0.1</v>
      </c>
      <c r="K37" s="42" t="s">
        <v>5</v>
      </c>
    </row>
    <row r="38" spans="1:11" s="76" customFormat="1">
      <c r="A38" s="39" t="s">
        <v>43</v>
      </c>
      <c r="B38" s="41">
        <v>42853</v>
      </c>
      <c r="C38" s="44">
        <v>5</v>
      </c>
      <c r="D38" s="78" t="s">
        <v>621</v>
      </c>
      <c r="E38" s="9" t="s">
        <v>414</v>
      </c>
      <c r="F38" s="40">
        <v>43951</v>
      </c>
      <c r="G38" s="40">
        <v>43966</v>
      </c>
      <c r="H38" s="40">
        <v>43971</v>
      </c>
      <c r="I38" s="46">
        <v>0.02</v>
      </c>
      <c r="J38" s="36">
        <v>0.1</v>
      </c>
      <c r="K38" s="42" t="s">
        <v>5</v>
      </c>
    </row>
    <row r="39" spans="1:11" s="76" customFormat="1">
      <c r="A39" s="39" t="s">
        <v>62</v>
      </c>
      <c r="B39" s="41">
        <v>43220</v>
      </c>
      <c r="C39" s="44">
        <v>5</v>
      </c>
      <c r="D39" s="78" t="s">
        <v>620</v>
      </c>
      <c r="E39" s="9" t="s">
        <v>414</v>
      </c>
      <c r="F39" s="40">
        <v>43951</v>
      </c>
      <c r="G39" s="40">
        <v>43966</v>
      </c>
      <c r="H39" s="40">
        <v>43971</v>
      </c>
      <c r="I39" s="46">
        <v>0.02</v>
      </c>
      <c r="J39" s="36">
        <v>0.1</v>
      </c>
      <c r="K39" s="42" t="s">
        <v>5</v>
      </c>
    </row>
    <row r="40" spans="1:11" s="76" customFormat="1">
      <c r="A40" s="39" t="s">
        <v>127</v>
      </c>
      <c r="B40" s="41">
        <v>43585</v>
      </c>
      <c r="C40" s="44">
        <v>5</v>
      </c>
      <c r="D40" s="78" t="s">
        <v>619</v>
      </c>
      <c r="E40" s="9" t="s">
        <v>414</v>
      </c>
      <c r="F40" s="40">
        <v>43951</v>
      </c>
      <c r="G40" s="40">
        <v>43966</v>
      </c>
      <c r="H40" s="40">
        <v>43971</v>
      </c>
      <c r="I40" s="46">
        <v>0.02</v>
      </c>
      <c r="J40" s="36">
        <v>0.1</v>
      </c>
      <c r="K40" s="42" t="s">
        <v>5</v>
      </c>
    </row>
    <row r="41" spans="1:11" s="76" customFormat="1">
      <c r="A41" s="39" t="s">
        <v>30</v>
      </c>
      <c r="B41" s="41">
        <v>42502</v>
      </c>
      <c r="C41" s="44">
        <v>5</v>
      </c>
      <c r="D41" s="78" t="s">
        <v>622</v>
      </c>
      <c r="E41" s="9" t="s">
        <v>414</v>
      </c>
      <c r="F41" s="40">
        <v>43966</v>
      </c>
      <c r="G41" s="40">
        <v>43980</v>
      </c>
      <c r="H41" s="40">
        <v>43985</v>
      </c>
      <c r="I41" s="46">
        <v>0.02</v>
      </c>
      <c r="J41" s="36">
        <v>0.1</v>
      </c>
      <c r="K41" s="42" t="s">
        <v>5</v>
      </c>
    </row>
    <row r="42" spans="1:11" s="76" customFormat="1">
      <c r="A42" s="39" t="s">
        <v>128</v>
      </c>
      <c r="B42" s="41">
        <v>43602</v>
      </c>
      <c r="C42" s="44">
        <v>100</v>
      </c>
      <c r="D42" s="78" t="s">
        <v>592</v>
      </c>
      <c r="E42" s="9" t="s">
        <v>414</v>
      </c>
      <c r="F42" s="40">
        <v>43969</v>
      </c>
      <c r="G42" s="40">
        <v>43970</v>
      </c>
      <c r="H42" s="40"/>
      <c r="I42" s="46"/>
      <c r="J42" s="36">
        <v>0</v>
      </c>
      <c r="K42" s="42" t="s">
        <v>129</v>
      </c>
    </row>
    <row r="43" spans="1:11" s="76" customFormat="1">
      <c r="A43" s="39" t="s">
        <v>81</v>
      </c>
      <c r="B43" s="41">
        <v>42143</v>
      </c>
      <c r="C43" s="44">
        <v>100</v>
      </c>
      <c r="D43" s="78" t="s">
        <v>596</v>
      </c>
      <c r="E43" s="9" t="s">
        <v>414</v>
      </c>
      <c r="F43" s="40">
        <v>43970</v>
      </c>
      <c r="G43" s="40">
        <v>43971</v>
      </c>
      <c r="H43" s="40"/>
      <c r="I43" s="46"/>
      <c r="J43" s="36">
        <v>0</v>
      </c>
      <c r="K43" s="42" t="s">
        <v>6</v>
      </c>
    </row>
    <row r="44" spans="1:11" s="76" customFormat="1">
      <c r="A44" s="39" t="s">
        <v>21</v>
      </c>
      <c r="B44" s="41">
        <v>42143</v>
      </c>
      <c r="C44" s="44">
        <v>5</v>
      </c>
      <c r="D44" s="78" t="s">
        <v>54</v>
      </c>
      <c r="E44" s="9" t="s">
        <v>414</v>
      </c>
      <c r="F44" s="40">
        <v>43970</v>
      </c>
      <c r="G44" s="40">
        <v>43997</v>
      </c>
      <c r="H44" s="40">
        <v>44000</v>
      </c>
      <c r="I44" s="46">
        <v>0.02</v>
      </c>
      <c r="J44" s="36">
        <v>0.1</v>
      </c>
      <c r="K44" s="42" t="s">
        <v>5</v>
      </c>
    </row>
    <row r="45" spans="1:11" s="76" customFormat="1">
      <c r="A45" s="39" t="s">
        <v>125</v>
      </c>
      <c r="B45" s="41">
        <v>43602</v>
      </c>
      <c r="C45" s="44">
        <v>5</v>
      </c>
      <c r="D45" s="78" t="s">
        <v>623</v>
      </c>
      <c r="E45" s="9" t="s">
        <v>414</v>
      </c>
      <c r="F45" s="40">
        <v>43980</v>
      </c>
      <c r="G45" s="40">
        <v>43997</v>
      </c>
      <c r="H45" s="40">
        <v>44000</v>
      </c>
      <c r="I45" s="46">
        <v>1.35E-2</v>
      </c>
      <c r="J45" s="36">
        <v>6.7500000000000004E-2</v>
      </c>
      <c r="K45" s="42" t="s">
        <v>5</v>
      </c>
    </row>
    <row r="46" spans="1:11" s="76" customFormat="1">
      <c r="A46" s="39" t="s">
        <v>126</v>
      </c>
      <c r="B46" s="41">
        <v>43602</v>
      </c>
      <c r="C46" s="44">
        <v>5</v>
      </c>
      <c r="D46" s="78" t="s">
        <v>624</v>
      </c>
      <c r="E46" s="9" t="s">
        <v>414</v>
      </c>
      <c r="F46" s="40">
        <v>43980</v>
      </c>
      <c r="G46" s="40">
        <v>43997</v>
      </c>
      <c r="H46" s="40">
        <v>44000</v>
      </c>
      <c r="I46" s="46">
        <v>1.35E-2</v>
      </c>
      <c r="J46" s="36">
        <v>6.7500000000000004E-2</v>
      </c>
      <c r="K46" s="42" t="s">
        <v>5</v>
      </c>
    </row>
    <row r="47" spans="1:11" s="76" customFormat="1">
      <c r="A47" s="39" t="s">
        <v>44</v>
      </c>
      <c r="B47" s="41">
        <v>42886</v>
      </c>
      <c r="C47" s="44">
        <v>5</v>
      </c>
      <c r="D47" s="78" t="s">
        <v>625</v>
      </c>
      <c r="E47" s="9" t="s">
        <v>414</v>
      </c>
      <c r="F47" s="40">
        <v>43980</v>
      </c>
      <c r="G47" s="40">
        <v>43997</v>
      </c>
      <c r="H47" s="40">
        <v>44000</v>
      </c>
      <c r="I47" s="46">
        <v>0.02</v>
      </c>
      <c r="J47" s="36">
        <v>0.1</v>
      </c>
      <c r="K47" s="42" t="s">
        <v>5</v>
      </c>
    </row>
    <row r="48" spans="1:11" s="76" customFormat="1">
      <c r="A48" s="39" t="s">
        <v>71</v>
      </c>
      <c r="B48" s="41">
        <v>43250</v>
      </c>
      <c r="C48" s="44">
        <v>5</v>
      </c>
      <c r="D48" s="78" t="s">
        <v>626</v>
      </c>
      <c r="E48" s="9" t="s">
        <v>414</v>
      </c>
      <c r="F48" s="40">
        <v>43980</v>
      </c>
      <c r="G48" s="40">
        <v>43997</v>
      </c>
      <c r="H48" s="40">
        <v>44000</v>
      </c>
      <c r="I48" s="46">
        <v>0.02</v>
      </c>
      <c r="J48" s="36">
        <v>0.1</v>
      </c>
      <c r="K48" s="42" t="s">
        <v>5</v>
      </c>
    </row>
    <row r="49" spans="1:11" s="76" customFormat="1">
      <c r="A49" s="39" t="s">
        <v>316</v>
      </c>
      <c r="B49" s="41">
        <v>43644</v>
      </c>
      <c r="C49" s="44">
        <v>100</v>
      </c>
      <c r="D49" s="78" t="s">
        <v>594</v>
      </c>
      <c r="E49" s="9" t="s">
        <v>414</v>
      </c>
      <c r="F49" s="40">
        <v>44011</v>
      </c>
      <c r="G49" s="40">
        <v>44012</v>
      </c>
      <c r="H49" s="40"/>
      <c r="I49" s="46"/>
      <c r="J49" s="36">
        <v>0</v>
      </c>
      <c r="K49" s="42" t="s">
        <v>129</v>
      </c>
    </row>
    <row r="50" spans="1:11" s="76" customFormat="1">
      <c r="A50" s="39" t="s">
        <v>179</v>
      </c>
      <c r="B50" s="41">
        <v>43544</v>
      </c>
      <c r="C50" s="44">
        <v>5</v>
      </c>
      <c r="D50" s="78" t="s">
        <v>180</v>
      </c>
      <c r="E50" s="9" t="s">
        <v>410</v>
      </c>
      <c r="F50" s="40">
        <v>44012</v>
      </c>
      <c r="G50" s="40">
        <v>44013</v>
      </c>
      <c r="H50" s="40">
        <v>44018</v>
      </c>
      <c r="I50" s="46">
        <v>4.4999999999999997E-3</v>
      </c>
      <c r="J50" s="36">
        <v>5.7000000000000002E-3</v>
      </c>
      <c r="K50" s="42" t="s">
        <v>8</v>
      </c>
    </row>
    <row r="51" spans="1:11" s="76" customFormat="1" ht="25.5">
      <c r="A51" s="39" t="s">
        <v>103</v>
      </c>
      <c r="B51" s="41">
        <v>41281</v>
      </c>
      <c r="C51" s="44">
        <v>5</v>
      </c>
      <c r="D51" s="78" t="s">
        <v>573</v>
      </c>
      <c r="E51" s="9" t="s">
        <v>410</v>
      </c>
      <c r="F51" s="40">
        <v>44012</v>
      </c>
      <c r="G51" s="40">
        <v>44013</v>
      </c>
      <c r="H51" s="40">
        <v>44018</v>
      </c>
      <c r="I51" s="46">
        <v>1E-3</v>
      </c>
      <c r="J51" s="36">
        <v>1.6999999999999999E-3</v>
      </c>
      <c r="K51" s="42" t="s">
        <v>498</v>
      </c>
    </row>
    <row r="52" spans="1:11" s="76" customFormat="1" ht="25.5">
      <c r="A52" s="39" t="s">
        <v>104</v>
      </c>
      <c r="B52" s="41">
        <v>41281</v>
      </c>
      <c r="C52" s="44">
        <v>5</v>
      </c>
      <c r="D52" s="78" t="s">
        <v>105</v>
      </c>
      <c r="E52" s="9" t="s">
        <v>410</v>
      </c>
      <c r="F52" s="40">
        <v>44012</v>
      </c>
      <c r="G52" s="40">
        <v>44013</v>
      </c>
      <c r="H52" s="40">
        <v>44018</v>
      </c>
      <c r="I52" s="46">
        <v>1E-3</v>
      </c>
      <c r="J52" s="36">
        <v>1.4E-3</v>
      </c>
      <c r="K52" s="42" t="s">
        <v>498</v>
      </c>
    </row>
    <row r="53" spans="1:11" s="76" customFormat="1" ht="25.5">
      <c r="A53" s="39" t="s">
        <v>106</v>
      </c>
      <c r="B53" s="41">
        <v>41281</v>
      </c>
      <c r="C53" s="44">
        <v>5</v>
      </c>
      <c r="D53" s="78" t="s">
        <v>574</v>
      </c>
      <c r="E53" s="9" t="s">
        <v>410</v>
      </c>
      <c r="F53" s="40">
        <v>44012</v>
      </c>
      <c r="G53" s="40">
        <v>44013</v>
      </c>
      <c r="H53" s="40">
        <v>44018</v>
      </c>
      <c r="I53" s="46">
        <v>1E-3</v>
      </c>
      <c r="J53" s="36">
        <v>1.5E-3</v>
      </c>
      <c r="K53" s="42" t="s">
        <v>498</v>
      </c>
    </row>
    <row r="54" spans="1:11" s="76" customFormat="1">
      <c r="A54" s="39" t="s">
        <v>518</v>
      </c>
      <c r="B54" s="41">
        <v>43644</v>
      </c>
      <c r="C54" s="44">
        <v>5</v>
      </c>
      <c r="D54" s="78" t="s">
        <v>768</v>
      </c>
      <c r="E54" s="9" t="s">
        <v>422</v>
      </c>
      <c r="F54" s="40">
        <v>44012</v>
      </c>
      <c r="G54" s="40">
        <v>44027</v>
      </c>
      <c r="H54" s="40">
        <v>44032</v>
      </c>
      <c r="I54" s="46" t="s">
        <v>519</v>
      </c>
      <c r="J54" s="36">
        <v>0.14960000000000001</v>
      </c>
      <c r="K54" s="42" t="s">
        <v>327</v>
      </c>
    </row>
    <row r="55" spans="1:11" s="76" customFormat="1">
      <c r="A55" s="39" t="s">
        <v>36</v>
      </c>
      <c r="B55" s="41">
        <v>42551</v>
      </c>
      <c r="C55" s="44">
        <v>5</v>
      </c>
      <c r="D55" s="78" t="s">
        <v>576</v>
      </c>
      <c r="E55" s="9" t="s">
        <v>414</v>
      </c>
      <c r="F55" s="40">
        <v>44012</v>
      </c>
      <c r="G55" s="40">
        <v>44027</v>
      </c>
      <c r="H55" s="40">
        <v>44032</v>
      </c>
      <c r="I55" s="46"/>
      <c r="J55" s="36">
        <v>0.1022</v>
      </c>
      <c r="K55" s="42"/>
    </row>
    <row r="56" spans="1:11" s="76" customFormat="1">
      <c r="A56" s="39" t="s">
        <v>130</v>
      </c>
      <c r="B56" s="41">
        <v>43644</v>
      </c>
      <c r="C56" s="44">
        <v>5</v>
      </c>
      <c r="D56" s="78" t="s">
        <v>633</v>
      </c>
      <c r="E56" s="9" t="s">
        <v>414</v>
      </c>
      <c r="F56" s="40">
        <v>44012</v>
      </c>
      <c r="G56" s="40">
        <v>44027</v>
      </c>
      <c r="H56" s="40">
        <v>44032</v>
      </c>
      <c r="I56" s="46">
        <v>0.01</v>
      </c>
      <c r="J56" s="36">
        <v>0.05</v>
      </c>
      <c r="K56" s="42" t="s">
        <v>5</v>
      </c>
    </row>
    <row r="57" spans="1:11" s="76" customFormat="1">
      <c r="A57" s="39" t="s">
        <v>131</v>
      </c>
      <c r="B57" s="41">
        <v>43644</v>
      </c>
      <c r="C57" s="44">
        <v>5</v>
      </c>
      <c r="D57" s="78" t="s">
        <v>632</v>
      </c>
      <c r="E57" s="9" t="s">
        <v>414</v>
      </c>
      <c r="F57" s="40">
        <v>44012</v>
      </c>
      <c r="G57" s="40">
        <v>44027</v>
      </c>
      <c r="H57" s="40">
        <v>44032</v>
      </c>
      <c r="I57" s="46">
        <v>0.01</v>
      </c>
      <c r="J57" s="36">
        <v>0.05</v>
      </c>
      <c r="K57" s="42" t="s">
        <v>5</v>
      </c>
    </row>
    <row r="58" spans="1:11" s="76" customFormat="1">
      <c r="A58" s="39" t="s">
        <v>22</v>
      </c>
      <c r="B58" s="41">
        <v>42185</v>
      </c>
      <c r="C58" s="44">
        <v>5</v>
      </c>
      <c r="D58" s="78" t="s">
        <v>55</v>
      </c>
      <c r="E58" s="9" t="s">
        <v>414</v>
      </c>
      <c r="F58" s="40">
        <v>44012</v>
      </c>
      <c r="G58" s="40">
        <v>44027</v>
      </c>
      <c r="H58" s="40">
        <v>44032</v>
      </c>
      <c r="I58" s="46">
        <v>0.02</v>
      </c>
      <c r="J58" s="36">
        <v>0.1</v>
      </c>
      <c r="K58" s="42" t="s">
        <v>5</v>
      </c>
    </row>
    <row r="59" spans="1:11" s="76" customFormat="1">
      <c r="A59" s="39" t="s">
        <v>31</v>
      </c>
      <c r="B59" s="41">
        <v>42551</v>
      </c>
      <c r="C59" s="44">
        <v>5</v>
      </c>
      <c r="D59" s="78" t="s">
        <v>629</v>
      </c>
      <c r="E59" s="9" t="s">
        <v>414</v>
      </c>
      <c r="F59" s="40">
        <v>44012</v>
      </c>
      <c r="G59" s="40">
        <v>44027</v>
      </c>
      <c r="H59" s="40">
        <v>44032</v>
      </c>
      <c r="I59" s="46">
        <v>0.02</v>
      </c>
      <c r="J59" s="36">
        <v>0.1</v>
      </c>
      <c r="K59" s="42" t="s">
        <v>5</v>
      </c>
    </row>
    <row r="60" spans="1:11" s="76" customFormat="1">
      <c r="A60" s="39" t="s">
        <v>45</v>
      </c>
      <c r="B60" s="41">
        <v>42916</v>
      </c>
      <c r="C60" s="44">
        <v>5</v>
      </c>
      <c r="D60" s="78" t="s">
        <v>630</v>
      </c>
      <c r="E60" s="9" t="s">
        <v>414</v>
      </c>
      <c r="F60" s="40">
        <v>44012</v>
      </c>
      <c r="G60" s="40">
        <v>44027</v>
      </c>
      <c r="H60" s="40">
        <v>44032</v>
      </c>
      <c r="I60" s="46">
        <v>0.02</v>
      </c>
      <c r="J60" s="36">
        <v>0.1</v>
      </c>
      <c r="K60" s="42" t="s">
        <v>5</v>
      </c>
    </row>
    <row r="61" spans="1:11" s="76" customFormat="1">
      <c r="A61" s="39" t="s">
        <v>63</v>
      </c>
      <c r="B61" s="41">
        <v>43280</v>
      </c>
      <c r="C61" s="44">
        <v>5</v>
      </c>
      <c r="D61" s="78" t="s">
        <v>631</v>
      </c>
      <c r="E61" s="9" t="s">
        <v>414</v>
      </c>
      <c r="F61" s="40">
        <v>44012</v>
      </c>
      <c r="G61" s="40">
        <v>44027</v>
      </c>
      <c r="H61" s="40">
        <v>44032</v>
      </c>
      <c r="I61" s="46">
        <v>0.02</v>
      </c>
      <c r="J61" s="36">
        <v>0.1</v>
      </c>
      <c r="K61" s="42" t="s">
        <v>5</v>
      </c>
    </row>
    <row r="62" spans="1:11" s="76" customFormat="1">
      <c r="A62" s="39" t="s">
        <v>46</v>
      </c>
      <c r="B62" s="41">
        <v>42943</v>
      </c>
      <c r="C62" s="44">
        <v>5</v>
      </c>
      <c r="D62" s="78" t="s">
        <v>636</v>
      </c>
      <c r="E62" s="9" t="s">
        <v>414</v>
      </c>
      <c r="F62" s="40">
        <v>44043</v>
      </c>
      <c r="G62" s="40">
        <v>44060</v>
      </c>
      <c r="H62" s="40">
        <v>44063</v>
      </c>
      <c r="I62" s="46">
        <v>0.02</v>
      </c>
      <c r="J62" s="36">
        <v>0.1</v>
      </c>
      <c r="K62" s="42" t="s">
        <v>5</v>
      </c>
    </row>
    <row r="63" spans="1:11" s="76" customFormat="1">
      <c r="A63" s="39" t="s">
        <v>64</v>
      </c>
      <c r="B63" s="41">
        <v>43312</v>
      </c>
      <c r="C63" s="44">
        <v>5</v>
      </c>
      <c r="D63" s="78" t="s">
        <v>637</v>
      </c>
      <c r="E63" s="9" t="s">
        <v>414</v>
      </c>
      <c r="F63" s="40">
        <v>44043</v>
      </c>
      <c r="G63" s="40">
        <v>44060</v>
      </c>
      <c r="H63" s="40">
        <v>44063</v>
      </c>
      <c r="I63" s="46">
        <v>0.02</v>
      </c>
      <c r="J63" s="36">
        <v>0.1</v>
      </c>
      <c r="K63" s="42" t="s">
        <v>5</v>
      </c>
    </row>
    <row r="64" spans="1:11" s="76" customFormat="1">
      <c r="A64" s="39" t="s">
        <v>82</v>
      </c>
      <c r="B64" s="41">
        <v>42220</v>
      </c>
      <c r="C64" s="44">
        <v>100</v>
      </c>
      <c r="D64" s="78" t="s">
        <v>597</v>
      </c>
      <c r="E64" s="9" t="s">
        <v>414</v>
      </c>
      <c r="F64" s="40">
        <v>44047</v>
      </c>
      <c r="G64" s="40">
        <v>44048</v>
      </c>
      <c r="H64" s="40"/>
      <c r="I64" s="46"/>
      <c r="J64" s="36">
        <v>0</v>
      </c>
      <c r="K64" s="42" t="s">
        <v>6</v>
      </c>
    </row>
    <row r="65" spans="1:11" s="76" customFormat="1">
      <c r="A65" s="39" t="s">
        <v>317</v>
      </c>
      <c r="B65" s="41">
        <v>43686</v>
      </c>
      <c r="C65" s="44">
        <v>100</v>
      </c>
      <c r="D65" s="78" t="s">
        <v>893</v>
      </c>
      <c r="E65" s="9" t="s">
        <v>414</v>
      </c>
      <c r="F65" s="40">
        <v>44053</v>
      </c>
      <c r="G65" s="40">
        <v>44054</v>
      </c>
      <c r="H65" s="40"/>
      <c r="I65" s="46"/>
      <c r="J65" s="36">
        <v>0</v>
      </c>
      <c r="K65" s="42" t="s">
        <v>129</v>
      </c>
    </row>
    <row r="66" spans="1:11" s="76" customFormat="1">
      <c r="A66" s="39" t="s">
        <v>319</v>
      </c>
      <c r="B66" s="41">
        <v>43735</v>
      </c>
      <c r="C66" s="44">
        <v>5</v>
      </c>
      <c r="D66" s="78" t="s">
        <v>648</v>
      </c>
      <c r="E66" s="9" t="s">
        <v>414</v>
      </c>
      <c r="F66" s="40">
        <v>44060</v>
      </c>
      <c r="G66" s="40">
        <v>44074</v>
      </c>
      <c r="H66" s="40">
        <v>44077</v>
      </c>
      <c r="I66" s="46">
        <v>8.9999999999999993E-3</v>
      </c>
      <c r="J66" s="36">
        <v>4.4999999999999998E-2</v>
      </c>
      <c r="K66" s="42" t="s">
        <v>5</v>
      </c>
    </row>
    <row r="67" spans="1:11" s="76" customFormat="1">
      <c r="A67" s="39" t="s">
        <v>320</v>
      </c>
      <c r="B67" s="41">
        <v>43735</v>
      </c>
      <c r="C67" s="44">
        <v>5</v>
      </c>
      <c r="D67" s="78" t="s">
        <v>649</v>
      </c>
      <c r="E67" s="9" t="s">
        <v>414</v>
      </c>
      <c r="F67" s="40">
        <v>44060</v>
      </c>
      <c r="G67" s="40">
        <v>44074</v>
      </c>
      <c r="H67" s="40">
        <v>44077</v>
      </c>
      <c r="I67" s="46">
        <v>8.9999999999999993E-3</v>
      </c>
      <c r="J67" s="36">
        <v>4.4999999999999998E-2</v>
      </c>
      <c r="K67" s="42" t="s">
        <v>5</v>
      </c>
    </row>
    <row r="68" spans="1:11" s="76" customFormat="1">
      <c r="A68" s="39" t="s">
        <v>23</v>
      </c>
      <c r="B68" s="41">
        <v>42220</v>
      </c>
      <c r="C68" s="44">
        <v>5</v>
      </c>
      <c r="D68" s="78" t="s">
        <v>56</v>
      </c>
      <c r="E68" s="9" t="s">
        <v>414</v>
      </c>
      <c r="F68" s="40">
        <v>44060</v>
      </c>
      <c r="G68" s="40">
        <v>44074</v>
      </c>
      <c r="H68" s="40">
        <v>44077</v>
      </c>
      <c r="I68" s="46">
        <v>0.02</v>
      </c>
      <c r="J68" s="36">
        <v>0.1</v>
      </c>
      <c r="K68" s="42" t="s">
        <v>5</v>
      </c>
    </row>
    <row r="69" spans="1:11" s="76" customFormat="1">
      <c r="A69" s="39" t="s">
        <v>32</v>
      </c>
      <c r="B69" s="41">
        <v>42591</v>
      </c>
      <c r="C69" s="44">
        <v>5</v>
      </c>
      <c r="D69" s="78" t="s">
        <v>647</v>
      </c>
      <c r="E69" s="9" t="s">
        <v>414</v>
      </c>
      <c r="F69" s="40">
        <v>44060</v>
      </c>
      <c r="G69" s="40">
        <v>44074</v>
      </c>
      <c r="H69" s="40">
        <v>44077</v>
      </c>
      <c r="I69" s="46">
        <v>0.02</v>
      </c>
      <c r="J69" s="36">
        <v>0.1</v>
      </c>
      <c r="K69" s="42" t="s">
        <v>5</v>
      </c>
    </row>
    <row r="70" spans="1:11" s="76" customFormat="1">
      <c r="A70" s="39" t="s">
        <v>179</v>
      </c>
      <c r="B70" s="41">
        <v>43544</v>
      </c>
      <c r="C70" s="44">
        <v>5</v>
      </c>
      <c r="D70" s="78" t="s">
        <v>180</v>
      </c>
      <c r="E70" s="9" t="s">
        <v>410</v>
      </c>
      <c r="F70" s="40">
        <v>44104</v>
      </c>
      <c r="G70" s="40">
        <v>44105</v>
      </c>
      <c r="H70" s="40">
        <v>44110</v>
      </c>
      <c r="I70" s="46">
        <v>4.4999999999999997E-3</v>
      </c>
      <c r="J70" s="36">
        <v>5.7000000000000002E-3</v>
      </c>
      <c r="K70" s="42" t="s">
        <v>8</v>
      </c>
    </row>
    <row r="71" spans="1:11" s="76" customFormat="1" ht="25.5">
      <c r="A71" s="39" t="s">
        <v>103</v>
      </c>
      <c r="B71" s="41">
        <v>41281</v>
      </c>
      <c r="C71" s="44">
        <v>5</v>
      </c>
      <c r="D71" s="78" t="s">
        <v>573</v>
      </c>
      <c r="E71" s="9" t="s">
        <v>410</v>
      </c>
      <c r="F71" s="40">
        <v>44104</v>
      </c>
      <c r="G71" s="40">
        <v>44105</v>
      </c>
      <c r="H71" s="40">
        <v>44110</v>
      </c>
      <c r="I71" s="46">
        <v>1E-3</v>
      </c>
      <c r="J71" s="36">
        <v>1.6999999999999999E-3</v>
      </c>
      <c r="K71" s="42" t="s">
        <v>498</v>
      </c>
    </row>
    <row r="72" spans="1:11" s="76" customFormat="1" ht="25.5">
      <c r="A72" s="39" t="s">
        <v>104</v>
      </c>
      <c r="B72" s="41">
        <v>41281</v>
      </c>
      <c r="C72" s="44">
        <v>5</v>
      </c>
      <c r="D72" s="78" t="s">
        <v>105</v>
      </c>
      <c r="E72" s="9" t="s">
        <v>410</v>
      </c>
      <c r="F72" s="40">
        <v>44104</v>
      </c>
      <c r="G72" s="40">
        <v>44105</v>
      </c>
      <c r="H72" s="40">
        <v>44110</v>
      </c>
      <c r="I72" s="46">
        <v>1E-3</v>
      </c>
      <c r="J72" s="36">
        <v>1.4E-3</v>
      </c>
      <c r="K72" s="42" t="s">
        <v>498</v>
      </c>
    </row>
    <row r="73" spans="1:11" s="76" customFormat="1" ht="25.5">
      <c r="A73" s="39" t="s">
        <v>106</v>
      </c>
      <c r="B73" s="41">
        <v>41281</v>
      </c>
      <c r="C73" s="44">
        <v>5</v>
      </c>
      <c r="D73" s="78" t="s">
        <v>574</v>
      </c>
      <c r="E73" s="9" t="s">
        <v>410</v>
      </c>
      <c r="F73" s="40">
        <v>44104</v>
      </c>
      <c r="G73" s="40">
        <v>44105</v>
      </c>
      <c r="H73" s="40">
        <v>44110</v>
      </c>
      <c r="I73" s="46">
        <v>1E-3</v>
      </c>
      <c r="J73" s="36">
        <v>1.5E-3</v>
      </c>
      <c r="K73" s="42" t="s">
        <v>498</v>
      </c>
    </row>
    <row r="74" spans="1:11" s="76" customFormat="1" ht="25.5">
      <c r="A74" s="39" t="s">
        <v>322</v>
      </c>
      <c r="B74" s="41">
        <v>43735</v>
      </c>
      <c r="C74" s="44">
        <v>5</v>
      </c>
      <c r="D74" s="78" t="s">
        <v>578</v>
      </c>
      <c r="E74" s="9" t="s">
        <v>422</v>
      </c>
      <c r="F74" s="40">
        <v>44104</v>
      </c>
      <c r="G74" s="40">
        <v>44119</v>
      </c>
      <c r="H74" s="40">
        <v>44124</v>
      </c>
      <c r="I74" s="46" t="s">
        <v>562</v>
      </c>
      <c r="J74" s="36">
        <v>0.16850000000000001</v>
      </c>
      <c r="K74" s="42" t="s">
        <v>328</v>
      </c>
    </row>
    <row r="75" spans="1:11" s="76" customFormat="1" ht="25.5">
      <c r="A75" s="39" t="s">
        <v>323</v>
      </c>
      <c r="B75" s="41">
        <v>43735</v>
      </c>
      <c r="C75" s="44">
        <v>5</v>
      </c>
      <c r="D75" s="78" t="s">
        <v>577</v>
      </c>
      <c r="E75" s="9" t="s">
        <v>414</v>
      </c>
      <c r="F75" s="40">
        <v>44104</v>
      </c>
      <c r="G75" s="40">
        <v>44119</v>
      </c>
      <c r="H75" s="40">
        <v>44124</v>
      </c>
      <c r="I75" s="46">
        <v>1.55E-2</v>
      </c>
      <c r="J75" s="36">
        <v>7.7499999999999999E-2</v>
      </c>
      <c r="K75" s="42" t="s">
        <v>328</v>
      </c>
    </row>
    <row r="76" spans="1:11" s="76" customFormat="1" ht="25.5">
      <c r="A76" s="39" t="s">
        <v>321</v>
      </c>
      <c r="B76" s="41">
        <v>43735</v>
      </c>
      <c r="C76" s="44">
        <v>5</v>
      </c>
      <c r="D76" s="78" t="s">
        <v>579</v>
      </c>
      <c r="E76" s="9" t="s">
        <v>422</v>
      </c>
      <c r="F76" s="40">
        <v>44104</v>
      </c>
      <c r="G76" s="40">
        <v>44119</v>
      </c>
      <c r="H76" s="40">
        <v>44124</v>
      </c>
      <c r="I76" s="46" t="s">
        <v>563</v>
      </c>
      <c r="J76" s="36">
        <v>0.17780000000000001</v>
      </c>
      <c r="K76" s="42" t="s">
        <v>328</v>
      </c>
    </row>
    <row r="77" spans="1:11" s="76" customFormat="1">
      <c r="A77" s="39" t="s">
        <v>66</v>
      </c>
      <c r="B77" s="41">
        <v>43371</v>
      </c>
      <c r="C77" s="44">
        <v>5</v>
      </c>
      <c r="D77" s="78" t="s">
        <v>652</v>
      </c>
      <c r="E77" s="9" t="s">
        <v>414</v>
      </c>
      <c r="F77" s="40">
        <v>44104</v>
      </c>
      <c r="G77" s="40">
        <v>44119</v>
      </c>
      <c r="H77" s="40">
        <v>44124</v>
      </c>
      <c r="I77" s="46">
        <v>1.7000000000000001E-2</v>
      </c>
      <c r="J77" s="36">
        <v>8.5000000000000006E-2</v>
      </c>
      <c r="K77" s="42" t="s">
        <v>5</v>
      </c>
    </row>
    <row r="78" spans="1:11" s="76" customFormat="1">
      <c r="A78" s="39" t="s">
        <v>24</v>
      </c>
      <c r="B78" s="41">
        <v>42276</v>
      </c>
      <c r="C78" s="44">
        <v>5</v>
      </c>
      <c r="D78" s="78" t="s">
        <v>52</v>
      </c>
      <c r="E78" s="9" t="s">
        <v>414</v>
      </c>
      <c r="F78" s="40">
        <v>44104</v>
      </c>
      <c r="G78" s="40">
        <v>44119</v>
      </c>
      <c r="H78" s="40">
        <v>44124</v>
      </c>
      <c r="I78" s="46">
        <v>0.02</v>
      </c>
      <c r="J78" s="36">
        <v>0.1</v>
      </c>
      <c r="K78" s="42" t="s">
        <v>5</v>
      </c>
    </row>
    <row r="79" spans="1:11" s="76" customFormat="1">
      <c r="A79" s="39" t="s">
        <v>33</v>
      </c>
      <c r="B79" s="41">
        <v>42643</v>
      </c>
      <c r="C79" s="44">
        <v>5</v>
      </c>
      <c r="D79" s="78" t="s">
        <v>651</v>
      </c>
      <c r="E79" s="9" t="s">
        <v>414</v>
      </c>
      <c r="F79" s="40">
        <v>44104</v>
      </c>
      <c r="G79" s="40">
        <v>44119</v>
      </c>
      <c r="H79" s="40">
        <v>44124</v>
      </c>
      <c r="I79" s="46">
        <v>0.02</v>
      </c>
      <c r="J79" s="36">
        <v>0.1</v>
      </c>
      <c r="K79" s="42" t="s">
        <v>5</v>
      </c>
    </row>
    <row r="80" spans="1:11" s="76" customFormat="1">
      <c r="A80" s="39" t="s">
        <v>47</v>
      </c>
      <c r="B80" s="41">
        <v>43007</v>
      </c>
      <c r="C80" s="44">
        <v>5</v>
      </c>
      <c r="D80" s="78" t="s">
        <v>650</v>
      </c>
      <c r="E80" s="9" t="s">
        <v>414</v>
      </c>
      <c r="F80" s="40">
        <v>44104</v>
      </c>
      <c r="G80" s="40">
        <v>44119</v>
      </c>
      <c r="H80" s="40">
        <v>44124</v>
      </c>
      <c r="I80" s="46">
        <v>0.02</v>
      </c>
      <c r="J80" s="36">
        <v>0.1</v>
      </c>
      <c r="K80" s="42" t="s">
        <v>5</v>
      </c>
    </row>
    <row r="81" spans="1:11" s="76" customFormat="1">
      <c r="A81" s="39" t="s">
        <v>65</v>
      </c>
      <c r="B81" s="41">
        <v>43371</v>
      </c>
      <c r="C81" s="44">
        <v>5</v>
      </c>
      <c r="D81" s="78" t="s">
        <v>653</v>
      </c>
      <c r="E81" s="9" t="s">
        <v>414</v>
      </c>
      <c r="F81" s="40">
        <v>44104</v>
      </c>
      <c r="G81" s="40">
        <v>44119</v>
      </c>
      <c r="H81" s="40">
        <v>44124</v>
      </c>
      <c r="I81" s="46">
        <v>0.02</v>
      </c>
      <c r="J81" s="36">
        <v>0.1</v>
      </c>
      <c r="K81" s="42" t="s">
        <v>5</v>
      </c>
    </row>
    <row r="82" spans="1:11" s="76" customFormat="1">
      <c r="A82" s="39" t="s">
        <v>48</v>
      </c>
      <c r="B82" s="41">
        <v>43035</v>
      </c>
      <c r="C82" s="44">
        <v>5</v>
      </c>
      <c r="D82" s="78" t="s">
        <v>654</v>
      </c>
      <c r="E82" s="9" t="s">
        <v>414</v>
      </c>
      <c r="F82" s="40">
        <v>44134</v>
      </c>
      <c r="G82" s="40">
        <v>44151</v>
      </c>
      <c r="H82" s="40">
        <v>44154</v>
      </c>
      <c r="I82" s="46">
        <v>0.02</v>
      </c>
      <c r="J82" s="36">
        <v>0.1</v>
      </c>
      <c r="K82" s="42" t="s">
        <v>5</v>
      </c>
    </row>
    <row r="83" spans="1:11" s="76" customFormat="1">
      <c r="A83" s="39" t="s">
        <v>83</v>
      </c>
      <c r="B83" s="41">
        <v>41858</v>
      </c>
      <c r="C83" s="44">
        <v>100</v>
      </c>
      <c r="D83" s="78" t="s">
        <v>566</v>
      </c>
      <c r="E83" s="9" t="s">
        <v>414</v>
      </c>
      <c r="F83" s="40">
        <v>44141</v>
      </c>
      <c r="G83" s="40">
        <v>44144</v>
      </c>
      <c r="H83" s="40">
        <v>44147</v>
      </c>
      <c r="I83" s="46"/>
      <c r="J83" s="36">
        <v>0.53200000000000003</v>
      </c>
      <c r="K83" s="42" t="s">
        <v>6</v>
      </c>
    </row>
    <row r="84" spans="1:11" s="76" customFormat="1" ht="25.5">
      <c r="A84" s="39" t="s">
        <v>326</v>
      </c>
      <c r="B84" s="41">
        <v>43769</v>
      </c>
      <c r="C84" s="44">
        <v>5</v>
      </c>
      <c r="D84" s="78" t="s">
        <v>656</v>
      </c>
      <c r="E84" s="9" t="s">
        <v>422</v>
      </c>
      <c r="F84" s="40">
        <v>44151</v>
      </c>
      <c r="G84" s="40">
        <v>44165</v>
      </c>
      <c r="H84" s="40">
        <v>44168</v>
      </c>
      <c r="I84" s="46" t="s">
        <v>522</v>
      </c>
      <c r="J84" s="36">
        <v>0.1628</v>
      </c>
      <c r="K84" s="42" t="s">
        <v>329</v>
      </c>
    </row>
    <row r="85" spans="1:11" s="76" customFormat="1" ht="25.5">
      <c r="A85" s="39" t="s">
        <v>325</v>
      </c>
      <c r="B85" s="41">
        <v>43769</v>
      </c>
      <c r="C85" s="44">
        <v>5</v>
      </c>
      <c r="D85" s="78" t="s">
        <v>658</v>
      </c>
      <c r="E85" s="9" t="s">
        <v>414</v>
      </c>
      <c r="F85" s="40">
        <v>44151</v>
      </c>
      <c r="G85" s="40">
        <v>44165</v>
      </c>
      <c r="H85" s="40">
        <v>44168</v>
      </c>
      <c r="I85" s="46">
        <v>0.01</v>
      </c>
      <c r="J85" s="36">
        <v>0.05</v>
      </c>
      <c r="K85" s="42" t="s">
        <v>329</v>
      </c>
    </row>
    <row r="86" spans="1:11" s="76" customFormat="1" ht="25.5">
      <c r="A86" s="39" t="s">
        <v>324</v>
      </c>
      <c r="B86" s="41">
        <v>43769</v>
      </c>
      <c r="C86" s="44">
        <v>5</v>
      </c>
      <c r="D86" s="78" t="s">
        <v>657</v>
      </c>
      <c r="E86" s="9" t="s">
        <v>422</v>
      </c>
      <c r="F86" s="40">
        <v>44151</v>
      </c>
      <c r="G86" s="40">
        <v>44165</v>
      </c>
      <c r="H86" s="40">
        <v>44168</v>
      </c>
      <c r="I86" s="46" t="s">
        <v>661</v>
      </c>
      <c r="J86" s="36">
        <v>0.17199999999999999</v>
      </c>
      <c r="K86" s="42" t="s">
        <v>329</v>
      </c>
    </row>
    <row r="87" spans="1:11" s="76" customFormat="1">
      <c r="A87" s="39" t="s">
        <v>67</v>
      </c>
      <c r="B87" s="41">
        <v>43404</v>
      </c>
      <c r="C87" s="44">
        <v>5</v>
      </c>
      <c r="D87" s="78" t="s">
        <v>655</v>
      </c>
      <c r="E87" s="9" t="s">
        <v>414</v>
      </c>
      <c r="F87" s="40">
        <v>44151</v>
      </c>
      <c r="G87" s="40">
        <v>44165</v>
      </c>
      <c r="H87" s="40">
        <v>44168</v>
      </c>
      <c r="I87" s="46">
        <v>0.02</v>
      </c>
      <c r="J87" s="36">
        <v>0.1</v>
      </c>
      <c r="K87" s="42" t="s">
        <v>5</v>
      </c>
    </row>
    <row r="88" spans="1:11" s="76" customFormat="1">
      <c r="A88" s="39" t="s">
        <v>25</v>
      </c>
      <c r="B88" s="41">
        <v>42317</v>
      </c>
      <c r="C88" s="44">
        <v>5</v>
      </c>
      <c r="D88" s="78" t="s">
        <v>57</v>
      </c>
      <c r="E88" s="9" t="s">
        <v>414</v>
      </c>
      <c r="F88" s="40">
        <v>44151</v>
      </c>
      <c r="G88" s="40">
        <v>44165</v>
      </c>
      <c r="H88" s="40">
        <v>44168</v>
      </c>
      <c r="I88" s="46">
        <v>0.02</v>
      </c>
      <c r="J88" s="36">
        <v>0.1</v>
      </c>
      <c r="K88" s="42" t="s">
        <v>5</v>
      </c>
    </row>
    <row r="89" spans="1:11" s="76" customFormat="1">
      <c r="A89" s="39" t="s">
        <v>34</v>
      </c>
      <c r="B89" s="41">
        <v>42682</v>
      </c>
      <c r="C89" s="44">
        <v>5</v>
      </c>
      <c r="D89" s="78" t="s">
        <v>659</v>
      </c>
      <c r="E89" s="9" t="s">
        <v>414</v>
      </c>
      <c r="F89" s="40">
        <v>44151</v>
      </c>
      <c r="G89" s="40">
        <v>44165</v>
      </c>
      <c r="H89" s="40">
        <v>44168</v>
      </c>
      <c r="I89" s="46">
        <v>0.02</v>
      </c>
      <c r="J89" s="36">
        <v>0.1</v>
      </c>
      <c r="K89" s="42" t="s">
        <v>5</v>
      </c>
    </row>
    <row r="90" spans="1:11" s="76" customFormat="1">
      <c r="A90" s="39" t="s">
        <v>84</v>
      </c>
      <c r="B90" s="41">
        <v>41912</v>
      </c>
      <c r="C90" s="44">
        <v>100</v>
      </c>
      <c r="D90" s="78" t="s">
        <v>567</v>
      </c>
      <c r="E90" s="9" t="s">
        <v>414</v>
      </c>
      <c r="F90" s="40">
        <v>44165</v>
      </c>
      <c r="G90" s="40">
        <v>44166</v>
      </c>
      <c r="H90" s="40">
        <v>44169</v>
      </c>
      <c r="I90" s="46"/>
      <c r="J90" s="36">
        <v>0.38669999999999999</v>
      </c>
      <c r="K90" s="42" t="s">
        <v>6</v>
      </c>
    </row>
    <row r="91" spans="1:11" s="76" customFormat="1" ht="25.5">
      <c r="A91" s="39" t="s">
        <v>331</v>
      </c>
      <c r="B91" s="41">
        <v>43798</v>
      </c>
      <c r="C91" s="44">
        <v>5</v>
      </c>
      <c r="D91" s="78" t="s">
        <v>665</v>
      </c>
      <c r="E91" s="9" t="s">
        <v>414</v>
      </c>
      <c r="F91" s="40">
        <v>44165</v>
      </c>
      <c r="G91" s="40">
        <v>44180</v>
      </c>
      <c r="H91" s="40">
        <v>44183</v>
      </c>
      <c r="I91" s="46">
        <v>1.0999999999999999E-2</v>
      </c>
      <c r="J91" s="36">
        <v>5.5E-2</v>
      </c>
      <c r="K91" s="42" t="s">
        <v>329</v>
      </c>
    </row>
    <row r="92" spans="1:11" s="76" customFormat="1" ht="25.5">
      <c r="A92" s="39" t="s">
        <v>330</v>
      </c>
      <c r="B92" s="41">
        <v>43798</v>
      </c>
      <c r="C92" s="44">
        <v>5</v>
      </c>
      <c r="D92" s="78" t="s">
        <v>664</v>
      </c>
      <c r="E92" s="9" t="s">
        <v>422</v>
      </c>
      <c r="F92" s="40">
        <v>44165</v>
      </c>
      <c r="G92" s="40">
        <v>44180</v>
      </c>
      <c r="H92" s="40">
        <v>44183</v>
      </c>
      <c r="I92" s="46" t="s">
        <v>663</v>
      </c>
      <c r="J92" s="36">
        <v>0.1701</v>
      </c>
      <c r="K92" s="42" t="s">
        <v>329</v>
      </c>
    </row>
    <row r="93" spans="1:11" s="76" customFormat="1" ht="25.5">
      <c r="A93" s="39" t="s">
        <v>332</v>
      </c>
      <c r="B93" s="41">
        <v>43798</v>
      </c>
      <c r="C93" s="44">
        <v>5</v>
      </c>
      <c r="D93" s="78" t="s">
        <v>660</v>
      </c>
      <c r="E93" s="9" t="s">
        <v>422</v>
      </c>
      <c r="F93" s="40">
        <v>44165</v>
      </c>
      <c r="G93" s="40">
        <v>44180</v>
      </c>
      <c r="H93" s="40">
        <v>44183</v>
      </c>
      <c r="I93" s="46" t="s">
        <v>662</v>
      </c>
      <c r="J93" s="36">
        <v>0.161</v>
      </c>
      <c r="K93" s="42" t="s">
        <v>329</v>
      </c>
    </row>
    <row r="94" spans="1:11" s="76" customFormat="1">
      <c r="A94" s="39" t="s">
        <v>69</v>
      </c>
      <c r="B94" s="41">
        <v>43434</v>
      </c>
      <c r="C94" s="44">
        <v>5.2</v>
      </c>
      <c r="D94" s="78" t="s">
        <v>666</v>
      </c>
      <c r="E94" s="9" t="s">
        <v>414</v>
      </c>
      <c r="F94" s="40">
        <v>44165</v>
      </c>
      <c r="G94" s="40">
        <v>44180</v>
      </c>
      <c r="H94" s="40">
        <v>44183</v>
      </c>
      <c r="I94" s="46">
        <v>1.7000000000000001E-2</v>
      </c>
      <c r="J94" s="36">
        <v>8.5000000000000006E-2</v>
      </c>
      <c r="K94" s="42" t="s">
        <v>5</v>
      </c>
    </row>
    <row r="95" spans="1:11" s="76" customFormat="1">
      <c r="A95" s="39" t="s">
        <v>85</v>
      </c>
      <c r="B95" s="41">
        <v>41954</v>
      </c>
      <c r="C95" s="44">
        <v>100</v>
      </c>
      <c r="D95" s="78" t="s">
        <v>568</v>
      </c>
      <c r="E95" s="9" t="s">
        <v>414</v>
      </c>
      <c r="F95" s="40">
        <v>44176</v>
      </c>
      <c r="G95" s="40">
        <v>44177</v>
      </c>
      <c r="H95" s="40"/>
      <c r="I95" s="46"/>
      <c r="J95" s="36">
        <v>0</v>
      </c>
      <c r="K95" s="42" t="s">
        <v>6</v>
      </c>
    </row>
    <row r="96" spans="1:11" s="76" customFormat="1">
      <c r="A96" s="39" t="s">
        <v>35</v>
      </c>
      <c r="B96" s="41">
        <v>42720</v>
      </c>
      <c r="C96" s="44">
        <v>5</v>
      </c>
      <c r="D96" s="78" t="s">
        <v>668</v>
      </c>
      <c r="E96" s="9" t="s">
        <v>414</v>
      </c>
      <c r="F96" s="40">
        <v>44180</v>
      </c>
      <c r="G96" s="40">
        <v>44196</v>
      </c>
      <c r="H96" s="40">
        <v>44202</v>
      </c>
      <c r="I96" s="46">
        <v>0.02</v>
      </c>
      <c r="J96" s="36">
        <v>0.1</v>
      </c>
      <c r="K96" s="42" t="s">
        <v>5</v>
      </c>
    </row>
    <row r="97" spans="1:11" s="76" customFormat="1">
      <c r="A97" s="39" t="s">
        <v>49</v>
      </c>
      <c r="B97" s="41">
        <v>43084</v>
      </c>
      <c r="C97" s="44">
        <v>5</v>
      </c>
      <c r="D97" s="78" t="s">
        <v>667</v>
      </c>
      <c r="E97" s="9" t="s">
        <v>414</v>
      </c>
      <c r="F97" s="40">
        <v>44180</v>
      </c>
      <c r="G97" s="40">
        <v>44196</v>
      </c>
      <c r="H97" s="40">
        <v>44202</v>
      </c>
      <c r="I97" s="46">
        <v>0.02</v>
      </c>
      <c r="J97" s="36">
        <v>0.1</v>
      </c>
      <c r="K97" s="42" t="s">
        <v>5</v>
      </c>
    </row>
    <row r="98" spans="1:11" s="76" customFormat="1">
      <c r="A98" s="39" t="s">
        <v>86</v>
      </c>
      <c r="B98" s="41">
        <v>41991</v>
      </c>
      <c r="C98" s="44">
        <v>100</v>
      </c>
      <c r="D98" s="78" t="s">
        <v>569</v>
      </c>
      <c r="E98" s="9" t="s">
        <v>414</v>
      </c>
      <c r="F98" s="40">
        <v>44183</v>
      </c>
      <c r="G98" s="40">
        <v>44184</v>
      </c>
      <c r="H98" s="40"/>
      <c r="I98" s="46"/>
      <c r="J98" s="36">
        <v>0</v>
      </c>
      <c r="K98" s="42" t="s">
        <v>6</v>
      </c>
    </row>
    <row r="99" spans="1:11" s="76" customFormat="1">
      <c r="A99" s="39" t="s">
        <v>50</v>
      </c>
      <c r="B99" s="41">
        <v>42724</v>
      </c>
      <c r="C99" s="44">
        <v>50</v>
      </c>
      <c r="D99" s="78" t="s">
        <v>580</v>
      </c>
      <c r="E99" s="9" t="s">
        <v>414</v>
      </c>
      <c r="F99" s="40">
        <v>44186</v>
      </c>
      <c r="G99" s="40">
        <v>44187</v>
      </c>
      <c r="H99" s="40">
        <v>44194</v>
      </c>
      <c r="I99" s="46">
        <v>2.5000000000000001E-2</v>
      </c>
      <c r="J99" s="36">
        <v>1.25</v>
      </c>
      <c r="K99" s="42"/>
    </row>
    <row r="100" spans="1:11" s="76" customFormat="1">
      <c r="A100" s="39" t="s">
        <v>179</v>
      </c>
      <c r="B100" s="41">
        <v>43544</v>
      </c>
      <c r="C100" s="44">
        <v>5</v>
      </c>
      <c r="D100" s="78" t="s">
        <v>180</v>
      </c>
      <c r="E100" s="9" t="s">
        <v>410</v>
      </c>
      <c r="F100" s="40">
        <v>44196</v>
      </c>
      <c r="G100" s="40">
        <v>44200</v>
      </c>
      <c r="H100" s="40">
        <v>44203</v>
      </c>
      <c r="I100" s="46">
        <v>4.4999999999999997E-3</v>
      </c>
      <c r="J100" s="36">
        <v>5.7000000000000002E-3</v>
      </c>
      <c r="K100" s="42" t="s">
        <v>8</v>
      </c>
    </row>
    <row r="101" spans="1:11" s="76" customFormat="1" ht="25.5">
      <c r="A101" s="39" t="s">
        <v>103</v>
      </c>
      <c r="B101" s="41">
        <v>41281</v>
      </c>
      <c r="C101" s="44">
        <v>5</v>
      </c>
      <c r="D101" s="78" t="s">
        <v>573</v>
      </c>
      <c r="E101" s="9" t="s">
        <v>410</v>
      </c>
      <c r="F101" s="40">
        <v>44196</v>
      </c>
      <c r="G101" s="40">
        <v>44200</v>
      </c>
      <c r="H101" s="40">
        <v>44203</v>
      </c>
      <c r="I101" s="46">
        <v>1E-3</v>
      </c>
      <c r="J101" s="36">
        <v>1.6999999999999999E-3</v>
      </c>
      <c r="K101" s="42" t="s">
        <v>498</v>
      </c>
    </row>
    <row r="102" spans="1:11" s="76" customFormat="1" ht="25.5">
      <c r="A102" s="39" t="s">
        <v>106</v>
      </c>
      <c r="B102" s="41">
        <v>41281</v>
      </c>
      <c r="C102" s="44">
        <v>5</v>
      </c>
      <c r="D102" s="78" t="s">
        <v>574</v>
      </c>
      <c r="E102" s="9" t="s">
        <v>410</v>
      </c>
      <c r="F102" s="40">
        <v>44196</v>
      </c>
      <c r="G102" s="40">
        <v>44200</v>
      </c>
      <c r="H102" s="40">
        <v>44203</v>
      </c>
      <c r="I102" s="46">
        <v>1E-3</v>
      </c>
      <c r="J102" s="36">
        <v>1.5E-3</v>
      </c>
      <c r="K102" s="42" t="s">
        <v>498</v>
      </c>
    </row>
    <row r="103" spans="1:11" s="76" customFormat="1">
      <c r="A103" s="39" t="s">
        <v>26</v>
      </c>
      <c r="B103" s="41">
        <v>42355</v>
      </c>
      <c r="C103" s="44">
        <v>5</v>
      </c>
      <c r="D103" s="78" t="s">
        <v>586</v>
      </c>
      <c r="E103" s="9" t="s">
        <v>414</v>
      </c>
      <c r="F103" s="40">
        <v>44196</v>
      </c>
      <c r="G103" s="40">
        <v>44211</v>
      </c>
      <c r="H103" s="40">
        <v>44216</v>
      </c>
      <c r="I103" s="46">
        <v>0.02</v>
      </c>
      <c r="J103" s="36">
        <v>0.1</v>
      </c>
      <c r="K103" s="42" t="s">
        <v>5</v>
      </c>
    </row>
    <row r="104" spans="1:11" s="76" customFormat="1">
      <c r="A104" s="39" t="s">
        <v>68</v>
      </c>
      <c r="B104" s="41">
        <v>43454</v>
      </c>
      <c r="C104" s="44">
        <v>5</v>
      </c>
      <c r="D104" s="78" t="s">
        <v>587</v>
      </c>
      <c r="E104" s="9" t="s">
        <v>414</v>
      </c>
      <c r="F104" s="40">
        <v>44196</v>
      </c>
      <c r="G104" s="40">
        <v>44211</v>
      </c>
      <c r="H104" s="40">
        <v>44216</v>
      </c>
      <c r="I104" s="46">
        <v>0.02</v>
      </c>
      <c r="J104" s="36">
        <v>0.1</v>
      </c>
      <c r="K104" s="42" t="s">
        <v>5</v>
      </c>
    </row>
    <row r="105" spans="1:11" s="76" customFormat="1">
      <c r="A105" s="39" t="s">
        <v>598</v>
      </c>
      <c r="B105" s="41">
        <v>43100</v>
      </c>
      <c r="C105" s="44">
        <v>50</v>
      </c>
      <c r="D105" s="78" t="s">
        <v>599</v>
      </c>
      <c r="E105" s="9" t="s">
        <v>414</v>
      </c>
      <c r="F105" s="40">
        <v>44214</v>
      </c>
      <c r="G105" s="40">
        <v>44215</v>
      </c>
      <c r="H105" s="40">
        <v>44218</v>
      </c>
      <c r="I105" s="46">
        <v>0.02</v>
      </c>
      <c r="J105" s="36">
        <v>1</v>
      </c>
      <c r="K105" s="42"/>
    </row>
    <row r="106" spans="1:11" s="76" customFormat="1" ht="25.5">
      <c r="A106" s="39" t="s">
        <v>525</v>
      </c>
      <c r="B106" s="41">
        <v>43861</v>
      </c>
      <c r="C106" s="44">
        <v>5</v>
      </c>
      <c r="D106" s="78" t="s">
        <v>603</v>
      </c>
      <c r="E106" s="9" t="s">
        <v>422</v>
      </c>
      <c r="F106" s="40">
        <v>44242</v>
      </c>
      <c r="G106" s="40">
        <v>44253</v>
      </c>
      <c r="H106" s="40">
        <v>44258</v>
      </c>
      <c r="I106" s="46" t="s">
        <v>527</v>
      </c>
      <c r="J106" s="36">
        <v>0.1484</v>
      </c>
      <c r="K106" s="42" t="s">
        <v>329</v>
      </c>
    </row>
    <row r="107" spans="1:11" s="76" customFormat="1" ht="25.5">
      <c r="A107" s="39" t="s">
        <v>524</v>
      </c>
      <c r="B107" s="41">
        <v>43861</v>
      </c>
      <c r="C107" s="44">
        <v>5</v>
      </c>
      <c r="D107" s="78" t="s">
        <v>602</v>
      </c>
      <c r="E107" s="9" t="s">
        <v>414</v>
      </c>
      <c r="F107" s="40">
        <v>44242</v>
      </c>
      <c r="G107" s="40">
        <v>44253</v>
      </c>
      <c r="H107" s="40">
        <v>44258</v>
      </c>
      <c r="I107" s="46">
        <v>0.01</v>
      </c>
      <c r="J107" s="36">
        <v>0.05</v>
      </c>
      <c r="K107" s="42" t="s">
        <v>329</v>
      </c>
    </row>
    <row r="108" spans="1:11" s="76" customFormat="1" ht="25.5">
      <c r="A108" s="39" t="s">
        <v>526</v>
      </c>
      <c r="B108" s="41">
        <v>43861</v>
      </c>
      <c r="C108" s="44">
        <v>5</v>
      </c>
      <c r="D108" s="78" t="s">
        <v>604</v>
      </c>
      <c r="E108" s="9" t="s">
        <v>422</v>
      </c>
      <c r="F108" s="40">
        <v>44242</v>
      </c>
      <c r="G108" s="40">
        <v>44253</v>
      </c>
      <c r="H108" s="40">
        <v>44258</v>
      </c>
      <c r="I108" s="46" t="s">
        <v>528</v>
      </c>
      <c r="J108" s="36">
        <v>0.1575</v>
      </c>
      <c r="K108" s="42" t="s">
        <v>329</v>
      </c>
    </row>
    <row r="109" spans="1:11" s="76" customFormat="1">
      <c r="A109" s="39" t="s">
        <v>117</v>
      </c>
      <c r="B109" s="41">
        <v>43511</v>
      </c>
      <c r="C109" s="44">
        <v>5</v>
      </c>
      <c r="D109" s="78" t="s">
        <v>119</v>
      </c>
      <c r="E109" s="9" t="s">
        <v>414</v>
      </c>
      <c r="F109" s="40">
        <v>44242</v>
      </c>
      <c r="G109" s="40">
        <v>44253</v>
      </c>
      <c r="H109" s="40">
        <v>44258</v>
      </c>
      <c r="I109" s="46">
        <v>1.7000000000000001E-2</v>
      </c>
      <c r="J109" s="36">
        <v>8.5000000000000006E-2</v>
      </c>
      <c r="K109" s="42" t="s">
        <v>5</v>
      </c>
    </row>
    <row r="110" spans="1:11" s="76" customFormat="1">
      <c r="A110" s="39" t="s">
        <v>529</v>
      </c>
      <c r="B110" s="41">
        <v>43875</v>
      </c>
      <c r="C110" s="44">
        <v>5</v>
      </c>
      <c r="D110" s="78" t="s">
        <v>606</v>
      </c>
      <c r="E110" s="9" t="s">
        <v>414</v>
      </c>
      <c r="F110" s="40">
        <v>44242</v>
      </c>
      <c r="G110" s="40">
        <v>44253</v>
      </c>
      <c r="H110" s="40">
        <v>44258</v>
      </c>
      <c r="I110" s="46">
        <v>8.0000000000000002E-3</v>
      </c>
      <c r="J110" s="36">
        <v>0.04</v>
      </c>
      <c r="K110" s="42" t="s">
        <v>5</v>
      </c>
    </row>
    <row r="111" spans="1:11" s="76" customFormat="1">
      <c r="A111" s="39" t="s">
        <v>59</v>
      </c>
      <c r="B111" s="41">
        <v>43131</v>
      </c>
      <c r="C111" s="44">
        <v>5</v>
      </c>
      <c r="D111" s="78" t="s">
        <v>600</v>
      </c>
      <c r="E111" s="9" t="s">
        <v>414</v>
      </c>
      <c r="F111" s="40">
        <v>44242</v>
      </c>
      <c r="G111" s="40">
        <v>44253</v>
      </c>
      <c r="H111" s="40">
        <v>44258</v>
      </c>
      <c r="I111" s="46">
        <v>0.02</v>
      </c>
      <c r="J111" s="36">
        <v>0.1</v>
      </c>
      <c r="K111" s="42" t="s">
        <v>5</v>
      </c>
    </row>
    <row r="112" spans="1:11" s="76" customFormat="1">
      <c r="A112" s="39" t="s">
        <v>217</v>
      </c>
      <c r="B112" s="41">
        <v>43131</v>
      </c>
      <c r="C112" s="44">
        <v>5</v>
      </c>
      <c r="D112" s="78" t="s">
        <v>601</v>
      </c>
      <c r="E112" s="9" t="s">
        <v>414</v>
      </c>
      <c r="F112" s="40">
        <v>44242</v>
      </c>
      <c r="G112" s="40">
        <v>44253</v>
      </c>
      <c r="H112" s="40">
        <v>44258</v>
      </c>
      <c r="I112" s="46">
        <v>0.02</v>
      </c>
      <c r="J112" s="36">
        <v>0.1</v>
      </c>
      <c r="K112" s="42" t="s">
        <v>5</v>
      </c>
    </row>
    <row r="113" spans="1:11" s="76" customFormat="1">
      <c r="A113" s="39" t="s">
        <v>523</v>
      </c>
      <c r="B113" s="41">
        <v>43875</v>
      </c>
      <c r="C113" s="44">
        <v>100</v>
      </c>
      <c r="D113" s="78" t="s">
        <v>530</v>
      </c>
      <c r="E113" s="9" t="s">
        <v>414</v>
      </c>
      <c r="F113" s="40">
        <v>44243</v>
      </c>
      <c r="G113" s="40">
        <v>44244</v>
      </c>
      <c r="H113" s="40">
        <v>44249</v>
      </c>
      <c r="I113" s="46"/>
      <c r="J113" s="36">
        <v>0</v>
      </c>
      <c r="K113" s="42" t="s">
        <v>129</v>
      </c>
    </row>
    <row r="114" spans="1:11" s="76" customFormat="1">
      <c r="A114" s="39" t="s">
        <v>499</v>
      </c>
      <c r="B114" s="41">
        <v>43518</v>
      </c>
      <c r="C114" s="44">
        <v>100</v>
      </c>
      <c r="D114" s="78" t="s">
        <v>550</v>
      </c>
      <c r="E114" s="9" t="s">
        <v>414</v>
      </c>
      <c r="F114" s="40">
        <v>44249</v>
      </c>
      <c r="G114" s="40">
        <v>44250</v>
      </c>
      <c r="H114" s="40">
        <v>44253</v>
      </c>
      <c r="I114" s="46"/>
      <c r="J114" s="36">
        <v>0</v>
      </c>
      <c r="K114" s="42" t="s">
        <v>6</v>
      </c>
    </row>
    <row r="115" spans="1:11" s="76" customFormat="1">
      <c r="A115" s="39" t="s">
        <v>78</v>
      </c>
      <c r="B115" s="41">
        <v>42787</v>
      </c>
      <c r="C115" s="44">
        <v>100</v>
      </c>
      <c r="D115" s="78" t="s">
        <v>589</v>
      </c>
      <c r="E115" s="9" t="s">
        <v>414</v>
      </c>
      <c r="F115" s="40">
        <v>44249</v>
      </c>
      <c r="G115" s="40">
        <v>44250</v>
      </c>
      <c r="H115" s="40">
        <v>44253</v>
      </c>
      <c r="I115" s="46"/>
      <c r="J115" s="36">
        <v>0</v>
      </c>
      <c r="K115" s="42" t="s">
        <v>6</v>
      </c>
    </row>
    <row r="116" spans="1:11" s="76" customFormat="1">
      <c r="A116" s="39" t="s">
        <v>318</v>
      </c>
      <c r="B116" s="41">
        <v>43524</v>
      </c>
      <c r="C116" s="44">
        <v>5</v>
      </c>
      <c r="D116" s="78" t="s">
        <v>575</v>
      </c>
      <c r="E116" s="9" t="s">
        <v>503</v>
      </c>
      <c r="F116" s="40">
        <v>44253</v>
      </c>
      <c r="G116" s="40">
        <v>44270</v>
      </c>
      <c r="H116" s="40">
        <v>44273</v>
      </c>
      <c r="I116" s="46" t="s">
        <v>502</v>
      </c>
      <c r="J116" s="36">
        <v>0.16239999999999999</v>
      </c>
      <c r="K116" s="42" t="s">
        <v>327</v>
      </c>
    </row>
    <row r="117" spans="1:11" s="76" customFormat="1">
      <c r="A117" s="39" t="s">
        <v>28</v>
      </c>
      <c r="B117" s="41">
        <v>42416</v>
      </c>
      <c r="C117" s="44">
        <v>5</v>
      </c>
      <c r="D117" s="78" t="s">
        <v>605</v>
      </c>
      <c r="E117" s="9" t="s">
        <v>414</v>
      </c>
      <c r="F117" s="40">
        <v>44253</v>
      </c>
      <c r="G117" s="40">
        <v>44270</v>
      </c>
      <c r="H117" s="40">
        <v>44273</v>
      </c>
      <c r="I117" s="46">
        <v>0.02</v>
      </c>
      <c r="J117" s="36">
        <v>0.1</v>
      </c>
      <c r="K117" s="42" t="s">
        <v>5</v>
      </c>
    </row>
    <row r="118" spans="1:11" s="76" customFormat="1">
      <c r="A118" s="39" t="s">
        <v>41</v>
      </c>
      <c r="B118" s="41">
        <v>42787</v>
      </c>
      <c r="C118" s="44">
        <v>5</v>
      </c>
      <c r="D118" s="78" t="s">
        <v>607</v>
      </c>
      <c r="E118" s="9" t="s">
        <v>414</v>
      </c>
      <c r="F118" s="40">
        <v>44253</v>
      </c>
      <c r="G118" s="40">
        <v>44270</v>
      </c>
      <c r="H118" s="40">
        <v>44273</v>
      </c>
      <c r="I118" s="46">
        <v>0.02</v>
      </c>
      <c r="J118" s="36">
        <v>0.1</v>
      </c>
      <c r="K118" s="42" t="s">
        <v>5</v>
      </c>
    </row>
    <row r="119" spans="1:11" s="76" customFormat="1" ht="25.5">
      <c r="A119" s="39" t="s">
        <v>531</v>
      </c>
      <c r="B119" s="41">
        <v>43889</v>
      </c>
      <c r="C119" s="44">
        <v>5</v>
      </c>
      <c r="D119" s="78" t="s">
        <v>609</v>
      </c>
      <c r="E119" s="9" t="s">
        <v>422</v>
      </c>
      <c r="F119" s="40">
        <v>44270</v>
      </c>
      <c r="G119" s="40">
        <v>44286</v>
      </c>
      <c r="H119" s="40">
        <v>44292</v>
      </c>
      <c r="I119" s="46" t="s">
        <v>533</v>
      </c>
      <c r="J119" s="36">
        <v>0.16589999999999999</v>
      </c>
      <c r="K119" s="42" t="s">
        <v>329</v>
      </c>
    </row>
    <row r="120" spans="1:11" s="76" customFormat="1" ht="25.5">
      <c r="A120" s="39" t="s">
        <v>532</v>
      </c>
      <c r="B120" s="41">
        <v>43889</v>
      </c>
      <c r="C120" s="44">
        <v>5</v>
      </c>
      <c r="D120" s="78" t="s">
        <v>610</v>
      </c>
      <c r="E120" s="9" t="s">
        <v>422</v>
      </c>
      <c r="F120" s="40">
        <v>44270</v>
      </c>
      <c r="G120" s="40">
        <v>44286</v>
      </c>
      <c r="H120" s="40">
        <v>44292</v>
      </c>
      <c r="I120" s="46" t="s">
        <v>534</v>
      </c>
      <c r="J120" s="36">
        <v>0.17530000000000001</v>
      </c>
      <c r="K120" s="42" t="s">
        <v>329</v>
      </c>
    </row>
    <row r="121" spans="1:11" s="76" customFormat="1">
      <c r="A121" s="39" t="s">
        <v>60</v>
      </c>
      <c r="B121" s="41">
        <v>43159</v>
      </c>
      <c r="C121" s="44">
        <v>5</v>
      </c>
      <c r="D121" s="78" t="s">
        <v>608</v>
      </c>
      <c r="E121" s="9" t="s">
        <v>414</v>
      </c>
      <c r="F121" s="40">
        <v>44270</v>
      </c>
      <c r="G121" s="40">
        <v>44286</v>
      </c>
      <c r="H121" s="40">
        <v>44292</v>
      </c>
      <c r="I121" s="46">
        <v>0.02</v>
      </c>
      <c r="J121" s="36">
        <v>0.1</v>
      </c>
      <c r="K121" s="42" t="s">
        <v>5</v>
      </c>
    </row>
    <row r="122" spans="1:11" s="76" customFormat="1">
      <c r="A122" s="39" t="s">
        <v>504</v>
      </c>
      <c r="B122" s="41">
        <v>43553</v>
      </c>
      <c r="C122" s="44">
        <v>100</v>
      </c>
      <c r="D122" s="78" t="s">
        <v>590</v>
      </c>
      <c r="E122" s="9" t="s">
        <v>414</v>
      </c>
      <c r="F122" s="40">
        <v>44284</v>
      </c>
      <c r="G122" s="40">
        <v>44285</v>
      </c>
      <c r="H122" s="40">
        <v>44288</v>
      </c>
      <c r="I122" s="46"/>
      <c r="J122" s="36">
        <v>0</v>
      </c>
      <c r="K122" s="42" t="s">
        <v>6</v>
      </c>
    </row>
    <row r="123" spans="1:11" s="76" customFormat="1">
      <c r="A123" s="39" t="s">
        <v>179</v>
      </c>
      <c r="B123" s="41">
        <v>43544</v>
      </c>
      <c r="C123" s="44">
        <v>5</v>
      </c>
      <c r="D123" s="78" t="s">
        <v>180</v>
      </c>
      <c r="E123" s="9" t="s">
        <v>410</v>
      </c>
      <c r="F123" s="40">
        <v>44286</v>
      </c>
      <c r="G123" s="40">
        <v>44287</v>
      </c>
      <c r="H123" s="40">
        <v>44291</v>
      </c>
      <c r="I123" s="46">
        <v>4.4999999999999997E-3</v>
      </c>
      <c r="J123" s="36">
        <v>5.7000000000000002E-3</v>
      </c>
      <c r="K123" s="42" t="s">
        <v>8</v>
      </c>
    </row>
    <row r="124" spans="1:11" s="76" customFormat="1" ht="25.5">
      <c r="A124" s="39" t="s">
        <v>103</v>
      </c>
      <c r="B124" s="41">
        <v>41281</v>
      </c>
      <c r="C124" s="44">
        <v>5</v>
      </c>
      <c r="D124" s="78" t="s">
        <v>573</v>
      </c>
      <c r="E124" s="9" t="s">
        <v>410</v>
      </c>
      <c r="F124" s="40">
        <v>44286</v>
      </c>
      <c r="G124" s="40">
        <v>44287</v>
      </c>
      <c r="H124" s="40">
        <v>44291</v>
      </c>
      <c r="I124" s="46">
        <v>1E-3</v>
      </c>
      <c r="J124" s="36">
        <v>1.9E-3</v>
      </c>
      <c r="K124" s="42" t="s">
        <v>498</v>
      </c>
    </row>
    <row r="125" spans="1:11" s="76" customFormat="1" ht="25.5">
      <c r="A125" s="39" t="s">
        <v>106</v>
      </c>
      <c r="B125" s="41">
        <v>41281</v>
      </c>
      <c r="C125" s="44">
        <v>5</v>
      </c>
      <c r="D125" s="78" t="s">
        <v>574</v>
      </c>
      <c r="E125" s="9" t="s">
        <v>410</v>
      </c>
      <c r="F125" s="40">
        <v>44286</v>
      </c>
      <c r="G125" s="40">
        <v>44287</v>
      </c>
      <c r="H125" s="40">
        <v>44291</v>
      </c>
      <c r="I125" s="46">
        <v>1E-3</v>
      </c>
      <c r="J125" s="36">
        <v>1.5E-3</v>
      </c>
      <c r="K125" s="42" t="s">
        <v>498</v>
      </c>
    </row>
    <row r="126" spans="1:11" s="76" customFormat="1">
      <c r="A126" s="39" t="s">
        <v>80</v>
      </c>
      <c r="B126" s="41">
        <v>42460</v>
      </c>
      <c r="C126" s="44">
        <v>100</v>
      </c>
      <c r="D126" s="78" t="s">
        <v>591</v>
      </c>
      <c r="E126" s="9" t="s">
        <v>414</v>
      </c>
      <c r="F126" s="40">
        <v>44286</v>
      </c>
      <c r="G126" s="40">
        <v>44287</v>
      </c>
      <c r="H126" s="40">
        <v>44292</v>
      </c>
      <c r="I126" s="46"/>
      <c r="J126" s="36">
        <v>0.2394</v>
      </c>
      <c r="K126" s="42" t="s">
        <v>6</v>
      </c>
    </row>
    <row r="127" spans="1:11" s="76" customFormat="1" ht="25.5">
      <c r="A127" s="39" t="s">
        <v>536</v>
      </c>
      <c r="B127" s="41">
        <v>43921</v>
      </c>
      <c r="C127" s="44">
        <v>5</v>
      </c>
      <c r="D127" s="78" t="s">
        <v>617</v>
      </c>
      <c r="E127" s="9" t="s">
        <v>414</v>
      </c>
      <c r="F127" s="40">
        <v>44286</v>
      </c>
      <c r="G127" s="40">
        <v>44301</v>
      </c>
      <c r="H127" s="40">
        <v>44306</v>
      </c>
      <c r="I127" s="46">
        <v>3.5000000000000003E-2</v>
      </c>
      <c r="J127" s="36">
        <v>0.17500000000000002</v>
      </c>
      <c r="K127" s="42" t="s">
        <v>329</v>
      </c>
    </row>
    <row r="128" spans="1:11" s="76" customFormat="1" ht="25.5">
      <c r="A128" s="39" t="s">
        <v>537</v>
      </c>
      <c r="B128" s="41">
        <v>43921</v>
      </c>
      <c r="C128" s="44">
        <v>5</v>
      </c>
      <c r="D128" s="78" t="s">
        <v>617</v>
      </c>
      <c r="E128" s="9" t="s">
        <v>422</v>
      </c>
      <c r="F128" s="40">
        <v>44286</v>
      </c>
      <c r="G128" s="40">
        <v>44301</v>
      </c>
      <c r="H128" s="40">
        <v>44306</v>
      </c>
      <c r="I128" s="46" t="s">
        <v>538</v>
      </c>
      <c r="J128" s="36">
        <v>0.22770000000000001</v>
      </c>
      <c r="K128" s="42" t="s">
        <v>329</v>
      </c>
    </row>
    <row r="129" spans="1:11" s="76" customFormat="1" ht="25.5">
      <c r="A129" s="39" t="s">
        <v>679</v>
      </c>
      <c r="B129" s="41">
        <v>43921</v>
      </c>
      <c r="C129" s="44">
        <v>5</v>
      </c>
      <c r="D129" s="78" t="s">
        <v>616</v>
      </c>
      <c r="E129" s="9" t="s">
        <v>422</v>
      </c>
      <c r="F129" s="40">
        <v>44286</v>
      </c>
      <c r="G129" s="40">
        <v>44301</v>
      </c>
      <c r="H129" s="40">
        <v>44306</v>
      </c>
      <c r="I129" s="46" t="s">
        <v>539</v>
      </c>
      <c r="J129" s="36">
        <v>0.23680000000000001</v>
      </c>
      <c r="K129" s="42" t="s">
        <v>329</v>
      </c>
    </row>
    <row r="130" spans="1:11" s="76" customFormat="1">
      <c r="A130" s="39" t="s">
        <v>115</v>
      </c>
      <c r="B130" s="41">
        <v>43553</v>
      </c>
      <c r="C130" s="44">
        <v>5</v>
      </c>
      <c r="D130" s="78" t="s">
        <v>615</v>
      </c>
      <c r="E130" s="9" t="s">
        <v>414</v>
      </c>
      <c r="F130" s="40">
        <v>44286</v>
      </c>
      <c r="G130" s="40">
        <v>44301</v>
      </c>
      <c r="H130" s="40">
        <v>44306</v>
      </c>
      <c r="I130" s="46">
        <v>1.4E-2</v>
      </c>
      <c r="J130" s="36">
        <v>7.0000000000000007E-2</v>
      </c>
      <c r="K130" s="42" t="s">
        <v>5</v>
      </c>
    </row>
    <row r="131" spans="1:11" s="76" customFormat="1">
      <c r="A131" s="39" t="s">
        <v>116</v>
      </c>
      <c r="B131" s="41">
        <v>43553</v>
      </c>
      <c r="C131" s="44">
        <v>5</v>
      </c>
      <c r="D131" s="78" t="s">
        <v>612</v>
      </c>
      <c r="E131" s="9" t="s">
        <v>414</v>
      </c>
      <c r="F131" s="40">
        <v>44286</v>
      </c>
      <c r="G131" s="40">
        <v>44301</v>
      </c>
      <c r="H131" s="40">
        <v>44306</v>
      </c>
      <c r="I131" s="46">
        <v>1.4E-2</v>
      </c>
      <c r="J131" s="36">
        <v>7.0000000000000007E-2</v>
      </c>
      <c r="K131" s="42" t="s">
        <v>5</v>
      </c>
    </row>
    <row r="132" spans="1:11" s="76" customFormat="1">
      <c r="A132" s="39" t="s">
        <v>535</v>
      </c>
      <c r="B132" s="41">
        <v>43921</v>
      </c>
      <c r="C132" s="44">
        <v>5</v>
      </c>
      <c r="D132" s="78" t="s">
        <v>618</v>
      </c>
      <c r="E132" s="9" t="s">
        <v>414</v>
      </c>
      <c r="F132" s="40">
        <v>44286</v>
      </c>
      <c r="G132" s="40">
        <v>44301</v>
      </c>
      <c r="H132" s="40">
        <v>44316</v>
      </c>
      <c r="I132" s="46">
        <v>1.7999999999999999E-2</v>
      </c>
      <c r="J132" s="36">
        <v>0.09</v>
      </c>
      <c r="K132" s="42" t="s">
        <v>5</v>
      </c>
    </row>
    <row r="133" spans="1:11" s="76" customFormat="1">
      <c r="A133" s="39" t="s">
        <v>29</v>
      </c>
      <c r="B133" s="41">
        <v>42460</v>
      </c>
      <c r="C133" s="44">
        <v>5</v>
      </c>
      <c r="D133" s="78" t="s">
        <v>611</v>
      </c>
      <c r="E133" s="9" t="s">
        <v>414</v>
      </c>
      <c r="F133" s="40">
        <v>44286</v>
      </c>
      <c r="G133" s="40">
        <v>44301</v>
      </c>
      <c r="H133" s="40">
        <v>44306</v>
      </c>
      <c r="I133" s="46">
        <v>0.02</v>
      </c>
      <c r="J133" s="36">
        <v>0.1</v>
      </c>
      <c r="K133" s="42" t="s">
        <v>5</v>
      </c>
    </row>
    <row r="134" spans="1:11" s="76" customFormat="1">
      <c r="A134" s="39" t="s">
        <v>42</v>
      </c>
      <c r="B134" s="41">
        <v>42825</v>
      </c>
      <c r="C134" s="44">
        <v>5</v>
      </c>
      <c r="D134" s="78" t="s">
        <v>614</v>
      </c>
      <c r="E134" s="9" t="s">
        <v>414</v>
      </c>
      <c r="F134" s="40">
        <v>44286</v>
      </c>
      <c r="G134" s="40">
        <v>44301</v>
      </c>
      <c r="H134" s="40">
        <v>44306</v>
      </c>
      <c r="I134" s="46">
        <v>0.02</v>
      </c>
      <c r="J134" s="36">
        <v>0.1</v>
      </c>
      <c r="K134" s="42" t="s">
        <v>5</v>
      </c>
    </row>
    <row r="135" spans="1:11" s="76" customFormat="1">
      <c r="A135" s="39" t="s">
        <v>61</v>
      </c>
      <c r="B135" s="41">
        <v>43188</v>
      </c>
      <c r="C135" s="44">
        <v>5</v>
      </c>
      <c r="D135" s="78" t="s">
        <v>613</v>
      </c>
      <c r="E135" s="9" t="s">
        <v>414</v>
      </c>
      <c r="F135" s="40">
        <v>44286</v>
      </c>
      <c r="G135" s="40">
        <v>44301</v>
      </c>
      <c r="H135" s="40">
        <v>44306</v>
      </c>
      <c r="I135" s="46">
        <v>0.02</v>
      </c>
      <c r="J135" s="36">
        <v>0.1</v>
      </c>
      <c r="K135" s="42" t="s">
        <v>5</v>
      </c>
    </row>
    <row r="136" spans="1:11" s="76" customFormat="1">
      <c r="A136" s="39" t="s">
        <v>43</v>
      </c>
      <c r="B136" s="41">
        <v>42853</v>
      </c>
      <c r="C136" s="44">
        <v>5</v>
      </c>
      <c r="D136" s="78" t="s">
        <v>621</v>
      </c>
      <c r="E136" s="9" t="s">
        <v>414</v>
      </c>
      <c r="F136" s="40">
        <v>44316</v>
      </c>
      <c r="G136" s="40">
        <v>44333</v>
      </c>
      <c r="H136" s="40">
        <v>44336</v>
      </c>
      <c r="I136" s="46">
        <v>0.02</v>
      </c>
      <c r="J136" s="36">
        <v>0.1</v>
      </c>
      <c r="K136" s="42" t="s">
        <v>5</v>
      </c>
    </row>
    <row r="137" spans="1:11" s="76" customFormat="1">
      <c r="A137" s="39" t="s">
        <v>62</v>
      </c>
      <c r="B137" s="41">
        <v>43220</v>
      </c>
      <c r="C137" s="44">
        <v>5</v>
      </c>
      <c r="D137" s="78" t="s">
        <v>620</v>
      </c>
      <c r="E137" s="9" t="s">
        <v>414</v>
      </c>
      <c r="F137" s="40">
        <v>44316</v>
      </c>
      <c r="G137" s="40">
        <v>44333</v>
      </c>
      <c r="H137" s="40">
        <v>44336</v>
      </c>
      <c r="I137" s="46">
        <v>0.02</v>
      </c>
      <c r="J137" s="36">
        <v>0.1</v>
      </c>
      <c r="K137" s="42" t="s">
        <v>5</v>
      </c>
    </row>
    <row r="138" spans="1:11" s="76" customFormat="1">
      <c r="A138" s="39" t="s">
        <v>127</v>
      </c>
      <c r="B138" s="41">
        <v>43585</v>
      </c>
      <c r="C138" s="44">
        <v>5</v>
      </c>
      <c r="D138" s="78" t="s">
        <v>619</v>
      </c>
      <c r="E138" s="9" t="s">
        <v>414</v>
      </c>
      <c r="F138" s="40">
        <v>44316</v>
      </c>
      <c r="G138" s="40">
        <v>44333</v>
      </c>
      <c r="H138" s="40">
        <v>44336</v>
      </c>
      <c r="I138" s="46">
        <v>0.02</v>
      </c>
      <c r="J138" s="36">
        <v>0.1</v>
      </c>
      <c r="K138" s="42" t="s">
        <v>5</v>
      </c>
    </row>
    <row r="139" spans="1:11" s="76" customFormat="1">
      <c r="A139" s="39" t="s">
        <v>128</v>
      </c>
      <c r="B139" s="41">
        <v>43602</v>
      </c>
      <c r="C139" s="44">
        <v>100</v>
      </c>
      <c r="D139" s="78" t="s">
        <v>592</v>
      </c>
      <c r="E139" s="9" t="s">
        <v>414</v>
      </c>
      <c r="F139" s="40">
        <v>44333</v>
      </c>
      <c r="G139" s="40">
        <v>44334</v>
      </c>
      <c r="H139" s="40">
        <v>44337</v>
      </c>
      <c r="I139" s="46"/>
      <c r="J139" s="36">
        <v>0</v>
      </c>
      <c r="K139" s="42" t="s">
        <v>129</v>
      </c>
    </row>
    <row r="140" spans="1:11" s="76" customFormat="1">
      <c r="A140" s="39" t="s">
        <v>125</v>
      </c>
      <c r="B140" s="41">
        <v>43602</v>
      </c>
      <c r="C140" s="44">
        <v>5</v>
      </c>
      <c r="D140" s="78" t="s">
        <v>623</v>
      </c>
      <c r="E140" s="9" t="s">
        <v>414</v>
      </c>
      <c r="F140" s="40">
        <v>44333</v>
      </c>
      <c r="G140" s="40">
        <v>44347</v>
      </c>
      <c r="H140" s="40">
        <v>44350</v>
      </c>
      <c r="I140" s="46">
        <v>1.35E-2</v>
      </c>
      <c r="J140" s="36">
        <v>6.7500000000000004E-2</v>
      </c>
      <c r="K140" s="42" t="s">
        <v>5</v>
      </c>
    </row>
    <row r="141" spans="1:11" s="76" customFormat="1">
      <c r="A141" s="39" t="s">
        <v>126</v>
      </c>
      <c r="B141" s="41">
        <v>43602</v>
      </c>
      <c r="C141" s="44">
        <v>5</v>
      </c>
      <c r="D141" s="78" t="s">
        <v>624</v>
      </c>
      <c r="E141" s="9" t="s">
        <v>414</v>
      </c>
      <c r="F141" s="40">
        <v>44333</v>
      </c>
      <c r="G141" s="40">
        <v>44347</v>
      </c>
      <c r="H141" s="40">
        <v>44350</v>
      </c>
      <c r="I141" s="46">
        <v>1.35E-2</v>
      </c>
      <c r="J141" s="36">
        <v>6.7500000000000004E-2</v>
      </c>
      <c r="K141" s="42" t="s">
        <v>5</v>
      </c>
    </row>
    <row r="142" spans="1:11" s="76" customFormat="1">
      <c r="A142" s="39" t="s">
        <v>30</v>
      </c>
      <c r="B142" s="41">
        <v>42502</v>
      </c>
      <c r="C142" s="44">
        <v>5</v>
      </c>
      <c r="D142" s="78" t="s">
        <v>622</v>
      </c>
      <c r="E142" s="9" t="s">
        <v>414</v>
      </c>
      <c r="F142" s="40">
        <v>44333</v>
      </c>
      <c r="G142" s="40">
        <v>44347</v>
      </c>
      <c r="H142" s="40">
        <v>44350</v>
      </c>
      <c r="I142" s="46">
        <v>0.02</v>
      </c>
      <c r="J142" s="36">
        <v>0.1</v>
      </c>
      <c r="K142" s="42" t="s">
        <v>5</v>
      </c>
    </row>
    <row r="143" spans="1:11" s="76" customFormat="1">
      <c r="A143" s="39" t="s">
        <v>77</v>
      </c>
      <c r="B143" s="41">
        <v>42053</v>
      </c>
      <c r="C143" s="44">
        <v>100</v>
      </c>
      <c r="D143" s="78" t="s">
        <v>593</v>
      </c>
      <c r="E143" s="9" t="s">
        <v>414</v>
      </c>
      <c r="F143" s="40">
        <v>44334</v>
      </c>
      <c r="G143" s="40">
        <v>44335</v>
      </c>
      <c r="H143" s="40">
        <v>44340</v>
      </c>
      <c r="I143" s="46"/>
      <c r="J143" s="36">
        <v>0</v>
      </c>
      <c r="K143" s="42" t="s">
        <v>6</v>
      </c>
    </row>
    <row r="144" spans="1:11" s="76" customFormat="1">
      <c r="A144" s="39" t="s">
        <v>540</v>
      </c>
      <c r="B144" s="41">
        <v>43980</v>
      </c>
      <c r="C144" s="44">
        <v>5</v>
      </c>
      <c r="D144" s="78" t="s">
        <v>628</v>
      </c>
      <c r="E144" s="9" t="s">
        <v>414</v>
      </c>
      <c r="F144" s="40">
        <v>44347</v>
      </c>
      <c r="G144" s="40">
        <v>44362</v>
      </c>
      <c r="H144" s="40">
        <v>44365</v>
      </c>
      <c r="I144" s="46">
        <v>1.4999999999999999E-2</v>
      </c>
      <c r="J144" s="36">
        <v>7.4999999999999997E-2</v>
      </c>
      <c r="K144" s="42" t="s">
        <v>5</v>
      </c>
    </row>
    <row r="145" spans="1:11" s="76" customFormat="1">
      <c r="A145" s="39" t="s">
        <v>541</v>
      </c>
      <c r="B145" s="41">
        <v>43980</v>
      </c>
      <c r="C145" s="44">
        <v>5</v>
      </c>
      <c r="D145" s="78" t="s">
        <v>627</v>
      </c>
      <c r="E145" s="9" t="s">
        <v>414</v>
      </c>
      <c r="F145" s="40">
        <v>44347</v>
      </c>
      <c r="G145" s="40">
        <v>44362</v>
      </c>
      <c r="H145" s="40">
        <v>44365</v>
      </c>
      <c r="I145" s="46">
        <v>1.2999999999999999E-2</v>
      </c>
      <c r="J145" s="36">
        <v>0.65</v>
      </c>
      <c r="K145" s="42" t="s">
        <v>5</v>
      </c>
    </row>
    <row r="146" spans="1:11" s="76" customFormat="1">
      <c r="A146" s="39" t="s">
        <v>44</v>
      </c>
      <c r="B146" s="41">
        <v>42886</v>
      </c>
      <c r="C146" s="44">
        <v>5</v>
      </c>
      <c r="D146" s="78" t="s">
        <v>625</v>
      </c>
      <c r="E146" s="9" t="s">
        <v>414</v>
      </c>
      <c r="F146" s="40">
        <v>44347</v>
      </c>
      <c r="G146" s="40">
        <v>44362</v>
      </c>
      <c r="H146" s="40">
        <v>44365</v>
      </c>
      <c r="I146" s="46">
        <v>0.02</v>
      </c>
      <c r="J146" s="36">
        <v>0.1</v>
      </c>
      <c r="K146" s="42" t="s">
        <v>5</v>
      </c>
    </row>
    <row r="147" spans="1:11" s="76" customFormat="1">
      <c r="A147" s="39" t="s">
        <v>71</v>
      </c>
      <c r="B147" s="41">
        <v>43250</v>
      </c>
      <c r="C147" s="44">
        <v>5</v>
      </c>
      <c r="D147" s="78" t="s">
        <v>626</v>
      </c>
      <c r="E147" s="9" t="s">
        <v>414</v>
      </c>
      <c r="F147" s="40">
        <v>44347</v>
      </c>
      <c r="G147" s="40">
        <v>44362</v>
      </c>
      <c r="H147" s="40">
        <v>44365</v>
      </c>
      <c r="I147" s="46">
        <v>0.02</v>
      </c>
      <c r="J147" s="36">
        <v>0.1</v>
      </c>
      <c r="K147" s="42" t="s">
        <v>5</v>
      </c>
    </row>
    <row r="148" spans="1:11" s="76" customFormat="1">
      <c r="A148" s="39" t="s">
        <v>316</v>
      </c>
      <c r="B148" s="41">
        <v>43644</v>
      </c>
      <c r="C148" s="44">
        <v>100</v>
      </c>
      <c r="D148" s="78" t="s">
        <v>594</v>
      </c>
      <c r="E148" s="9" t="s">
        <v>414</v>
      </c>
      <c r="F148" s="40">
        <v>44375</v>
      </c>
      <c r="G148" s="40">
        <v>44376</v>
      </c>
      <c r="H148" s="40">
        <v>44379</v>
      </c>
      <c r="I148" s="46"/>
      <c r="J148" s="36">
        <v>0</v>
      </c>
      <c r="K148" s="42" t="s">
        <v>129</v>
      </c>
    </row>
    <row r="149" spans="1:11" s="76" customFormat="1">
      <c r="A149" s="39" t="s">
        <v>179</v>
      </c>
      <c r="B149" s="41">
        <v>43544</v>
      </c>
      <c r="C149" s="44">
        <v>5</v>
      </c>
      <c r="D149" s="78" t="s">
        <v>180</v>
      </c>
      <c r="E149" s="9" t="s">
        <v>410</v>
      </c>
      <c r="F149" s="40">
        <v>44377</v>
      </c>
      <c r="G149" s="40">
        <v>44378</v>
      </c>
      <c r="H149" s="40">
        <v>44383</v>
      </c>
      <c r="I149" s="46">
        <v>4.4999999999999997E-3</v>
      </c>
      <c r="J149" s="36">
        <v>5.7000000000000002E-3</v>
      </c>
      <c r="K149" s="42" t="s">
        <v>8</v>
      </c>
    </row>
    <row r="150" spans="1:11" s="76" customFormat="1" ht="25.5">
      <c r="A150" s="39" t="s">
        <v>103</v>
      </c>
      <c r="B150" s="41">
        <v>41281</v>
      </c>
      <c r="C150" s="44">
        <v>5</v>
      </c>
      <c r="D150" s="78" t="s">
        <v>573</v>
      </c>
      <c r="E150" s="9" t="s">
        <v>410</v>
      </c>
      <c r="F150" s="40">
        <v>44377</v>
      </c>
      <c r="G150" s="40">
        <v>44378</v>
      </c>
      <c r="H150" s="40">
        <v>44383</v>
      </c>
      <c r="I150" s="46">
        <v>1E-3</v>
      </c>
      <c r="J150" s="36">
        <v>1.9E-3</v>
      </c>
      <c r="K150" s="42" t="s">
        <v>498</v>
      </c>
    </row>
    <row r="151" spans="1:11" s="76" customFormat="1" ht="25.5">
      <c r="A151" s="39" t="s">
        <v>106</v>
      </c>
      <c r="B151" s="41">
        <v>41281</v>
      </c>
      <c r="C151" s="44">
        <v>5</v>
      </c>
      <c r="D151" s="78" t="s">
        <v>574</v>
      </c>
      <c r="E151" s="9" t="s">
        <v>410</v>
      </c>
      <c r="F151" s="40">
        <v>44377</v>
      </c>
      <c r="G151" s="40">
        <v>44378</v>
      </c>
      <c r="H151" s="40">
        <v>44383</v>
      </c>
      <c r="I151" s="46">
        <v>1E-3</v>
      </c>
      <c r="J151" s="36">
        <v>1.5E-3</v>
      </c>
      <c r="K151" s="42" t="s">
        <v>498</v>
      </c>
    </row>
    <row r="152" spans="1:11" s="76" customFormat="1">
      <c r="A152" s="39" t="s">
        <v>79</v>
      </c>
      <c r="B152" s="41">
        <v>42094</v>
      </c>
      <c r="C152" s="44">
        <v>100</v>
      </c>
      <c r="D152" s="78" t="s">
        <v>595</v>
      </c>
      <c r="E152" s="9" t="s">
        <v>414</v>
      </c>
      <c r="F152" s="40">
        <v>44377</v>
      </c>
      <c r="G152" s="40">
        <v>44378</v>
      </c>
      <c r="H152" s="40">
        <v>44383</v>
      </c>
      <c r="I152" s="46"/>
      <c r="J152" s="36">
        <v>0</v>
      </c>
      <c r="K152" s="42" t="s">
        <v>6</v>
      </c>
    </row>
    <row r="153" spans="1:11" s="76" customFormat="1">
      <c r="A153" s="39" t="s">
        <v>518</v>
      </c>
      <c r="B153" s="41">
        <v>43644</v>
      </c>
      <c r="C153" s="44">
        <v>5</v>
      </c>
      <c r="D153" s="78" t="s">
        <v>768</v>
      </c>
      <c r="E153" s="9" t="s">
        <v>422</v>
      </c>
      <c r="F153" s="40">
        <v>44377</v>
      </c>
      <c r="G153" s="40">
        <v>44392</v>
      </c>
      <c r="H153" s="40">
        <v>44397</v>
      </c>
      <c r="I153" s="46" t="s">
        <v>519</v>
      </c>
      <c r="J153" s="36">
        <v>0.14449999999999999</v>
      </c>
      <c r="K153" s="42" t="s">
        <v>327</v>
      </c>
    </row>
    <row r="154" spans="1:11" s="76" customFormat="1">
      <c r="A154" s="39" t="s">
        <v>130</v>
      </c>
      <c r="B154" s="41">
        <v>43644</v>
      </c>
      <c r="C154" s="44">
        <v>5</v>
      </c>
      <c r="D154" s="78" t="s">
        <v>633</v>
      </c>
      <c r="E154" s="9" t="s">
        <v>414</v>
      </c>
      <c r="F154" s="40">
        <v>44377</v>
      </c>
      <c r="G154" s="40">
        <v>44392</v>
      </c>
      <c r="H154" s="40">
        <v>44397</v>
      </c>
      <c r="I154" s="46">
        <v>0.01</v>
      </c>
      <c r="J154" s="36">
        <v>0.05</v>
      </c>
      <c r="K154" s="42" t="s">
        <v>5</v>
      </c>
    </row>
    <row r="155" spans="1:11" s="76" customFormat="1">
      <c r="A155" s="39" t="s">
        <v>131</v>
      </c>
      <c r="B155" s="41">
        <v>43644</v>
      </c>
      <c r="C155" s="44">
        <v>5</v>
      </c>
      <c r="D155" s="78" t="s">
        <v>632</v>
      </c>
      <c r="E155" s="9" t="s">
        <v>414</v>
      </c>
      <c r="F155" s="40">
        <v>44377</v>
      </c>
      <c r="G155" s="40">
        <v>44392</v>
      </c>
      <c r="H155" s="40">
        <v>44397</v>
      </c>
      <c r="I155" s="46">
        <v>0.01</v>
      </c>
      <c r="J155" s="36">
        <v>0.05</v>
      </c>
      <c r="K155" s="42" t="s">
        <v>5</v>
      </c>
    </row>
    <row r="156" spans="1:11" s="76" customFormat="1">
      <c r="A156" s="39" t="s">
        <v>542</v>
      </c>
      <c r="B156" s="41">
        <v>44002</v>
      </c>
      <c r="C156" s="44">
        <v>5</v>
      </c>
      <c r="D156" s="78" t="s">
        <v>635</v>
      </c>
      <c r="E156" s="9" t="s">
        <v>414</v>
      </c>
      <c r="F156" s="40">
        <v>44377</v>
      </c>
      <c r="G156" s="40">
        <v>44392</v>
      </c>
      <c r="H156" s="40">
        <v>44397</v>
      </c>
      <c r="I156" s="46">
        <v>1.4999999999999999E-2</v>
      </c>
      <c r="J156" s="36">
        <v>7.4999999999999997E-2</v>
      </c>
      <c r="K156" s="42" t="s">
        <v>5</v>
      </c>
    </row>
    <row r="157" spans="1:11" s="76" customFormat="1">
      <c r="A157" s="39" t="s">
        <v>543</v>
      </c>
      <c r="B157" s="41">
        <v>44002</v>
      </c>
      <c r="C157" s="44">
        <v>5</v>
      </c>
      <c r="D157" s="78" t="s">
        <v>634</v>
      </c>
      <c r="E157" s="9" t="s">
        <v>414</v>
      </c>
      <c r="F157" s="40">
        <v>44377</v>
      </c>
      <c r="G157" s="40">
        <v>44392</v>
      </c>
      <c r="H157" s="40">
        <v>44397</v>
      </c>
      <c r="I157" s="46">
        <v>1.2999999999999999E-2</v>
      </c>
      <c r="J157" s="36">
        <v>6.5000000000000002E-2</v>
      </c>
      <c r="K157" s="42" t="s">
        <v>5</v>
      </c>
    </row>
    <row r="158" spans="1:11" s="76" customFormat="1">
      <c r="A158" s="39" t="s">
        <v>31</v>
      </c>
      <c r="B158" s="41">
        <v>42551</v>
      </c>
      <c r="C158" s="44">
        <v>5</v>
      </c>
      <c r="D158" s="78" t="s">
        <v>629</v>
      </c>
      <c r="E158" s="9" t="s">
        <v>414</v>
      </c>
      <c r="F158" s="40">
        <v>44377</v>
      </c>
      <c r="G158" s="40">
        <v>44392</v>
      </c>
      <c r="H158" s="40">
        <v>44397</v>
      </c>
      <c r="I158" s="46">
        <v>0.02</v>
      </c>
      <c r="J158" s="36">
        <v>0.1</v>
      </c>
      <c r="K158" s="42" t="s">
        <v>5</v>
      </c>
    </row>
    <row r="159" spans="1:11" s="76" customFormat="1">
      <c r="A159" s="39" t="s">
        <v>45</v>
      </c>
      <c r="B159" s="41">
        <v>42916</v>
      </c>
      <c r="C159" s="44">
        <v>5</v>
      </c>
      <c r="D159" s="78" t="s">
        <v>630</v>
      </c>
      <c r="E159" s="9" t="s">
        <v>414</v>
      </c>
      <c r="F159" s="40">
        <v>44377</v>
      </c>
      <c r="G159" s="40">
        <v>44392</v>
      </c>
      <c r="H159" s="40">
        <v>44397</v>
      </c>
      <c r="I159" s="46">
        <v>0.02</v>
      </c>
      <c r="J159" s="36">
        <v>0.1</v>
      </c>
      <c r="K159" s="42" t="s">
        <v>5</v>
      </c>
    </row>
    <row r="160" spans="1:11" s="76" customFormat="1">
      <c r="A160" s="39" t="s">
        <v>63</v>
      </c>
      <c r="B160" s="41">
        <v>43280</v>
      </c>
      <c r="C160" s="44">
        <v>5</v>
      </c>
      <c r="D160" s="78" t="s">
        <v>631</v>
      </c>
      <c r="E160" s="9" t="s">
        <v>414</v>
      </c>
      <c r="F160" s="40">
        <v>44377</v>
      </c>
      <c r="G160" s="40">
        <v>44392</v>
      </c>
      <c r="H160" s="40">
        <v>44397</v>
      </c>
      <c r="I160" s="46">
        <v>0.02</v>
      </c>
      <c r="J160" s="36">
        <v>0.1</v>
      </c>
      <c r="K160" s="42" t="s">
        <v>5</v>
      </c>
    </row>
    <row r="161" spans="1:11" s="76" customFormat="1">
      <c r="A161" s="39" t="s">
        <v>81</v>
      </c>
      <c r="B161" s="41">
        <v>42143</v>
      </c>
      <c r="C161" s="44">
        <v>100</v>
      </c>
      <c r="D161" s="78" t="s">
        <v>596</v>
      </c>
      <c r="E161" s="9" t="s">
        <v>414</v>
      </c>
      <c r="F161" s="40">
        <v>44396</v>
      </c>
      <c r="G161" s="40">
        <v>44397</v>
      </c>
      <c r="H161" s="40">
        <v>44400</v>
      </c>
      <c r="I161" s="46"/>
      <c r="J161" s="36">
        <v>0</v>
      </c>
      <c r="K161" s="42" t="s">
        <v>6</v>
      </c>
    </row>
    <row r="162" spans="1:11" s="76" customFormat="1">
      <c r="A162" s="39" t="s">
        <v>46</v>
      </c>
      <c r="B162" s="41">
        <v>42943</v>
      </c>
      <c r="C162" s="44">
        <v>5</v>
      </c>
      <c r="D162" s="78" t="s">
        <v>636</v>
      </c>
      <c r="E162" s="9" t="s">
        <v>414</v>
      </c>
      <c r="F162" s="40">
        <v>44407</v>
      </c>
      <c r="G162" s="40">
        <v>44424</v>
      </c>
      <c r="H162" s="40">
        <v>44427</v>
      </c>
      <c r="I162" s="46">
        <v>0.02</v>
      </c>
      <c r="J162" s="36">
        <v>0.1</v>
      </c>
      <c r="K162" s="42" t="s">
        <v>5</v>
      </c>
    </row>
    <row r="163" spans="1:11" s="76" customFormat="1">
      <c r="A163" s="39" t="s">
        <v>317</v>
      </c>
      <c r="B163" s="41">
        <v>43686</v>
      </c>
      <c r="C163" s="44">
        <v>100</v>
      </c>
      <c r="D163" s="78" t="s">
        <v>893</v>
      </c>
      <c r="E163" s="9" t="s">
        <v>414</v>
      </c>
      <c r="F163" s="40">
        <v>44417</v>
      </c>
      <c r="G163" s="40">
        <v>44418</v>
      </c>
      <c r="H163" s="40">
        <v>44421</v>
      </c>
      <c r="I163" s="46"/>
      <c r="J163" s="36">
        <v>2.5</v>
      </c>
      <c r="K163" s="42" t="s">
        <v>129</v>
      </c>
    </row>
    <row r="164" spans="1:11" s="76" customFormat="1">
      <c r="A164" s="39" t="s">
        <v>319</v>
      </c>
      <c r="B164" s="41">
        <v>43735</v>
      </c>
      <c r="C164" s="44">
        <v>5</v>
      </c>
      <c r="D164" s="78" t="s">
        <v>648</v>
      </c>
      <c r="E164" s="9" t="s">
        <v>414</v>
      </c>
      <c r="F164" s="40">
        <v>44424</v>
      </c>
      <c r="G164" s="40">
        <v>44439</v>
      </c>
      <c r="H164" s="40">
        <v>44442</v>
      </c>
      <c r="I164" s="46">
        <v>8.9999999999999993E-3</v>
      </c>
      <c r="J164" s="36">
        <v>4.4999999999999998E-2</v>
      </c>
      <c r="K164" s="42" t="s">
        <v>5</v>
      </c>
    </row>
    <row r="165" spans="1:11" s="76" customFormat="1">
      <c r="A165" s="39" t="s">
        <v>320</v>
      </c>
      <c r="B165" s="41">
        <v>43735</v>
      </c>
      <c r="C165" s="44">
        <v>5</v>
      </c>
      <c r="D165" s="78" t="s">
        <v>649</v>
      </c>
      <c r="E165" s="9" t="s">
        <v>414</v>
      </c>
      <c r="F165" s="40">
        <v>44424</v>
      </c>
      <c r="G165" s="40">
        <v>44439</v>
      </c>
      <c r="H165" s="40">
        <v>44442</v>
      </c>
      <c r="I165" s="46">
        <v>8.9999999999999993E-3</v>
      </c>
      <c r="J165" s="36">
        <v>4.4999999999999998E-2</v>
      </c>
      <c r="K165" s="42" t="s">
        <v>5</v>
      </c>
    </row>
    <row r="166" spans="1:11" s="76" customFormat="1">
      <c r="A166" s="39" t="s">
        <v>547</v>
      </c>
      <c r="B166" s="41">
        <v>44043</v>
      </c>
      <c r="C166" s="44">
        <v>5</v>
      </c>
      <c r="D166" s="78" t="s">
        <v>638</v>
      </c>
      <c r="E166" s="9" t="s">
        <v>422</v>
      </c>
      <c r="F166" s="40">
        <v>44424</v>
      </c>
      <c r="G166" s="40">
        <v>44439</v>
      </c>
      <c r="H166" s="40">
        <v>44442</v>
      </c>
      <c r="I166" s="46" t="s">
        <v>549</v>
      </c>
      <c r="J166" s="36">
        <v>7.0099999999999996E-2</v>
      </c>
      <c r="K166" s="42" t="s">
        <v>5</v>
      </c>
    </row>
    <row r="167" spans="1:11" s="76" customFormat="1">
      <c r="A167" s="39" t="s">
        <v>548</v>
      </c>
      <c r="B167" s="41">
        <v>44043</v>
      </c>
      <c r="C167" s="44">
        <v>5</v>
      </c>
      <c r="D167" s="78" t="s">
        <v>640</v>
      </c>
      <c r="E167" s="9" t="s">
        <v>414</v>
      </c>
      <c r="F167" s="40">
        <v>44424</v>
      </c>
      <c r="G167" s="40">
        <v>44439</v>
      </c>
      <c r="H167" s="40">
        <v>44442</v>
      </c>
      <c r="I167" s="46">
        <v>6.0000000000000001E-3</v>
      </c>
      <c r="J167" s="36">
        <v>0.03</v>
      </c>
      <c r="K167" s="42" t="s">
        <v>5</v>
      </c>
    </row>
    <row r="168" spans="1:11" s="76" customFormat="1">
      <c r="A168" s="39" t="s">
        <v>64</v>
      </c>
      <c r="B168" s="41">
        <v>43312</v>
      </c>
      <c r="C168" s="44">
        <v>5</v>
      </c>
      <c r="D168" s="78" t="s">
        <v>637</v>
      </c>
      <c r="E168" s="9" t="s">
        <v>414</v>
      </c>
      <c r="F168" s="40">
        <v>44424</v>
      </c>
      <c r="G168" s="40">
        <v>44439</v>
      </c>
      <c r="H168" s="40">
        <v>44442</v>
      </c>
      <c r="I168" s="46">
        <v>0.02</v>
      </c>
      <c r="J168" s="36">
        <v>0.1</v>
      </c>
      <c r="K168" s="42" t="s">
        <v>5</v>
      </c>
    </row>
    <row r="169" spans="1:11" s="76" customFormat="1">
      <c r="A169" s="39" t="s">
        <v>32</v>
      </c>
      <c r="B169" s="41">
        <v>42591</v>
      </c>
      <c r="C169" s="44">
        <v>5</v>
      </c>
      <c r="D169" s="78" t="s">
        <v>647</v>
      </c>
      <c r="E169" s="9" t="s">
        <v>414</v>
      </c>
      <c r="F169" s="40">
        <v>44424</v>
      </c>
      <c r="G169" s="40">
        <v>44439</v>
      </c>
      <c r="H169" s="40">
        <v>44442</v>
      </c>
      <c r="I169" s="46">
        <v>0.02</v>
      </c>
      <c r="J169" s="36">
        <v>0.1</v>
      </c>
      <c r="K169" s="42" t="s">
        <v>5</v>
      </c>
    </row>
    <row r="170" spans="1:11" s="76" customFormat="1">
      <c r="A170" s="39" t="s">
        <v>179</v>
      </c>
      <c r="B170" s="41">
        <v>43544</v>
      </c>
      <c r="C170" s="44">
        <v>5</v>
      </c>
      <c r="D170" s="78" t="s">
        <v>180</v>
      </c>
      <c r="E170" s="9" t="s">
        <v>410</v>
      </c>
      <c r="F170" s="40">
        <v>44469</v>
      </c>
      <c r="G170" s="40">
        <v>44470</v>
      </c>
      <c r="H170" s="40">
        <v>44475</v>
      </c>
      <c r="I170" s="46">
        <v>4.4999999999999997E-3</v>
      </c>
      <c r="J170" s="36">
        <v>5.7000000000000002E-3</v>
      </c>
      <c r="K170" s="42" t="s">
        <v>8</v>
      </c>
    </row>
    <row r="171" spans="1:11" s="76" customFormat="1" ht="25.5">
      <c r="A171" s="39" t="s">
        <v>103</v>
      </c>
      <c r="B171" s="41">
        <v>41281</v>
      </c>
      <c r="C171" s="44">
        <v>5</v>
      </c>
      <c r="D171" s="78" t="s">
        <v>573</v>
      </c>
      <c r="E171" s="9" t="s">
        <v>410</v>
      </c>
      <c r="F171" s="40">
        <v>44469</v>
      </c>
      <c r="G171" s="40">
        <v>44470</v>
      </c>
      <c r="H171" s="40">
        <v>44475</v>
      </c>
      <c r="I171" s="46">
        <v>1E-3</v>
      </c>
      <c r="J171" s="36">
        <v>1.9E-3</v>
      </c>
      <c r="K171" s="42" t="s">
        <v>498</v>
      </c>
    </row>
    <row r="172" spans="1:11" s="76" customFormat="1" ht="25.5">
      <c r="A172" s="39" t="s">
        <v>106</v>
      </c>
      <c r="B172" s="41">
        <v>41281</v>
      </c>
      <c r="C172" s="44">
        <v>5</v>
      </c>
      <c r="D172" s="78" t="s">
        <v>574</v>
      </c>
      <c r="E172" s="9" t="s">
        <v>410</v>
      </c>
      <c r="F172" s="40">
        <v>44469</v>
      </c>
      <c r="G172" s="40">
        <v>44470</v>
      </c>
      <c r="H172" s="40">
        <v>44475</v>
      </c>
      <c r="I172" s="46">
        <v>1E-3</v>
      </c>
      <c r="J172" s="36">
        <v>1.5E-3</v>
      </c>
      <c r="K172" s="42" t="s">
        <v>498</v>
      </c>
    </row>
    <row r="173" spans="1:11" s="76" customFormat="1" ht="25.5">
      <c r="A173" s="39" t="s">
        <v>322</v>
      </c>
      <c r="B173" s="41">
        <v>43735</v>
      </c>
      <c r="C173" s="44">
        <v>5</v>
      </c>
      <c r="D173" s="78" t="s">
        <v>578</v>
      </c>
      <c r="E173" s="9" t="s">
        <v>422</v>
      </c>
      <c r="F173" s="40">
        <v>44469</v>
      </c>
      <c r="G173" s="40">
        <v>44484</v>
      </c>
      <c r="H173" s="40">
        <v>44489</v>
      </c>
      <c r="I173" s="46" t="s">
        <v>562</v>
      </c>
      <c r="J173" s="36">
        <v>0.16980000000000001</v>
      </c>
      <c r="K173" s="42" t="s">
        <v>328</v>
      </c>
    </row>
    <row r="174" spans="1:11" s="76" customFormat="1" ht="25.5">
      <c r="A174" s="39" t="s">
        <v>323</v>
      </c>
      <c r="B174" s="41">
        <v>43735</v>
      </c>
      <c r="C174" s="44">
        <v>5</v>
      </c>
      <c r="D174" s="78" t="s">
        <v>577</v>
      </c>
      <c r="E174" s="9" t="s">
        <v>414</v>
      </c>
      <c r="F174" s="40">
        <v>44469</v>
      </c>
      <c r="G174" s="40">
        <v>44484</v>
      </c>
      <c r="H174" s="40">
        <v>44489</v>
      </c>
      <c r="I174" s="46">
        <v>1.55E-2</v>
      </c>
      <c r="J174" s="36">
        <v>7.7499999999999999E-2</v>
      </c>
      <c r="K174" s="42" t="s">
        <v>328</v>
      </c>
    </row>
    <row r="175" spans="1:11" s="76" customFormat="1" ht="25.5">
      <c r="A175" s="39" t="s">
        <v>321</v>
      </c>
      <c r="B175" s="41">
        <v>43735</v>
      </c>
      <c r="C175" s="44">
        <v>5</v>
      </c>
      <c r="D175" s="78" t="s">
        <v>579</v>
      </c>
      <c r="E175" s="9" t="s">
        <v>422</v>
      </c>
      <c r="F175" s="40">
        <v>44469</v>
      </c>
      <c r="G175" s="40">
        <v>44484</v>
      </c>
      <c r="H175" s="40">
        <v>44489</v>
      </c>
      <c r="I175" s="46" t="s">
        <v>563</v>
      </c>
      <c r="J175" s="36">
        <v>0.1792</v>
      </c>
      <c r="K175" s="42" t="s">
        <v>328</v>
      </c>
    </row>
    <row r="176" spans="1:11" s="76" customFormat="1">
      <c r="A176" s="39" t="s">
        <v>546</v>
      </c>
      <c r="B176" s="41">
        <v>44104</v>
      </c>
      <c r="C176" s="44">
        <v>5</v>
      </c>
      <c r="D176" s="78" t="s">
        <v>642</v>
      </c>
      <c r="E176" s="9" t="s">
        <v>414</v>
      </c>
      <c r="F176" s="40">
        <v>44469</v>
      </c>
      <c r="G176" s="40">
        <v>44484</v>
      </c>
      <c r="H176" s="40">
        <v>44489</v>
      </c>
      <c r="I176" s="46">
        <v>0.01</v>
      </c>
      <c r="J176" s="36">
        <v>0.05</v>
      </c>
      <c r="K176" s="42" t="s">
        <v>5</v>
      </c>
    </row>
    <row r="177" spans="1:11" s="76" customFormat="1">
      <c r="A177" s="39" t="s">
        <v>545</v>
      </c>
      <c r="B177" s="41">
        <v>44104</v>
      </c>
      <c r="C177" s="44">
        <v>5</v>
      </c>
      <c r="D177" s="78" t="s">
        <v>643</v>
      </c>
      <c r="E177" s="9" t="s">
        <v>414</v>
      </c>
      <c r="F177" s="40">
        <v>44469</v>
      </c>
      <c r="G177" s="40">
        <v>44484</v>
      </c>
      <c r="H177" s="40">
        <v>44489</v>
      </c>
      <c r="I177" s="46">
        <v>8.0000000000000002E-3</v>
      </c>
      <c r="J177" s="36">
        <v>0.04</v>
      </c>
      <c r="K177" s="42" t="s">
        <v>5</v>
      </c>
    </row>
    <row r="178" spans="1:11" s="76" customFormat="1">
      <c r="A178" s="39" t="s">
        <v>66</v>
      </c>
      <c r="B178" s="41">
        <v>43371</v>
      </c>
      <c r="C178" s="44">
        <v>5</v>
      </c>
      <c r="D178" s="78" t="s">
        <v>652</v>
      </c>
      <c r="E178" s="9" t="s">
        <v>414</v>
      </c>
      <c r="F178" s="40">
        <v>44469</v>
      </c>
      <c r="G178" s="40">
        <v>44484</v>
      </c>
      <c r="H178" s="40">
        <v>44489</v>
      </c>
      <c r="I178" s="46">
        <v>1.7000000000000001E-2</v>
      </c>
      <c r="J178" s="36">
        <v>8.5000000000000006E-2</v>
      </c>
      <c r="K178" s="42" t="s">
        <v>5</v>
      </c>
    </row>
    <row r="179" spans="1:11" s="76" customFormat="1">
      <c r="A179" s="39" t="s">
        <v>544</v>
      </c>
      <c r="B179" s="41">
        <v>44104</v>
      </c>
      <c r="C179" s="44">
        <v>5</v>
      </c>
      <c r="D179" s="78" t="s">
        <v>641</v>
      </c>
      <c r="E179" s="9" t="s">
        <v>422</v>
      </c>
      <c r="F179" s="40">
        <v>44469</v>
      </c>
      <c r="G179" s="40">
        <v>44484</v>
      </c>
      <c r="H179" s="40">
        <v>44489</v>
      </c>
      <c r="I179" s="46" t="s">
        <v>565</v>
      </c>
      <c r="J179" s="36">
        <v>7.0699999999999999E-2</v>
      </c>
      <c r="K179" s="42" t="s">
        <v>5</v>
      </c>
    </row>
    <row r="180" spans="1:11" s="76" customFormat="1">
      <c r="A180" s="39" t="s">
        <v>33</v>
      </c>
      <c r="B180" s="41">
        <v>42643</v>
      </c>
      <c r="C180" s="44">
        <v>5</v>
      </c>
      <c r="D180" s="78" t="s">
        <v>651</v>
      </c>
      <c r="E180" s="9" t="s">
        <v>414</v>
      </c>
      <c r="F180" s="40">
        <v>44469</v>
      </c>
      <c r="G180" s="40">
        <v>44484</v>
      </c>
      <c r="H180" s="40">
        <v>44489</v>
      </c>
      <c r="I180" s="46">
        <v>0.02</v>
      </c>
      <c r="J180" s="36">
        <v>0.1</v>
      </c>
      <c r="K180" s="42" t="s">
        <v>5</v>
      </c>
    </row>
    <row r="181" spans="1:11" s="76" customFormat="1">
      <c r="A181" s="39" t="s">
        <v>47</v>
      </c>
      <c r="B181" s="41">
        <v>43007</v>
      </c>
      <c r="C181" s="44">
        <v>5</v>
      </c>
      <c r="D181" s="78" t="s">
        <v>650</v>
      </c>
      <c r="E181" s="9" t="s">
        <v>414</v>
      </c>
      <c r="F181" s="40">
        <v>44469</v>
      </c>
      <c r="G181" s="40">
        <v>44484</v>
      </c>
      <c r="H181" s="40">
        <v>44489</v>
      </c>
      <c r="I181" s="46">
        <v>0.02</v>
      </c>
      <c r="J181" s="36">
        <v>0.1</v>
      </c>
      <c r="K181" s="42" t="s">
        <v>5</v>
      </c>
    </row>
    <row r="182" spans="1:11" s="76" customFormat="1">
      <c r="A182" s="39" t="s">
        <v>65</v>
      </c>
      <c r="B182" s="41">
        <v>43371</v>
      </c>
      <c r="C182" s="44">
        <v>5</v>
      </c>
      <c r="D182" s="78" t="s">
        <v>653</v>
      </c>
      <c r="E182" s="9" t="s">
        <v>414</v>
      </c>
      <c r="F182" s="40">
        <v>44469</v>
      </c>
      <c r="G182" s="40">
        <v>44484</v>
      </c>
      <c r="H182" s="40">
        <v>44489</v>
      </c>
      <c r="I182" s="46">
        <v>0.02</v>
      </c>
      <c r="J182" s="36">
        <v>0.1</v>
      </c>
      <c r="K182" s="42" t="s">
        <v>5</v>
      </c>
    </row>
    <row r="183" spans="1:11" s="76" customFormat="1">
      <c r="A183" s="39" t="s">
        <v>82</v>
      </c>
      <c r="B183" s="41">
        <v>42220</v>
      </c>
      <c r="C183" s="44">
        <v>100</v>
      </c>
      <c r="D183" s="78" t="s">
        <v>597</v>
      </c>
      <c r="E183" s="9" t="s">
        <v>414</v>
      </c>
      <c r="F183" s="40">
        <v>44473</v>
      </c>
      <c r="G183" s="40">
        <v>44474</v>
      </c>
      <c r="H183" s="40">
        <v>44477</v>
      </c>
      <c r="I183" s="46"/>
      <c r="J183" s="36">
        <v>0</v>
      </c>
      <c r="K183" s="42" t="s">
        <v>6</v>
      </c>
    </row>
    <row r="184" spans="1:11" s="76" customFormat="1">
      <c r="A184" s="39" t="s">
        <v>48</v>
      </c>
      <c r="B184" s="41">
        <v>43035</v>
      </c>
      <c r="C184" s="44">
        <v>5</v>
      </c>
      <c r="D184" s="78" t="s">
        <v>654</v>
      </c>
      <c r="E184" s="9" t="s">
        <v>414</v>
      </c>
      <c r="F184" s="40">
        <v>44498</v>
      </c>
      <c r="G184" s="40">
        <v>44515</v>
      </c>
      <c r="H184" s="40">
        <v>44518</v>
      </c>
      <c r="I184" s="46">
        <v>0.02</v>
      </c>
      <c r="J184" s="36">
        <v>0.1</v>
      </c>
      <c r="K184" s="42" t="s">
        <v>5</v>
      </c>
    </row>
    <row r="185" spans="1:11" s="76" customFormat="1" ht="25.5">
      <c r="A185" s="39" t="s">
        <v>326</v>
      </c>
      <c r="B185" s="41">
        <v>43769</v>
      </c>
      <c r="C185" s="44">
        <v>5</v>
      </c>
      <c r="D185" s="78" t="s">
        <v>656</v>
      </c>
      <c r="E185" s="9" t="s">
        <v>422</v>
      </c>
      <c r="F185" s="40">
        <v>44515</v>
      </c>
      <c r="G185" s="40">
        <v>44530</v>
      </c>
      <c r="H185" s="40">
        <v>44533</v>
      </c>
      <c r="I185" s="46" t="s">
        <v>522</v>
      </c>
      <c r="J185" s="36">
        <v>0.17299999999999999</v>
      </c>
      <c r="K185" s="42" t="s">
        <v>329</v>
      </c>
    </row>
    <row r="186" spans="1:11" s="76" customFormat="1" ht="25.5">
      <c r="A186" s="39" t="s">
        <v>325</v>
      </c>
      <c r="B186" s="41">
        <v>43769</v>
      </c>
      <c r="C186" s="44">
        <v>5</v>
      </c>
      <c r="D186" s="78" t="s">
        <v>658</v>
      </c>
      <c r="E186" s="9" t="s">
        <v>414</v>
      </c>
      <c r="F186" s="40">
        <v>44515</v>
      </c>
      <c r="G186" s="40">
        <v>44530</v>
      </c>
      <c r="H186" s="40">
        <v>44533</v>
      </c>
      <c r="I186" s="46">
        <v>0.01</v>
      </c>
      <c r="J186" s="36">
        <v>0.05</v>
      </c>
      <c r="K186" s="42" t="s">
        <v>329</v>
      </c>
    </row>
    <row r="187" spans="1:11" s="76" customFormat="1" ht="25.5">
      <c r="A187" s="39" t="s">
        <v>324</v>
      </c>
      <c r="B187" s="41">
        <v>43769</v>
      </c>
      <c r="C187" s="44">
        <v>5</v>
      </c>
      <c r="D187" s="78" t="s">
        <v>657</v>
      </c>
      <c r="E187" s="9" t="s">
        <v>422</v>
      </c>
      <c r="F187" s="40">
        <v>44515</v>
      </c>
      <c r="G187" s="40">
        <v>44530</v>
      </c>
      <c r="H187" s="40">
        <v>44533</v>
      </c>
      <c r="I187" s="46" t="s">
        <v>661</v>
      </c>
      <c r="J187" s="36">
        <v>0.18279999999999999</v>
      </c>
      <c r="K187" s="42" t="s">
        <v>329</v>
      </c>
    </row>
    <row r="188" spans="1:11" s="76" customFormat="1">
      <c r="A188" s="39" t="s">
        <v>571</v>
      </c>
      <c r="B188" s="41">
        <v>44134</v>
      </c>
      <c r="C188" s="44">
        <v>5</v>
      </c>
      <c r="D188" s="78" t="s">
        <v>645</v>
      </c>
      <c r="E188" s="9" t="s">
        <v>414</v>
      </c>
      <c r="F188" s="40">
        <v>44515</v>
      </c>
      <c r="G188" s="40">
        <v>44530</v>
      </c>
      <c r="H188" s="40">
        <v>44533</v>
      </c>
      <c r="I188" s="46">
        <v>8.9999999999999993E-3</v>
      </c>
      <c r="J188" s="36">
        <v>4.4999999999999998E-2</v>
      </c>
      <c r="K188" s="42" t="s">
        <v>5</v>
      </c>
    </row>
    <row r="189" spans="1:11" s="76" customFormat="1">
      <c r="A189" s="39" t="s">
        <v>67</v>
      </c>
      <c r="B189" s="41">
        <v>43404</v>
      </c>
      <c r="C189" s="44">
        <v>5</v>
      </c>
      <c r="D189" s="78" t="s">
        <v>655</v>
      </c>
      <c r="E189" s="9" t="s">
        <v>414</v>
      </c>
      <c r="F189" s="40">
        <v>44515</v>
      </c>
      <c r="G189" s="40">
        <v>44530</v>
      </c>
      <c r="H189" s="40">
        <v>44533</v>
      </c>
      <c r="I189" s="46">
        <v>0.02</v>
      </c>
      <c r="J189" s="36">
        <v>0.1</v>
      </c>
      <c r="K189" s="42" t="s">
        <v>5</v>
      </c>
    </row>
    <row r="190" spans="1:11" s="76" customFormat="1">
      <c r="A190" s="39" t="s">
        <v>34</v>
      </c>
      <c r="B190" s="41">
        <v>42682</v>
      </c>
      <c r="C190" s="44">
        <v>5</v>
      </c>
      <c r="D190" s="78" t="s">
        <v>659</v>
      </c>
      <c r="E190" s="9" t="s">
        <v>414</v>
      </c>
      <c r="F190" s="40">
        <v>44515</v>
      </c>
      <c r="G190" s="40">
        <v>44530</v>
      </c>
      <c r="H190" s="40">
        <v>44533</v>
      </c>
      <c r="I190" s="46">
        <v>0.02</v>
      </c>
      <c r="J190" s="36">
        <v>0.1</v>
      </c>
      <c r="K190" s="42" t="s">
        <v>5</v>
      </c>
    </row>
    <row r="191" spans="1:11" s="76" customFormat="1" ht="25.5">
      <c r="A191" s="39" t="s">
        <v>331</v>
      </c>
      <c r="B191" s="41">
        <v>43798</v>
      </c>
      <c r="C191" s="44">
        <v>5</v>
      </c>
      <c r="D191" s="78" t="s">
        <v>665</v>
      </c>
      <c r="E191" s="9" t="s">
        <v>414</v>
      </c>
      <c r="F191" s="40">
        <v>44530</v>
      </c>
      <c r="G191" s="40">
        <v>44545</v>
      </c>
      <c r="H191" s="40">
        <v>44550</v>
      </c>
      <c r="I191" s="46">
        <v>1.0999999999999999E-2</v>
      </c>
      <c r="J191" s="36" t="s">
        <v>704</v>
      </c>
      <c r="K191" s="42" t="s">
        <v>329</v>
      </c>
    </row>
    <row r="192" spans="1:11" s="76" customFormat="1" ht="25.5">
      <c r="A192" s="39" t="s">
        <v>330</v>
      </c>
      <c r="B192" s="41">
        <v>43798</v>
      </c>
      <c r="C192" s="44">
        <v>5</v>
      </c>
      <c r="D192" s="78" t="s">
        <v>664</v>
      </c>
      <c r="E192" s="9" t="s">
        <v>422</v>
      </c>
      <c r="F192" s="40">
        <v>44530</v>
      </c>
      <c r="G192" s="40">
        <v>44545</v>
      </c>
      <c r="H192" s="40">
        <v>44548</v>
      </c>
      <c r="I192" s="46" t="s">
        <v>663</v>
      </c>
      <c r="J192" s="36" t="s">
        <v>703</v>
      </c>
      <c r="K192" s="42" t="s">
        <v>329</v>
      </c>
    </row>
    <row r="193" spans="1:11" s="76" customFormat="1" ht="25.5">
      <c r="A193" s="39" t="s">
        <v>332</v>
      </c>
      <c r="B193" s="41">
        <v>43798</v>
      </c>
      <c r="C193" s="44">
        <v>5</v>
      </c>
      <c r="D193" s="78" t="s">
        <v>660</v>
      </c>
      <c r="E193" s="9" t="s">
        <v>422</v>
      </c>
      <c r="F193" s="40">
        <v>44530</v>
      </c>
      <c r="G193" s="40">
        <v>44545</v>
      </c>
      <c r="H193" s="40">
        <v>44550</v>
      </c>
      <c r="I193" s="46" t="s">
        <v>662</v>
      </c>
      <c r="J193" s="36" t="s">
        <v>702</v>
      </c>
      <c r="K193" s="42" t="s">
        <v>329</v>
      </c>
    </row>
    <row r="194" spans="1:11" s="76" customFormat="1">
      <c r="A194" s="39" t="s">
        <v>69</v>
      </c>
      <c r="B194" s="41">
        <v>43434</v>
      </c>
      <c r="C194" s="44">
        <v>5.2</v>
      </c>
      <c r="D194" s="78" t="s">
        <v>666</v>
      </c>
      <c r="E194" s="9" t="s">
        <v>414</v>
      </c>
      <c r="F194" s="40">
        <v>44530</v>
      </c>
      <c r="G194" s="40">
        <v>44545</v>
      </c>
      <c r="H194" s="40">
        <v>44550</v>
      </c>
      <c r="I194" s="46">
        <v>1.7000000000000001E-2</v>
      </c>
      <c r="J194" s="36" t="s">
        <v>705</v>
      </c>
      <c r="K194" s="42" t="s">
        <v>5</v>
      </c>
    </row>
    <row r="195" spans="1:11" s="76" customFormat="1">
      <c r="A195" s="39" t="s">
        <v>564</v>
      </c>
      <c r="B195" s="41">
        <v>44134</v>
      </c>
      <c r="C195" s="44">
        <v>5</v>
      </c>
      <c r="D195" s="78" t="s">
        <v>644</v>
      </c>
      <c r="E195" s="9" t="s">
        <v>422</v>
      </c>
      <c r="F195" s="40">
        <v>44530</v>
      </c>
      <c r="G195" s="40">
        <v>44545</v>
      </c>
      <c r="H195" s="40">
        <v>44550</v>
      </c>
      <c r="I195" s="46" t="s">
        <v>572</v>
      </c>
      <c r="J195" s="36" t="s">
        <v>701</v>
      </c>
      <c r="K195" s="42" t="s">
        <v>5</v>
      </c>
    </row>
    <row r="196" spans="1:11" s="76" customFormat="1">
      <c r="A196" s="39" t="s">
        <v>49</v>
      </c>
      <c r="B196" s="41">
        <v>43084</v>
      </c>
      <c r="C196" s="44">
        <v>5</v>
      </c>
      <c r="D196" s="78" t="s">
        <v>667</v>
      </c>
      <c r="E196" s="9" t="s">
        <v>414</v>
      </c>
      <c r="F196" s="40">
        <v>44545</v>
      </c>
      <c r="G196" s="40">
        <v>44561</v>
      </c>
      <c r="H196" s="40">
        <v>44567</v>
      </c>
      <c r="I196" s="46">
        <v>0.02</v>
      </c>
      <c r="J196" s="36">
        <v>0.1</v>
      </c>
      <c r="K196" s="42" t="s">
        <v>5</v>
      </c>
    </row>
    <row r="197" spans="1:11" s="76" customFormat="1">
      <c r="A197" s="39" t="s">
        <v>50</v>
      </c>
      <c r="B197" s="41">
        <v>42724</v>
      </c>
      <c r="C197" s="44">
        <v>50</v>
      </c>
      <c r="D197" s="78" t="s">
        <v>580</v>
      </c>
      <c r="E197" s="9" t="s">
        <v>414</v>
      </c>
      <c r="F197" s="40">
        <v>44550</v>
      </c>
      <c r="G197" s="40">
        <v>44551</v>
      </c>
      <c r="H197" s="40">
        <v>44558</v>
      </c>
      <c r="I197" s="46">
        <v>2.5000000000000001E-2</v>
      </c>
      <c r="J197" s="36">
        <v>1.25</v>
      </c>
      <c r="K197" s="42"/>
    </row>
    <row r="198" spans="1:11" s="76" customFormat="1">
      <c r="A198" s="39" t="s">
        <v>179</v>
      </c>
      <c r="B198" s="41">
        <v>43544</v>
      </c>
      <c r="C198" s="44">
        <v>5</v>
      </c>
      <c r="D198" s="78" t="s">
        <v>180</v>
      </c>
      <c r="E198" s="9" t="s">
        <v>410</v>
      </c>
      <c r="F198" s="40">
        <v>44561</v>
      </c>
      <c r="G198" s="40">
        <v>44564</v>
      </c>
      <c r="H198" s="40">
        <v>44567</v>
      </c>
      <c r="I198" s="46">
        <v>4.4999999999999997E-3</v>
      </c>
      <c r="J198" s="36">
        <v>5.7000000000000002E-3</v>
      </c>
      <c r="K198" s="42" t="s">
        <v>8</v>
      </c>
    </row>
    <row r="199" spans="1:11" s="76" customFormat="1" ht="25.5">
      <c r="A199" s="39" t="s">
        <v>103</v>
      </c>
      <c r="B199" s="41">
        <v>41281</v>
      </c>
      <c r="C199" s="44">
        <v>5</v>
      </c>
      <c r="D199" s="78" t="s">
        <v>573</v>
      </c>
      <c r="E199" s="9" t="s">
        <v>410</v>
      </c>
      <c r="F199" s="40">
        <v>44561</v>
      </c>
      <c r="G199" s="40">
        <v>44564</v>
      </c>
      <c r="H199" s="40">
        <v>44567</v>
      </c>
      <c r="I199" s="46">
        <v>1E-3</v>
      </c>
      <c r="J199" s="36">
        <v>1.9E-3</v>
      </c>
      <c r="K199" s="42" t="s">
        <v>498</v>
      </c>
    </row>
    <row r="200" spans="1:11" s="76" customFormat="1" ht="25.5">
      <c r="A200" s="39" t="s">
        <v>106</v>
      </c>
      <c r="B200" s="41">
        <v>41281</v>
      </c>
      <c r="C200" s="44">
        <v>5</v>
      </c>
      <c r="D200" s="78" t="s">
        <v>574</v>
      </c>
      <c r="E200" s="9" t="s">
        <v>410</v>
      </c>
      <c r="F200" s="40">
        <v>44561</v>
      </c>
      <c r="G200" s="40">
        <v>44564</v>
      </c>
      <c r="H200" s="40">
        <v>44567</v>
      </c>
      <c r="I200" s="46">
        <v>1E-3</v>
      </c>
      <c r="J200" s="36">
        <v>1.5E-3</v>
      </c>
      <c r="K200" s="42" t="s">
        <v>498</v>
      </c>
    </row>
    <row r="201" spans="1:11" s="76" customFormat="1">
      <c r="A201" s="39" t="s">
        <v>570</v>
      </c>
      <c r="B201" s="41">
        <v>44183</v>
      </c>
      <c r="C201" s="44">
        <v>5</v>
      </c>
      <c r="D201" s="78" t="s">
        <v>646</v>
      </c>
      <c r="E201" s="9" t="s">
        <v>414</v>
      </c>
      <c r="F201" s="40">
        <v>44561</v>
      </c>
      <c r="G201" s="40">
        <v>44578</v>
      </c>
      <c r="H201" s="40">
        <v>44581</v>
      </c>
      <c r="I201" s="46">
        <v>5.4999999999999997E-3</v>
      </c>
      <c r="J201" s="36">
        <v>2.7500000000000004E-2</v>
      </c>
      <c r="K201" s="42" t="s">
        <v>5</v>
      </c>
    </row>
    <row r="202" spans="1:11" s="76" customFormat="1">
      <c r="A202" s="39" t="s">
        <v>520</v>
      </c>
      <c r="B202" s="41">
        <v>43819</v>
      </c>
      <c r="C202" s="44">
        <v>5</v>
      </c>
      <c r="D202" s="78" t="s">
        <v>588</v>
      </c>
      <c r="E202" s="9" t="s">
        <v>414</v>
      </c>
      <c r="F202" s="40">
        <v>44561</v>
      </c>
      <c r="G202" s="40">
        <v>44578</v>
      </c>
      <c r="H202" s="40">
        <v>44581</v>
      </c>
      <c r="I202" s="46">
        <v>8.0000000000000002E-3</v>
      </c>
      <c r="J202" s="36">
        <v>0.04</v>
      </c>
      <c r="K202" s="42" t="s">
        <v>5</v>
      </c>
    </row>
    <row r="203" spans="1:11" s="76" customFormat="1">
      <c r="A203" s="39" t="s">
        <v>35</v>
      </c>
      <c r="B203" s="41">
        <v>42720</v>
      </c>
      <c r="C203" s="44">
        <v>5</v>
      </c>
      <c r="D203" s="78" t="s">
        <v>668</v>
      </c>
      <c r="E203" s="9" t="s">
        <v>414</v>
      </c>
      <c r="F203" s="40">
        <v>44561</v>
      </c>
      <c r="G203" s="40">
        <v>44578</v>
      </c>
      <c r="H203" s="40">
        <v>44581</v>
      </c>
      <c r="I203" s="46">
        <v>0.02</v>
      </c>
      <c r="J203" s="36">
        <v>0.1</v>
      </c>
      <c r="K203" s="42" t="s">
        <v>5</v>
      </c>
    </row>
    <row r="204" spans="1:11" s="76" customFormat="1">
      <c r="A204" s="39" t="s">
        <v>68</v>
      </c>
      <c r="B204" s="41">
        <v>43454</v>
      </c>
      <c r="C204" s="44">
        <v>5</v>
      </c>
      <c r="D204" s="78" t="s">
        <v>587</v>
      </c>
      <c r="E204" s="9" t="s">
        <v>414</v>
      </c>
      <c r="F204" s="40">
        <v>44561</v>
      </c>
      <c r="G204" s="40">
        <v>44578</v>
      </c>
      <c r="H204" s="40">
        <v>44581</v>
      </c>
      <c r="I204" s="46">
        <v>0.02</v>
      </c>
      <c r="J204" s="36">
        <v>0.1</v>
      </c>
      <c r="K204" s="42" t="s">
        <v>5</v>
      </c>
    </row>
    <row r="205" spans="1:11" s="76" customFormat="1">
      <c r="A205" s="39" t="s">
        <v>598</v>
      </c>
      <c r="B205" s="41">
        <v>43100</v>
      </c>
      <c r="C205" s="44">
        <v>50</v>
      </c>
      <c r="D205" s="78" t="s">
        <v>599</v>
      </c>
      <c r="E205" s="9" t="s">
        <v>414</v>
      </c>
      <c r="F205" s="40">
        <v>44578</v>
      </c>
      <c r="G205" s="40">
        <v>44579</v>
      </c>
      <c r="H205" s="40">
        <v>44582</v>
      </c>
      <c r="I205" s="46">
        <v>0.02</v>
      </c>
      <c r="J205" s="36">
        <v>1</v>
      </c>
      <c r="K205" s="42"/>
    </row>
    <row r="206" spans="1:11" s="76" customFormat="1" ht="25.5">
      <c r="A206" s="39" t="s">
        <v>525</v>
      </c>
      <c r="B206" s="41">
        <v>43861</v>
      </c>
      <c r="C206" s="44">
        <v>5</v>
      </c>
      <c r="D206" s="78" t="s">
        <v>603</v>
      </c>
      <c r="E206" s="9" t="s">
        <v>422</v>
      </c>
      <c r="F206" s="40">
        <v>44592</v>
      </c>
      <c r="G206" s="40">
        <v>44607</v>
      </c>
      <c r="H206" s="40">
        <v>44610</v>
      </c>
      <c r="I206" s="46" t="s">
        <v>527</v>
      </c>
      <c r="J206" s="36">
        <v>0.15859999999999999</v>
      </c>
      <c r="K206" s="42" t="s">
        <v>329</v>
      </c>
    </row>
    <row r="207" spans="1:11" s="76" customFormat="1" ht="25.5">
      <c r="A207" s="39" t="s">
        <v>524</v>
      </c>
      <c r="B207" s="41">
        <v>43861</v>
      </c>
      <c r="C207" s="44">
        <v>5</v>
      </c>
      <c r="D207" s="78" t="s">
        <v>602</v>
      </c>
      <c r="E207" s="9" t="s">
        <v>414</v>
      </c>
      <c r="F207" s="40">
        <v>44592</v>
      </c>
      <c r="G207" s="40">
        <v>44607</v>
      </c>
      <c r="H207" s="40">
        <v>44610</v>
      </c>
      <c r="I207" s="46">
        <v>0.01</v>
      </c>
      <c r="J207" s="36">
        <v>0.05</v>
      </c>
      <c r="K207" s="42" t="s">
        <v>329</v>
      </c>
    </row>
    <row r="208" spans="1:11" s="76" customFormat="1" ht="25.5">
      <c r="A208" s="39" t="s">
        <v>526</v>
      </c>
      <c r="B208" s="41">
        <v>43861</v>
      </c>
      <c r="C208" s="44">
        <v>5</v>
      </c>
      <c r="D208" s="78" t="s">
        <v>604</v>
      </c>
      <c r="E208" s="9" t="s">
        <v>422</v>
      </c>
      <c r="F208" s="40">
        <v>44592</v>
      </c>
      <c r="G208" s="40">
        <v>44607</v>
      </c>
      <c r="H208" s="40">
        <v>44610</v>
      </c>
      <c r="I208" s="46" t="s">
        <v>528</v>
      </c>
      <c r="J208" s="36">
        <v>0.16839999999999999</v>
      </c>
      <c r="K208" s="42" t="s">
        <v>329</v>
      </c>
    </row>
    <row r="209" spans="1:11" s="76" customFormat="1">
      <c r="A209" s="39" t="s">
        <v>59</v>
      </c>
      <c r="B209" s="41">
        <v>43131</v>
      </c>
      <c r="C209" s="44">
        <v>5</v>
      </c>
      <c r="D209" s="78" t="s">
        <v>600</v>
      </c>
      <c r="E209" s="9" t="s">
        <v>414</v>
      </c>
      <c r="F209" s="40">
        <v>44592</v>
      </c>
      <c r="G209" s="40">
        <v>44607</v>
      </c>
      <c r="H209" s="40">
        <v>44610</v>
      </c>
      <c r="I209" s="46">
        <v>0.02</v>
      </c>
      <c r="J209" s="36">
        <v>0.1</v>
      </c>
      <c r="K209" s="42" t="s">
        <v>5</v>
      </c>
    </row>
    <row r="210" spans="1:11" s="76" customFormat="1">
      <c r="A210" s="39" t="s">
        <v>217</v>
      </c>
      <c r="B210" s="41">
        <v>43131</v>
      </c>
      <c r="C210" s="44">
        <v>5</v>
      </c>
      <c r="D210" s="78" t="s">
        <v>601</v>
      </c>
      <c r="E210" s="9" t="s">
        <v>414</v>
      </c>
      <c r="F210" s="40">
        <v>44592</v>
      </c>
      <c r="G210" s="40">
        <v>44607</v>
      </c>
      <c r="H210" s="40">
        <v>44610</v>
      </c>
      <c r="I210" s="46">
        <v>0.02</v>
      </c>
      <c r="J210" s="36">
        <v>0.1</v>
      </c>
      <c r="K210" s="42" t="s">
        <v>5</v>
      </c>
    </row>
    <row r="211" spans="1:11" s="76" customFormat="1">
      <c r="A211" s="39" t="s">
        <v>711</v>
      </c>
      <c r="B211" s="41">
        <v>44407</v>
      </c>
      <c r="C211" s="44">
        <v>5</v>
      </c>
      <c r="D211" s="78" t="s">
        <v>714</v>
      </c>
      <c r="E211" s="9" t="s">
        <v>414</v>
      </c>
      <c r="F211" s="40">
        <v>44606</v>
      </c>
      <c r="G211" s="40">
        <v>44607</v>
      </c>
      <c r="H211" s="40">
        <v>44610</v>
      </c>
      <c r="I211" s="46"/>
      <c r="J211" s="36">
        <v>2.4E-2</v>
      </c>
      <c r="K211" s="42"/>
    </row>
    <row r="212" spans="1:11" s="76" customFormat="1">
      <c r="A212" s="39" t="s">
        <v>712</v>
      </c>
      <c r="B212" s="41">
        <v>44407</v>
      </c>
      <c r="C212" s="44">
        <v>5</v>
      </c>
      <c r="D212" s="78" t="s">
        <v>715</v>
      </c>
      <c r="E212" s="9" t="s">
        <v>414</v>
      </c>
      <c r="F212" s="40">
        <v>44606</v>
      </c>
      <c r="G212" s="40">
        <v>44607</v>
      </c>
      <c r="H212" s="40">
        <v>44610</v>
      </c>
      <c r="I212" s="46"/>
      <c r="J212" s="36">
        <v>2.2800000000000001E-2</v>
      </c>
      <c r="K212" s="42"/>
    </row>
    <row r="213" spans="1:11" s="76" customFormat="1">
      <c r="A213" s="39" t="s">
        <v>713</v>
      </c>
      <c r="B213" s="41">
        <v>44407</v>
      </c>
      <c r="C213" s="44">
        <v>5</v>
      </c>
      <c r="D213" s="78" t="s">
        <v>716</v>
      </c>
      <c r="E213" s="9" t="s">
        <v>414</v>
      </c>
      <c r="F213" s="40">
        <v>44606</v>
      </c>
      <c r="G213" s="40">
        <v>44607</v>
      </c>
      <c r="H213" s="40">
        <v>44610</v>
      </c>
      <c r="I213" s="46"/>
      <c r="J213" s="36">
        <v>2.0500000000000001E-2</v>
      </c>
      <c r="K213" s="42"/>
    </row>
    <row r="214" spans="1:11" s="76" customFormat="1">
      <c r="A214" s="39" t="s">
        <v>523</v>
      </c>
      <c r="B214" s="41">
        <v>43875</v>
      </c>
      <c r="C214" s="44">
        <v>100</v>
      </c>
      <c r="D214" s="78" t="s">
        <v>530</v>
      </c>
      <c r="E214" s="9" t="s">
        <v>414</v>
      </c>
      <c r="F214" s="40">
        <v>44606</v>
      </c>
      <c r="G214" s="40">
        <v>44607</v>
      </c>
      <c r="H214" s="40">
        <v>44610</v>
      </c>
      <c r="I214" s="46"/>
      <c r="J214" s="36">
        <v>0</v>
      </c>
      <c r="K214" s="42" t="s">
        <v>129</v>
      </c>
    </row>
    <row r="215" spans="1:11" s="76" customFormat="1">
      <c r="A215" s="39" t="s">
        <v>117</v>
      </c>
      <c r="B215" s="41">
        <v>43511</v>
      </c>
      <c r="C215" s="44">
        <v>5</v>
      </c>
      <c r="D215" s="78" t="s">
        <v>119</v>
      </c>
      <c r="E215" s="9" t="s">
        <v>414</v>
      </c>
      <c r="F215" s="40">
        <v>44607</v>
      </c>
      <c r="G215" s="40">
        <v>44620</v>
      </c>
      <c r="H215" s="40">
        <v>44623</v>
      </c>
      <c r="I215" s="46">
        <v>1.7000000000000001E-2</v>
      </c>
      <c r="J215" s="36">
        <v>8.5000000000000006E-2</v>
      </c>
      <c r="K215" s="42" t="s">
        <v>5</v>
      </c>
    </row>
    <row r="216" spans="1:11" s="76" customFormat="1">
      <c r="A216" s="39" t="s">
        <v>529</v>
      </c>
      <c r="B216" s="41">
        <v>43875</v>
      </c>
      <c r="C216" s="44">
        <v>5</v>
      </c>
      <c r="D216" s="78" t="s">
        <v>606</v>
      </c>
      <c r="E216" s="9" t="s">
        <v>414</v>
      </c>
      <c r="F216" s="40">
        <v>44607</v>
      </c>
      <c r="G216" s="40">
        <v>44620</v>
      </c>
      <c r="H216" s="40">
        <v>44623</v>
      </c>
      <c r="I216" s="46">
        <v>8.0000000000000002E-3</v>
      </c>
      <c r="J216" s="36">
        <v>0.04</v>
      </c>
      <c r="K216" s="42" t="s">
        <v>5</v>
      </c>
    </row>
    <row r="217" spans="1:11" s="76" customFormat="1">
      <c r="A217" s="39" t="s">
        <v>78</v>
      </c>
      <c r="B217" s="41">
        <v>42787</v>
      </c>
      <c r="C217" s="44">
        <v>100</v>
      </c>
      <c r="D217" s="78" t="s">
        <v>589</v>
      </c>
      <c r="E217" s="9" t="s">
        <v>414</v>
      </c>
      <c r="F217" s="40">
        <v>44613</v>
      </c>
      <c r="G217" s="40">
        <v>44614</v>
      </c>
      <c r="H217" s="40">
        <v>44617</v>
      </c>
      <c r="I217" s="46"/>
      <c r="J217" s="36">
        <v>2.5</v>
      </c>
      <c r="K217" s="42" t="s">
        <v>6</v>
      </c>
    </row>
    <row r="218" spans="1:11" s="76" customFormat="1">
      <c r="A218" s="39" t="s">
        <v>41</v>
      </c>
      <c r="B218" s="41">
        <v>42787</v>
      </c>
      <c r="C218" s="44">
        <v>5</v>
      </c>
      <c r="D218" s="78" t="s">
        <v>607</v>
      </c>
      <c r="E218" s="9" t="s">
        <v>414</v>
      </c>
      <c r="F218" s="40">
        <v>44613</v>
      </c>
      <c r="G218" s="40">
        <v>44620</v>
      </c>
      <c r="H218" s="40">
        <v>44623</v>
      </c>
      <c r="I218" s="46">
        <v>0.02</v>
      </c>
      <c r="J218" s="36">
        <v>0.1</v>
      </c>
      <c r="K218" s="42" t="s">
        <v>5</v>
      </c>
    </row>
    <row r="219" spans="1:11" s="76" customFormat="1">
      <c r="A219" s="39" t="s">
        <v>499</v>
      </c>
      <c r="B219" s="41">
        <v>43518</v>
      </c>
      <c r="C219" s="44">
        <v>100</v>
      </c>
      <c r="D219" s="78" t="s">
        <v>550</v>
      </c>
      <c r="E219" s="9" t="s">
        <v>414</v>
      </c>
      <c r="F219" s="40">
        <v>44614</v>
      </c>
      <c r="G219" s="40">
        <v>44615</v>
      </c>
      <c r="H219" s="40">
        <v>44620</v>
      </c>
      <c r="I219" s="46"/>
      <c r="J219" s="36">
        <v>0</v>
      </c>
      <c r="K219" s="42" t="s">
        <v>6</v>
      </c>
    </row>
    <row r="220" spans="1:11" s="77" customFormat="1">
      <c r="A220" s="39" t="s">
        <v>318</v>
      </c>
      <c r="B220" s="41">
        <v>43524</v>
      </c>
      <c r="C220" s="44">
        <v>5</v>
      </c>
      <c r="D220" s="78" t="s">
        <v>575</v>
      </c>
      <c r="E220" s="9" t="s">
        <v>503</v>
      </c>
      <c r="F220" s="40">
        <v>44620</v>
      </c>
      <c r="G220" s="40">
        <v>44635</v>
      </c>
      <c r="H220" s="40">
        <v>44638</v>
      </c>
      <c r="I220" s="46" t="s">
        <v>710</v>
      </c>
      <c r="J220" s="36">
        <v>0.17630000000000001</v>
      </c>
      <c r="K220" s="42" t="s">
        <v>327</v>
      </c>
    </row>
    <row r="221" spans="1:11" s="77" customFormat="1" ht="25.5">
      <c r="A221" s="39" t="s">
        <v>531</v>
      </c>
      <c r="B221" s="41">
        <v>43889</v>
      </c>
      <c r="C221" s="44">
        <v>5</v>
      </c>
      <c r="D221" s="78" t="s">
        <v>609</v>
      </c>
      <c r="E221" s="9" t="s">
        <v>422</v>
      </c>
      <c r="F221" s="40">
        <v>44620</v>
      </c>
      <c r="G221" s="40">
        <v>44635</v>
      </c>
      <c r="H221" s="40">
        <v>44638</v>
      </c>
      <c r="I221" s="46" t="s">
        <v>533</v>
      </c>
      <c r="J221" s="36">
        <v>0.1777</v>
      </c>
      <c r="K221" s="42" t="s">
        <v>329</v>
      </c>
    </row>
    <row r="222" spans="1:11" s="77" customFormat="1" ht="25.5">
      <c r="A222" s="39" t="s">
        <v>532</v>
      </c>
      <c r="B222" s="41">
        <v>43889</v>
      </c>
      <c r="C222" s="44">
        <v>5</v>
      </c>
      <c r="D222" s="78" t="s">
        <v>610</v>
      </c>
      <c r="E222" s="9" t="s">
        <v>422</v>
      </c>
      <c r="F222" s="40">
        <v>44620</v>
      </c>
      <c r="G222" s="40">
        <v>44635</v>
      </c>
      <c r="H222" s="40">
        <v>44638</v>
      </c>
      <c r="I222" s="46" t="s">
        <v>534</v>
      </c>
      <c r="J222" s="36">
        <v>0.18770000000000001</v>
      </c>
      <c r="K222" s="42" t="s">
        <v>329</v>
      </c>
    </row>
    <row r="223" spans="1:11" s="77" customFormat="1">
      <c r="A223" s="39" t="s">
        <v>60</v>
      </c>
      <c r="B223" s="41">
        <v>43159</v>
      </c>
      <c r="C223" s="44">
        <v>5</v>
      </c>
      <c r="D223" s="78" t="s">
        <v>608</v>
      </c>
      <c r="E223" s="9" t="s">
        <v>414</v>
      </c>
      <c r="F223" s="40">
        <v>44620</v>
      </c>
      <c r="G223" s="40">
        <v>44635</v>
      </c>
      <c r="H223" s="40">
        <v>44638</v>
      </c>
      <c r="I223" s="46">
        <v>0.02</v>
      </c>
      <c r="J223" s="36">
        <v>0.1</v>
      </c>
      <c r="K223" s="42" t="s">
        <v>5</v>
      </c>
    </row>
    <row r="224" spans="1:11" s="77" customFormat="1">
      <c r="A224" s="39" t="s">
        <v>504</v>
      </c>
      <c r="B224" s="41">
        <v>43553</v>
      </c>
      <c r="C224" s="44">
        <v>100</v>
      </c>
      <c r="D224" s="78" t="s">
        <v>590</v>
      </c>
      <c r="E224" s="9" t="s">
        <v>414</v>
      </c>
      <c r="F224" s="40">
        <v>44649</v>
      </c>
      <c r="G224" s="40">
        <v>44650</v>
      </c>
      <c r="H224" s="40">
        <v>44655</v>
      </c>
      <c r="I224" s="46"/>
      <c r="J224" s="36">
        <v>0</v>
      </c>
      <c r="K224" s="42" t="s">
        <v>6</v>
      </c>
    </row>
    <row r="225" spans="1:11" s="77" customFormat="1">
      <c r="A225" s="39" t="s">
        <v>179</v>
      </c>
      <c r="B225" s="41">
        <v>43544</v>
      </c>
      <c r="C225" s="44">
        <v>5</v>
      </c>
      <c r="D225" s="78" t="s">
        <v>180</v>
      </c>
      <c r="E225" s="9" t="s">
        <v>410</v>
      </c>
      <c r="F225" s="40">
        <v>44651</v>
      </c>
      <c r="G225" s="40">
        <v>44652</v>
      </c>
      <c r="H225" s="40">
        <v>44657</v>
      </c>
      <c r="I225" s="46">
        <v>4.4999999999999997E-3</v>
      </c>
      <c r="J225" s="36">
        <v>5.7000000000000002E-3</v>
      </c>
      <c r="K225" s="42" t="s">
        <v>8</v>
      </c>
    </row>
    <row r="226" spans="1:11" s="77" customFormat="1" ht="25.5">
      <c r="A226" s="39" t="s">
        <v>103</v>
      </c>
      <c r="B226" s="41">
        <v>41281</v>
      </c>
      <c r="C226" s="44">
        <v>5</v>
      </c>
      <c r="D226" s="78" t="s">
        <v>573</v>
      </c>
      <c r="E226" s="9" t="s">
        <v>410</v>
      </c>
      <c r="F226" s="40">
        <v>44651</v>
      </c>
      <c r="G226" s="40">
        <v>44652</v>
      </c>
      <c r="H226" s="40">
        <v>44657</v>
      </c>
      <c r="I226" s="46">
        <v>1E-3</v>
      </c>
      <c r="J226" s="36">
        <v>1.8E-3</v>
      </c>
      <c r="K226" s="42" t="s">
        <v>498</v>
      </c>
    </row>
    <row r="227" spans="1:11" s="77" customFormat="1" ht="25.5">
      <c r="A227" s="39" t="s">
        <v>106</v>
      </c>
      <c r="B227" s="41">
        <v>41281</v>
      </c>
      <c r="C227" s="44">
        <v>5</v>
      </c>
      <c r="D227" s="78" t="s">
        <v>574</v>
      </c>
      <c r="E227" s="9" t="s">
        <v>410</v>
      </c>
      <c r="F227" s="40">
        <v>44651</v>
      </c>
      <c r="G227" s="40">
        <v>44652</v>
      </c>
      <c r="H227" s="40">
        <v>44657</v>
      </c>
      <c r="I227" s="46">
        <v>1E-3</v>
      </c>
      <c r="J227" s="36">
        <v>1.5E-3</v>
      </c>
      <c r="K227" s="42" t="s">
        <v>498</v>
      </c>
    </row>
    <row r="228" spans="1:11" s="77" customFormat="1" ht="25.5">
      <c r="A228" s="39" t="s">
        <v>536</v>
      </c>
      <c r="B228" s="41">
        <v>43921</v>
      </c>
      <c r="C228" s="44">
        <v>5</v>
      </c>
      <c r="D228" s="78" t="s">
        <v>617</v>
      </c>
      <c r="E228" s="9" t="s">
        <v>414</v>
      </c>
      <c r="F228" s="40">
        <v>44651</v>
      </c>
      <c r="G228" s="40">
        <v>44670</v>
      </c>
      <c r="H228" s="40">
        <v>44673</v>
      </c>
      <c r="I228" s="46">
        <v>3.5000000000000003E-2</v>
      </c>
      <c r="J228" s="36">
        <v>0.17499999999999999</v>
      </c>
      <c r="K228" s="42" t="s">
        <v>329</v>
      </c>
    </row>
    <row r="229" spans="1:11" s="77" customFormat="1" ht="25.5">
      <c r="A229" s="39" t="s">
        <v>537</v>
      </c>
      <c r="B229" s="41">
        <v>43921</v>
      </c>
      <c r="C229" s="44">
        <v>5</v>
      </c>
      <c r="D229" s="78" t="s">
        <v>617</v>
      </c>
      <c r="E229" s="9" t="s">
        <v>422</v>
      </c>
      <c r="F229" s="40">
        <v>44651</v>
      </c>
      <c r="G229" s="40">
        <v>44670</v>
      </c>
      <c r="H229" s="40">
        <v>44673</v>
      </c>
      <c r="I229" s="46" t="s">
        <v>538</v>
      </c>
      <c r="J229" s="36">
        <v>0.25259999999999999</v>
      </c>
      <c r="K229" s="42" t="s">
        <v>329</v>
      </c>
    </row>
    <row r="230" spans="1:11" s="77" customFormat="1" ht="25.5">
      <c r="A230" s="39" t="s">
        <v>679</v>
      </c>
      <c r="B230" s="41">
        <v>43921</v>
      </c>
      <c r="C230" s="44">
        <v>5</v>
      </c>
      <c r="D230" s="78" t="s">
        <v>616</v>
      </c>
      <c r="E230" s="9" t="s">
        <v>422</v>
      </c>
      <c r="F230" s="40">
        <v>44651</v>
      </c>
      <c r="G230" s="40">
        <v>44670</v>
      </c>
      <c r="H230" s="40">
        <v>44673</v>
      </c>
      <c r="I230" s="46" t="s">
        <v>539</v>
      </c>
      <c r="J230" s="36">
        <v>0.26269999999999999</v>
      </c>
      <c r="K230" s="42" t="s">
        <v>329</v>
      </c>
    </row>
    <row r="231" spans="1:11" s="77" customFormat="1">
      <c r="A231" s="39" t="s">
        <v>115</v>
      </c>
      <c r="B231" s="41">
        <v>43553</v>
      </c>
      <c r="C231" s="44">
        <v>5</v>
      </c>
      <c r="D231" s="78" t="s">
        <v>615</v>
      </c>
      <c r="E231" s="9" t="s">
        <v>414</v>
      </c>
      <c r="F231" s="40">
        <v>44651</v>
      </c>
      <c r="G231" s="40">
        <v>44670</v>
      </c>
      <c r="H231" s="40">
        <v>44673</v>
      </c>
      <c r="I231" s="46">
        <v>1.4E-2</v>
      </c>
      <c r="J231" s="36">
        <v>7.0000000000000007E-2</v>
      </c>
      <c r="K231" s="42" t="s">
        <v>5</v>
      </c>
    </row>
    <row r="232" spans="1:11" s="77" customFormat="1">
      <c r="A232" s="39" t="s">
        <v>116</v>
      </c>
      <c r="B232" s="41">
        <v>43553</v>
      </c>
      <c r="C232" s="44">
        <v>5</v>
      </c>
      <c r="D232" s="78" t="s">
        <v>612</v>
      </c>
      <c r="E232" s="9" t="s">
        <v>414</v>
      </c>
      <c r="F232" s="40">
        <v>44651</v>
      </c>
      <c r="G232" s="40">
        <v>44670</v>
      </c>
      <c r="H232" s="40">
        <v>44673</v>
      </c>
      <c r="I232" s="46">
        <v>1.4E-2</v>
      </c>
      <c r="J232" s="36">
        <v>7.0000000000000007E-2</v>
      </c>
      <c r="K232" s="42" t="s">
        <v>5</v>
      </c>
    </row>
    <row r="233" spans="1:11" s="77" customFormat="1">
      <c r="A233" s="39" t="s">
        <v>535</v>
      </c>
      <c r="B233" s="41">
        <v>43921</v>
      </c>
      <c r="C233" s="44">
        <v>5</v>
      </c>
      <c r="D233" s="78" t="s">
        <v>618</v>
      </c>
      <c r="E233" s="9" t="s">
        <v>414</v>
      </c>
      <c r="F233" s="40">
        <v>44651</v>
      </c>
      <c r="G233" s="40">
        <v>44670</v>
      </c>
      <c r="H233" s="40">
        <v>44673</v>
      </c>
      <c r="I233" s="46">
        <v>1.7999999999999999E-2</v>
      </c>
      <c r="J233" s="36">
        <v>0.09</v>
      </c>
      <c r="K233" s="42" t="s">
        <v>5</v>
      </c>
    </row>
    <row r="234" spans="1:11" s="77" customFormat="1">
      <c r="A234" s="39" t="s">
        <v>42</v>
      </c>
      <c r="B234" s="41">
        <v>42825</v>
      </c>
      <c r="C234" s="44">
        <v>5</v>
      </c>
      <c r="D234" s="78" t="s">
        <v>614</v>
      </c>
      <c r="E234" s="9" t="s">
        <v>414</v>
      </c>
      <c r="F234" s="40">
        <v>44651</v>
      </c>
      <c r="G234" s="40">
        <v>44670</v>
      </c>
      <c r="H234" s="40">
        <v>44673</v>
      </c>
      <c r="I234" s="46">
        <v>0.02</v>
      </c>
      <c r="J234" s="36">
        <v>0.1</v>
      </c>
      <c r="K234" s="42" t="s">
        <v>5</v>
      </c>
    </row>
    <row r="235" spans="1:11" s="77" customFormat="1">
      <c r="A235" s="39" t="s">
        <v>61</v>
      </c>
      <c r="B235" s="41">
        <v>43188</v>
      </c>
      <c r="C235" s="44">
        <v>5</v>
      </c>
      <c r="D235" s="78" t="s">
        <v>613</v>
      </c>
      <c r="E235" s="9" t="s">
        <v>414</v>
      </c>
      <c r="F235" s="40">
        <v>44651</v>
      </c>
      <c r="G235" s="40">
        <v>44670</v>
      </c>
      <c r="H235" s="40">
        <v>44673</v>
      </c>
      <c r="I235" s="46">
        <v>0.02</v>
      </c>
      <c r="J235" s="36">
        <v>0.1</v>
      </c>
      <c r="K235" s="42" t="s">
        <v>5</v>
      </c>
    </row>
    <row r="236" spans="1:11" s="77" customFormat="1">
      <c r="A236" s="39" t="s">
        <v>43</v>
      </c>
      <c r="B236" s="41">
        <v>42853</v>
      </c>
      <c r="C236" s="44">
        <v>5</v>
      </c>
      <c r="D236" s="78" t="s">
        <v>621</v>
      </c>
      <c r="E236" s="9" t="s">
        <v>414</v>
      </c>
      <c r="F236" s="40">
        <v>44679</v>
      </c>
      <c r="G236" s="40">
        <v>44680</v>
      </c>
      <c r="H236" s="40">
        <v>44685</v>
      </c>
      <c r="I236" s="46">
        <v>0.02</v>
      </c>
      <c r="J236" s="36">
        <v>0.1</v>
      </c>
      <c r="K236" s="42" t="s">
        <v>5</v>
      </c>
    </row>
    <row r="237" spans="1:11" s="77" customFormat="1">
      <c r="A237" s="39" t="s">
        <v>62</v>
      </c>
      <c r="B237" s="41">
        <v>43220</v>
      </c>
      <c r="C237" s="44">
        <v>5</v>
      </c>
      <c r="D237" s="78" t="s">
        <v>620</v>
      </c>
      <c r="E237" s="9" t="s">
        <v>414</v>
      </c>
      <c r="F237" s="40">
        <v>44697</v>
      </c>
      <c r="G237" s="40">
        <v>44712</v>
      </c>
      <c r="H237" s="40">
        <v>44715</v>
      </c>
      <c r="I237" s="46">
        <v>0.02</v>
      </c>
      <c r="J237" s="36">
        <v>0.1</v>
      </c>
      <c r="K237" s="42" t="s">
        <v>5</v>
      </c>
    </row>
    <row r="238" spans="1:11" s="77" customFormat="1">
      <c r="A238" s="39" t="s">
        <v>127</v>
      </c>
      <c r="B238" s="41">
        <v>43585</v>
      </c>
      <c r="C238" s="44">
        <v>5</v>
      </c>
      <c r="D238" s="78" t="s">
        <v>619</v>
      </c>
      <c r="E238" s="9" t="s">
        <v>414</v>
      </c>
      <c r="F238" s="40">
        <v>44697</v>
      </c>
      <c r="G238" s="40">
        <v>44712</v>
      </c>
      <c r="H238" s="40">
        <v>44715</v>
      </c>
      <c r="I238" s="46">
        <v>0.02</v>
      </c>
      <c r="J238" s="36">
        <v>0.1</v>
      </c>
      <c r="K238" s="42" t="s">
        <v>5</v>
      </c>
    </row>
    <row r="239" spans="1:11" s="77" customFormat="1">
      <c r="A239" s="39" t="s">
        <v>128</v>
      </c>
      <c r="B239" s="41">
        <v>43602</v>
      </c>
      <c r="C239" s="44">
        <v>100</v>
      </c>
      <c r="D239" s="78" t="s">
        <v>592</v>
      </c>
      <c r="E239" s="9" t="s">
        <v>414</v>
      </c>
      <c r="F239" s="40">
        <v>44698</v>
      </c>
      <c r="G239" s="40">
        <v>44699</v>
      </c>
      <c r="H239" s="40">
        <v>44704</v>
      </c>
      <c r="I239" s="46"/>
      <c r="J239" s="36">
        <v>0</v>
      </c>
      <c r="K239" s="42" t="s">
        <v>129</v>
      </c>
    </row>
    <row r="240" spans="1:11" s="77" customFormat="1">
      <c r="A240" s="39" t="s">
        <v>125</v>
      </c>
      <c r="B240" s="41">
        <v>43602</v>
      </c>
      <c r="C240" s="44">
        <v>5</v>
      </c>
      <c r="D240" s="78" t="s">
        <v>623</v>
      </c>
      <c r="E240" s="9" t="s">
        <v>414</v>
      </c>
      <c r="F240" s="40">
        <v>44712</v>
      </c>
      <c r="G240" s="40">
        <v>44727</v>
      </c>
      <c r="H240" s="40">
        <v>44732</v>
      </c>
      <c r="I240" s="46">
        <v>1.35E-2</v>
      </c>
      <c r="J240" s="36">
        <v>6.7500000000000004E-2</v>
      </c>
      <c r="K240" s="42" t="s">
        <v>5</v>
      </c>
    </row>
    <row r="241" spans="1:11" s="77" customFormat="1">
      <c r="A241" s="39" t="s">
        <v>126</v>
      </c>
      <c r="B241" s="41">
        <v>43602</v>
      </c>
      <c r="C241" s="44">
        <v>5</v>
      </c>
      <c r="D241" s="78" t="s">
        <v>624</v>
      </c>
      <c r="E241" s="9" t="s">
        <v>414</v>
      </c>
      <c r="F241" s="40">
        <v>44712</v>
      </c>
      <c r="G241" s="40">
        <v>44727</v>
      </c>
      <c r="H241" s="40">
        <v>44732</v>
      </c>
      <c r="I241" s="46">
        <v>1.35E-2</v>
      </c>
      <c r="J241" s="36">
        <v>6.7500000000000004E-2</v>
      </c>
      <c r="K241" s="42" t="s">
        <v>5</v>
      </c>
    </row>
    <row r="242" spans="1:11" s="77" customFormat="1">
      <c r="A242" s="39" t="s">
        <v>540</v>
      </c>
      <c r="B242" s="41">
        <v>43980</v>
      </c>
      <c r="C242" s="44">
        <v>5</v>
      </c>
      <c r="D242" s="78" t="s">
        <v>628</v>
      </c>
      <c r="E242" s="9" t="s">
        <v>414</v>
      </c>
      <c r="F242" s="40">
        <v>44712</v>
      </c>
      <c r="G242" s="40">
        <v>44727</v>
      </c>
      <c r="H242" s="40">
        <v>44732</v>
      </c>
      <c r="I242" s="46">
        <v>1.4999999999999999E-2</v>
      </c>
      <c r="J242" s="36">
        <v>7.4999999999999997E-2</v>
      </c>
      <c r="K242" s="42" t="s">
        <v>5</v>
      </c>
    </row>
    <row r="243" spans="1:11" s="77" customFormat="1">
      <c r="A243" s="39" t="s">
        <v>541</v>
      </c>
      <c r="B243" s="41">
        <v>43980</v>
      </c>
      <c r="C243" s="44">
        <v>5</v>
      </c>
      <c r="D243" s="78" t="s">
        <v>627</v>
      </c>
      <c r="E243" s="9" t="s">
        <v>414</v>
      </c>
      <c r="F243" s="40">
        <v>44712</v>
      </c>
      <c r="G243" s="40">
        <v>44727</v>
      </c>
      <c r="H243" s="40">
        <v>44732</v>
      </c>
      <c r="I243" s="46">
        <v>1.2999999999999999E-2</v>
      </c>
      <c r="J243" s="36">
        <v>6.5000000000000002E-2</v>
      </c>
      <c r="K243" s="42" t="s">
        <v>5</v>
      </c>
    </row>
    <row r="244" spans="1:11" s="77" customFormat="1">
      <c r="A244" s="39" t="s">
        <v>44</v>
      </c>
      <c r="B244" s="41">
        <v>42886</v>
      </c>
      <c r="C244" s="44">
        <v>5</v>
      </c>
      <c r="D244" s="78" t="s">
        <v>625</v>
      </c>
      <c r="E244" s="9" t="s">
        <v>414</v>
      </c>
      <c r="F244" s="40">
        <v>44712</v>
      </c>
      <c r="G244" s="40">
        <v>44727</v>
      </c>
      <c r="H244" s="40">
        <v>44732</v>
      </c>
      <c r="I244" s="46">
        <v>0.02</v>
      </c>
      <c r="J244" s="36">
        <v>0.1</v>
      </c>
      <c r="K244" s="42" t="s">
        <v>5</v>
      </c>
    </row>
    <row r="245" spans="1:11" s="77" customFormat="1">
      <c r="A245" s="39" t="s">
        <v>71</v>
      </c>
      <c r="B245" s="41">
        <v>43250</v>
      </c>
      <c r="C245" s="44">
        <v>5</v>
      </c>
      <c r="D245" s="78" t="s">
        <v>626</v>
      </c>
      <c r="E245" s="9" t="s">
        <v>414</v>
      </c>
      <c r="F245" s="40">
        <v>44712</v>
      </c>
      <c r="G245" s="40">
        <v>44727</v>
      </c>
      <c r="H245" s="40">
        <v>44732</v>
      </c>
      <c r="I245" s="46">
        <v>0.02</v>
      </c>
      <c r="J245" s="36">
        <v>0.1</v>
      </c>
      <c r="K245" s="42" t="s">
        <v>5</v>
      </c>
    </row>
    <row r="246" spans="1:11" s="77" customFormat="1">
      <c r="A246" s="50" t="s">
        <v>316</v>
      </c>
      <c r="B246" s="51">
        <v>43644</v>
      </c>
      <c r="C246" s="123">
        <v>100</v>
      </c>
      <c r="D246" s="124" t="s">
        <v>594</v>
      </c>
      <c r="E246" s="1" t="s">
        <v>414</v>
      </c>
      <c r="F246" s="53">
        <v>44740</v>
      </c>
      <c r="G246" s="53">
        <v>44741</v>
      </c>
      <c r="H246" s="53">
        <v>44746</v>
      </c>
      <c r="I246" s="125"/>
      <c r="J246" s="47">
        <v>0</v>
      </c>
      <c r="K246" s="48" t="s">
        <v>129</v>
      </c>
    </row>
    <row r="247" spans="1:11" s="77" customFormat="1">
      <c r="A247" s="50" t="s">
        <v>179</v>
      </c>
      <c r="B247" s="51">
        <v>43544</v>
      </c>
      <c r="C247" s="123">
        <v>5</v>
      </c>
      <c r="D247" s="124" t="s">
        <v>180</v>
      </c>
      <c r="E247" s="1" t="s">
        <v>410</v>
      </c>
      <c r="F247" s="53">
        <v>44742</v>
      </c>
      <c r="G247" s="53">
        <v>44743</v>
      </c>
      <c r="H247" s="53">
        <v>44748</v>
      </c>
      <c r="I247" s="125">
        <v>4.4999999999999997E-3</v>
      </c>
      <c r="J247" s="47">
        <v>5.7000000000000002E-3</v>
      </c>
      <c r="K247" s="48" t="s">
        <v>8</v>
      </c>
    </row>
    <row r="248" spans="1:11" s="77" customFormat="1" ht="25.5">
      <c r="A248" s="50" t="s">
        <v>103</v>
      </c>
      <c r="B248" s="51">
        <v>41281</v>
      </c>
      <c r="C248" s="123">
        <v>5</v>
      </c>
      <c r="D248" s="124" t="s">
        <v>573</v>
      </c>
      <c r="E248" s="1" t="s">
        <v>410</v>
      </c>
      <c r="F248" s="53">
        <v>44742</v>
      </c>
      <c r="G248" s="53">
        <v>44743</v>
      </c>
      <c r="H248" s="53">
        <v>44748</v>
      </c>
      <c r="I248" s="125">
        <v>1E-3</v>
      </c>
      <c r="J248" s="47">
        <v>1.8E-3</v>
      </c>
      <c r="K248" s="48" t="s">
        <v>498</v>
      </c>
    </row>
    <row r="249" spans="1:11" s="77" customFormat="1" ht="25.5">
      <c r="A249" s="50" t="s">
        <v>106</v>
      </c>
      <c r="B249" s="51">
        <v>41281</v>
      </c>
      <c r="C249" s="123">
        <v>5</v>
      </c>
      <c r="D249" s="124" t="s">
        <v>574</v>
      </c>
      <c r="E249" s="1" t="s">
        <v>410</v>
      </c>
      <c r="F249" s="53">
        <v>44742</v>
      </c>
      <c r="G249" s="53">
        <v>44743</v>
      </c>
      <c r="H249" s="53">
        <v>44748</v>
      </c>
      <c r="I249" s="125">
        <v>1E-3</v>
      </c>
      <c r="J249" s="47">
        <v>1.5E-3</v>
      </c>
      <c r="K249" s="48" t="s">
        <v>498</v>
      </c>
    </row>
    <row r="250" spans="1:11" s="77" customFormat="1">
      <c r="A250" s="50" t="s">
        <v>80</v>
      </c>
      <c r="B250" s="51">
        <v>42460</v>
      </c>
      <c r="C250" s="123">
        <v>100</v>
      </c>
      <c r="D250" s="124" t="s">
        <v>591</v>
      </c>
      <c r="E250" s="1" t="s">
        <v>414</v>
      </c>
      <c r="F250" s="53">
        <v>44742</v>
      </c>
      <c r="G250" s="53">
        <v>44743</v>
      </c>
      <c r="H250" s="53">
        <v>44748</v>
      </c>
      <c r="I250" s="125"/>
      <c r="J250" s="47">
        <v>0</v>
      </c>
      <c r="K250" s="48" t="s">
        <v>6</v>
      </c>
    </row>
    <row r="251" spans="1:11" s="77" customFormat="1">
      <c r="A251" s="39" t="s">
        <v>518</v>
      </c>
      <c r="B251" s="41">
        <v>43644</v>
      </c>
      <c r="C251" s="44">
        <v>5</v>
      </c>
      <c r="D251" s="78" t="s">
        <v>768</v>
      </c>
      <c r="E251" s="9" t="s">
        <v>422</v>
      </c>
      <c r="F251" s="40">
        <v>44742</v>
      </c>
      <c r="G251" s="40">
        <v>44757</v>
      </c>
      <c r="H251" s="40">
        <v>44762</v>
      </c>
      <c r="I251" s="46" t="s">
        <v>519</v>
      </c>
      <c r="J251" s="36">
        <v>0</v>
      </c>
      <c r="K251" s="42" t="s">
        <v>327</v>
      </c>
    </row>
    <row r="252" spans="1:11" s="77" customFormat="1">
      <c r="A252" s="39" t="s">
        <v>130</v>
      </c>
      <c r="B252" s="41">
        <v>43644</v>
      </c>
      <c r="C252" s="44">
        <v>5</v>
      </c>
      <c r="D252" s="78" t="s">
        <v>633</v>
      </c>
      <c r="E252" s="9" t="s">
        <v>414</v>
      </c>
      <c r="F252" s="40">
        <v>44742</v>
      </c>
      <c r="G252" s="40">
        <v>44757</v>
      </c>
      <c r="H252" s="40">
        <v>44762</v>
      </c>
      <c r="I252" s="46">
        <v>0.01</v>
      </c>
      <c r="J252" s="36">
        <v>0.05</v>
      </c>
      <c r="K252" s="42" t="s">
        <v>5</v>
      </c>
    </row>
    <row r="253" spans="1:11" s="77" customFormat="1">
      <c r="A253" s="39" t="s">
        <v>131</v>
      </c>
      <c r="B253" s="41">
        <v>43644</v>
      </c>
      <c r="C253" s="44">
        <v>5</v>
      </c>
      <c r="D253" s="78" t="s">
        <v>632</v>
      </c>
      <c r="E253" s="9" t="s">
        <v>414</v>
      </c>
      <c r="F253" s="40">
        <v>44742</v>
      </c>
      <c r="G253" s="40">
        <v>44757</v>
      </c>
      <c r="H253" s="40">
        <v>44762</v>
      </c>
      <c r="I253" s="46">
        <v>0.01</v>
      </c>
      <c r="J253" s="36">
        <v>0.05</v>
      </c>
      <c r="K253" s="42" t="s">
        <v>5</v>
      </c>
    </row>
    <row r="254" spans="1:11" s="77" customFormat="1">
      <c r="A254" s="39" t="s">
        <v>542</v>
      </c>
      <c r="B254" s="41">
        <v>44002</v>
      </c>
      <c r="C254" s="44">
        <v>5</v>
      </c>
      <c r="D254" s="78" t="s">
        <v>635</v>
      </c>
      <c r="E254" s="9" t="s">
        <v>414</v>
      </c>
      <c r="F254" s="40">
        <v>44742</v>
      </c>
      <c r="G254" s="40">
        <v>44757</v>
      </c>
      <c r="H254" s="40">
        <v>44762</v>
      </c>
      <c r="I254" s="46">
        <v>1.4999999999999999E-2</v>
      </c>
      <c r="J254" s="36">
        <v>7.4999999999999997E-2</v>
      </c>
      <c r="K254" s="42" t="s">
        <v>5</v>
      </c>
    </row>
    <row r="255" spans="1:11" s="77" customFormat="1">
      <c r="A255" s="39" t="s">
        <v>543</v>
      </c>
      <c r="B255" s="41">
        <v>44002</v>
      </c>
      <c r="C255" s="44">
        <v>5</v>
      </c>
      <c r="D255" s="78" t="s">
        <v>634</v>
      </c>
      <c r="E255" s="9" t="s">
        <v>414</v>
      </c>
      <c r="F255" s="40">
        <v>44742</v>
      </c>
      <c r="G255" s="40">
        <v>44757</v>
      </c>
      <c r="H255" s="40">
        <v>44762</v>
      </c>
      <c r="I255" s="46">
        <v>1.2999999999999999E-2</v>
      </c>
      <c r="J255" s="36">
        <v>6.5000000000000002E-2</v>
      </c>
      <c r="K255" s="42" t="s">
        <v>5</v>
      </c>
    </row>
    <row r="256" spans="1:11" s="77" customFormat="1">
      <c r="A256" s="39" t="s">
        <v>45</v>
      </c>
      <c r="B256" s="41">
        <v>42916</v>
      </c>
      <c r="C256" s="44">
        <v>5</v>
      </c>
      <c r="D256" s="78" t="s">
        <v>630</v>
      </c>
      <c r="E256" s="9" t="s">
        <v>414</v>
      </c>
      <c r="F256" s="40">
        <v>44742</v>
      </c>
      <c r="G256" s="40">
        <v>44757</v>
      </c>
      <c r="H256" s="40">
        <v>44762</v>
      </c>
      <c r="I256" s="46">
        <v>0.02</v>
      </c>
      <c r="J256" s="36">
        <v>0.1</v>
      </c>
      <c r="K256" s="42" t="s">
        <v>5</v>
      </c>
    </row>
    <row r="257" spans="1:13" s="77" customFormat="1">
      <c r="A257" s="39" t="s">
        <v>63</v>
      </c>
      <c r="B257" s="41">
        <v>43280</v>
      </c>
      <c r="C257" s="44">
        <v>5</v>
      </c>
      <c r="D257" s="78" t="s">
        <v>631</v>
      </c>
      <c r="E257" s="9" t="s">
        <v>414</v>
      </c>
      <c r="F257" s="40">
        <v>44742</v>
      </c>
      <c r="G257" s="40">
        <v>44757</v>
      </c>
      <c r="H257" s="40">
        <v>44762</v>
      </c>
      <c r="I257" s="46">
        <v>0.02</v>
      </c>
      <c r="J257" s="36">
        <v>0.1</v>
      </c>
      <c r="K257" s="42" t="s">
        <v>5</v>
      </c>
    </row>
    <row r="258" spans="1:13" s="77" customFormat="1">
      <c r="A258" s="39" t="s">
        <v>46</v>
      </c>
      <c r="B258" s="41">
        <v>42943</v>
      </c>
      <c r="C258" s="44">
        <v>5</v>
      </c>
      <c r="D258" s="78" t="s">
        <v>636</v>
      </c>
      <c r="E258" s="9" t="s">
        <v>414</v>
      </c>
      <c r="F258" s="40">
        <v>44769</v>
      </c>
      <c r="G258" s="40">
        <v>44771</v>
      </c>
      <c r="H258" s="40">
        <v>44776</v>
      </c>
      <c r="I258" s="46">
        <v>0.02</v>
      </c>
      <c r="J258" s="36">
        <v>0.1</v>
      </c>
      <c r="K258" s="42" t="s">
        <v>5</v>
      </c>
    </row>
    <row r="259" spans="1:13" s="77" customFormat="1">
      <c r="A259" s="39" t="s">
        <v>317</v>
      </c>
      <c r="B259" s="41">
        <v>43686</v>
      </c>
      <c r="C259" s="44">
        <v>100</v>
      </c>
      <c r="D259" s="78" t="s">
        <v>893</v>
      </c>
      <c r="E259" s="9" t="s">
        <v>414</v>
      </c>
      <c r="F259" s="40">
        <v>44782</v>
      </c>
      <c r="G259" s="40">
        <v>44783</v>
      </c>
      <c r="H259" s="40">
        <v>44789</v>
      </c>
      <c r="I259" s="46"/>
      <c r="J259" s="36">
        <v>2.5</v>
      </c>
      <c r="K259" s="42" t="s">
        <v>129</v>
      </c>
    </row>
    <row r="260" spans="1:13" s="77" customFormat="1">
      <c r="A260" s="50" t="s">
        <v>319</v>
      </c>
      <c r="B260" s="51">
        <v>43735</v>
      </c>
      <c r="C260" s="123">
        <v>5</v>
      </c>
      <c r="D260" s="124" t="s">
        <v>648</v>
      </c>
      <c r="E260" s="1" t="s">
        <v>414</v>
      </c>
      <c r="F260" s="53">
        <v>44789</v>
      </c>
      <c r="G260" s="53">
        <v>44804</v>
      </c>
      <c r="H260" s="53">
        <v>44809</v>
      </c>
      <c r="I260" s="125">
        <v>8.9999999999999993E-3</v>
      </c>
      <c r="J260" s="47">
        <v>4.4999999999999998E-2</v>
      </c>
      <c r="K260" s="48" t="s">
        <v>5</v>
      </c>
      <c r="M260" s="77" t="s">
        <v>639</v>
      </c>
    </row>
    <row r="261" spans="1:13" s="77" customFormat="1">
      <c r="A261" s="50" t="s">
        <v>320</v>
      </c>
      <c r="B261" s="51">
        <v>43735</v>
      </c>
      <c r="C261" s="123">
        <v>5</v>
      </c>
      <c r="D261" s="124" t="s">
        <v>649</v>
      </c>
      <c r="E261" s="1" t="s">
        <v>414</v>
      </c>
      <c r="F261" s="53">
        <v>44789</v>
      </c>
      <c r="G261" s="53">
        <v>44804</v>
      </c>
      <c r="H261" s="53">
        <v>44809</v>
      </c>
      <c r="I261" s="125">
        <v>8.9999999999999993E-3</v>
      </c>
      <c r="J261" s="47">
        <v>4.4999999999999998E-2</v>
      </c>
      <c r="K261" s="48" t="s">
        <v>5</v>
      </c>
    </row>
    <row r="262" spans="1:13" s="77" customFormat="1">
      <c r="A262" s="50" t="s">
        <v>547</v>
      </c>
      <c r="B262" s="51">
        <v>44043</v>
      </c>
      <c r="C262" s="123">
        <v>5</v>
      </c>
      <c r="D262" s="124" t="s">
        <v>638</v>
      </c>
      <c r="E262" s="1" t="s">
        <v>422</v>
      </c>
      <c r="F262" s="53">
        <v>44789</v>
      </c>
      <c r="G262" s="53">
        <v>44804</v>
      </c>
      <c r="H262" s="53">
        <v>44809</v>
      </c>
      <c r="I262" s="125" t="s">
        <v>549</v>
      </c>
      <c r="J262" s="47">
        <v>8.2299999999999998E-2</v>
      </c>
      <c r="K262" s="48" t="s">
        <v>5</v>
      </c>
    </row>
    <row r="263" spans="1:13" s="77" customFormat="1">
      <c r="A263" s="50" t="s">
        <v>548</v>
      </c>
      <c r="B263" s="51">
        <v>44043</v>
      </c>
      <c r="C263" s="123">
        <v>5</v>
      </c>
      <c r="D263" s="124" t="s">
        <v>640</v>
      </c>
      <c r="E263" s="1" t="s">
        <v>414</v>
      </c>
      <c r="F263" s="53">
        <v>44789</v>
      </c>
      <c r="G263" s="53">
        <v>44804</v>
      </c>
      <c r="H263" s="53">
        <v>44809</v>
      </c>
      <c r="I263" s="125">
        <v>6.0000000000000001E-3</v>
      </c>
      <c r="J263" s="47">
        <v>0.03</v>
      </c>
      <c r="K263" s="48" t="s">
        <v>5</v>
      </c>
    </row>
    <row r="264" spans="1:13" s="77" customFormat="1">
      <c r="A264" s="50" t="s">
        <v>64</v>
      </c>
      <c r="B264" s="51">
        <v>43312</v>
      </c>
      <c r="C264" s="123">
        <v>5</v>
      </c>
      <c r="D264" s="124" t="s">
        <v>637</v>
      </c>
      <c r="E264" s="1" t="s">
        <v>414</v>
      </c>
      <c r="F264" s="53">
        <v>44789</v>
      </c>
      <c r="G264" s="53">
        <v>44804</v>
      </c>
      <c r="H264" s="53">
        <v>44809</v>
      </c>
      <c r="I264" s="125">
        <v>0.02</v>
      </c>
      <c r="J264" s="47">
        <v>0.1</v>
      </c>
      <c r="K264" s="48" t="s">
        <v>5</v>
      </c>
    </row>
    <row r="265" spans="1:13" s="77" customFormat="1">
      <c r="A265" s="50" t="s">
        <v>47</v>
      </c>
      <c r="B265" s="51">
        <v>43007</v>
      </c>
      <c r="C265" s="123">
        <v>5</v>
      </c>
      <c r="D265" s="124" t="s">
        <v>650</v>
      </c>
      <c r="E265" s="1" t="s">
        <v>414</v>
      </c>
      <c r="F265" s="53">
        <v>44833</v>
      </c>
      <c r="G265" s="53">
        <v>44834</v>
      </c>
      <c r="H265" s="53">
        <v>44839</v>
      </c>
      <c r="I265" s="125">
        <v>0.02</v>
      </c>
      <c r="J265" s="47">
        <v>0.1</v>
      </c>
      <c r="K265" s="48" t="s">
        <v>5</v>
      </c>
    </row>
    <row r="266" spans="1:13" s="77" customFormat="1">
      <c r="A266" s="50" t="s">
        <v>179</v>
      </c>
      <c r="B266" s="51">
        <v>43544</v>
      </c>
      <c r="C266" s="123">
        <v>5</v>
      </c>
      <c r="D266" s="124" t="s">
        <v>180</v>
      </c>
      <c r="E266" s="1" t="s">
        <v>410</v>
      </c>
      <c r="F266" s="53">
        <v>44834</v>
      </c>
      <c r="G266" s="53">
        <v>44837</v>
      </c>
      <c r="H266" s="53">
        <v>44840</v>
      </c>
      <c r="I266" s="125">
        <v>4.4999999999999997E-3</v>
      </c>
      <c r="J266" s="47">
        <v>5.7000000000000002E-3</v>
      </c>
      <c r="K266" s="48" t="s">
        <v>8</v>
      </c>
    </row>
    <row r="267" spans="1:13" s="77" customFormat="1" ht="25.5">
      <c r="A267" s="50" t="s">
        <v>103</v>
      </c>
      <c r="B267" s="51">
        <v>41281</v>
      </c>
      <c r="C267" s="123">
        <v>5</v>
      </c>
      <c r="D267" s="124" t="s">
        <v>573</v>
      </c>
      <c r="E267" s="1" t="s">
        <v>410</v>
      </c>
      <c r="F267" s="53">
        <v>44834</v>
      </c>
      <c r="G267" s="53">
        <v>44837</v>
      </c>
      <c r="H267" s="53">
        <v>44840</v>
      </c>
      <c r="I267" s="125">
        <v>1E-3</v>
      </c>
      <c r="J267" s="47">
        <v>1.8E-3</v>
      </c>
      <c r="K267" s="48" t="s">
        <v>498</v>
      </c>
    </row>
    <row r="268" spans="1:13" s="77" customFormat="1" ht="25.5">
      <c r="A268" s="50" t="s">
        <v>106</v>
      </c>
      <c r="B268" s="51">
        <v>41281</v>
      </c>
      <c r="C268" s="123">
        <v>5</v>
      </c>
      <c r="D268" s="124" t="s">
        <v>574</v>
      </c>
      <c r="E268" s="1" t="s">
        <v>410</v>
      </c>
      <c r="F268" s="53">
        <v>44834</v>
      </c>
      <c r="G268" s="53">
        <v>44837</v>
      </c>
      <c r="H268" s="53">
        <v>44840</v>
      </c>
      <c r="I268" s="125">
        <v>1E-3</v>
      </c>
      <c r="J268" s="47">
        <v>1.5E-3</v>
      </c>
      <c r="K268" s="48" t="s">
        <v>498</v>
      </c>
    </row>
    <row r="269" spans="1:13" s="77" customFormat="1" ht="25.5">
      <c r="A269" s="50" t="s">
        <v>322</v>
      </c>
      <c r="B269" s="51">
        <v>43735</v>
      </c>
      <c r="C269" s="123">
        <v>5</v>
      </c>
      <c r="D269" s="124" t="s">
        <v>578</v>
      </c>
      <c r="E269" s="1" t="s">
        <v>422</v>
      </c>
      <c r="F269" s="53">
        <v>44834</v>
      </c>
      <c r="G269" s="53">
        <v>44851</v>
      </c>
      <c r="H269" s="53">
        <v>44854</v>
      </c>
      <c r="I269" s="125" t="s">
        <v>562</v>
      </c>
      <c r="J269" s="47">
        <v>0.20080000000000001</v>
      </c>
      <c r="K269" s="48" t="s">
        <v>328</v>
      </c>
    </row>
    <row r="270" spans="1:13" s="77" customFormat="1" ht="25.5">
      <c r="A270" s="50" t="s">
        <v>323</v>
      </c>
      <c r="B270" s="51">
        <v>43735</v>
      </c>
      <c r="C270" s="123">
        <v>5</v>
      </c>
      <c r="D270" s="124" t="s">
        <v>577</v>
      </c>
      <c r="E270" s="1" t="s">
        <v>414</v>
      </c>
      <c r="F270" s="53">
        <v>44834</v>
      </c>
      <c r="G270" s="53">
        <v>44851</v>
      </c>
      <c r="H270" s="53">
        <v>44854</v>
      </c>
      <c r="I270" s="125">
        <v>1.55E-2</v>
      </c>
      <c r="J270" s="47">
        <v>7.7499999999999999E-2</v>
      </c>
      <c r="K270" s="48" t="s">
        <v>328</v>
      </c>
    </row>
    <row r="271" spans="1:13" s="77" customFormat="1" ht="25.5">
      <c r="A271" s="50" t="s">
        <v>321</v>
      </c>
      <c r="B271" s="51">
        <v>43735</v>
      </c>
      <c r="C271" s="123">
        <v>5</v>
      </c>
      <c r="D271" s="124" t="s">
        <v>579</v>
      </c>
      <c r="E271" s="1" t="s">
        <v>422</v>
      </c>
      <c r="F271" s="53">
        <v>44834</v>
      </c>
      <c r="G271" s="53">
        <v>44851</v>
      </c>
      <c r="H271" s="53">
        <v>44854</v>
      </c>
      <c r="I271" s="125" t="s">
        <v>563</v>
      </c>
      <c r="J271" s="47">
        <v>0.21190000000000001</v>
      </c>
      <c r="K271" s="48" t="s">
        <v>328</v>
      </c>
    </row>
    <row r="272" spans="1:13" s="77" customFormat="1">
      <c r="A272" s="50" t="s">
        <v>546</v>
      </c>
      <c r="B272" s="51">
        <v>44104</v>
      </c>
      <c r="C272" s="123">
        <v>5</v>
      </c>
      <c r="D272" s="124" t="s">
        <v>642</v>
      </c>
      <c r="E272" s="1" t="s">
        <v>414</v>
      </c>
      <c r="F272" s="53">
        <v>44834</v>
      </c>
      <c r="G272" s="53">
        <v>44851</v>
      </c>
      <c r="H272" s="53">
        <v>44854</v>
      </c>
      <c r="I272" s="125">
        <v>0.01</v>
      </c>
      <c r="J272" s="47">
        <v>0.05</v>
      </c>
      <c r="K272" s="48" t="s">
        <v>5</v>
      </c>
    </row>
    <row r="273" spans="1:11" s="77" customFormat="1">
      <c r="A273" s="50" t="s">
        <v>708</v>
      </c>
      <c r="B273" s="51">
        <v>44104</v>
      </c>
      <c r="C273" s="123">
        <v>5</v>
      </c>
      <c r="D273" s="124" t="s">
        <v>643</v>
      </c>
      <c r="E273" s="1" t="s">
        <v>414</v>
      </c>
      <c r="F273" s="53">
        <v>44834</v>
      </c>
      <c r="G273" s="53">
        <v>44851</v>
      </c>
      <c r="H273" s="53">
        <v>44854</v>
      </c>
      <c r="I273" s="125">
        <v>8.0000000000000002E-3</v>
      </c>
      <c r="J273" s="47">
        <v>0.04</v>
      </c>
      <c r="K273" s="48" t="s">
        <v>5</v>
      </c>
    </row>
    <row r="274" spans="1:11" s="77" customFormat="1">
      <c r="A274" s="50" t="s">
        <v>66</v>
      </c>
      <c r="B274" s="51">
        <v>43371</v>
      </c>
      <c r="C274" s="123">
        <v>5</v>
      </c>
      <c r="D274" s="124" t="s">
        <v>652</v>
      </c>
      <c r="E274" s="1" t="s">
        <v>414</v>
      </c>
      <c r="F274" s="53">
        <v>44834</v>
      </c>
      <c r="G274" s="53">
        <v>44851</v>
      </c>
      <c r="H274" s="53">
        <v>44854</v>
      </c>
      <c r="I274" s="125">
        <v>1.7000000000000001E-2</v>
      </c>
      <c r="J274" s="47">
        <v>8.5000000000000006E-2</v>
      </c>
      <c r="K274" s="48" t="s">
        <v>5</v>
      </c>
    </row>
    <row r="275" spans="1:11" s="77" customFormat="1">
      <c r="A275" s="50" t="s">
        <v>544</v>
      </c>
      <c r="B275" s="51">
        <v>44104</v>
      </c>
      <c r="C275" s="123">
        <v>5</v>
      </c>
      <c r="D275" s="124" t="s">
        <v>641</v>
      </c>
      <c r="E275" s="1" t="s">
        <v>422</v>
      </c>
      <c r="F275" s="53">
        <v>44834</v>
      </c>
      <c r="G275" s="53">
        <v>44851</v>
      </c>
      <c r="H275" s="53">
        <v>44854</v>
      </c>
      <c r="I275" s="125" t="s">
        <v>565</v>
      </c>
      <c r="J275" s="47">
        <v>8.3599999999999994E-2</v>
      </c>
      <c r="K275" s="48" t="s">
        <v>5</v>
      </c>
    </row>
    <row r="276" spans="1:11" s="77" customFormat="1">
      <c r="A276" s="50" t="s">
        <v>65</v>
      </c>
      <c r="B276" s="51">
        <v>43371</v>
      </c>
      <c r="C276" s="123">
        <v>5</v>
      </c>
      <c r="D276" s="124" t="s">
        <v>653</v>
      </c>
      <c r="E276" s="1" t="s">
        <v>414</v>
      </c>
      <c r="F276" s="53">
        <v>44834</v>
      </c>
      <c r="G276" s="53">
        <v>44851</v>
      </c>
      <c r="H276" s="53">
        <v>44854</v>
      </c>
      <c r="I276" s="125">
        <v>0.02</v>
      </c>
      <c r="J276" s="47">
        <v>0.1</v>
      </c>
      <c r="K276" s="48" t="s">
        <v>5</v>
      </c>
    </row>
    <row r="277" spans="1:11" s="77" customFormat="1">
      <c r="A277" s="50" t="s">
        <v>48</v>
      </c>
      <c r="B277" s="51">
        <v>43035</v>
      </c>
      <c r="C277" s="123">
        <v>5</v>
      </c>
      <c r="D277" s="124" t="s">
        <v>654</v>
      </c>
      <c r="E277" s="1" t="s">
        <v>414</v>
      </c>
      <c r="F277" s="53">
        <v>44861</v>
      </c>
      <c r="G277" s="53">
        <v>44865</v>
      </c>
      <c r="H277" s="53">
        <v>44869</v>
      </c>
      <c r="I277" s="125">
        <v>0.02</v>
      </c>
      <c r="J277" s="47">
        <v>0.1</v>
      </c>
      <c r="K277" s="48" t="s">
        <v>5</v>
      </c>
    </row>
    <row r="278" spans="1:11" s="77" customFormat="1" ht="25.5">
      <c r="A278" s="39" t="s">
        <v>709</v>
      </c>
      <c r="B278" s="41">
        <v>43769</v>
      </c>
      <c r="C278" s="44">
        <v>5</v>
      </c>
      <c r="D278" s="78" t="s">
        <v>656</v>
      </c>
      <c r="E278" s="9" t="s">
        <v>422</v>
      </c>
      <c r="F278" s="40">
        <v>44865</v>
      </c>
      <c r="G278" s="40">
        <v>44880</v>
      </c>
      <c r="H278" s="40">
        <v>44883</v>
      </c>
      <c r="I278" s="46" t="s">
        <v>522</v>
      </c>
      <c r="J278" s="36">
        <v>0.18779999999999999</v>
      </c>
      <c r="K278" s="42" t="s">
        <v>329</v>
      </c>
    </row>
    <row r="279" spans="1:11" s="77" customFormat="1" ht="25.5">
      <c r="A279" s="39" t="s">
        <v>325</v>
      </c>
      <c r="B279" s="41">
        <v>43769</v>
      </c>
      <c r="C279" s="44">
        <v>5</v>
      </c>
      <c r="D279" s="78" t="s">
        <v>658</v>
      </c>
      <c r="E279" s="9" t="s">
        <v>414</v>
      </c>
      <c r="F279" s="40">
        <v>44865</v>
      </c>
      <c r="G279" s="40">
        <v>44880</v>
      </c>
      <c r="H279" s="40">
        <v>44883</v>
      </c>
      <c r="I279" s="46">
        <v>0.01</v>
      </c>
      <c r="J279" s="36">
        <v>0.05</v>
      </c>
      <c r="K279" s="42" t="s">
        <v>329</v>
      </c>
    </row>
    <row r="280" spans="1:11" s="77" customFormat="1" ht="25.5">
      <c r="A280" s="39" t="s">
        <v>324</v>
      </c>
      <c r="B280" s="41">
        <v>43769</v>
      </c>
      <c r="C280" s="44">
        <v>5</v>
      </c>
      <c r="D280" s="78" t="s">
        <v>657</v>
      </c>
      <c r="E280" s="9" t="s">
        <v>422</v>
      </c>
      <c r="F280" s="40">
        <v>44865</v>
      </c>
      <c r="G280" s="40">
        <v>44880</v>
      </c>
      <c r="H280" s="40">
        <v>44883</v>
      </c>
      <c r="I280" s="46" t="s">
        <v>661</v>
      </c>
      <c r="J280" s="36">
        <v>0.19850000000000001</v>
      </c>
      <c r="K280" s="42" t="s">
        <v>329</v>
      </c>
    </row>
    <row r="281" spans="1:11" s="77" customFormat="1">
      <c r="A281" s="39" t="s">
        <v>571</v>
      </c>
      <c r="B281" s="41">
        <v>44134</v>
      </c>
      <c r="C281" s="44">
        <v>5</v>
      </c>
      <c r="D281" s="78" t="s">
        <v>645</v>
      </c>
      <c r="E281" s="9" t="s">
        <v>414</v>
      </c>
      <c r="F281" s="40">
        <v>44865</v>
      </c>
      <c r="G281" s="40">
        <v>44880</v>
      </c>
      <c r="H281" s="40">
        <v>44883</v>
      </c>
      <c r="I281" s="46">
        <v>8.9999999999999993E-3</v>
      </c>
      <c r="J281" s="36">
        <v>4.4999999999999998E-2</v>
      </c>
      <c r="K281" s="42" t="s">
        <v>5</v>
      </c>
    </row>
    <row r="282" spans="1:11" s="77" customFormat="1">
      <c r="A282" s="39" t="s">
        <v>67</v>
      </c>
      <c r="B282" s="41">
        <v>43404</v>
      </c>
      <c r="C282" s="44">
        <v>5</v>
      </c>
      <c r="D282" s="78" t="s">
        <v>655</v>
      </c>
      <c r="E282" s="9" t="s">
        <v>414</v>
      </c>
      <c r="F282" s="40">
        <v>44865</v>
      </c>
      <c r="G282" s="40">
        <v>44880</v>
      </c>
      <c r="H282" s="40">
        <v>44883</v>
      </c>
      <c r="I282" s="46">
        <v>0.02</v>
      </c>
      <c r="J282" s="36">
        <v>0.1</v>
      </c>
      <c r="K282" s="42" t="s">
        <v>5</v>
      </c>
    </row>
    <row r="283" spans="1:11" s="77" customFormat="1" ht="25.5">
      <c r="A283" s="39" t="s">
        <v>331</v>
      </c>
      <c r="B283" s="41">
        <v>43798</v>
      </c>
      <c r="C283" s="44">
        <v>5</v>
      </c>
      <c r="D283" s="78" t="s">
        <v>665</v>
      </c>
      <c r="E283" s="9" t="s">
        <v>414</v>
      </c>
      <c r="F283" s="40">
        <v>44895</v>
      </c>
      <c r="G283" s="40">
        <v>44910</v>
      </c>
      <c r="H283" s="40">
        <v>44915</v>
      </c>
      <c r="I283" s="46">
        <v>1.0999999999999999E-2</v>
      </c>
      <c r="J283" s="36">
        <v>5.5E-2</v>
      </c>
      <c r="K283" s="42" t="s">
        <v>329</v>
      </c>
    </row>
    <row r="284" spans="1:11" s="77" customFormat="1" ht="25.5">
      <c r="A284" s="39" t="s">
        <v>330</v>
      </c>
      <c r="B284" s="41">
        <v>43798</v>
      </c>
      <c r="C284" s="44">
        <v>5</v>
      </c>
      <c r="D284" s="78" t="s">
        <v>664</v>
      </c>
      <c r="E284" s="9" t="s">
        <v>422</v>
      </c>
      <c r="F284" s="40">
        <v>44895</v>
      </c>
      <c r="G284" s="40">
        <v>44910</v>
      </c>
      <c r="H284" s="40">
        <v>44915</v>
      </c>
      <c r="I284" s="46" t="s">
        <v>663</v>
      </c>
      <c r="J284" s="36">
        <v>0.19409999999999999</v>
      </c>
      <c r="K284" s="42" t="s">
        <v>329</v>
      </c>
    </row>
    <row r="285" spans="1:11" s="77" customFormat="1" ht="25.5">
      <c r="A285" s="39" t="s">
        <v>332</v>
      </c>
      <c r="B285" s="41">
        <v>43798</v>
      </c>
      <c r="C285" s="44">
        <v>5</v>
      </c>
      <c r="D285" s="78" t="s">
        <v>660</v>
      </c>
      <c r="E285" s="9" t="s">
        <v>422</v>
      </c>
      <c r="F285" s="40">
        <v>44895</v>
      </c>
      <c r="G285" s="40">
        <v>44910</v>
      </c>
      <c r="H285" s="40">
        <v>44915</v>
      </c>
      <c r="I285" s="46" t="s">
        <v>662</v>
      </c>
      <c r="J285" s="36">
        <v>0.1837</v>
      </c>
      <c r="K285" s="42" t="s">
        <v>329</v>
      </c>
    </row>
    <row r="286" spans="1:11" s="77" customFormat="1">
      <c r="A286" s="39" t="s">
        <v>69</v>
      </c>
      <c r="B286" s="41">
        <v>43434</v>
      </c>
      <c r="C286" s="44">
        <v>5.2</v>
      </c>
      <c r="D286" s="78" t="s">
        <v>666</v>
      </c>
      <c r="E286" s="9" t="s">
        <v>414</v>
      </c>
      <c r="F286" s="40">
        <v>44895</v>
      </c>
      <c r="G286" s="40">
        <v>44910</v>
      </c>
      <c r="H286" s="40">
        <v>44915</v>
      </c>
      <c r="I286" s="46">
        <v>1.7000000000000001E-2</v>
      </c>
      <c r="J286" s="36">
        <v>8.5000000000000006E-2</v>
      </c>
      <c r="K286" s="42" t="s">
        <v>5</v>
      </c>
    </row>
    <row r="287" spans="1:11" s="77" customFormat="1">
      <c r="A287" s="39" t="s">
        <v>564</v>
      </c>
      <c r="B287" s="41">
        <v>44134</v>
      </c>
      <c r="C287" s="44">
        <v>5</v>
      </c>
      <c r="D287" s="78" t="s">
        <v>644</v>
      </c>
      <c r="E287" s="9" t="s">
        <v>422</v>
      </c>
      <c r="F287" s="40">
        <v>44895</v>
      </c>
      <c r="G287" s="40">
        <v>44910</v>
      </c>
      <c r="H287" s="40">
        <v>44915</v>
      </c>
      <c r="I287" s="46" t="s">
        <v>572</v>
      </c>
      <c r="J287" s="36">
        <v>6.1800000000000001E-2</v>
      </c>
      <c r="K287" s="42" t="s">
        <v>5</v>
      </c>
    </row>
    <row r="288" spans="1:11" s="77" customFormat="1">
      <c r="A288" s="39" t="s">
        <v>49</v>
      </c>
      <c r="B288" s="41">
        <v>43084</v>
      </c>
      <c r="C288" s="44">
        <v>5</v>
      </c>
      <c r="D288" s="78" t="s">
        <v>667</v>
      </c>
      <c r="E288" s="9" t="s">
        <v>414</v>
      </c>
      <c r="F288" s="40">
        <v>44910</v>
      </c>
      <c r="G288" s="40">
        <v>44925</v>
      </c>
      <c r="H288" s="40">
        <v>44930</v>
      </c>
      <c r="I288" s="46">
        <v>0.02</v>
      </c>
      <c r="J288" s="36">
        <v>0.1</v>
      </c>
      <c r="K288" s="42" t="s">
        <v>5</v>
      </c>
    </row>
    <row r="289" spans="1:11" s="77" customFormat="1">
      <c r="A289" s="39" t="s">
        <v>179</v>
      </c>
      <c r="B289" s="41">
        <v>43544</v>
      </c>
      <c r="C289" s="44">
        <v>5</v>
      </c>
      <c r="D289" s="78" t="s">
        <v>180</v>
      </c>
      <c r="E289" s="9" t="s">
        <v>410</v>
      </c>
      <c r="F289" s="40">
        <v>44925</v>
      </c>
      <c r="G289" s="40">
        <v>44928</v>
      </c>
      <c r="H289" s="40">
        <v>44931</v>
      </c>
      <c r="I289" s="46">
        <v>4.4999999999999997E-3</v>
      </c>
      <c r="J289" s="36">
        <v>5.7000000000000002E-3</v>
      </c>
      <c r="K289" s="42" t="s">
        <v>8</v>
      </c>
    </row>
    <row r="290" spans="1:11" s="77" customFormat="1" ht="25.5">
      <c r="A290" s="39" t="s">
        <v>103</v>
      </c>
      <c r="B290" s="41">
        <v>41281</v>
      </c>
      <c r="C290" s="44">
        <v>5</v>
      </c>
      <c r="D290" s="78" t="s">
        <v>573</v>
      </c>
      <c r="E290" s="9" t="s">
        <v>410</v>
      </c>
      <c r="F290" s="40">
        <v>44925</v>
      </c>
      <c r="G290" s="40">
        <v>44928</v>
      </c>
      <c r="H290" s="40">
        <v>44931</v>
      </c>
      <c r="I290" s="46">
        <v>1E-3</v>
      </c>
      <c r="J290" s="36">
        <v>1.8E-3</v>
      </c>
      <c r="K290" s="42" t="s">
        <v>498</v>
      </c>
    </row>
    <row r="291" spans="1:11" s="77" customFormat="1" ht="25.5">
      <c r="A291" s="39" t="s">
        <v>106</v>
      </c>
      <c r="B291" s="41">
        <v>41281</v>
      </c>
      <c r="C291" s="44">
        <v>5</v>
      </c>
      <c r="D291" s="78" t="s">
        <v>574</v>
      </c>
      <c r="E291" s="9" t="s">
        <v>410</v>
      </c>
      <c r="F291" s="40">
        <v>44925</v>
      </c>
      <c r="G291" s="40">
        <v>44928</v>
      </c>
      <c r="H291" s="40">
        <v>44931</v>
      </c>
      <c r="I291" s="46">
        <v>1E-3</v>
      </c>
      <c r="J291" s="36">
        <v>1.5E-3</v>
      </c>
      <c r="K291" s="42" t="s">
        <v>498</v>
      </c>
    </row>
    <row r="292" spans="1:11" s="77" customFormat="1">
      <c r="A292" s="39" t="s">
        <v>570</v>
      </c>
      <c r="B292" s="41">
        <v>44183</v>
      </c>
      <c r="C292" s="44">
        <v>5</v>
      </c>
      <c r="D292" s="78" t="s">
        <v>646</v>
      </c>
      <c r="E292" s="9" t="s">
        <v>414</v>
      </c>
      <c r="F292" s="40">
        <v>44925</v>
      </c>
      <c r="G292" s="40">
        <v>44942</v>
      </c>
      <c r="H292" s="40">
        <v>44945</v>
      </c>
      <c r="I292" s="46">
        <v>5.4999999999999997E-3</v>
      </c>
      <c r="J292" s="36">
        <v>2.7500000000000004E-2</v>
      </c>
      <c r="K292" s="42" t="s">
        <v>5</v>
      </c>
    </row>
    <row r="293" spans="1:11" s="77" customFormat="1">
      <c r="A293" s="39" t="s">
        <v>520</v>
      </c>
      <c r="B293" s="41">
        <v>43819</v>
      </c>
      <c r="C293" s="44">
        <v>5</v>
      </c>
      <c r="D293" s="78" t="s">
        <v>588</v>
      </c>
      <c r="E293" s="9" t="s">
        <v>414</v>
      </c>
      <c r="F293" s="40">
        <v>44925</v>
      </c>
      <c r="G293" s="40">
        <v>44942</v>
      </c>
      <c r="H293" s="40">
        <v>44945</v>
      </c>
      <c r="I293" s="46">
        <v>8.0000000000000002E-3</v>
      </c>
      <c r="J293" s="36">
        <v>0.04</v>
      </c>
      <c r="K293" s="42" t="s">
        <v>5</v>
      </c>
    </row>
    <row r="294" spans="1:11" s="77" customFormat="1">
      <c r="A294" s="39" t="s">
        <v>68</v>
      </c>
      <c r="B294" s="41">
        <v>43454</v>
      </c>
      <c r="C294" s="44">
        <v>5</v>
      </c>
      <c r="D294" s="78" t="s">
        <v>587</v>
      </c>
      <c r="E294" s="9" t="s">
        <v>414</v>
      </c>
      <c r="F294" s="40">
        <v>44925</v>
      </c>
      <c r="G294" s="40">
        <v>44942</v>
      </c>
      <c r="H294" s="40">
        <v>44945</v>
      </c>
      <c r="I294" s="46">
        <v>0.02</v>
      </c>
      <c r="J294" s="36">
        <v>0.1</v>
      </c>
      <c r="K294" s="42" t="s">
        <v>5</v>
      </c>
    </row>
    <row r="295" spans="1:11" s="77" customFormat="1">
      <c r="A295" s="39" t="s">
        <v>598</v>
      </c>
      <c r="B295" s="41">
        <v>43100</v>
      </c>
      <c r="C295" s="44">
        <v>50</v>
      </c>
      <c r="D295" s="78" t="s">
        <v>599</v>
      </c>
      <c r="E295" s="9" t="s">
        <v>414</v>
      </c>
      <c r="F295" s="40">
        <v>44942</v>
      </c>
      <c r="G295" s="40">
        <v>44943</v>
      </c>
      <c r="H295" s="40">
        <v>44946</v>
      </c>
      <c r="I295" s="46">
        <v>0.01</v>
      </c>
      <c r="J295" s="36">
        <v>0.5</v>
      </c>
      <c r="K295" s="42"/>
    </row>
    <row r="296" spans="1:11" s="77" customFormat="1" ht="25.5">
      <c r="A296" s="39" t="s">
        <v>525</v>
      </c>
      <c r="B296" s="41">
        <v>43861</v>
      </c>
      <c r="C296" s="44">
        <v>5</v>
      </c>
      <c r="D296" s="78" t="s">
        <v>603</v>
      </c>
      <c r="E296" s="9" t="s">
        <v>422</v>
      </c>
      <c r="F296" s="40">
        <v>44957</v>
      </c>
      <c r="G296" s="40">
        <v>44972</v>
      </c>
      <c r="H296" s="40">
        <v>44977</v>
      </c>
      <c r="I296" s="46" t="s">
        <v>527</v>
      </c>
      <c r="J296" s="36">
        <v>0.16869999999999999</v>
      </c>
      <c r="K296" s="42" t="s">
        <v>329</v>
      </c>
    </row>
    <row r="297" spans="1:11" s="77" customFormat="1" ht="25.5">
      <c r="A297" s="39" t="s">
        <v>524</v>
      </c>
      <c r="B297" s="41">
        <v>43861</v>
      </c>
      <c r="C297" s="44">
        <v>5</v>
      </c>
      <c r="D297" s="78" t="s">
        <v>602</v>
      </c>
      <c r="E297" s="9" t="s">
        <v>414</v>
      </c>
      <c r="F297" s="40">
        <v>44957</v>
      </c>
      <c r="G297" s="40">
        <v>44972</v>
      </c>
      <c r="H297" s="40">
        <v>44977</v>
      </c>
      <c r="I297" s="46">
        <v>0.01</v>
      </c>
      <c r="J297" s="36">
        <v>0.05</v>
      </c>
      <c r="K297" s="42" t="s">
        <v>329</v>
      </c>
    </row>
    <row r="298" spans="1:11" s="77" customFormat="1" ht="25.5">
      <c r="A298" s="39" t="s">
        <v>526</v>
      </c>
      <c r="B298" s="41">
        <v>43861</v>
      </c>
      <c r="C298" s="44">
        <v>5</v>
      </c>
      <c r="D298" s="78" t="s">
        <v>604</v>
      </c>
      <c r="E298" s="9" t="s">
        <v>422</v>
      </c>
      <c r="F298" s="40">
        <v>44957</v>
      </c>
      <c r="G298" s="40">
        <v>44972</v>
      </c>
      <c r="H298" s="40">
        <v>44977</v>
      </c>
      <c r="I298" s="46" t="s">
        <v>528</v>
      </c>
      <c r="J298" s="36">
        <v>0.17910000000000001</v>
      </c>
      <c r="K298" s="42" t="s">
        <v>329</v>
      </c>
    </row>
    <row r="299" spans="1:11" s="77" customFormat="1">
      <c r="A299" s="39" t="s">
        <v>59</v>
      </c>
      <c r="B299" s="41">
        <v>43131</v>
      </c>
      <c r="C299" s="44">
        <v>5</v>
      </c>
      <c r="D299" s="78" t="s">
        <v>600</v>
      </c>
      <c r="E299" s="9" t="s">
        <v>414</v>
      </c>
      <c r="F299" s="40">
        <v>44957</v>
      </c>
      <c r="G299" s="40">
        <v>44972</v>
      </c>
      <c r="H299" s="40">
        <v>44977</v>
      </c>
      <c r="I299" s="46">
        <v>0.02</v>
      </c>
      <c r="J299" s="36">
        <v>0.1</v>
      </c>
      <c r="K299" s="42" t="s">
        <v>5</v>
      </c>
    </row>
    <row r="300" spans="1:11" s="77" customFormat="1">
      <c r="A300" s="39" t="s">
        <v>217</v>
      </c>
      <c r="B300" s="41">
        <v>43131</v>
      </c>
      <c r="C300" s="44">
        <v>5</v>
      </c>
      <c r="D300" s="78" t="s">
        <v>601</v>
      </c>
      <c r="E300" s="9" t="s">
        <v>414</v>
      </c>
      <c r="F300" s="40">
        <v>44957</v>
      </c>
      <c r="G300" s="40">
        <v>44972</v>
      </c>
      <c r="H300" s="40">
        <v>44977</v>
      </c>
      <c r="I300" s="46">
        <v>0.02</v>
      </c>
      <c r="J300" s="36">
        <v>0.1</v>
      </c>
      <c r="K300" s="42" t="s">
        <v>5</v>
      </c>
    </row>
    <row r="301" spans="1:11" s="77" customFormat="1">
      <c r="A301" s="39" t="s">
        <v>711</v>
      </c>
      <c r="B301" s="41">
        <v>44407</v>
      </c>
      <c r="C301" s="44">
        <v>5</v>
      </c>
      <c r="D301" s="78" t="s">
        <v>714</v>
      </c>
      <c r="E301" s="9" t="s">
        <v>414</v>
      </c>
      <c r="F301" s="40">
        <v>44971</v>
      </c>
      <c r="G301" s="40">
        <v>44972</v>
      </c>
      <c r="H301" s="40">
        <v>44977</v>
      </c>
      <c r="I301" s="46"/>
      <c r="J301" s="36">
        <v>0.1081</v>
      </c>
      <c r="K301" s="42"/>
    </row>
    <row r="302" spans="1:11" s="77" customFormat="1">
      <c r="A302" s="39" t="s">
        <v>712</v>
      </c>
      <c r="B302" s="41">
        <v>44407</v>
      </c>
      <c r="C302" s="44">
        <v>5</v>
      </c>
      <c r="D302" s="78" t="s">
        <v>715</v>
      </c>
      <c r="E302" s="9" t="s">
        <v>414</v>
      </c>
      <c r="F302" s="40">
        <v>44971</v>
      </c>
      <c r="G302" s="40">
        <v>44972</v>
      </c>
      <c r="H302" s="40">
        <v>44977</v>
      </c>
      <c r="I302" s="46"/>
      <c r="J302" s="36">
        <v>0.1123</v>
      </c>
      <c r="K302" s="42"/>
    </row>
    <row r="303" spans="1:11" s="77" customFormat="1">
      <c r="A303" s="39" t="s">
        <v>713</v>
      </c>
      <c r="B303" s="41">
        <v>44407</v>
      </c>
      <c r="C303" s="44">
        <v>5</v>
      </c>
      <c r="D303" s="78" t="s">
        <v>716</v>
      </c>
      <c r="E303" s="9" t="s">
        <v>414</v>
      </c>
      <c r="F303" s="40">
        <v>44971</v>
      </c>
      <c r="G303" s="40">
        <v>44972</v>
      </c>
      <c r="H303" s="40">
        <v>44977</v>
      </c>
      <c r="I303" s="46"/>
      <c r="J303" s="36">
        <v>0.1013</v>
      </c>
      <c r="K303" s="42"/>
    </row>
    <row r="304" spans="1:11" s="77" customFormat="1">
      <c r="A304" s="39" t="s">
        <v>523</v>
      </c>
      <c r="B304" s="41">
        <v>43875</v>
      </c>
      <c r="C304" s="44">
        <v>100</v>
      </c>
      <c r="D304" s="78" t="s">
        <v>530</v>
      </c>
      <c r="E304" s="9" t="s">
        <v>414</v>
      </c>
      <c r="F304" s="40">
        <v>44971</v>
      </c>
      <c r="G304" s="40">
        <v>44972</v>
      </c>
      <c r="H304" s="40">
        <v>44977</v>
      </c>
      <c r="I304" s="46"/>
      <c r="J304" s="36">
        <v>0</v>
      </c>
      <c r="K304" s="42" t="s">
        <v>129</v>
      </c>
    </row>
    <row r="305" spans="1:11" s="77" customFormat="1">
      <c r="A305" s="39" t="s">
        <v>117</v>
      </c>
      <c r="B305" s="41">
        <v>43511</v>
      </c>
      <c r="C305" s="44">
        <v>5</v>
      </c>
      <c r="D305" s="78" t="s">
        <v>119</v>
      </c>
      <c r="E305" s="9" t="s">
        <v>414</v>
      </c>
      <c r="F305" s="40">
        <v>44972</v>
      </c>
      <c r="G305" s="40">
        <v>44985</v>
      </c>
      <c r="H305" s="40">
        <v>44988</v>
      </c>
      <c r="I305" s="46">
        <v>1.7000000000000001E-2</v>
      </c>
      <c r="J305" s="36">
        <v>8.5000000000000006E-2</v>
      </c>
      <c r="K305" s="42" t="s">
        <v>5</v>
      </c>
    </row>
    <row r="306" spans="1:11" s="77" customFormat="1">
      <c r="A306" s="39" t="s">
        <v>529</v>
      </c>
      <c r="B306" s="41">
        <v>43875</v>
      </c>
      <c r="C306" s="44">
        <v>5</v>
      </c>
      <c r="D306" s="78" t="s">
        <v>606</v>
      </c>
      <c r="E306" s="9" t="s">
        <v>414</v>
      </c>
      <c r="F306" s="40">
        <v>44972</v>
      </c>
      <c r="G306" s="40">
        <v>44985</v>
      </c>
      <c r="H306" s="40">
        <v>44988</v>
      </c>
      <c r="I306" s="46">
        <v>8.0000000000000002E-3</v>
      </c>
      <c r="J306" s="36">
        <v>0.04</v>
      </c>
      <c r="K306" s="42" t="s">
        <v>5</v>
      </c>
    </row>
    <row r="307" spans="1:11" s="77" customFormat="1">
      <c r="A307" s="39" t="s">
        <v>499</v>
      </c>
      <c r="B307" s="41">
        <v>43518</v>
      </c>
      <c r="C307" s="44">
        <v>100</v>
      </c>
      <c r="D307" s="78" t="s">
        <v>550</v>
      </c>
      <c r="E307" s="9" t="s">
        <v>414</v>
      </c>
      <c r="F307" s="40">
        <v>44979</v>
      </c>
      <c r="G307" s="40">
        <v>44980</v>
      </c>
      <c r="H307" s="40">
        <v>44985</v>
      </c>
      <c r="I307" s="46"/>
      <c r="J307" s="36">
        <v>0</v>
      </c>
      <c r="K307" s="42" t="s">
        <v>6</v>
      </c>
    </row>
    <row r="308" spans="1:11" s="77" customFormat="1">
      <c r="A308" s="39" t="s">
        <v>318</v>
      </c>
      <c r="B308" s="41">
        <v>43524</v>
      </c>
      <c r="C308" s="44">
        <v>5</v>
      </c>
      <c r="D308" s="78" t="s">
        <v>575</v>
      </c>
      <c r="E308" s="9" t="s">
        <v>503</v>
      </c>
      <c r="F308" s="40">
        <v>44985</v>
      </c>
      <c r="G308" s="40">
        <v>45000</v>
      </c>
      <c r="H308" s="40">
        <v>45005</v>
      </c>
      <c r="I308" s="46" t="s">
        <v>710</v>
      </c>
      <c r="J308" s="36">
        <v>0</v>
      </c>
      <c r="K308" s="42" t="s">
        <v>327</v>
      </c>
    </row>
    <row r="309" spans="1:11" s="77" customFormat="1" ht="25.5">
      <c r="A309" s="39" t="s">
        <v>531</v>
      </c>
      <c r="B309" s="41">
        <v>43889</v>
      </c>
      <c r="C309" s="44">
        <v>5</v>
      </c>
      <c r="D309" s="78" t="s">
        <v>609</v>
      </c>
      <c r="E309" s="9" t="s">
        <v>422</v>
      </c>
      <c r="F309" s="40">
        <v>44985</v>
      </c>
      <c r="G309" s="40">
        <v>45000</v>
      </c>
      <c r="H309" s="40">
        <v>45005</v>
      </c>
      <c r="I309" s="46" t="s">
        <v>533</v>
      </c>
      <c r="J309" s="36">
        <v>0.18509999999999999</v>
      </c>
      <c r="K309" s="42" t="s">
        <v>329</v>
      </c>
    </row>
    <row r="310" spans="1:11" s="77" customFormat="1" ht="25.5">
      <c r="A310" s="39" t="s">
        <v>532</v>
      </c>
      <c r="B310" s="41">
        <v>43889</v>
      </c>
      <c r="C310" s="44">
        <v>5</v>
      </c>
      <c r="D310" s="78" t="s">
        <v>610</v>
      </c>
      <c r="E310" s="9" t="s">
        <v>422</v>
      </c>
      <c r="F310" s="40">
        <v>44985</v>
      </c>
      <c r="G310" s="40">
        <v>45000</v>
      </c>
      <c r="H310" s="40">
        <v>45005</v>
      </c>
      <c r="I310" s="46" t="s">
        <v>534</v>
      </c>
      <c r="J310" s="36">
        <v>0.19550000000000001</v>
      </c>
      <c r="K310" s="42" t="s">
        <v>329</v>
      </c>
    </row>
    <row r="311" spans="1:11" s="77" customFormat="1">
      <c r="A311" s="39" t="s">
        <v>60</v>
      </c>
      <c r="B311" s="41">
        <v>43159</v>
      </c>
      <c r="C311" s="44">
        <v>5</v>
      </c>
      <c r="D311" s="78" t="s">
        <v>608</v>
      </c>
      <c r="E311" s="9" t="s">
        <v>414</v>
      </c>
      <c r="F311" s="40">
        <v>44985</v>
      </c>
      <c r="G311" s="40">
        <v>45000</v>
      </c>
      <c r="H311" s="40">
        <v>45005</v>
      </c>
      <c r="I311" s="46">
        <v>0.02</v>
      </c>
      <c r="J311" s="36">
        <v>0.1</v>
      </c>
      <c r="K311" s="42" t="s">
        <v>5</v>
      </c>
    </row>
    <row r="312" spans="1:11" s="77" customFormat="1">
      <c r="A312" s="39" t="s">
        <v>504</v>
      </c>
      <c r="B312" s="41">
        <v>43553</v>
      </c>
      <c r="C312" s="44">
        <v>100</v>
      </c>
      <c r="D312" s="78" t="s">
        <v>590</v>
      </c>
      <c r="E312" s="9" t="s">
        <v>414</v>
      </c>
      <c r="F312" s="40">
        <v>45014</v>
      </c>
      <c r="G312" s="40">
        <v>45015</v>
      </c>
      <c r="H312" s="40">
        <v>45020</v>
      </c>
      <c r="I312" s="46"/>
      <c r="J312" s="36">
        <v>0</v>
      </c>
      <c r="K312" s="42" t="s">
        <v>6</v>
      </c>
    </row>
    <row r="313" spans="1:11" s="77" customFormat="1">
      <c r="A313" s="39" t="s">
        <v>179</v>
      </c>
      <c r="B313" s="41">
        <v>43544</v>
      </c>
      <c r="C313" s="44">
        <v>5</v>
      </c>
      <c r="D313" s="78" t="s">
        <v>180</v>
      </c>
      <c r="E313" s="9" t="s">
        <v>410</v>
      </c>
      <c r="F313" s="40">
        <v>45016</v>
      </c>
      <c r="G313" s="40">
        <v>45019</v>
      </c>
      <c r="H313" s="40">
        <v>45022</v>
      </c>
      <c r="I313" s="46">
        <v>0.04</v>
      </c>
      <c r="J313" s="36">
        <v>4.9200000000000001E-2</v>
      </c>
      <c r="K313" s="42" t="s">
        <v>8</v>
      </c>
    </row>
    <row r="314" spans="1:11" s="77" customFormat="1" ht="25.5">
      <c r="A314" s="39" t="s">
        <v>103</v>
      </c>
      <c r="B314" s="41">
        <v>41281</v>
      </c>
      <c r="C314" s="44">
        <v>5</v>
      </c>
      <c r="D314" s="78" t="s">
        <v>573</v>
      </c>
      <c r="E314" s="9" t="s">
        <v>410</v>
      </c>
      <c r="F314" s="40">
        <v>45016</v>
      </c>
      <c r="G314" s="40">
        <v>45019</v>
      </c>
      <c r="H314" s="40">
        <v>45022</v>
      </c>
      <c r="I314" s="46">
        <v>0.02</v>
      </c>
      <c r="J314" s="36">
        <v>2.3700000000000002E-2</v>
      </c>
      <c r="K314" s="42" t="s">
        <v>498</v>
      </c>
    </row>
    <row r="315" spans="1:11" s="77" customFormat="1" ht="25.5">
      <c r="A315" s="39" t="s">
        <v>106</v>
      </c>
      <c r="B315" s="41">
        <v>41281</v>
      </c>
      <c r="C315" s="44">
        <v>5</v>
      </c>
      <c r="D315" s="78" t="s">
        <v>574</v>
      </c>
      <c r="E315" s="9" t="s">
        <v>410</v>
      </c>
      <c r="F315" s="40">
        <v>45016</v>
      </c>
      <c r="G315" s="40">
        <v>45019</v>
      </c>
      <c r="H315" s="40">
        <v>45022</v>
      </c>
      <c r="I315" s="46">
        <v>0.02</v>
      </c>
      <c r="J315" s="36">
        <v>2.3699999999999999E-2</v>
      </c>
      <c r="K315" s="42" t="s">
        <v>498</v>
      </c>
    </row>
    <row r="316" spans="1:11" s="77" customFormat="1" ht="25.5">
      <c r="A316" s="39" t="s">
        <v>536</v>
      </c>
      <c r="B316" s="41">
        <v>43921</v>
      </c>
      <c r="C316" s="44">
        <v>5</v>
      </c>
      <c r="D316" s="78" t="s">
        <v>617</v>
      </c>
      <c r="E316" s="9" t="s">
        <v>414</v>
      </c>
      <c r="F316" s="40">
        <v>45016</v>
      </c>
      <c r="G316" s="40">
        <v>45033</v>
      </c>
      <c r="H316" s="40">
        <v>45036</v>
      </c>
      <c r="I316" s="46">
        <v>3.5000000000000003E-2</v>
      </c>
      <c r="J316" s="36">
        <v>0.17499999999999999</v>
      </c>
      <c r="K316" s="42" t="s">
        <v>329</v>
      </c>
    </row>
    <row r="317" spans="1:11" s="77" customFormat="1" ht="25.5">
      <c r="A317" s="39" t="s">
        <v>537</v>
      </c>
      <c r="B317" s="41">
        <v>43921</v>
      </c>
      <c r="C317" s="44">
        <v>5</v>
      </c>
      <c r="D317" s="78" t="s">
        <v>617</v>
      </c>
      <c r="E317" s="9" t="s">
        <v>422</v>
      </c>
      <c r="F317" s="40">
        <v>45016</v>
      </c>
      <c r="G317" s="40">
        <v>45033</v>
      </c>
      <c r="H317" s="40">
        <v>45036</v>
      </c>
      <c r="I317" s="46" t="s">
        <v>538</v>
      </c>
      <c r="J317" s="36">
        <v>0.24959999999999999</v>
      </c>
      <c r="K317" s="42" t="s">
        <v>329</v>
      </c>
    </row>
    <row r="318" spans="1:11" s="77" customFormat="1" ht="25.5">
      <c r="A318" s="39" t="s">
        <v>679</v>
      </c>
      <c r="B318" s="41">
        <v>43921</v>
      </c>
      <c r="C318" s="44">
        <v>5</v>
      </c>
      <c r="D318" s="78" t="s">
        <v>616</v>
      </c>
      <c r="E318" s="9" t="s">
        <v>422</v>
      </c>
      <c r="F318" s="40">
        <v>45016</v>
      </c>
      <c r="G318" s="40">
        <v>45033</v>
      </c>
      <c r="H318" s="40">
        <v>45036</v>
      </c>
      <c r="I318" s="46" t="s">
        <v>539</v>
      </c>
      <c r="J318" s="36">
        <v>0.2596</v>
      </c>
      <c r="K318" s="42" t="s">
        <v>329</v>
      </c>
    </row>
    <row r="319" spans="1:11" s="77" customFormat="1">
      <c r="A319" s="39" t="s">
        <v>115</v>
      </c>
      <c r="B319" s="41">
        <v>43553</v>
      </c>
      <c r="C319" s="44">
        <v>5</v>
      </c>
      <c r="D319" s="78" t="s">
        <v>615</v>
      </c>
      <c r="E319" s="9" t="s">
        <v>414</v>
      </c>
      <c r="F319" s="40">
        <v>45016</v>
      </c>
      <c r="G319" s="40">
        <v>45033</v>
      </c>
      <c r="H319" s="40">
        <v>45036</v>
      </c>
      <c r="I319" s="46">
        <v>1.4E-2</v>
      </c>
      <c r="J319" s="36">
        <v>7.0000000000000007E-2</v>
      </c>
      <c r="K319" s="42" t="s">
        <v>5</v>
      </c>
    </row>
    <row r="320" spans="1:11" s="77" customFormat="1">
      <c r="A320" s="39" t="s">
        <v>116</v>
      </c>
      <c r="B320" s="41">
        <v>43553</v>
      </c>
      <c r="C320" s="44">
        <v>5</v>
      </c>
      <c r="D320" s="78" t="s">
        <v>612</v>
      </c>
      <c r="E320" s="9" t="s">
        <v>414</v>
      </c>
      <c r="F320" s="40">
        <v>45016</v>
      </c>
      <c r="G320" s="40">
        <v>45033</v>
      </c>
      <c r="H320" s="40">
        <v>45036</v>
      </c>
      <c r="I320" s="46">
        <v>1.4E-2</v>
      </c>
      <c r="J320" s="36">
        <v>7.0000000000000007E-2</v>
      </c>
      <c r="K320" s="42" t="s">
        <v>5</v>
      </c>
    </row>
    <row r="321" spans="1:11" s="77" customFormat="1">
      <c r="A321" s="39" t="s">
        <v>535</v>
      </c>
      <c r="B321" s="41">
        <v>43921</v>
      </c>
      <c r="C321" s="44">
        <v>5</v>
      </c>
      <c r="D321" s="78" t="s">
        <v>618</v>
      </c>
      <c r="E321" s="9" t="s">
        <v>414</v>
      </c>
      <c r="F321" s="40">
        <v>45016</v>
      </c>
      <c r="G321" s="40">
        <v>45033</v>
      </c>
      <c r="H321" s="40">
        <v>45036</v>
      </c>
      <c r="I321" s="46">
        <v>1.7999999999999999E-2</v>
      </c>
      <c r="J321" s="36">
        <v>0.09</v>
      </c>
      <c r="K321" s="42" t="s">
        <v>5</v>
      </c>
    </row>
    <row r="322" spans="1:11" s="77" customFormat="1">
      <c r="A322" s="39" t="s">
        <v>61</v>
      </c>
      <c r="B322" s="41">
        <v>43188</v>
      </c>
      <c r="C322" s="44">
        <v>5</v>
      </c>
      <c r="D322" s="78" t="s">
        <v>613</v>
      </c>
      <c r="E322" s="9" t="s">
        <v>414</v>
      </c>
      <c r="F322" s="40">
        <v>45016</v>
      </c>
      <c r="G322" s="40">
        <v>45033</v>
      </c>
      <c r="H322" s="40">
        <v>45036</v>
      </c>
      <c r="I322" s="46">
        <v>0.02</v>
      </c>
      <c r="J322" s="36">
        <v>0.1</v>
      </c>
      <c r="K322" s="42" t="s">
        <v>5</v>
      </c>
    </row>
    <row r="323" spans="1:11" s="77" customFormat="1">
      <c r="A323" s="39" t="s">
        <v>78</v>
      </c>
      <c r="B323" s="41">
        <v>42787</v>
      </c>
      <c r="C323" s="44">
        <v>100</v>
      </c>
      <c r="D323" s="78" t="s">
        <v>589</v>
      </c>
      <c r="E323" s="9" t="s">
        <v>414</v>
      </c>
      <c r="F323" s="40">
        <v>45061</v>
      </c>
      <c r="G323" s="40">
        <v>45062</v>
      </c>
      <c r="H323" s="40">
        <v>45065</v>
      </c>
      <c r="I323" s="46"/>
      <c r="J323" s="36">
        <v>0</v>
      </c>
      <c r="K323" s="42" t="s">
        <v>6</v>
      </c>
    </row>
    <row r="324" spans="1:11" s="77" customFormat="1">
      <c r="A324" s="50" t="s">
        <v>751</v>
      </c>
      <c r="B324" s="51">
        <v>44680</v>
      </c>
      <c r="C324" s="123">
        <v>5</v>
      </c>
      <c r="D324" s="124" t="s">
        <v>764</v>
      </c>
      <c r="E324" s="1" t="s">
        <v>422</v>
      </c>
      <c r="F324" s="53">
        <v>45061</v>
      </c>
      <c r="G324" s="53">
        <v>45077</v>
      </c>
      <c r="H324" s="53">
        <v>45082</v>
      </c>
      <c r="I324" s="125" t="s">
        <v>765</v>
      </c>
      <c r="J324" s="47">
        <v>0.1237</v>
      </c>
      <c r="K324" s="48" t="s">
        <v>5</v>
      </c>
    </row>
    <row r="325" spans="1:11" s="77" customFormat="1">
      <c r="A325" s="50" t="s">
        <v>62</v>
      </c>
      <c r="B325" s="51">
        <v>43220</v>
      </c>
      <c r="C325" s="123">
        <v>5</v>
      </c>
      <c r="D325" s="124" t="s">
        <v>620</v>
      </c>
      <c r="E325" s="1" t="s">
        <v>414</v>
      </c>
      <c r="F325" s="53">
        <v>45061</v>
      </c>
      <c r="G325" s="53">
        <v>45077</v>
      </c>
      <c r="H325" s="53">
        <v>45082</v>
      </c>
      <c r="I325" s="125">
        <v>0.02</v>
      </c>
      <c r="J325" s="47">
        <v>0.1</v>
      </c>
      <c r="K325" s="48" t="s">
        <v>5</v>
      </c>
    </row>
    <row r="326" spans="1:11" s="77" customFormat="1">
      <c r="A326" s="50" t="s">
        <v>127</v>
      </c>
      <c r="B326" s="51">
        <v>43585</v>
      </c>
      <c r="C326" s="123">
        <v>5</v>
      </c>
      <c r="D326" s="124" t="s">
        <v>619</v>
      </c>
      <c r="E326" s="1" t="s">
        <v>414</v>
      </c>
      <c r="F326" s="53">
        <v>45061</v>
      </c>
      <c r="G326" s="53">
        <v>45077</v>
      </c>
      <c r="H326" s="53">
        <v>45082</v>
      </c>
      <c r="I326" s="125">
        <v>0.02</v>
      </c>
      <c r="J326" s="47">
        <v>0.1</v>
      </c>
      <c r="K326" s="48" t="s">
        <v>5</v>
      </c>
    </row>
    <row r="327" spans="1:11" s="77" customFormat="1">
      <c r="A327" s="39" t="s">
        <v>128</v>
      </c>
      <c r="B327" s="41">
        <v>43602</v>
      </c>
      <c r="C327" s="44">
        <v>100</v>
      </c>
      <c r="D327" s="78" t="s">
        <v>592</v>
      </c>
      <c r="E327" s="9" t="s">
        <v>414</v>
      </c>
      <c r="F327" s="40">
        <v>45063</v>
      </c>
      <c r="G327" s="40">
        <v>45065</v>
      </c>
      <c r="H327" s="40">
        <v>45070</v>
      </c>
      <c r="I327" s="46"/>
      <c r="J327" s="36">
        <v>0</v>
      </c>
      <c r="K327" s="42" t="s">
        <v>129</v>
      </c>
    </row>
    <row r="328" spans="1:11" s="77" customFormat="1">
      <c r="A328" s="50" t="s">
        <v>125</v>
      </c>
      <c r="B328" s="51">
        <v>43602</v>
      </c>
      <c r="C328" s="123">
        <v>5</v>
      </c>
      <c r="D328" s="124" t="s">
        <v>623</v>
      </c>
      <c r="E328" s="1" t="s">
        <v>414</v>
      </c>
      <c r="F328" s="53">
        <v>45077</v>
      </c>
      <c r="G328" s="53">
        <v>45092</v>
      </c>
      <c r="H328" s="53">
        <v>45097</v>
      </c>
      <c r="I328" s="125">
        <v>1.35E-2</v>
      </c>
      <c r="J328" s="47">
        <v>6.7500000000000004E-2</v>
      </c>
      <c r="K328" s="48" t="s">
        <v>5</v>
      </c>
    </row>
    <row r="329" spans="1:11" s="77" customFormat="1">
      <c r="A329" s="50" t="s">
        <v>126</v>
      </c>
      <c r="B329" s="51">
        <v>43602</v>
      </c>
      <c r="C329" s="123">
        <v>5</v>
      </c>
      <c r="D329" s="124" t="s">
        <v>624</v>
      </c>
      <c r="E329" s="1" t="s">
        <v>414</v>
      </c>
      <c r="F329" s="53">
        <v>45077</v>
      </c>
      <c r="G329" s="53">
        <v>45092</v>
      </c>
      <c r="H329" s="53">
        <v>45097</v>
      </c>
      <c r="I329" s="125">
        <v>1.35E-2</v>
      </c>
      <c r="J329" s="47">
        <v>6.7500000000000004E-2</v>
      </c>
      <c r="K329" s="48" t="s">
        <v>5</v>
      </c>
    </row>
    <row r="330" spans="1:11" s="77" customFormat="1">
      <c r="A330" s="50" t="s">
        <v>540</v>
      </c>
      <c r="B330" s="51">
        <v>43980</v>
      </c>
      <c r="C330" s="123">
        <v>5</v>
      </c>
      <c r="D330" s="124" t="s">
        <v>628</v>
      </c>
      <c r="E330" s="1" t="s">
        <v>414</v>
      </c>
      <c r="F330" s="53">
        <v>45077</v>
      </c>
      <c r="G330" s="53">
        <v>45092</v>
      </c>
      <c r="H330" s="53">
        <v>45097</v>
      </c>
      <c r="I330" s="125">
        <v>1.4999999999999999E-2</v>
      </c>
      <c r="J330" s="47">
        <v>7.4999999999999997E-2</v>
      </c>
      <c r="K330" s="48" t="s">
        <v>5</v>
      </c>
    </row>
    <row r="331" spans="1:11" s="77" customFormat="1">
      <c r="A331" s="50" t="s">
        <v>541</v>
      </c>
      <c r="B331" s="51">
        <v>43980</v>
      </c>
      <c r="C331" s="123">
        <v>5</v>
      </c>
      <c r="D331" s="124" t="s">
        <v>627</v>
      </c>
      <c r="E331" s="1" t="s">
        <v>414</v>
      </c>
      <c r="F331" s="53">
        <v>45077</v>
      </c>
      <c r="G331" s="53">
        <v>45092</v>
      </c>
      <c r="H331" s="53">
        <v>45097</v>
      </c>
      <c r="I331" s="125">
        <v>1.2999999999999999E-2</v>
      </c>
      <c r="J331" s="47">
        <v>6.5000000000000002E-2</v>
      </c>
      <c r="K331" s="48" t="s">
        <v>5</v>
      </c>
    </row>
    <row r="332" spans="1:11" s="77" customFormat="1">
      <c r="A332" s="50" t="s">
        <v>71</v>
      </c>
      <c r="B332" s="51">
        <v>43250</v>
      </c>
      <c r="C332" s="123">
        <v>5</v>
      </c>
      <c r="D332" s="124" t="s">
        <v>626</v>
      </c>
      <c r="E332" s="1" t="s">
        <v>414</v>
      </c>
      <c r="F332" s="53">
        <v>45077</v>
      </c>
      <c r="G332" s="53">
        <v>45092</v>
      </c>
      <c r="H332" s="53">
        <v>45097</v>
      </c>
      <c r="I332" s="125">
        <v>0.02</v>
      </c>
      <c r="J332" s="47">
        <v>0.1</v>
      </c>
      <c r="K332" s="48" t="s">
        <v>5</v>
      </c>
    </row>
    <row r="333" spans="1:11" s="77" customFormat="1">
      <c r="A333" s="50" t="s">
        <v>316</v>
      </c>
      <c r="B333" s="51">
        <v>43644</v>
      </c>
      <c r="C333" s="123">
        <v>100</v>
      </c>
      <c r="D333" s="124" t="s">
        <v>594</v>
      </c>
      <c r="E333" s="1" t="s">
        <v>414</v>
      </c>
      <c r="F333" s="53">
        <v>45105</v>
      </c>
      <c r="G333" s="53">
        <v>45106</v>
      </c>
      <c r="H333" s="53">
        <v>45111</v>
      </c>
      <c r="I333" s="143"/>
      <c r="J333" s="47">
        <v>0</v>
      </c>
      <c r="K333" s="48" t="s">
        <v>129</v>
      </c>
    </row>
    <row r="334" spans="1:11" s="77" customFormat="1">
      <c r="A334" s="39" t="s">
        <v>179</v>
      </c>
      <c r="B334" s="41">
        <v>43544</v>
      </c>
      <c r="C334" s="44">
        <v>5</v>
      </c>
      <c r="D334" s="78" t="s">
        <v>180</v>
      </c>
      <c r="E334" s="9" t="s">
        <v>410</v>
      </c>
      <c r="F334" s="40">
        <v>45107</v>
      </c>
      <c r="G334" s="40">
        <v>45110</v>
      </c>
      <c r="H334" s="40">
        <v>45113</v>
      </c>
      <c r="I334" s="46">
        <v>0.04</v>
      </c>
      <c r="J334" s="36">
        <v>4.9200000000000001E-2</v>
      </c>
      <c r="K334" s="42" t="s">
        <v>8</v>
      </c>
    </row>
    <row r="335" spans="1:11" s="77" customFormat="1" ht="25.5">
      <c r="A335" s="39" t="s">
        <v>103</v>
      </c>
      <c r="B335" s="41">
        <v>41281</v>
      </c>
      <c r="C335" s="44">
        <v>5</v>
      </c>
      <c r="D335" s="78" t="s">
        <v>573</v>
      </c>
      <c r="E335" s="9" t="s">
        <v>410</v>
      </c>
      <c r="F335" s="40">
        <v>45107</v>
      </c>
      <c r="G335" s="40">
        <v>45110</v>
      </c>
      <c r="H335" s="40">
        <v>45113</v>
      </c>
      <c r="I335" s="46">
        <v>0.02</v>
      </c>
      <c r="J335" s="36">
        <v>2.3700000000000002E-2</v>
      </c>
      <c r="K335" s="42" t="s">
        <v>498</v>
      </c>
    </row>
    <row r="336" spans="1:11" s="77" customFormat="1" ht="25.5">
      <c r="A336" s="39" t="s">
        <v>106</v>
      </c>
      <c r="B336" s="41">
        <v>41281</v>
      </c>
      <c r="C336" s="44">
        <v>5</v>
      </c>
      <c r="D336" s="78" t="s">
        <v>574</v>
      </c>
      <c r="E336" s="9" t="s">
        <v>410</v>
      </c>
      <c r="F336" s="40">
        <v>45107</v>
      </c>
      <c r="G336" s="40">
        <v>45110</v>
      </c>
      <c r="H336" s="40">
        <v>45113</v>
      </c>
      <c r="I336" s="46">
        <v>0.02</v>
      </c>
      <c r="J336" s="36">
        <v>2.3699999999999999E-2</v>
      </c>
      <c r="K336" s="42" t="s">
        <v>498</v>
      </c>
    </row>
    <row r="337" spans="1:11" s="77" customFormat="1">
      <c r="A337" s="50" t="s">
        <v>518</v>
      </c>
      <c r="B337" s="51">
        <v>43644</v>
      </c>
      <c r="C337" s="123">
        <v>5</v>
      </c>
      <c r="D337" s="124" t="s">
        <v>768</v>
      </c>
      <c r="E337" s="1" t="s">
        <v>422</v>
      </c>
      <c r="F337" s="53">
        <v>45107</v>
      </c>
      <c r="G337" s="53">
        <v>45124</v>
      </c>
      <c r="H337" s="53">
        <v>45127</v>
      </c>
      <c r="I337" s="125" t="s">
        <v>519</v>
      </c>
      <c r="J337" s="47">
        <v>0</v>
      </c>
      <c r="K337" s="48" t="s">
        <v>327</v>
      </c>
    </row>
    <row r="338" spans="1:11" s="77" customFormat="1">
      <c r="A338" s="50" t="s">
        <v>130</v>
      </c>
      <c r="B338" s="51">
        <v>43644</v>
      </c>
      <c r="C338" s="123">
        <v>5</v>
      </c>
      <c r="D338" s="124" t="s">
        <v>633</v>
      </c>
      <c r="E338" s="1" t="s">
        <v>414</v>
      </c>
      <c r="F338" s="53">
        <v>45107</v>
      </c>
      <c r="G338" s="53">
        <v>45124</v>
      </c>
      <c r="H338" s="53">
        <v>45127</v>
      </c>
      <c r="I338" s="125">
        <v>0.01</v>
      </c>
      <c r="J338" s="47">
        <v>0.05</v>
      </c>
      <c r="K338" s="48" t="s">
        <v>5</v>
      </c>
    </row>
    <row r="339" spans="1:11" s="77" customFormat="1">
      <c r="A339" s="50" t="s">
        <v>131</v>
      </c>
      <c r="B339" s="51">
        <v>43644</v>
      </c>
      <c r="C339" s="123">
        <v>5</v>
      </c>
      <c r="D339" s="124" t="s">
        <v>632</v>
      </c>
      <c r="E339" s="1" t="s">
        <v>414</v>
      </c>
      <c r="F339" s="53">
        <v>45107</v>
      </c>
      <c r="G339" s="53">
        <v>45124</v>
      </c>
      <c r="H339" s="53">
        <v>45127</v>
      </c>
      <c r="I339" s="125">
        <v>0.01</v>
      </c>
      <c r="J339" s="47">
        <v>0.05</v>
      </c>
      <c r="K339" s="48" t="s">
        <v>5</v>
      </c>
    </row>
    <row r="340" spans="1:11" s="77" customFormat="1">
      <c r="A340" s="50" t="s">
        <v>542</v>
      </c>
      <c r="B340" s="51">
        <v>44002</v>
      </c>
      <c r="C340" s="123">
        <v>5</v>
      </c>
      <c r="D340" s="124" t="s">
        <v>635</v>
      </c>
      <c r="E340" s="1" t="s">
        <v>414</v>
      </c>
      <c r="F340" s="53">
        <v>45107</v>
      </c>
      <c r="G340" s="53">
        <v>45124</v>
      </c>
      <c r="H340" s="53">
        <v>45127</v>
      </c>
      <c r="I340" s="125">
        <v>1.4999999999999999E-2</v>
      </c>
      <c r="J340" s="47">
        <v>7.4999999999999997E-2</v>
      </c>
      <c r="K340" s="48" t="s">
        <v>5</v>
      </c>
    </row>
    <row r="341" spans="1:11" s="77" customFormat="1">
      <c r="A341" s="50" t="s">
        <v>543</v>
      </c>
      <c r="B341" s="51">
        <v>44002</v>
      </c>
      <c r="C341" s="123">
        <v>5</v>
      </c>
      <c r="D341" s="124" t="s">
        <v>634</v>
      </c>
      <c r="E341" s="1" t="s">
        <v>414</v>
      </c>
      <c r="F341" s="53">
        <v>45107</v>
      </c>
      <c r="G341" s="53">
        <v>45124</v>
      </c>
      <c r="H341" s="53">
        <v>45127</v>
      </c>
      <c r="I341" s="125">
        <v>1.2999999999999999E-2</v>
      </c>
      <c r="J341" s="47">
        <v>6.5000000000000002E-2</v>
      </c>
      <c r="K341" s="48" t="s">
        <v>5</v>
      </c>
    </row>
    <row r="342" spans="1:11" s="77" customFormat="1">
      <c r="A342" s="50" t="s">
        <v>752</v>
      </c>
      <c r="B342" s="51">
        <v>44742</v>
      </c>
      <c r="C342" s="123">
        <v>5</v>
      </c>
      <c r="D342" s="124" t="s">
        <v>766</v>
      </c>
      <c r="E342" s="9" t="s">
        <v>422</v>
      </c>
      <c r="F342" s="40">
        <v>45107</v>
      </c>
      <c r="G342" s="40">
        <v>45124</v>
      </c>
      <c r="H342" s="40">
        <v>45127</v>
      </c>
      <c r="I342" s="46" t="s">
        <v>769</v>
      </c>
      <c r="J342" s="36">
        <v>0.1396</v>
      </c>
      <c r="K342" s="48" t="s">
        <v>5</v>
      </c>
    </row>
    <row r="343" spans="1:11" s="77" customFormat="1">
      <c r="A343" s="50" t="s">
        <v>753</v>
      </c>
      <c r="B343" s="51">
        <v>44742</v>
      </c>
      <c r="C343" s="123">
        <v>5</v>
      </c>
      <c r="D343" s="124" t="s">
        <v>767</v>
      </c>
      <c r="E343" s="1" t="s">
        <v>414</v>
      </c>
      <c r="F343" s="53">
        <v>45107</v>
      </c>
      <c r="G343" s="53">
        <v>45124</v>
      </c>
      <c r="H343" s="53">
        <v>45127</v>
      </c>
      <c r="I343" s="125">
        <v>1.7000000000000001E-2</v>
      </c>
      <c r="J343" s="47">
        <v>8.5000000000000006E-2</v>
      </c>
      <c r="K343" s="48" t="s">
        <v>5</v>
      </c>
    </row>
    <row r="344" spans="1:11" s="77" customFormat="1">
      <c r="A344" s="50" t="s">
        <v>63</v>
      </c>
      <c r="B344" s="51">
        <v>43280</v>
      </c>
      <c r="C344" s="123">
        <v>5</v>
      </c>
      <c r="D344" s="124" t="s">
        <v>631</v>
      </c>
      <c r="E344" s="1" t="s">
        <v>414</v>
      </c>
      <c r="F344" s="53">
        <v>45107</v>
      </c>
      <c r="G344" s="53">
        <v>45124</v>
      </c>
      <c r="H344" s="53">
        <v>45127</v>
      </c>
      <c r="I344" s="125">
        <v>0.02</v>
      </c>
      <c r="J344" s="47">
        <v>0.1</v>
      </c>
      <c r="K344" s="48" t="s">
        <v>5</v>
      </c>
    </row>
    <row r="345" spans="1:11" s="77" customFormat="1">
      <c r="A345" s="50" t="s">
        <v>762</v>
      </c>
      <c r="B345" s="51">
        <v>44771</v>
      </c>
      <c r="C345" s="123">
        <v>5</v>
      </c>
      <c r="D345" s="124" t="s">
        <v>770</v>
      </c>
      <c r="E345" s="1" t="s">
        <v>414</v>
      </c>
      <c r="F345" s="53">
        <v>45138</v>
      </c>
      <c r="G345" s="53">
        <v>45154</v>
      </c>
      <c r="H345" s="53">
        <v>45159</v>
      </c>
      <c r="I345" s="125">
        <v>2.8500000000000001E-2</v>
      </c>
      <c r="J345" s="47">
        <v>0.14249999999999999</v>
      </c>
      <c r="K345" s="48" t="s">
        <v>5</v>
      </c>
    </row>
    <row r="346" spans="1:11" s="77" customFormat="1">
      <c r="A346" s="50" t="s">
        <v>763</v>
      </c>
      <c r="B346" s="51">
        <v>44771</v>
      </c>
      <c r="C346" s="123">
        <v>5</v>
      </c>
      <c r="D346" s="124" t="s">
        <v>771</v>
      </c>
      <c r="E346" s="1" t="s">
        <v>414</v>
      </c>
      <c r="F346" s="53">
        <v>45138</v>
      </c>
      <c r="G346" s="53">
        <v>45154</v>
      </c>
      <c r="H346" s="53">
        <v>45159</v>
      </c>
      <c r="I346" s="125">
        <v>2.6499999999999999E-2</v>
      </c>
      <c r="J346" s="47">
        <v>0.13250000000000001</v>
      </c>
      <c r="K346" s="48" t="s">
        <v>5</v>
      </c>
    </row>
    <row r="347" spans="1:11" s="77" customFormat="1">
      <c r="A347" s="50" t="s">
        <v>64</v>
      </c>
      <c r="B347" s="51">
        <v>43312</v>
      </c>
      <c r="C347" s="123">
        <v>5</v>
      </c>
      <c r="D347" s="124" t="s">
        <v>637</v>
      </c>
      <c r="E347" s="1" t="s">
        <v>414</v>
      </c>
      <c r="F347" s="53">
        <v>45138</v>
      </c>
      <c r="G347" s="53">
        <v>45154</v>
      </c>
      <c r="H347" s="53">
        <v>45159</v>
      </c>
      <c r="I347" s="125">
        <v>0.02</v>
      </c>
      <c r="J347" s="47">
        <v>0.1</v>
      </c>
      <c r="K347" s="48" t="s">
        <v>5</v>
      </c>
    </row>
    <row r="348" spans="1:11" s="77" customFormat="1">
      <c r="A348" s="50" t="s">
        <v>317</v>
      </c>
      <c r="B348" s="51">
        <v>43686</v>
      </c>
      <c r="C348" s="123">
        <v>100</v>
      </c>
      <c r="D348" s="78" t="s">
        <v>893</v>
      </c>
      <c r="E348" s="1" t="s">
        <v>414</v>
      </c>
      <c r="F348" s="53">
        <v>45147</v>
      </c>
      <c r="G348" s="53">
        <v>45148</v>
      </c>
      <c r="H348" s="53">
        <v>45154</v>
      </c>
      <c r="I348" s="125"/>
      <c r="J348" s="47">
        <v>0</v>
      </c>
      <c r="K348" s="48" t="s">
        <v>129</v>
      </c>
    </row>
    <row r="349" spans="1:11" s="77" customFormat="1">
      <c r="A349" s="50" t="s">
        <v>319</v>
      </c>
      <c r="B349" s="51">
        <v>43735</v>
      </c>
      <c r="C349" s="123">
        <v>5</v>
      </c>
      <c r="D349" s="124" t="s">
        <v>648</v>
      </c>
      <c r="E349" s="1" t="s">
        <v>414</v>
      </c>
      <c r="F349" s="53">
        <v>45154</v>
      </c>
      <c r="G349" s="53">
        <v>45169</v>
      </c>
      <c r="H349" s="53">
        <v>45174</v>
      </c>
      <c r="I349" s="125">
        <v>8.9999999999999993E-3</v>
      </c>
      <c r="J349" s="47">
        <v>4.4999999999999998E-2</v>
      </c>
      <c r="K349" s="48" t="s">
        <v>5</v>
      </c>
    </row>
    <row r="350" spans="1:11" s="77" customFormat="1">
      <c r="A350" s="50" t="s">
        <v>320</v>
      </c>
      <c r="B350" s="51">
        <v>43735</v>
      </c>
      <c r="C350" s="123">
        <v>5</v>
      </c>
      <c r="D350" s="124" t="s">
        <v>649</v>
      </c>
      <c r="E350" s="1" t="s">
        <v>414</v>
      </c>
      <c r="F350" s="53">
        <v>45154</v>
      </c>
      <c r="G350" s="53">
        <v>45169</v>
      </c>
      <c r="H350" s="53">
        <v>45174</v>
      </c>
      <c r="I350" s="125">
        <v>8.9999999999999993E-3</v>
      </c>
      <c r="J350" s="47">
        <v>4.4999999999999998E-2</v>
      </c>
      <c r="K350" s="48" t="s">
        <v>5</v>
      </c>
    </row>
    <row r="351" spans="1:11" s="77" customFormat="1">
      <c r="A351" s="50" t="s">
        <v>179</v>
      </c>
      <c r="B351" s="51">
        <v>43544</v>
      </c>
      <c r="C351" s="123">
        <v>5</v>
      </c>
      <c r="D351" s="124" t="s">
        <v>971</v>
      </c>
      <c r="E351" s="1" t="s">
        <v>410</v>
      </c>
      <c r="F351" s="53">
        <v>45198</v>
      </c>
      <c r="G351" s="53">
        <v>45201</v>
      </c>
      <c r="H351" s="53">
        <v>45204</v>
      </c>
      <c r="I351" s="125">
        <v>0.04</v>
      </c>
      <c r="J351" s="47">
        <v>4.9200000000000001E-2</v>
      </c>
      <c r="K351" s="48" t="s">
        <v>8</v>
      </c>
    </row>
    <row r="352" spans="1:11" s="77" customFormat="1" ht="25.5">
      <c r="A352" s="50" t="s">
        <v>103</v>
      </c>
      <c r="B352" s="51">
        <v>41281</v>
      </c>
      <c r="C352" s="123">
        <v>5</v>
      </c>
      <c r="D352" s="124" t="s">
        <v>573</v>
      </c>
      <c r="E352" s="1" t="s">
        <v>410</v>
      </c>
      <c r="F352" s="53">
        <v>45198</v>
      </c>
      <c r="G352" s="53">
        <v>45201</v>
      </c>
      <c r="H352" s="53">
        <v>45204</v>
      </c>
      <c r="I352" s="125">
        <v>0.02</v>
      </c>
      <c r="J352" s="47">
        <v>2.3700000000000002E-2</v>
      </c>
      <c r="K352" s="48" t="s">
        <v>498</v>
      </c>
    </row>
    <row r="353" spans="1:13" s="77" customFormat="1" ht="25.5">
      <c r="A353" s="50" t="s">
        <v>106</v>
      </c>
      <c r="B353" s="51">
        <v>41281</v>
      </c>
      <c r="C353" s="123">
        <v>5</v>
      </c>
      <c r="D353" s="124" t="s">
        <v>574</v>
      </c>
      <c r="E353" s="1" t="s">
        <v>410</v>
      </c>
      <c r="F353" s="53">
        <v>45198</v>
      </c>
      <c r="G353" s="53">
        <v>45201</v>
      </c>
      <c r="H353" s="53">
        <v>45204</v>
      </c>
      <c r="I353" s="125">
        <v>0.02</v>
      </c>
      <c r="J353" s="47">
        <v>2.3699999999999999E-2</v>
      </c>
      <c r="K353" s="48" t="s">
        <v>498</v>
      </c>
      <c r="M353" s="77" t="s">
        <v>639</v>
      </c>
    </row>
    <row r="354" spans="1:13" s="77" customFormat="1" ht="25.5">
      <c r="A354" s="39" t="s">
        <v>322</v>
      </c>
      <c r="B354" s="41">
        <v>43735</v>
      </c>
      <c r="C354" s="44">
        <v>5</v>
      </c>
      <c r="D354" s="78" t="s">
        <v>578</v>
      </c>
      <c r="E354" s="9" t="s">
        <v>422</v>
      </c>
      <c r="F354" s="40">
        <v>45198</v>
      </c>
      <c r="G354" s="40">
        <v>45215</v>
      </c>
      <c r="H354" s="40">
        <v>45218</v>
      </c>
      <c r="I354" s="46" t="s">
        <v>562</v>
      </c>
      <c r="J354" s="36">
        <v>0.186833</v>
      </c>
      <c r="K354" s="42" t="s">
        <v>328</v>
      </c>
    </row>
    <row r="355" spans="1:13" s="77" customFormat="1" ht="25.5">
      <c r="A355" s="39" t="s">
        <v>323</v>
      </c>
      <c r="B355" s="41">
        <v>43735</v>
      </c>
      <c r="C355" s="44">
        <v>5</v>
      </c>
      <c r="D355" s="78" t="s">
        <v>577</v>
      </c>
      <c r="E355" s="9" t="s">
        <v>414</v>
      </c>
      <c r="F355" s="40">
        <v>45198</v>
      </c>
      <c r="G355" s="40">
        <v>45215</v>
      </c>
      <c r="H355" s="40">
        <v>45218</v>
      </c>
      <c r="I355" s="46">
        <v>1.55E-2</v>
      </c>
      <c r="J355" s="36">
        <v>7.7499999999999999E-2</v>
      </c>
      <c r="K355" s="42" t="s">
        <v>328</v>
      </c>
    </row>
    <row r="356" spans="1:13" s="77" customFormat="1" ht="25.5">
      <c r="A356" s="39" t="s">
        <v>321</v>
      </c>
      <c r="B356" s="41">
        <v>43735</v>
      </c>
      <c r="C356" s="44">
        <v>5</v>
      </c>
      <c r="D356" s="78" t="s">
        <v>579</v>
      </c>
      <c r="E356" s="9" t="s">
        <v>422</v>
      </c>
      <c r="F356" s="40">
        <v>45198</v>
      </c>
      <c r="G356" s="40">
        <v>45215</v>
      </c>
      <c r="H356" s="40">
        <v>45218</v>
      </c>
      <c r="I356" s="46" t="s">
        <v>563</v>
      </c>
      <c r="J356" s="36">
        <v>0.19716600000000001</v>
      </c>
      <c r="K356" s="42" t="s">
        <v>328</v>
      </c>
    </row>
    <row r="357" spans="1:13" s="77" customFormat="1">
      <c r="A357" s="39" t="s">
        <v>65</v>
      </c>
      <c r="B357" s="41">
        <v>43371</v>
      </c>
      <c r="C357" s="44">
        <v>5</v>
      </c>
      <c r="D357" s="78" t="s">
        <v>653</v>
      </c>
      <c r="E357" s="9" t="s">
        <v>414</v>
      </c>
      <c r="F357" s="40">
        <v>45198</v>
      </c>
      <c r="G357" s="40">
        <v>45215</v>
      </c>
      <c r="H357" s="40">
        <v>45218</v>
      </c>
      <c r="I357" s="46">
        <v>0.02</v>
      </c>
      <c r="J357" s="36">
        <v>0.1</v>
      </c>
      <c r="K357" s="42" t="s">
        <v>5</v>
      </c>
    </row>
    <row r="358" spans="1:13" s="77" customFormat="1">
      <c r="A358" s="50" t="s">
        <v>772</v>
      </c>
      <c r="B358" s="51">
        <v>44834</v>
      </c>
      <c r="C358" s="123">
        <v>100</v>
      </c>
      <c r="D358" s="124" t="s">
        <v>775</v>
      </c>
      <c r="E358" s="1" t="s">
        <v>414</v>
      </c>
      <c r="F358" s="53">
        <v>45201</v>
      </c>
      <c r="G358" s="53">
        <v>45202</v>
      </c>
      <c r="H358" s="53">
        <v>45205</v>
      </c>
      <c r="I358" s="125"/>
      <c r="J358" s="47">
        <v>3.5</v>
      </c>
      <c r="K358" s="48" t="s">
        <v>129</v>
      </c>
    </row>
    <row r="359" spans="1:13" s="77" customFormat="1">
      <c r="A359" s="50" t="s">
        <v>756</v>
      </c>
      <c r="B359" s="51">
        <v>44834</v>
      </c>
      <c r="C359" s="123">
        <v>5</v>
      </c>
      <c r="D359" s="124" t="s">
        <v>782</v>
      </c>
      <c r="E359" s="1" t="s">
        <v>414</v>
      </c>
      <c r="F359" s="53">
        <v>45215</v>
      </c>
      <c r="G359" s="53">
        <v>45230</v>
      </c>
      <c r="H359" s="53">
        <v>45236</v>
      </c>
      <c r="I359" s="125">
        <v>3.4000000000000002E-2</v>
      </c>
      <c r="J359" s="47">
        <v>0.17</v>
      </c>
      <c r="K359" s="48" t="s">
        <v>5</v>
      </c>
    </row>
    <row r="360" spans="1:13" s="77" customFormat="1">
      <c r="A360" s="50" t="s">
        <v>757</v>
      </c>
      <c r="B360" s="51">
        <v>44834</v>
      </c>
      <c r="C360" s="123">
        <v>5</v>
      </c>
      <c r="D360" s="124" t="s">
        <v>783</v>
      </c>
      <c r="E360" s="1" t="s">
        <v>414</v>
      </c>
      <c r="F360" s="53">
        <v>45215</v>
      </c>
      <c r="G360" s="53">
        <v>45230</v>
      </c>
      <c r="H360" s="53">
        <v>45236</v>
      </c>
      <c r="I360" s="125">
        <v>3.2000000000000001E-2</v>
      </c>
      <c r="J360" s="47">
        <v>0.16</v>
      </c>
      <c r="K360" s="48" t="s">
        <v>5</v>
      </c>
    </row>
    <row r="361" spans="1:13" s="77" customFormat="1">
      <c r="A361" s="50" t="s">
        <v>546</v>
      </c>
      <c r="B361" s="51">
        <v>44104</v>
      </c>
      <c r="C361" s="123">
        <v>5</v>
      </c>
      <c r="D361" s="124" t="s">
        <v>642</v>
      </c>
      <c r="E361" s="1" t="s">
        <v>414</v>
      </c>
      <c r="F361" s="53">
        <v>45215</v>
      </c>
      <c r="G361" s="53">
        <v>45230</v>
      </c>
      <c r="H361" s="53">
        <v>45236</v>
      </c>
      <c r="I361" s="125">
        <v>0.01</v>
      </c>
      <c r="J361" s="47">
        <v>0.05</v>
      </c>
      <c r="K361" s="48" t="s">
        <v>5</v>
      </c>
    </row>
    <row r="362" spans="1:13" s="77" customFormat="1">
      <c r="A362" s="50" t="s">
        <v>708</v>
      </c>
      <c r="B362" s="51">
        <v>44104</v>
      </c>
      <c r="C362" s="123">
        <v>5</v>
      </c>
      <c r="D362" s="124" t="s">
        <v>643</v>
      </c>
      <c r="E362" s="1" t="s">
        <v>414</v>
      </c>
      <c r="F362" s="53">
        <v>45215</v>
      </c>
      <c r="G362" s="53">
        <v>45230</v>
      </c>
      <c r="H362" s="53">
        <v>45236</v>
      </c>
      <c r="I362" s="125">
        <v>8.0000000000000002E-3</v>
      </c>
      <c r="J362" s="47">
        <v>0.04</v>
      </c>
      <c r="K362" s="48" t="s">
        <v>5</v>
      </c>
    </row>
    <row r="363" spans="1:13" s="77" customFormat="1">
      <c r="A363" s="50" t="s">
        <v>754</v>
      </c>
      <c r="B363" s="51">
        <v>44834</v>
      </c>
      <c r="C363" s="123">
        <v>5</v>
      </c>
      <c r="D363" s="124" t="s">
        <v>778</v>
      </c>
      <c r="E363" s="1" t="s">
        <v>422</v>
      </c>
      <c r="F363" s="53">
        <v>45215</v>
      </c>
      <c r="G363" s="53">
        <v>45230</v>
      </c>
      <c r="H363" s="53">
        <v>45236</v>
      </c>
      <c r="I363" s="125" t="s">
        <v>780</v>
      </c>
      <c r="J363" s="47">
        <v>0.21779999999999999</v>
      </c>
      <c r="K363" s="48" t="s">
        <v>5</v>
      </c>
    </row>
    <row r="364" spans="1:13" s="77" customFormat="1">
      <c r="A364" s="50" t="s">
        <v>755</v>
      </c>
      <c r="B364" s="51">
        <v>44834</v>
      </c>
      <c r="C364" s="123">
        <v>5</v>
      </c>
      <c r="D364" s="124" t="s">
        <v>779</v>
      </c>
      <c r="E364" s="1" t="s">
        <v>422</v>
      </c>
      <c r="F364" s="53">
        <v>45215</v>
      </c>
      <c r="G364" s="53">
        <v>45230</v>
      </c>
      <c r="H364" s="53">
        <v>45236</v>
      </c>
      <c r="I364" s="125" t="s">
        <v>781</v>
      </c>
      <c r="J364" s="47">
        <v>0.20849999999999999</v>
      </c>
      <c r="K364" s="48" t="s">
        <v>5</v>
      </c>
    </row>
    <row r="365" spans="1:13" s="77" customFormat="1">
      <c r="A365" s="50" t="s">
        <v>773</v>
      </c>
      <c r="B365" s="51">
        <v>44865</v>
      </c>
      <c r="C365" s="123">
        <v>100</v>
      </c>
      <c r="D365" s="124" t="s">
        <v>776</v>
      </c>
      <c r="E365" s="1" t="s">
        <v>414</v>
      </c>
      <c r="F365" s="53">
        <v>45230</v>
      </c>
      <c r="G365" s="53">
        <v>45232</v>
      </c>
      <c r="H365" s="53">
        <v>45237</v>
      </c>
      <c r="I365" s="143"/>
      <c r="J365" s="47">
        <v>0</v>
      </c>
      <c r="K365" s="48" t="s">
        <v>129</v>
      </c>
    </row>
    <row r="366" spans="1:13" s="77" customFormat="1" ht="25.5">
      <c r="A366" s="50" t="s">
        <v>709</v>
      </c>
      <c r="B366" s="51">
        <v>43769</v>
      </c>
      <c r="C366" s="123">
        <v>5</v>
      </c>
      <c r="D366" s="124" t="s">
        <v>656</v>
      </c>
      <c r="E366" s="1" t="s">
        <v>422</v>
      </c>
      <c r="F366" s="53">
        <v>45230</v>
      </c>
      <c r="G366" s="53">
        <v>45245</v>
      </c>
      <c r="H366" s="53">
        <v>45250</v>
      </c>
      <c r="I366" s="125" t="s">
        <v>522</v>
      </c>
      <c r="J366" s="47">
        <v>0.1792</v>
      </c>
      <c r="K366" s="48" t="s">
        <v>329</v>
      </c>
    </row>
    <row r="367" spans="1:13" s="77" customFormat="1" ht="25.5">
      <c r="A367" s="50" t="s">
        <v>325</v>
      </c>
      <c r="B367" s="51">
        <v>43769</v>
      </c>
      <c r="C367" s="123">
        <v>5</v>
      </c>
      <c r="D367" s="124" t="s">
        <v>658</v>
      </c>
      <c r="E367" s="1" t="s">
        <v>414</v>
      </c>
      <c r="F367" s="53">
        <v>45230</v>
      </c>
      <c r="G367" s="53">
        <v>45245</v>
      </c>
      <c r="H367" s="53">
        <v>45250</v>
      </c>
      <c r="I367" s="125">
        <v>0.01</v>
      </c>
      <c r="J367" s="47">
        <v>0.05</v>
      </c>
      <c r="K367" s="48" t="s">
        <v>329</v>
      </c>
    </row>
    <row r="368" spans="1:13" s="77" customFormat="1" ht="25.5">
      <c r="A368" s="50" t="s">
        <v>324</v>
      </c>
      <c r="B368" s="51">
        <v>43769</v>
      </c>
      <c r="C368" s="123">
        <v>5</v>
      </c>
      <c r="D368" s="124" t="s">
        <v>657</v>
      </c>
      <c r="E368" s="1" t="s">
        <v>422</v>
      </c>
      <c r="F368" s="53">
        <v>45230</v>
      </c>
      <c r="G368" s="53">
        <v>45245</v>
      </c>
      <c r="H368" s="53">
        <v>45250</v>
      </c>
      <c r="I368" s="125" t="s">
        <v>661</v>
      </c>
      <c r="J368" s="47">
        <v>0.18940000000000001</v>
      </c>
      <c r="K368" s="48" t="s">
        <v>329</v>
      </c>
    </row>
    <row r="369" spans="1:11" s="77" customFormat="1">
      <c r="A369" s="50" t="s">
        <v>758</v>
      </c>
      <c r="B369" s="51">
        <v>44865</v>
      </c>
      <c r="C369" s="123">
        <v>5</v>
      </c>
      <c r="D369" s="124" t="s">
        <v>784</v>
      </c>
      <c r="E369" s="1" t="s">
        <v>414</v>
      </c>
      <c r="F369" s="53">
        <v>45230</v>
      </c>
      <c r="G369" s="53">
        <v>45245</v>
      </c>
      <c r="H369" s="53">
        <v>45250</v>
      </c>
      <c r="I369" s="125">
        <v>3.3500000000000002E-2</v>
      </c>
      <c r="J369" s="47">
        <v>0.16750000000000001</v>
      </c>
      <c r="K369" s="48" t="s">
        <v>5</v>
      </c>
    </row>
    <row r="370" spans="1:11" s="77" customFormat="1">
      <c r="A370" s="50" t="s">
        <v>759</v>
      </c>
      <c r="B370" s="51">
        <v>44865</v>
      </c>
      <c r="C370" s="123">
        <v>5</v>
      </c>
      <c r="D370" s="124" t="s">
        <v>785</v>
      </c>
      <c r="E370" s="1" t="s">
        <v>414</v>
      </c>
      <c r="F370" s="53">
        <v>45230</v>
      </c>
      <c r="G370" s="53">
        <v>45245</v>
      </c>
      <c r="H370" s="53">
        <v>45250</v>
      </c>
      <c r="I370" s="125">
        <v>3.15E-2</v>
      </c>
      <c r="J370" s="47">
        <v>0.1575</v>
      </c>
      <c r="K370" s="48" t="s">
        <v>5</v>
      </c>
    </row>
    <row r="371" spans="1:11" s="77" customFormat="1">
      <c r="A371" s="50" t="s">
        <v>571</v>
      </c>
      <c r="B371" s="51">
        <v>44134</v>
      </c>
      <c r="C371" s="123">
        <v>5</v>
      </c>
      <c r="D371" s="124" t="s">
        <v>645</v>
      </c>
      <c r="E371" s="1" t="s">
        <v>414</v>
      </c>
      <c r="F371" s="53">
        <v>45230</v>
      </c>
      <c r="G371" s="53">
        <v>45245</v>
      </c>
      <c r="H371" s="53">
        <v>45250</v>
      </c>
      <c r="I371" s="125">
        <v>8.9999999999999993E-3</v>
      </c>
      <c r="J371" s="47">
        <v>4.4999999999999998E-2</v>
      </c>
      <c r="K371" s="48" t="s">
        <v>5</v>
      </c>
    </row>
    <row r="372" spans="1:11" s="77" customFormat="1">
      <c r="A372" s="50" t="s">
        <v>67</v>
      </c>
      <c r="B372" s="51">
        <v>43404</v>
      </c>
      <c r="C372" s="123">
        <v>5</v>
      </c>
      <c r="D372" s="124" t="s">
        <v>655</v>
      </c>
      <c r="E372" s="1" t="s">
        <v>414</v>
      </c>
      <c r="F372" s="53">
        <v>45230</v>
      </c>
      <c r="G372" s="53">
        <v>45245</v>
      </c>
      <c r="H372" s="53">
        <v>45250</v>
      </c>
      <c r="I372" s="125">
        <v>0.02</v>
      </c>
      <c r="J372" s="47">
        <v>0.1</v>
      </c>
      <c r="K372" s="48" t="s">
        <v>5</v>
      </c>
    </row>
    <row r="373" spans="1:11" s="77" customFormat="1" ht="25.5">
      <c r="A373" s="50" t="s">
        <v>331</v>
      </c>
      <c r="B373" s="51">
        <v>43798</v>
      </c>
      <c r="C373" s="123">
        <v>5</v>
      </c>
      <c r="D373" s="124" t="s">
        <v>665</v>
      </c>
      <c r="E373" s="1" t="s">
        <v>414</v>
      </c>
      <c r="F373" s="53">
        <v>45260</v>
      </c>
      <c r="G373" s="53">
        <v>45275</v>
      </c>
      <c r="H373" s="53">
        <v>45280</v>
      </c>
      <c r="I373" s="125">
        <v>1.0999999999999999E-2</v>
      </c>
      <c r="J373" s="47">
        <v>5.5E-2</v>
      </c>
      <c r="K373" s="48" t="s">
        <v>329</v>
      </c>
    </row>
    <row r="374" spans="1:11" s="77" customFormat="1" ht="25.5">
      <c r="A374" s="50" t="s">
        <v>330</v>
      </c>
      <c r="B374" s="51">
        <v>43798</v>
      </c>
      <c r="C374" s="123">
        <v>5</v>
      </c>
      <c r="D374" s="124" t="s">
        <v>664</v>
      </c>
      <c r="E374" s="1" t="s">
        <v>422</v>
      </c>
      <c r="F374" s="53">
        <v>45260</v>
      </c>
      <c r="G374" s="53">
        <v>45275</v>
      </c>
      <c r="H374" s="53">
        <v>45280</v>
      </c>
      <c r="I374" s="125" t="s">
        <v>663</v>
      </c>
      <c r="J374" s="47">
        <v>0.18940000000000001</v>
      </c>
      <c r="K374" s="48" t="s">
        <v>329</v>
      </c>
    </row>
    <row r="375" spans="1:11" s="77" customFormat="1" ht="25.5">
      <c r="A375" s="50" t="s">
        <v>332</v>
      </c>
      <c r="B375" s="51">
        <v>43798</v>
      </c>
      <c r="C375" s="123">
        <v>5</v>
      </c>
      <c r="D375" s="124" t="s">
        <v>660</v>
      </c>
      <c r="E375" s="1" t="s">
        <v>422</v>
      </c>
      <c r="F375" s="53">
        <v>45260</v>
      </c>
      <c r="G375" s="53">
        <v>45275</v>
      </c>
      <c r="H375" s="53">
        <v>45280</v>
      </c>
      <c r="I375" s="125" t="s">
        <v>662</v>
      </c>
      <c r="J375" s="47">
        <v>0.17929999999999999</v>
      </c>
      <c r="K375" s="48" t="s">
        <v>329</v>
      </c>
    </row>
    <row r="376" spans="1:11" s="77" customFormat="1">
      <c r="A376" s="50" t="s">
        <v>564</v>
      </c>
      <c r="B376" s="51">
        <v>44134</v>
      </c>
      <c r="C376" s="123">
        <v>5</v>
      </c>
      <c r="D376" s="124" t="s">
        <v>644</v>
      </c>
      <c r="E376" s="1" t="s">
        <v>422</v>
      </c>
      <c r="F376" s="53">
        <v>45260</v>
      </c>
      <c r="G376" s="53">
        <v>45275</v>
      </c>
      <c r="H376" s="53">
        <v>45280</v>
      </c>
      <c r="I376" s="125" t="s">
        <v>572</v>
      </c>
      <c r="J376" s="47">
        <v>6.0299999999999999E-2</v>
      </c>
      <c r="K376" s="48" t="s">
        <v>5</v>
      </c>
    </row>
    <row r="377" spans="1:11" s="77" customFormat="1">
      <c r="A377" s="50" t="s">
        <v>774</v>
      </c>
      <c r="B377" s="51">
        <v>44915</v>
      </c>
      <c r="C377" s="123">
        <v>100</v>
      </c>
      <c r="D377" s="124" t="s">
        <v>777</v>
      </c>
      <c r="E377" s="1" t="s">
        <v>414</v>
      </c>
      <c r="F377" s="53">
        <v>45280</v>
      </c>
      <c r="G377" s="53">
        <v>45281</v>
      </c>
      <c r="H377" s="53">
        <v>45288</v>
      </c>
      <c r="I377" s="125"/>
      <c r="J377" s="47">
        <v>0</v>
      </c>
      <c r="K377" s="48" t="s">
        <v>129</v>
      </c>
    </row>
    <row r="378" spans="1:11" s="77" customFormat="1">
      <c r="A378" s="50" t="s">
        <v>179</v>
      </c>
      <c r="B378" s="51">
        <v>43544</v>
      </c>
      <c r="C378" s="123">
        <v>5</v>
      </c>
      <c r="D378" s="124" t="s">
        <v>971</v>
      </c>
      <c r="E378" s="1" t="s">
        <v>410</v>
      </c>
      <c r="F378" s="53">
        <v>45289</v>
      </c>
      <c r="G378" s="53">
        <v>45293</v>
      </c>
      <c r="H378" s="53">
        <v>45296</v>
      </c>
      <c r="I378" s="125">
        <v>0.04</v>
      </c>
      <c r="J378" s="47">
        <v>4.9200000000000001E-2</v>
      </c>
      <c r="K378" s="48" t="s">
        <v>8</v>
      </c>
    </row>
    <row r="379" spans="1:11" s="77" customFormat="1" ht="25.5">
      <c r="A379" s="50" t="s">
        <v>103</v>
      </c>
      <c r="B379" s="51">
        <v>41281</v>
      </c>
      <c r="C379" s="123">
        <v>5</v>
      </c>
      <c r="D379" s="124" t="s">
        <v>573</v>
      </c>
      <c r="E379" s="1" t="s">
        <v>410</v>
      </c>
      <c r="F379" s="53">
        <v>45289</v>
      </c>
      <c r="G379" s="53">
        <v>45293</v>
      </c>
      <c r="H379" s="53">
        <v>45296</v>
      </c>
      <c r="I379" s="125">
        <v>0.02</v>
      </c>
      <c r="J379" s="47">
        <v>2.3700000000000002E-2</v>
      </c>
      <c r="K379" s="48" t="s">
        <v>498</v>
      </c>
    </row>
    <row r="380" spans="1:11" s="77" customFormat="1" ht="25.5">
      <c r="A380" s="50" t="s">
        <v>106</v>
      </c>
      <c r="B380" s="51">
        <v>41281</v>
      </c>
      <c r="C380" s="123">
        <v>5</v>
      </c>
      <c r="D380" s="124" t="s">
        <v>574</v>
      </c>
      <c r="E380" s="1" t="s">
        <v>410</v>
      </c>
      <c r="F380" s="53">
        <v>45289</v>
      </c>
      <c r="G380" s="53">
        <v>45293</v>
      </c>
      <c r="H380" s="53">
        <v>45296</v>
      </c>
      <c r="I380" s="125">
        <v>0.02</v>
      </c>
      <c r="J380" s="47">
        <v>2.3699999999999999E-2</v>
      </c>
      <c r="K380" s="48" t="s">
        <v>498</v>
      </c>
    </row>
    <row r="381" spans="1:11" s="77" customFormat="1">
      <c r="A381" s="39" t="s">
        <v>570</v>
      </c>
      <c r="B381" s="41">
        <v>44183</v>
      </c>
      <c r="C381" s="44">
        <v>5</v>
      </c>
      <c r="D381" s="78" t="s">
        <v>646</v>
      </c>
      <c r="E381" s="9" t="s">
        <v>414</v>
      </c>
      <c r="F381" s="40">
        <v>45289</v>
      </c>
      <c r="G381" s="40">
        <v>45306</v>
      </c>
      <c r="H381" s="40">
        <v>45311</v>
      </c>
      <c r="I381" s="46">
        <v>5.4999999999999997E-3</v>
      </c>
      <c r="J381" s="36">
        <v>2.7500000000000004E-2</v>
      </c>
      <c r="K381" s="42" t="s">
        <v>5</v>
      </c>
    </row>
    <row r="382" spans="1:11" s="77" customFormat="1">
      <c r="A382" s="39" t="s">
        <v>760</v>
      </c>
      <c r="B382" s="41">
        <v>44915</v>
      </c>
      <c r="C382" s="44">
        <v>5</v>
      </c>
      <c r="D382" s="78" t="s">
        <v>786</v>
      </c>
      <c r="E382" s="9" t="s">
        <v>414</v>
      </c>
      <c r="F382" s="40">
        <v>45289</v>
      </c>
      <c r="G382" s="40">
        <v>45306</v>
      </c>
      <c r="H382" s="40">
        <v>45311</v>
      </c>
      <c r="I382" s="46">
        <v>0.03</v>
      </c>
      <c r="J382" s="36">
        <v>0.15</v>
      </c>
      <c r="K382" s="42" t="s">
        <v>5</v>
      </c>
    </row>
    <row r="383" spans="1:11" s="77" customFormat="1">
      <c r="A383" s="39" t="s">
        <v>761</v>
      </c>
      <c r="B383" s="41">
        <v>44915</v>
      </c>
      <c r="C383" s="44">
        <v>5</v>
      </c>
      <c r="D383" s="78" t="s">
        <v>787</v>
      </c>
      <c r="E383" s="9" t="s">
        <v>414</v>
      </c>
      <c r="F383" s="40">
        <v>45289</v>
      </c>
      <c r="G383" s="40">
        <v>45306</v>
      </c>
      <c r="H383" s="40">
        <v>45311</v>
      </c>
      <c r="I383" s="46">
        <v>2.8000000000000001E-2</v>
      </c>
      <c r="J383" s="36">
        <v>0.14000000000000001</v>
      </c>
      <c r="K383" s="42" t="s">
        <v>5</v>
      </c>
    </row>
    <row r="384" spans="1:11" s="77" customFormat="1">
      <c r="A384" s="39" t="s">
        <v>520</v>
      </c>
      <c r="B384" s="41">
        <v>43819</v>
      </c>
      <c r="C384" s="44">
        <v>5</v>
      </c>
      <c r="D384" s="78" t="s">
        <v>588</v>
      </c>
      <c r="E384" s="9" t="s">
        <v>414</v>
      </c>
      <c r="F384" s="40">
        <v>45289</v>
      </c>
      <c r="G384" s="40">
        <v>45306</v>
      </c>
      <c r="H384" s="40">
        <v>45309</v>
      </c>
      <c r="I384" s="46">
        <v>8.0000000000000002E-3</v>
      </c>
      <c r="J384" s="36">
        <v>0.04</v>
      </c>
      <c r="K384" s="42" t="s">
        <v>5</v>
      </c>
    </row>
    <row r="385" spans="1:11" s="77" customFormat="1">
      <c r="A385" s="39" t="s">
        <v>68</v>
      </c>
      <c r="B385" s="41">
        <v>43454</v>
      </c>
      <c r="C385" s="44">
        <v>5</v>
      </c>
      <c r="D385" s="78" t="s">
        <v>587</v>
      </c>
      <c r="E385" s="9" t="s">
        <v>414</v>
      </c>
      <c r="F385" s="40">
        <v>45289</v>
      </c>
      <c r="G385" s="40">
        <v>45306</v>
      </c>
      <c r="H385" s="40">
        <v>45309</v>
      </c>
      <c r="I385" s="46">
        <v>0.02</v>
      </c>
      <c r="J385" s="36">
        <v>0.1</v>
      </c>
      <c r="K385" s="42" t="s">
        <v>5</v>
      </c>
    </row>
    <row r="386" spans="1:11" s="77" customFormat="1" ht="25.5">
      <c r="A386" s="50" t="s">
        <v>525</v>
      </c>
      <c r="B386" s="51">
        <v>43861</v>
      </c>
      <c r="C386" s="123">
        <v>5</v>
      </c>
      <c r="D386" s="124" t="s">
        <v>603</v>
      </c>
      <c r="E386" s="1" t="s">
        <v>422</v>
      </c>
      <c r="F386" s="53">
        <v>45322</v>
      </c>
      <c r="G386" s="53">
        <v>45337</v>
      </c>
      <c r="H386" s="53">
        <v>45342</v>
      </c>
      <c r="I386" s="125" t="s">
        <v>527</v>
      </c>
      <c r="J386" s="47">
        <v>0.16700000000000001</v>
      </c>
      <c r="K386" s="48" t="s">
        <v>329</v>
      </c>
    </row>
    <row r="387" spans="1:11" s="77" customFormat="1" ht="25.5">
      <c r="A387" s="50" t="s">
        <v>524</v>
      </c>
      <c r="B387" s="51">
        <v>43861</v>
      </c>
      <c r="C387" s="123">
        <v>5</v>
      </c>
      <c r="D387" s="124" t="s">
        <v>602</v>
      </c>
      <c r="E387" s="1" t="s">
        <v>414</v>
      </c>
      <c r="F387" s="53">
        <v>45322</v>
      </c>
      <c r="G387" s="53">
        <v>45337</v>
      </c>
      <c r="H387" s="53">
        <v>45342</v>
      </c>
      <c r="I387" s="125">
        <v>0.01</v>
      </c>
      <c r="J387" s="47">
        <v>0.05</v>
      </c>
      <c r="K387" s="48" t="s">
        <v>329</v>
      </c>
    </row>
    <row r="388" spans="1:11" s="77" customFormat="1" ht="25.5">
      <c r="A388" s="50" t="s">
        <v>526</v>
      </c>
      <c r="B388" s="51">
        <v>43861</v>
      </c>
      <c r="C388" s="123">
        <v>5</v>
      </c>
      <c r="D388" s="124" t="s">
        <v>604</v>
      </c>
      <c r="E388" s="1" t="s">
        <v>422</v>
      </c>
      <c r="F388" s="53">
        <v>45322</v>
      </c>
      <c r="G388" s="53">
        <v>45337</v>
      </c>
      <c r="H388" s="53">
        <v>45342</v>
      </c>
      <c r="I388" s="125" t="s">
        <v>528</v>
      </c>
      <c r="J388" s="47">
        <v>0.17799999999999999</v>
      </c>
      <c r="K388" s="48" t="s">
        <v>329</v>
      </c>
    </row>
    <row r="389" spans="1:11" s="77" customFormat="1">
      <c r="A389" s="50" t="s">
        <v>803</v>
      </c>
      <c r="B389" s="51">
        <v>44957</v>
      </c>
      <c r="C389" s="123">
        <v>5</v>
      </c>
      <c r="D389" s="124" t="s">
        <v>805</v>
      </c>
      <c r="E389" s="1" t="s">
        <v>414</v>
      </c>
      <c r="F389" s="53">
        <v>45322</v>
      </c>
      <c r="G389" s="53">
        <v>45337</v>
      </c>
      <c r="H389" s="53">
        <v>45342</v>
      </c>
      <c r="I389" s="125">
        <v>2.5499999999999998E-2</v>
      </c>
      <c r="J389" s="47">
        <v>0.1275</v>
      </c>
      <c r="K389" s="48" t="s">
        <v>5</v>
      </c>
    </row>
    <row r="390" spans="1:11" s="77" customFormat="1">
      <c r="A390" s="50" t="s">
        <v>804</v>
      </c>
      <c r="B390" s="51">
        <v>44957</v>
      </c>
      <c r="C390" s="123">
        <v>5</v>
      </c>
      <c r="D390" s="124" t="s">
        <v>806</v>
      </c>
      <c r="E390" s="1" t="s">
        <v>414</v>
      </c>
      <c r="F390" s="53">
        <v>45322</v>
      </c>
      <c r="G390" s="53">
        <v>45337</v>
      </c>
      <c r="H390" s="53">
        <v>45342</v>
      </c>
      <c r="I390" s="125">
        <v>2.75E-2</v>
      </c>
      <c r="J390" s="47">
        <v>0.13750000000000001</v>
      </c>
      <c r="K390" s="48" t="s">
        <v>5</v>
      </c>
    </row>
    <row r="391" spans="1:11" s="77" customFormat="1">
      <c r="A391" s="50" t="s">
        <v>217</v>
      </c>
      <c r="B391" s="51">
        <v>43131</v>
      </c>
      <c r="C391" s="123">
        <v>5</v>
      </c>
      <c r="D391" s="124" t="s">
        <v>601</v>
      </c>
      <c r="E391" s="1" t="s">
        <v>414</v>
      </c>
      <c r="F391" s="53">
        <v>45322</v>
      </c>
      <c r="G391" s="53">
        <v>45337</v>
      </c>
      <c r="H391" s="53">
        <v>45342</v>
      </c>
      <c r="I391" s="125">
        <v>0.02</v>
      </c>
      <c r="J391" s="47">
        <v>0.1</v>
      </c>
      <c r="K391" s="48" t="s">
        <v>5</v>
      </c>
    </row>
    <row r="392" spans="1:11" s="77" customFormat="1">
      <c r="A392" s="50" t="s">
        <v>523</v>
      </c>
      <c r="B392" s="51">
        <v>43875</v>
      </c>
      <c r="C392" s="123">
        <v>100</v>
      </c>
      <c r="D392" s="124" t="s">
        <v>530</v>
      </c>
      <c r="E392" s="1" t="s">
        <v>414</v>
      </c>
      <c r="F392" s="53">
        <v>45336</v>
      </c>
      <c r="G392" s="53">
        <v>45337</v>
      </c>
      <c r="H392" s="53">
        <v>45342</v>
      </c>
      <c r="I392" s="125"/>
      <c r="J392" s="47">
        <v>0</v>
      </c>
      <c r="K392" s="48" t="s">
        <v>129</v>
      </c>
    </row>
    <row r="393" spans="1:11" s="77" customFormat="1">
      <c r="A393" s="50" t="s">
        <v>711</v>
      </c>
      <c r="B393" s="51">
        <v>44407</v>
      </c>
      <c r="C393" s="123">
        <v>5</v>
      </c>
      <c r="D393" s="124" t="s">
        <v>714</v>
      </c>
      <c r="E393" s="1" t="s">
        <v>414</v>
      </c>
      <c r="F393" s="53">
        <v>45337</v>
      </c>
      <c r="G393" s="53">
        <v>45338</v>
      </c>
      <c r="H393" s="53">
        <v>45343</v>
      </c>
      <c r="I393" s="125"/>
      <c r="J393" s="47">
        <v>0.14610000000000001</v>
      </c>
      <c r="K393" s="48"/>
    </row>
    <row r="394" spans="1:11" s="77" customFormat="1">
      <c r="A394" s="50" t="s">
        <v>712</v>
      </c>
      <c r="B394" s="51">
        <v>44407</v>
      </c>
      <c r="C394" s="123">
        <v>5</v>
      </c>
      <c r="D394" s="124" t="s">
        <v>715</v>
      </c>
      <c r="E394" s="1" t="s">
        <v>414</v>
      </c>
      <c r="F394" s="53">
        <v>45337</v>
      </c>
      <c r="G394" s="53">
        <v>45338</v>
      </c>
      <c r="H394" s="53">
        <v>45343</v>
      </c>
      <c r="I394" s="125"/>
      <c r="J394" s="47">
        <v>0.1517</v>
      </c>
      <c r="K394" s="48"/>
    </row>
    <row r="395" spans="1:11" s="77" customFormat="1">
      <c r="A395" s="50" t="s">
        <v>713</v>
      </c>
      <c r="B395" s="51">
        <v>44407</v>
      </c>
      <c r="C395" s="123">
        <v>5</v>
      </c>
      <c r="D395" s="124" t="s">
        <v>716</v>
      </c>
      <c r="E395" s="1" t="s">
        <v>414</v>
      </c>
      <c r="F395" s="53">
        <v>45337</v>
      </c>
      <c r="G395" s="53">
        <v>45338</v>
      </c>
      <c r="H395" s="53">
        <v>45343</v>
      </c>
      <c r="I395" s="125"/>
      <c r="J395" s="47">
        <v>0.1394</v>
      </c>
      <c r="K395" s="48"/>
    </row>
    <row r="396" spans="1:11" s="77" customFormat="1">
      <c r="A396" s="50" t="s">
        <v>529</v>
      </c>
      <c r="B396" s="51">
        <v>43875</v>
      </c>
      <c r="C396" s="123">
        <v>5</v>
      </c>
      <c r="D396" s="124" t="s">
        <v>606</v>
      </c>
      <c r="E396" s="1" t="s">
        <v>414</v>
      </c>
      <c r="F396" s="53">
        <v>45337</v>
      </c>
      <c r="G396" s="53">
        <v>45351</v>
      </c>
      <c r="H396" s="53">
        <v>45356</v>
      </c>
      <c r="I396" s="125">
        <v>8.0000000000000002E-3</v>
      </c>
      <c r="J396" s="47">
        <v>0.04</v>
      </c>
      <c r="K396" s="48" t="s">
        <v>5</v>
      </c>
    </row>
    <row r="397" spans="1:11" s="77" customFormat="1" ht="38.25">
      <c r="A397" s="50" t="s">
        <v>499</v>
      </c>
      <c r="B397" s="51">
        <v>43518</v>
      </c>
      <c r="C397" s="123">
        <v>100</v>
      </c>
      <c r="D397" s="154" t="s">
        <v>897</v>
      </c>
      <c r="E397" s="1" t="s">
        <v>414</v>
      </c>
      <c r="F397" s="53">
        <v>45344</v>
      </c>
      <c r="G397" s="53">
        <v>45345</v>
      </c>
      <c r="H397" s="53">
        <v>45350</v>
      </c>
      <c r="I397" s="125"/>
      <c r="J397" s="47">
        <v>0</v>
      </c>
      <c r="K397" s="48" t="s">
        <v>6</v>
      </c>
    </row>
    <row r="398" spans="1:11" s="77" customFormat="1" ht="25.5">
      <c r="A398" s="50" t="s">
        <v>531</v>
      </c>
      <c r="B398" s="51">
        <v>43889</v>
      </c>
      <c r="C398" s="123">
        <v>5</v>
      </c>
      <c r="D398" s="124" t="s">
        <v>609</v>
      </c>
      <c r="E398" s="1" t="s">
        <v>422</v>
      </c>
      <c r="F398" s="53">
        <v>45351</v>
      </c>
      <c r="G398" s="53">
        <v>45366</v>
      </c>
      <c r="H398" s="53">
        <v>45371</v>
      </c>
      <c r="I398" s="125" t="s">
        <v>533</v>
      </c>
      <c r="J398" s="47">
        <v>0.17910000000000001</v>
      </c>
      <c r="K398" s="48" t="s">
        <v>329</v>
      </c>
    </row>
    <row r="399" spans="1:11" s="77" customFormat="1" ht="25.5">
      <c r="A399" s="50" t="s">
        <v>532</v>
      </c>
      <c r="B399" s="51">
        <v>43889</v>
      </c>
      <c r="C399" s="123">
        <v>5</v>
      </c>
      <c r="D399" s="124" t="s">
        <v>610</v>
      </c>
      <c r="E399" s="1" t="s">
        <v>422</v>
      </c>
      <c r="F399" s="53">
        <v>45351</v>
      </c>
      <c r="G399" s="53">
        <v>45366</v>
      </c>
      <c r="H399" s="53">
        <v>45371</v>
      </c>
      <c r="I399" s="125" t="s">
        <v>534</v>
      </c>
      <c r="J399" s="47">
        <v>0.18920000000000001</v>
      </c>
      <c r="K399" s="48" t="s">
        <v>329</v>
      </c>
    </row>
    <row r="400" spans="1:11" s="77" customFormat="1">
      <c r="A400" s="50" t="s">
        <v>809</v>
      </c>
      <c r="B400" s="51">
        <v>44985</v>
      </c>
      <c r="C400" s="123">
        <v>5</v>
      </c>
      <c r="D400" s="124" t="s">
        <v>807</v>
      </c>
      <c r="E400" s="1" t="s">
        <v>414</v>
      </c>
      <c r="F400" s="53">
        <v>45351</v>
      </c>
      <c r="G400" s="53">
        <v>45366</v>
      </c>
      <c r="H400" s="53">
        <v>45371</v>
      </c>
      <c r="I400" s="125">
        <v>2.7E-2</v>
      </c>
      <c r="J400" s="47">
        <v>0.13500000000000001</v>
      </c>
      <c r="K400" s="48" t="s">
        <v>5</v>
      </c>
    </row>
    <row r="401" spans="1:11" s="77" customFormat="1">
      <c r="A401" s="50" t="s">
        <v>810</v>
      </c>
      <c r="B401" s="51">
        <v>44985</v>
      </c>
      <c r="C401" s="123">
        <v>5</v>
      </c>
      <c r="D401" s="124" t="s">
        <v>808</v>
      </c>
      <c r="E401" s="1" t="s">
        <v>414</v>
      </c>
      <c r="F401" s="53">
        <v>45351</v>
      </c>
      <c r="G401" s="53">
        <v>45366</v>
      </c>
      <c r="H401" s="53">
        <v>45371</v>
      </c>
      <c r="I401" s="125">
        <v>2.9000000000000001E-2</v>
      </c>
      <c r="J401" s="47">
        <v>0.14500000000000002</v>
      </c>
      <c r="K401" s="48" t="s">
        <v>5</v>
      </c>
    </row>
    <row r="402" spans="1:11" s="77" customFormat="1">
      <c r="A402" s="50" t="s">
        <v>179</v>
      </c>
      <c r="B402" s="51">
        <v>43544</v>
      </c>
      <c r="C402" s="123">
        <v>5</v>
      </c>
      <c r="D402" s="124" t="s">
        <v>971</v>
      </c>
      <c r="E402" s="1" t="s">
        <v>410</v>
      </c>
      <c r="F402" s="53">
        <v>45379</v>
      </c>
      <c r="G402" s="53">
        <v>45384</v>
      </c>
      <c r="H402" s="53">
        <v>45387</v>
      </c>
      <c r="I402" s="125">
        <v>0.04</v>
      </c>
      <c r="J402" s="47">
        <v>4.99E-2</v>
      </c>
      <c r="K402" s="48" t="s">
        <v>8</v>
      </c>
    </row>
    <row r="403" spans="1:11" s="77" customFormat="1" ht="25.5">
      <c r="A403" s="50" t="s">
        <v>103</v>
      </c>
      <c r="B403" s="51">
        <v>41281</v>
      </c>
      <c r="C403" s="123">
        <v>5</v>
      </c>
      <c r="D403" s="124" t="s">
        <v>573</v>
      </c>
      <c r="E403" s="1" t="s">
        <v>410</v>
      </c>
      <c r="F403" s="53">
        <v>45379</v>
      </c>
      <c r="G403" s="53">
        <v>45384</v>
      </c>
      <c r="H403" s="53">
        <v>45387</v>
      </c>
      <c r="I403" s="125">
        <v>0.03</v>
      </c>
      <c r="J403" s="47">
        <v>3.7999999999999999E-2</v>
      </c>
      <c r="K403" s="48" t="s">
        <v>498</v>
      </c>
    </row>
    <row r="404" spans="1:11" s="77" customFormat="1" ht="25.5">
      <c r="A404" s="50" t="s">
        <v>106</v>
      </c>
      <c r="B404" s="51">
        <v>41281</v>
      </c>
      <c r="C404" s="123">
        <v>5</v>
      </c>
      <c r="D404" s="124" t="s">
        <v>574</v>
      </c>
      <c r="E404" s="1" t="s">
        <v>410</v>
      </c>
      <c r="F404" s="53">
        <v>45379</v>
      </c>
      <c r="G404" s="53">
        <v>45384</v>
      </c>
      <c r="H404" s="53">
        <v>45387</v>
      </c>
      <c r="I404" s="125">
        <v>0.03</v>
      </c>
      <c r="J404" s="47">
        <v>3.7499999999999999E-2</v>
      </c>
      <c r="K404" s="48" t="s">
        <v>498</v>
      </c>
    </row>
    <row r="405" spans="1:11" s="77" customFormat="1" ht="38.25">
      <c r="A405" s="50" t="s">
        <v>504</v>
      </c>
      <c r="B405" s="51">
        <v>43553</v>
      </c>
      <c r="C405" s="123">
        <v>100</v>
      </c>
      <c r="D405" s="154" t="s">
        <v>914</v>
      </c>
      <c r="E405" s="1" t="s">
        <v>414</v>
      </c>
      <c r="F405" s="53">
        <v>45384</v>
      </c>
      <c r="G405" s="53">
        <v>45385</v>
      </c>
      <c r="H405" s="53">
        <v>45390</v>
      </c>
      <c r="I405" s="125"/>
      <c r="J405" s="47">
        <v>0</v>
      </c>
      <c r="K405" s="48" t="s">
        <v>6</v>
      </c>
    </row>
    <row r="406" spans="1:11" s="77" customFormat="1" ht="25.5">
      <c r="A406" s="50" t="s">
        <v>536</v>
      </c>
      <c r="B406" s="51">
        <v>43921</v>
      </c>
      <c r="C406" s="123">
        <v>5</v>
      </c>
      <c r="D406" s="124" t="s">
        <v>617</v>
      </c>
      <c r="E406" s="1" t="s">
        <v>414</v>
      </c>
      <c r="F406" s="53">
        <v>45397</v>
      </c>
      <c r="G406" s="53">
        <v>45412</v>
      </c>
      <c r="H406" s="53">
        <v>45418</v>
      </c>
      <c r="I406" s="125">
        <v>3.5000000000000003E-2</v>
      </c>
      <c r="J406" s="47">
        <v>0.17499999999999999</v>
      </c>
      <c r="K406" s="48" t="s">
        <v>329</v>
      </c>
    </row>
    <row r="407" spans="1:11" s="77" customFormat="1" ht="25.5">
      <c r="A407" s="50" t="s">
        <v>537</v>
      </c>
      <c r="B407" s="51">
        <v>43921</v>
      </c>
      <c r="C407" s="123">
        <v>5</v>
      </c>
      <c r="D407" s="124" t="s">
        <v>617</v>
      </c>
      <c r="E407" s="1" t="s">
        <v>422</v>
      </c>
      <c r="F407" s="53">
        <v>45397</v>
      </c>
      <c r="G407" s="53">
        <v>45412</v>
      </c>
      <c r="H407" s="53">
        <v>45418</v>
      </c>
      <c r="I407" s="125" t="s">
        <v>538</v>
      </c>
      <c r="J407" s="47">
        <v>0.25490000000000002</v>
      </c>
      <c r="K407" s="48" t="s">
        <v>329</v>
      </c>
    </row>
    <row r="408" spans="1:11" s="77" customFormat="1" ht="25.5">
      <c r="A408" s="50" t="s">
        <v>679</v>
      </c>
      <c r="B408" s="51">
        <v>43921</v>
      </c>
      <c r="C408" s="123">
        <v>5</v>
      </c>
      <c r="D408" s="124" t="s">
        <v>616</v>
      </c>
      <c r="E408" s="1" t="s">
        <v>422</v>
      </c>
      <c r="F408" s="53">
        <v>45397</v>
      </c>
      <c r="G408" s="53">
        <v>45412</v>
      </c>
      <c r="H408" s="53">
        <v>45418</v>
      </c>
      <c r="I408" s="125" t="s">
        <v>539</v>
      </c>
      <c r="J408" s="47">
        <v>0.26500000000000001</v>
      </c>
      <c r="K408" s="48" t="s">
        <v>329</v>
      </c>
    </row>
    <row r="409" spans="1:11" s="77" customFormat="1">
      <c r="A409" s="50" t="s">
        <v>816</v>
      </c>
      <c r="B409" s="51">
        <v>45016</v>
      </c>
      <c r="C409" s="123">
        <v>5</v>
      </c>
      <c r="D409" s="124" t="s">
        <v>818</v>
      </c>
      <c r="E409" s="1" t="s">
        <v>414</v>
      </c>
      <c r="F409" s="53">
        <v>45397</v>
      </c>
      <c r="G409" s="53">
        <v>45412</v>
      </c>
      <c r="H409" s="53">
        <v>45418</v>
      </c>
      <c r="I409" s="125">
        <v>2.75E-2</v>
      </c>
      <c r="J409" s="47">
        <v>0.13750000000000001</v>
      </c>
      <c r="K409" s="48" t="s">
        <v>5</v>
      </c>
    </row>
    <row r="410" spans="1:11" s="77" customFormat="1">
      <c r="A410" s="50" t="s">
        <v>817</v>
      </c>
      <c r="B410" s="51">
        <v>45016</v>
      </c>
      <c r="C410" s="123">
        <v>5</v>
      </c>
      <c r="D410" s="124" t="s">
        <v>819</v>
      </c>
      <c r="E410" s="1" t="s">
        <v>414</v>
      </c>
      <c r="F410" s="53">
        <v>45397</v>
      </c>
      <c r="G410" s="53">
        <v>45412</v>
      </c>
      <c r="H410" s="53">
        <v>45418</v>
      </c>
      <c r="I410" s="125">
        <v>2.9499999999999998E-2</v>
      </c>
      <c r="J410" s="47">
        <v>0.14749999999999999</v>
      </c>
      <c r="K410" s="48" t="s">
        <v>5</v>
      </c>
    </row>
    <row r="411" spans="1:11" s="77" customFormat="1">
      <c r="A411" s="50" t="s">
        <v>535</v>
      </c>
      <c r="B411" s="51">
        <v>43921</v>
      </c>
      <c r="C411" s="123">
        <v>5</v>
      </c>
      <c r="D411" s="124" t="s">
        <v>618</v>
      </c>
      <c r="E411" s="1" t="s">
        <v>414</v>
      </c>
      <c r="F411" s="53">
        <v>45397</v>
      </c>
      <c r="G411" s="53">
        <v>45412</v>
      </c>
      <c r="H411" s="53">
        <v>45418</v>
      </c>
      <c r="I411" s="125">
        <v>1.7999999999999999E-2</v>
      </c>
      <c r="J411" s="47">
        <v>0.09</v>
      </c>
      <c r="K411" s="48" t="s">
        <v>5</v>
      </c>
    </row>
    <row r="412" spans="1:11" s="77" customFormat="1">
      <c r="A412" s="50" t="s">
        <v>127</v>
      </c>
      <c r="B412" s="51">
        <v>43585</v>
      </c>
      <c r="C412" s="123">
        <v>5</v>
      </c>
      <c r="D412" s="124" t="s">
        <v>619</v>
      </c>
      <c r="E412" s="1" t="s">
        <v>414</v>
      </c>
      <c r="F412" s="53">
        <v>45412</v>
      </c>
      <c r="G412" s="53">
        <v>45427</v>
      </c>
      <c r="H412" s="53">
        <v>45433</v>
      </c>
      <c r="I412" s="125">
        <v>0.02</v>
      </c>
      <c r="J412" s="47">
        <v>0.1</v>
      </c>
      <c r="K412" s="48" t="s">
        <v>5</v>
      </c>
    </row>
    <row r="413" spans="1:11" s="77" customFormat="1">
      <c r="A413" s="50" t="s">
        <v>751</v>
      </c>
      <c r="B413" s="51">
        <v>44680</v>
      </c>
      <c r="C413" s="123">
        <v>5</v>
      </c>
      <c r="D413" s="124" t="s">
        <v>764</v>
      </c>
      <c r="E413" s="1" t="s">
        <v>422</v>
      </c>
      <c r="F413" s="53">
        <v>45412</v>
      </c>
      <c r="G413" s="53">
        <v>45427</v>
      </c>
      <c r="H413" s="53">
        <v>45433</v>
      </c>
      <c r="I413" s="125" t="s">
        <v>765</v>
      </c>
      <c r="J413" s="47">
        <v>0.1215</v>
      </c>
      <c r="K413" s="48" t="s">
        <v>5</v>
      </c>
    </row>
    <row r="414" spans="1:11" s="77" customFormat="1">
      <c r="A414" s="50" t="s">
        <v>820</v>
      </c>
      <c r="B414" s="51">
        <v>45044</v>
      </c>
      <c r="C414" s="123">
        <v>5</v>
      </c>
      <c r="D414" s="124" t="s">
        <v>834</v>
      </c>
      <c r="E414" s="1" t="s">
        <v>414</v>
      </c>
      <c r="F414" s="53">
        <v>45412</v>
      </c>
      <c r="G414" s="53">
        <v>45427</v>
      </c>
      <c r="H414" s="53">
        <v>45433</v>
      </c>
      <c r="I414" s="125">
        <v>2.75E-2</v>
      </c>
      <c r="J414" s="47">
        <v>0.13750000000000001</v>
      </c>
      <c r="K414" s="48" t="s">
        <v>5</v>
      </c>
    </row>
    <row r="415" spans="1:11" s="77" customFormat="1">
      <c r="A415" s="50" t="s">
        <v>821</v>
      </c>
      <c r="B415" s="51">
        <v>45044</v>
      </c>
      <c r="C415" s="123">
        <v>5</v>
      </c>
      <c r="D415" s="124" t="s">
        <v>835</v>
      </c>
      <c r="E415" s="1" t="s">
        <v>414</v>
      </c>
      <c r="F415" s="53">
        <v>45412</v>
      </c>
      <c r="G415" s="53">
        <v>45427</v>
      </c>
      <c r="H415" s="53">
        <v>45433</v>
      </c>
      <c r="I415" s="125">
        <v>2.9499999999999998E-2</v>
      </c>
      <c r="J415" s="47">
        <v>0.14749999999999999</v>
      </c>
      <c r="K415" s="48" t="s">
        <v>5</v>
      </c>
    </row>
    <row r="416" spans="1:11" s="77" customFormat="1" ht="25.5">
      <c r="A416" s="50" t="s">
        <v>128</v>
      </c>
      <c r="B416" s="51">
        <v>43602</v>
      </c>
      <c r="C416" s="123">
        <v>100</v>
      </c>
      <c r="D416" s="154" t="s">
        <v>898</v>
      </c>
      <c r="E416" s="1" t="s">
        <v>414</v>
      </c>
      <c r="F416" s="53">
        <v>45429</v>
      </c>
      <c r="G416" s="53">
        <v>45433</v>
      </c>
      <c r="H416" s="53">
        <v>45436</v>
      </c>
      <c r="I416" s="125"/>
      <c r="J416" s="47">
        <v>0</v>
      </c>
      <c r="K416" s="48" t="s">
        <v>129</v>
      </c>
    </row>
    <row r="417" spans="1:11" s="77" customFormat="1">
      <c r="A417" s="50" t="s">
        <v>540</v>
      </c>
      <c r="B417" s="51">
        <v>43980</v>
      </c>
      <c r="C417" s="123">
        <v>5</v>
      </c>
      <c r="D417" s="124" t="s">
        <v>628</v>
      </c>
      <c r="E417" s="1" t="s">
        <v>414</v>
      </c>
      <c r="F417" s="53">
        <v>45443</v>
      </c>
      <c r="G417" s="53">
        <v>45460</v>
      </c>
      <c r="H417" s="53">
        <v>45463</v>
      </c>
      <c r="I417" s="125">
        <v>1.4999999999999999E-2</v>
      </c>
      <c r="J417" s="47">
        <v>7.4999999999999997E-2</v>
      </c>
      <c r="K417" s="48" t="s">
        <v>5</v>
      </c>
    </row>
    <row r="418" spans="1:11" s="77" customFormat="1">
      <c r="A418" s="50" t="s">
        <v>541</v>
      </c>
      <c r="B418" s="51">
        <v>43980</v>
      </c>
      <c r="C418" s="123">
        <v>5</v>
      </c>
      <c r="D418" s="124" t="s">
        <v>627</v>
      </c>
      <c r="E418" s="1" t="s">
        <v>414</v>
      </c>
      <c r="F418" s="53">
        <v>45443</v>
      </c>
      <c r="G418" s="53">
        <v>45460</v>
      </c>
      <c r="H418" s="53">
        <v>45463</v>
      </c>
      <c r="I418" s="125">
        <v>1.2999999999999999E-2</v>
      </c>
      <c r="J418" s="47">
        <v>6.5000000000000002E-2</v>
      </c>
      <c r="K418" s="48" t="s">
        <v>5</v>
      </c>
    </row>
    <row r="419" spans="1:11" s="77" customFormat="1">
      <c r="A419" s="50" t="s">
        <v>822</v>
      </c>
      <c r="B419" s="51">
        <v>45077</v>
      </c>
      <c r="C419" s="123">
        <v>5</v>
      </c>
      <c r="D419" s="124" t="s">
        <v>836</v>
      </c>
      <c r="E419" s="1" t="s">
        <v>414</v>
      </c>
      <c r="F419" s="53">
        <v>45443</v>
      </c>
      <c r="G419" s="53">
        <v>45460</v>
      </c>
      <c r="H419" s="53">
        <v>45463</v>
      </c>
      <c r="I419" s="125">
        <v>2.7E-2</v>
      </c>
      <c r="J419" s="47">
        <v>0.13500000000000001</v>
      </c>
      <c r="K419" s="48" t="s">
        <v>5</v>
      </c>
    </row>
    <row r="420" spans="1:11" s="77" customFormat="1">
      <c r="A420" s="50" t="s">
        <v>823</v>
      </c>
      <c r="B420" s="51">
        <v>45077</v>
      </c>
      <c r="C420" s="123">
        <v>5</v>
      </c>
      <c r="D420" s="124" t="s">
        <v>837</v>
      </c>
      <c r="E420" s="1" t="s">
        <v>414</v>
      </c>
      <c r="F420" s="53">
        <v>45443</v>
      </c>
      <c r="G420" s="53">
        <v>45460</v>
      </c>
      <c r="H420" s="53">
        <v>45463</v>
      </c>
      <c r="I420" s="125">
        <v>2.9000000000000001E-2</v>
      </c>
      <c r="J420" s="47">
        <v>0.14500000000000002</v>
      </c>
      <c r="K420" s="48" t="s">
        <v>5</v>
      </c>
    </row>
    <row r="421" spans="1:11" s="77" customFormat="1" ht="25.5">
      <c r="A421" s="50" t="s">
        <v>316</v>
      </c>
      <c r="B421" s="51">
        <v>43644</v>
      </c>
      <c r="C421" s="123">
        <v>100</v>
      </c>
      <c r="D421" s="154" t="s">
        <v>896</v>
      </c>
      <c r="E421" s="1" t="s">
        <v>414</v>
      </c>
      <c r="F421" s="53">
        <v>45471</v>
      </c>
      <c r="G421" s="53">
        <v>45474</v>
      </c>
      <c r="H421" s="53">
        <v>45477</v>
      </c>
      <c r="I421" s="125"/>
      <c r="J421" s="47">
        <v>0</v>
      </c>
      <c r="K421" s="48" t="s">
        <v>129</v>
      </c>
    </row>
    <row r="422" spans="1:11" s="77" customFormat="1">
      <c r="A422" s="50" t="s">
        <v>179</v>
      </c>
      <c r="B422" s="51">
        <v>43544</v>
      </c>
      <c r="C422" s="123">
        <v>5</v>
      </c>
      <c r="D422" s="124" t="s">
        <v>971</v>
      </c>
      <c r="E422" s="1" t="s">
        <v>410</v>
      </c>
      <c r="F422" s="53">
        <v>45471</v>
      </c>
      <c r="G422" s="53">
        <v>45474</v>
      </c>
      <c r="H422" s="53">
        <v>45477</v>
      </c>
      <c r="I422" s="125">
        <v>0.04</v>
      </c>
      <c r="J422" s="47">
        <v>4.99E-2</v>
      </c>
      <c r="K422" s="48" t="s">
        <v>8</v>
      </c>
    </row>
    <row r="423" spans="1:11" s="77" customFormat="1" ht="25.5">
      <c r="A423" s="50" t="s">
        <v>103</v>
      </c>
      <c r="B423" s="51">
        <v>41281</v>
      </c>
      <c r="C423" s="123">
        <v>5</v>
      </c>
      <c r="D423" s="124" t="s">
        <v>573</v>
      </c>
      <c r="E423" s="1" t="s">
        <v>410</v>
      </c>
      <c r="F423" s="53">
        <v>45471</v>
      </c>
      <c r="G423" s="53">
        <v>45474</v>
      </c>
      <c r="H423" s="53">
        <v>45477</v>
      </c>
      <c r="I423" s="125">
        <v>0.03</v>
      </c>
      <c r="J423" s="47">
        <v>3.7999999999999999E-2</v>
      </c>
      <c r="K423" s="48" t="s">
        <v>498</v>
      </c>
    </row>
    <row r="424" spans="1:11" s="77" customFormat="1" ht="25.5">
      <c r="A424" s="50" t="s">
        <v>106</v>
      </c>
      <c r="B424" s="51">
        <v>41281</v>
      </c>
      <c r="C424" s="123">
        <v>5</v>
      </c>
      <c r="D424" s="124" t="s">
        <v>574</v>
      </c>
      <c r="E424" s="1" t="s">
        <v>410</v>
      </c>
      <c r="F424" s="53">
        <v>45471</v>
      </c>
      <c r="G424" s="53">
        <v>45474</v>
      </c>
      <c r="H424" s="53">
        <v>45477</v>
      </c>
      <c r="I424" s="125">
        <v>0.03</v>
      </c>
      <c r="J424" s="47">
        <v>3.7499999999999999E-2</v>
      </c>
      <c r="K424" s="48" t="s">
        <v>498</v>
      </c>
    </row>
    <row r="425" spans="1:11" s="77" customFormat="1">
      <c r="A425" s="39" t="s">
        <v>518</v>
      </c>
      <c r="B425" s="41">
        <v>43644</v>
      </c>
      <c r="C425" s="44">
        <v>5</v>
      </c>
      <c r="D425" s="78" t="s">
        <v>768</v>
      </c>
      <c r="E425" s="9" t="s">
        <v>422</v>
      </c>
      <c r="F425" s="40">
        <v>45471</v>
      </c>
      <c r="G425" s="40">
        <v>45488</v>
      </c>
      <c r="H425" s="40">
        <v>45491</v>
      </c>
      <c r="I425" s="46"/>
      <c r="J425" s="36">
        <v>0</v>
      </c>
      <c r="K425" s="42" t="s">
        <v>327</v>
      </c>
    </row>
    <row r="426" spans="1:11" s="77" customFormat="1">
      <c r="A426" s="39" t="s">
        <v>542</v>
      </c>
      <c r="B426" s="41">
        <v>44002</v>
      </c>
      <c r="C426" s="44">
        <v>5</v>
      </c>
      <c r="D426" s="78" t="s">
        <v>635</v>
      </c>
      <c r="E426" s="9" t="s">
        <v>414</v>
      </c>
      <c r="F426" s="40">
        <v>45488</v>
      </c>
      <c r="G426" s="40">
        <v>45504</v>
      </c>
      <c r="H426" s="40">
        <v>45509</v>
      </c>
      <c r="I426" s="46">
        <v>1.4999999999999999E-2</v>
      </c>
      <c r="J426" s="36">
        <v>7.4999999999999997E-2</v>
      </c>
      <c r="K426" s="42" t="s">
        <v>5</v>
      </c>
    </row>
    <row r="427" spans="1:11" s="77" customFormat="1">
      <c r="A427" s="39" t="s">
        <v>543</v>
      </c>
      <c r="B427" s="41">
        <v>44002</v>
      </c>
      <c r="C427" s="44">
        <v>5</v>
      </c>
      <c r="D427" s="78" t="s">
        <v>634</v>
      </c>
      <c r="E427" s="9" t="s">
        <v>414</v>
      </c>
      <c r="F427" s="40">
        <v>45488</v>
      </c>
      <c r="G427" s="40">
        <v>45504</v>
      </c>
      <c r="H427" s="40">
        <v>45509</v>
      </c>
      <c r="I427" s="46">
        <v>1.2999999999999999E-2</v>
      </c>
      <c r="J427" s="36">
        <v>6.5000000000000002E-2</v>
      </c>
      <c r="K427" s="42" t="s">
        <v>5</v>
      </c>
    </row>
    <row r="428" spans="1:11" s="77" customFormat="1">
      <c r="A428" s="39" t="s">
        <v>752</v>
      </c>
      <c r="B428" s="41">
        <v>44742</v>
      </c>
      <c r="C428" s="44">
        <v>5</v>
      </c>
      <c r="D428" s="78" t="s">
        <v>766</v>
      </c>
      <c r="E428" s="9" t="s">
        <v>422</v>
      </c>
      <c r="F428" s="40">
        <v>45488</v>
      </c>
      <c r="G428" s="40">
        <v>45504</v>
      </c>
      <c r="H428" s="40">
        <v>45509</v>
      </c>
      <c r="I428" s="46" t="s">
        <v>769</v>
      </c>
      <c r="J428" s="36">
        <v>0.1449</v>
      </c>
      <c r="K428" s="42" t="s">
        <v>5</v>
      </c>
    </row>
    <row r="429" spans="1:11" s="77" customFormat="1">
      <c r="A429" s="39" t="s">
        <v>753</v>
      </c>
      <c r="B429" s="41">
        <v>44742</v>
      </c>
      <c r="C429" s="44">
        <v>5</v>
      </c>
      <c r="D429" s="78" t="s">
        <v>767</v>
      </c>
      <c r="E429" s="9" t="s">
        <v>414</v>
      </c>
      <c r="F429" s="40">
        <v>45488</v>
      </c>
      <c r="G429" s="40">
        <v>45504</v>
      </c>
      <c r="H429" s="40">
        <v>45509</v>
      </c>
      <c r="I429" s="46">
        <v>1.7000000000000001E-2</v>
      </c>
      <c r="J429" s="36">
        <v>8.5000000000000006E-2</v>
      </c>
      <c r="K429" s="42" t="s">
        <v>5</v>
      </c>
    </row>
    <row r="430" spans="1:11" s="77" customFormat="1">
      <c r="A430" s="39" t="s">
        <v>824</v>
      </c>
      <c r="B430" s="41">
        <v>45107</v>
      </c>
      <c r="C430" s="44">
        <v>5</v>
      </c>
      <c r="D430" s="78" t="s">
        <v>838</v>
      </c>
      <c r="E430" s="9" t="s">
        <v>414</v>
      </c>
      <c r="F430" s="40">
        <v>45488</v>
      </c>
      <c r="G430" s="40">
        <v>45504</v>
      </c>
      <c r="H430" s="40">
        <v>45509</v>
      </c>
      <c r="I430" s="46">
        <v>2.7E-2</v>
      </c>
      <c r="J430" s="36">
        <v>0.13500000000000001</v>
      </c>
      <c r="K430" s="42" t="s">
        <v>5</v>
      </c>
    </row>
    <row r="431" spans="1:11" s="77" customFormat="1">
      <c r="A431" s="39" t="s">
        <v>825</v>
      </c>
      <c r="B431" s="41">
        <v>45107</v>
      </c>
      <c r="C431" s="44">
        <v>5</v>
      </c>
      <c r="D431" s="78" t="s">
        <v>839</v>
      </c>
      <c r="E431" s="9" t="s">
        <v>414</v>
      </c>
      <c r="F431" s="40">
        <v>45488</v>
      </c>
      <c r="G431" s="40">
        <v>45504</v>
      </c>
      <c r="H431" s="40">
        <v>45509</v>
      </c>
      <c r="I431" s="46">
        <v>2.9000000000000001E-2</v>
      </c>
      <c r="J431" s="36">
        <v>0.14500000000000002</v>
      </c>
      <c r="K431" s="42" t="s">
        <v>5</v>
      </c>
    </row>
    <row r="432" spans="1:11" s="77" customFormat="1">
      <c r="A432" s="39" t="s">
        <v>762</v>
      </c>
      <c r="B432" s="41">
        <v>44771</v>
      </c>
      <c r="C432" s="44">
        <v>5</v>
      </c>
      <c r="D432" s="78" t="s">
        <v>770</v>
      </c>
      <c r="E432" s="9" t="s">
        <v>414</v>
      </c>
      <c r="F432" s="40">
        <v>45504</v>
      </c>
      <c r="G432" s="40">
        <v>45520</v>
      </c>
      <c r="H432" s="40">
        <v>45525</v>
      </c>
      <c r="I432" s="46">
        <v>2.8500000000000001E-2</v>
      </c>
      <c r="J432" s="36">
        <v>0.14249999999999999</v>
      </c>
      <c r="K432" s="42" t="s">
        <v>5</v>
      </c>
    </row>
    <row r="433" spans="1:11" s="77" customFormat="1">
      <c r="A433" s="39" t="s">
        <v>763</v>
      </c>
      <c r="B433" s="41">
        <v>44771</v>
      </c>
      <c r="C433" s="44">
        <v>5</v>
      </c>
      <c r="D433" s="78" t="s">
        <v>771</v>
      </c>
      <c r="E433" s="9" t="s">
        <v>414</v>
      </c>
      <c r="F433" s="40">
        <v>45504</v>
      </c>
      <c r="G433" s="40">
        <v>45520</v>
      </c>
      <c r="H433" s="40">
        <v>45525</v>
      </c>
      <c r="I433" s="46">
        <v>2.6499999999999999E-2</v>
      </c>
      <c r="J433" s="36">
        <v>0.13250000000000001</v>
      </c>
      <c r="K433" s="42" t="s">
        <v>5</v>
      </c>
    </row>
    <row r="434" spans="1:11" s="77" customFormat="1">
      <c r="A434" s="39" t="s">
        <v>826</v>
      </c>
      <c r="B434" s="41">
        <v>45138</v>
      </c>
      <c r="C434" s="44">
        <v>5</v>
      </c>
      <c r="D434" s="78" t="s">
        <v>840</v>
      </c>
      <c r="E434" s="9" t="s">
        <v>414</v>
      </c>
      <c r="F434" s="40">
        <v>45504</v>
      </c>
      <c r="G434" s="40">
        <v>45520</v>
      </c>
      <c r="H434" s="40">
        <v>45525</v>
      </c>
      <c r="I434" s="46">
        <v>2.5999999999999999E-2</v>
      </c>
      <c r="J434" s="36">
        <v>0.13</v>
      </c>
      <c r="K434" s="42" t="s">
        <v>5</v>
      </c>
    </row>
    <row r="435" spans="1:11" s="77" customFormat="1">
      <c r="A435" s="39" t="s">
        <v>827</v>
      </c>
      <c r="B435" s="41">
        <v>45138</v>
      </c>
      <c r="C435" s="44">
        <v>5</v>
      </c>
      <c r="D435" s="78" t="s">
        <v>841</v>
      </c>
      <c r="E435" s="9" t="s">
        <v>414</v>
      </c>
      <c r="F435" s="40">
        <v>45504</v>
      </c>
      <c r="G435" s="40">
        <v>45520</v>
      </c>
      <c r="H435" s="40">
        <v>45525</v>
      </c>
      <c r="I435" s="46">
        <v>3.0499999999999999E-2</v>
      </c>
      <c r="J435" s="36">
        <v>0.1525</v>
      </c>
      <c r="K435" s="42" t="s">
        <v>5</v>
      </c>
    </row>
    <row r="436" spans="1:11" s="77" customFormat="1">
      <c r="A436" s="39" t="s">
        <v>317</v>
      </c>
      <c r="B436" s="41">
        <v>43686</v>
      </c>
      <c r="C436" s="44">
        <v>100</v>
      </c>
      <c r="D436" s="78" t="s">
        <v>893</v>
      </c>
      <c r="E436" s="9" t="s">
        <v>414</v>
      </c>
      <c r="F436" s="40">
        <v>45513</v>
      </c>
      <c r="G436" s="40">
        <v>45516</v>
      </c>
      <c r="H436" s="40">
        <v>45520</v>
      </c>
      <c r="I436" s="46"/>
      <c r="J436" s="36">
        <v>0</v>
      </c>
      <c r="K436" s="42" t="s">
        <v>129</v>
      </c>
    </row>
    <row r="437" spans="1:11" s="77" customFormat="1">
      <c r="A437" s="39" t="s">
        <v>179</v>
      </c>
      <c r="B437" s="41">
        <v>43544</v>
      </c>
      <c r="C437" s="44">
        <v>5</v>
      </c>
      <c r="D437" s="124" t="s">
        <v>971</v>
      </c>
      <c r="E437" s="9" t="s">
        <v>410</v>
      </c>
      <c r="F437" s="40">
        <v>45565</v>
      </c>
      <c r="G437" s="40">
        <v>45566</v>
      </c>
      <c r="H437" s="40">
        <v>45569</v>
      </c>
      <c r="I437" s="46">
        <v>0.04</v>
      </c>
      <c r="J437" s="36">
        <v>4.9000000000000002E-2</v>
      </c>
      <c r="K437" s="42" t="s">
        <v>8</v>
      </c>
    </row>
    <row r="438" spans="1:11" s="77" customFormat="1" ht="25.5">
      <c r="A438" s="39" t="s">
        <v>103</v>
      </c>
      <c r="B438" s="41">
        <v>41281</v>
      </c>
      <c r="C438" s="44">
        <v>5</v>
      </c>
      <c r="D438" s="78" t="s">
        <v>573</v>
      </c>
      <c r="E438" s="9" t="s">
        <v>410</v>
      </c>
      <c r="F438" s="40">
        <v>45565</v>
      </c>
      <c r="G438" s="40">
        <v>45566</v>
      </c>
      <c r="H438" s="40">
        <v>45569</v>
      </c>
      <c r="I438" s="46">
        <v>0.03</v>
      </c>
      <c r="J438" s="36">
        <v>3.7999999999999999E-2</v>
      </c>
      <c r="K438" s="42" t="s">
        <v>498</v>
      </c>
    </row>
    <row r="439" spans="1:11" s="77" customFormat="1" ht="25.5">
      <c r="A439" s="39" t="s">
        <v>106</v>
      </c>
      <c r="B439" s="41">
        <v>41281</v>
      </c>
      <c r="C439" s="44">
        <v>5</v>
      </c>
      <c r="D439" s="78" t="s">
        <v>574</v>
      </c>
      <c r="E439" s="9" t="s">
        <v>410</v>
      </c>
      <c r="F439" s="40">
        <v>45565</v>
      </c>
      <c r="G439" s="40">
        <v>45566</v>
      </c>
      <c r="H439" s="40">
        <v>45569</v>
      </c>
      <c r="I439" s="46">
        <v>0.03</v>
      </c>
      <c r="J439" s="36">
        <v>3.7499999999999999E-2</v>
      </c>
      <c r="K439" s="42" t="s">
        <v>498</v>
      </c>
    </row>
    <row r="440" spans="1:11" s="77" customFormat="1">
      <c r="A440" s="39" t="s">
        <v>772</v>
      </c>
      <c r="B440" s="41">
        <v>44834</v>
      </c>
      <c r="C440" s="44">
        <v>100</v>
      </c>
      <c r="D440" s="78" t="s">
        <v>775</v>
      </c>
      <c r="E440" s="9" t="s">
        <v>414</v>
      </c>
      <c r="F440" s="40">
        <v>45565</v>
      </c>
      <c r="G440" s="40">
        <v>45566</v>
      </c>
      <c r="H440" s="40">
        <v>45569</v>
      </c>
      <c r="I440" s="46"/>
      <c r="J440" s="36">
        <v>3.5</v>
      </c>
      <c r="K440" s="42" t="s">
        <v>129</v>
      </c>
    </row>
    <row r="441" spans="1:11" s="77" customFormat="1" ht="25.5">
      <c r="A441" s="39" t="s">
        <v>322</v>
      </c>
      <c r="B441" s="41">
        <v>43735</v>
      </c>
      <c r="C441" s="44">
        <v>5</v>
      </c>
      <c r="D441" s="78" t="s">
        <v>578</v>
      </c>
      <c r="E441" s="9" t="s">
        <v>422</v>
      </c>
      <c r="F441" s="40">
        <v>45565</v>
      </c>
      <c r="G441" s="40">
        <v>45580</v>
      </c>
      <c r="H441" s="40">
        <v>45583</v>
      </c>
      <c r="I441" s="46" t="s">
        <v>813</v>
      </c>
      <c r="J441" s="36">
        <v>0.1431</v>
      </c>
      <c r="K441" s="42" t="s">
        <v>328</v>
      </c>
    </row>
    <row r="442" spans="1:11" s="77" customFormat="1" ht="25.5">
      <c r="A442" s="39" t="s">
        <v>323</v>
      </c>
      <c r="B442" s="41">
        <v>43735</v>
      </c>
      <c r="C442" s="44">
        <v>5</v>
      </c>
      <c r="D442" s="78" t="s">
        <v>577</v>
      </c>
      <c r="E442" s="9" t="s">
        <v>414</v>
      </c>
      <c r="F442" s="40">
        <v>45565</v>
      </c>
      <c r="G442" s="40">
        <v>45580</v>
      </c>
      <c r="H442" s="40">
        <v>45583</v>
      </c>
      <c r="I442" s="46">
        <v>1.0500000000000001E-2</v>
      </c>
      <c r="J442" s="36">
        <v>5.2500000000000005E-2</v>
      </c>
      <c r="K442" s="42" t="s">
        <v>328</v>
      </c>
    </row>
    <row r="443" spans="1:11" s="77" customFormat="1" ht="25.5">
      <c r="A443" s="39" t="s">
        <v>321</v>
      </c>
      <c r="B443" s="41">
        <v>43735</v>
      </c>
      <c r="C443" s="44">
        <v>5</v>
      </c>
      <c r="D443" s="78" t="s">
        <v>579</v>
      </c>
      <c r="E443" s="9" t="s">
        <v>422</v>
      </c>
      <c r="F443" s="40">
        <v>45565</v>
      </c>
      <c r="G443" s="40">
        <v>45580</v>
      </c>
      <c r="H443" s="40">
        <v>45583</v>
      </c>
      <c r="I443" s="46" t="s">
        <v>814</v>
      </c>
      <c r="J443" s="36">
        <v>0.15310000000000001</v>
      </c>
      <c r="K443" s="42" t="s">
        <v>328</v>
      </c>
    </row>
    <row r="444" spans="1:11" s="77" customFormat="1">
      <c r="A444" s="39" t="s">
        <v>546</v>
      </c>
      <c r="B444" s="41">
        <v>44104</v>
      </c>
      <c r="C444" s="44">
        <v>5</v>
      </c>
      <c r="D444" s="78" t="s">
        <v>642</v>
      </c>
      <c r="E444" s="9" t="s">
        <v>414</v>
      </c>
      <c r="F444" s="40">
        <v>45565</v>
      </c>
      <c r="G444" s="40">
        <v>45580</v>
      </c>
      <c r="H444" s="40">
        <v>45583</v>
      </c>
      <c r="I444" s="46">
        <v>0.01</v>
      </c>
      <c r="J444" s="36">
        <v>0.05</v>
      </c>
      <c r="K444" s="42" t="s">
        <v>5</v>
      </c>
    </row>
    <row r="445" spans="1:11" s="77" customFormat="1">
      <c r="A445" s="39" t="s">
        <v>708</v>
      </c>
      <c r="B445" s="41">
        <v>44104</v>
      </c>
      <c r="C445" s="44">
        <v>5</v>
      </c>
      <c r="D445" s="78" t="s">
        <v>643</v>
      </c>
      <c r="E445" s="9" t="s">
        <v>414</v>
      </c>
      <c r="F445" s="40">
        <v>45565</v>
      </c>
      <c r="G445" s="40">
        <v>45580</v>
      </c>
      <c r="H445" s="40">
        <v>45583</v>
      </c>
      <c r="I445" s="46">
        <v>8.0000000000000002E-3</v>
      </c>
      <c r="J445" s="36">
        <v>0.04</v>
      </c>
      <c r="K445" s="42" t="s">
        <v>5</v>
      </c>
    </row>
    <row r="446" spans="1:11" s="77" customFormat="1">
      <c r="A446" s="39" t="s">
        <v>754</v>
      </c>
      <c r="B446" s="41">
        <v>44834</v>
      </c>
      <c r="C446" s="44">
        <v>5</v>
      </c>
      <c r="D446" s="78" t="s">
        <v>778</v>
      </c>
      <c r="E446" s="9" t="s">
        <v>422</v>
      </c>
      <c r="F446" s="40">
        <v>45565</v>
      </c>
      <c r="G446" s="40">
        <v>45580</v>
      </c>
      <c r="H446" s="40">
        <v>45583</v>
      </c>
      <c r="I446" s="46" t="s">
        <v>828</v>
      </c>
      <c r="J446" s="36">
        <v>0.21110000000000001</v>
      </c>
      <c r="K446" s="42" t="s">
        <v>5</v>
      </c>
    </row>
    <row r="447" spans="1:11" s="77" customFormat="1">
      <c r="A447" s="39" t="s">
        <v>755</v>
      </c>
      <c r="B447" s="41">
        <v>44834</v>
      </c>
      <c r="C447" s="44">
        <v>5</v>
      </c>
      <c r="D447" s="78" t="s">
        <v>779</v>
      </c>
      <c r="E447" s="9" t="s">
        <v>422</v>
      </c>
      <c r="F447" s="40">
        <v>45565</v>
      </c>
      <c r="G447" s="40">
        <v>45580</v>
      </c>
      <c r="H447" s="40">
        <v>45583</v>
      </c>
      <c r="I447" s="46" t="s">
        <v>781</v>
      </c>
      <c r="J447" s="36">
        <v>0.2021</v>
      </c>
      <c r="K447" s="42" t="s">
        <v>5</v>
      </c>
    </row>
    <row r="448" spans="1:11" s="77" customFormat="1">
      <c r="A448" s="39" t="s">
        <v>756</v>
      </c>
      <c r="B448" s="41">
        <v>44834</v>
      </c>
      <c r="C448" s="44">
        <v>5</v>
      </c>
      <c r="D448" s="78" t="s">
        <v>782</v>
      </c>
      <c r="E448" s="9" t="s">
        <v>414</v>
      </c>
      <c r="F448" s="40">
        <v>45565</v>
      </c>
      <c r="G448" s="40">
        <v>45580</v>
      </c>
      <c r="H448" s="40">
        <v>45583</v>
      </c>
      <c r="I448" s="46">
        <v>3.4000000000000002E-2</v>
      </c>
      <c r="J448" s="36">
        <v>0.17</v>
      </c>
      <c r="K448" s="42" t="s">
        <v>5</v>
      </c>
    </row>
    <row r="449" spans="1:11" s="77" customFormat="1">
      <c r="A449" s="39" t="s">
        <v>757</v>
      </c>
      <c r="B449" s="41">
        <v>44834</v>
      </c>
      <c r="C449" s="44">
        <v>5</v>
      </c>
      <c r="D449" s="78" t="s">
        <v>783</v>
      </c>
      <c r="E449" s="9" t="s">
        <v>414</v>
      </c>
      <c r="F449" s="40">
        <v>45565</v>
      </c>
      <c r="G449" s="40">
        <v>45580</v>
      </c>
      <c r="H449" s="40">
        <v>45583</v>
      </c>
      <c r="I449" s="46">
        <v>3.2000000000000001E-2</v>
      </c>
      <c r="J449" s="36">
        <v>0.16</v>
      </c>
      <c r="K449" s="42" t="s">
        <v>5</v>
      </c>
    </row>
    <row r="450" spans="1:11" s="77" customFormat="1">
      <c r="A450" s="39" t="s">
        <v>830</v>
      </c>
      <c r="B450" s="41">
        <v>45198</v>
      </c>
      <c r="C450" s="44">
        <v>5</v>
      </c>
      <c r="D450" s="78" t="s">
        <v>842</v>
      </c>
      <c r="E450" s="9" t="s">
        <v>414</v>
      </c>
      <c r="F450" s="40">
        <v>45565</v>
      </c>
      <c r="G450" s="40">
        <v>45580</v>
      </c>
      <c r="H450" s="40">
        <v>45583</v>
      </c>
      <c r="I450" s="46">
        <v>3.1E-2</v>
      </c>
      <c r="J450" s="36">
        <v>0.155</v>
      </c>
      <c r="K450" s="42" t="s">
        <v>585</v>
      </c>
    </row>
    <row r="451" spans="1:11" s="77" customFormat="1">
      <c r="A451" s="39" t="s">
        <v>831</v>
      </c>
      <c r="B451" s="41">
        <v>45198</v>
      </c>
      <c r="C451" s="44">
        <v>5</v>
      </c>
      <c r="D451" s="78" t="s">
        <v>843</v>
      </c>
      <c r="E451" s="9" t="s">
        <v>414</v>
      </c>
      <c r="F451" s="40">
        <v>45565</v>
      </c>
      <c r="G451" s="40">
        <v>45580</v>
      </c>
      <c r="H451" s="40">
        <v>45583</v>
      </c>
      <c r="I451" s="46">
        <v>3.5499999999999997E-2</v>
      </c>
      <c r="J451" s="36">
        <v>0.17749999999999999</v>
      </c>
      <c r="K451" s="42" t="s">
        <v>585</v>
      </c>
    </row>
    <row r="452" spans="1:11" s="77" customFormat="1">
      <c r="A452" s="39" t="s">
        <v>773</v>
      </c>
      <c r="B452" s="41">
        <v>44865</v>
      </c>
      <c r="C452" s="44">
        <v>100</v>
      </c>
      <c r="D452" s="78" t="s">
        <v>776</v>
      </c>
      <c r="E452" s="9" t="s">
        <v>414</v>
      </c>
      <c r="F452" s="40">
        <v>45596</v>
      </c>
      <c r="G452" s="40">
        <v>45600</v>
      </c>
      <c r="H452" s="40">
        <v>45603</v>
      </c>
      <c r="I452" s="46"/>
      <c r="J452" s="36">
        <v>5</v>
      </c>
      <c r="K452" s="42" t="s">
        <v>129</v>
      </c>
    </row>
    <row r="453" spans="1:11" s="77" customFormat="1" ht="25.5">
      <c r="A453" s="39" t="s">
        <v>709</v>
      </c>
      <c r="B453" s="41">
        <v>43769</v>
      </c>
      <c r="C453" s="44">
        <v>5</v>
      </c>
      <c r="D453" s="78" t="s">
        <v>656</v>
      </c>
      <c r="E453" s="9" t="s">
        <v>422</v>
      </c>
      <c r="F453" s="40">
        <v>45596</v>
      </c>
      <c r="G453" s="40">
        <v>45611</v>
      </c>
      <c r="H453" s="40">
        <v>45616</v>
      </c>
      <c r="I453" s="46" t="s">
        <v>815</v>
      </c>
      <c r="J453" s="36">
        <v>0.2006</v>
      </c>
      <c r="K453" s="42" t="s">
        <v>329</v>
      </c>
    </row>
    <row r="454" spans="1:11" s="77" customFormat="1" ht="25.5">
      <c r="A454" s="39" t="s">
        <v>325</v>
      </c>
      <c r="B454" s="41">
        <v>43769</v>
      </c>
      <c r="C454" s="44">
        <v>5</v>
      </c>
      <c r="D454" s="78" t="s">
        <v>658</v>
      </c>
      <c r="E454" s="9" t="s">
        <v>414</v>
      </c>
      <c r="F454" s="40">
        <v>45596</v>
      </c>
      <c r="G454" s="40">
        <v>45611</v>
      </c>
      <c r="H454" s="40">
        <v>45616</v>
      </c>
      <c r="I454" s="46">
        <v>0.02</v>
      </c>
      <c r="J454" s="36">
        <v>0.1</v>
      </c>
      <c r="K454" s="42" t="s">
        <v>329</v>
      </c>
    </row>
    <row r="455" spans="1:11" s="77" customFormat="1" ht="25.5">
      <c r="A455" s="39" t="s">
        <v>324</v>
      </c>
      <c r="B455" s="41">
        <v>43769</v>
      </c>
      <c r="C455" s="44">
        <v>5</v>
      </c>
      <c r="D455" s="78" t="s">
        <v>657</v>
      </c>
      <c r="E455" s="9" t="s">
        <v>422</v>
      </c>
      <c r="F455" s="40">
        <v>45596</v>
      </c>
      <c r="G455" s="40">
        <v>45611</v>
      </c>
      <c r="H455" s="40">
        <v>45616</v>
      </c>
      <c r="I455" s="46" t="s">
        <v>829</v>
      </c>
      <c r="J455" s="36">
        <v>0.21110000000000001</v>
      </c>
      <c r="K455" s="42" t="s">
        <v>329</v>
      </c>
    </row>
    <row r="456" spans="1:11" s="77" customFormat="1">
      <c r="A456" s="39" t="s">
        <v>758</v>
      </c>
      <c r="B456" s="41">
        <v>44865</v>
      </c>
      <c r="C456" s="44">
        <v>5</v>
      </c>
      <c r="D456" s="78" t="s">
        <v>784</v>
      </c>
      <c r="E456" s="9" t="s">
        <v>414</v>
      </c>
      <c r="F456" s="40">
        <v>45596</v>
      </c>
      <c r="G456" s="40">
        <v>45611</v>
      </c>
      <c r="H456" s="40">
        <v>45616</v>
      </c>
      <c r="I456" s="46">
        <v>3.3500000000000002E-2</v>
      </c>
      <c r="J456" s="36">
        <v>0.16750000000000001</v>
      </c>
      <c r="K456" s="42" t="s">
        <v>5</v>
      </c>
    </row>
    <row r="457" spans="1:11" s="77" customFormat="1">
      <c r="A457" s="39" t="s">
        <v>759</v>
      </c>
      <c r="B457" s="41">
        <v>44865</v>
      </c>
      <c r="C457" s="44">
        <v>5</v>
      </c>
      <c r="D457" s="78" t="s">
        <v>785</v>
      </c>
      <c r="E457" s="9" t="s">
        <v>414</v>
      </c>
      <c r="F457" s="40">
        <v>45596</v>
      </c>
      <c r="G457" s="40">
        <v>45611</v>
      </c>
      <c r="H457" s="40">
        <v>45616</v>
      </c>
      <c r="I457" s="46">
        <v>3.15E-2</v>
      </c>
      <c r="J457" s="36">
        <v>0.1575</v>
      </c>
      <c r="K457" s="42" t="s">
        <v>5</v>
      </c>
    </row>
    <row r="458" spans="1:11" s="77" customFormat="1">
      <c r="A458" s="39" t="s">
        <v>571</v>
      </c>
      <c r="B458" s="41">
        <v>44134</v>
      </c>
      <c r="C458" s="44">
        <v>5</v>
      </c>
      <c r="D458" s="78" t="s">
        <v>645</v>
      </c>
      <c r="E458" s="9" t="s">
        <v>414</v>
      </c>
      <c r="F458" s="40">
        <v>45596</v>
      </c>
      <c r="G458" s="40">
        <v>45611</v>
      </c>
      <c r="H458" s="40">
        <v>45616</v>
      </c>
      <c r="I458" s="46">
        <v>8.9999999999999993E-3</v>
      </c>
      <c r="J458" s="36">
        <v>4.4999999999999998E-2</v>
      </c>
      <c r="K458" s="42" t="s">
        <v>5</v>
      </c>
    </row>
    <row r="459" spans="1:11" s="77" customFormat="1">
      <c r="A459" s="39" t="s">
        <v>832</v>
      </c>
      <c r="B459" s="41">
        <v>45230</v>
      </c>
      <c r="C459" s="44">
        <v>5</v>
      </c>
      <c r="D459" s="78" t="s">
        <v>844</v>
      </c>
      <c r="E459" s="9" t="s">
        <v>414</v>
      </c>
      <c r="F459" s="40">
        <v>45596</v>
      </c>
      <c r="G459" s="40">
        <v>45611</v>
      </c>
      <c r="H459" s="40">
        <v>45616</v>
      </c>
      <c r="I459" s="46">
        <v>3.1E-2</v>
      </c>
      <c r="J459" s="36">
        <v>0.155</v>
      </c>
      <c r="K459" s="42" t="s">
        <v>585</v>
      </c>
    </row>
    <row r="460" spans="1:11" s="77" customFormat="1">
      <c r="A460" s="39" t="s">
        <v>833</v>
      </c>
      <c r="B460" s="41">
        <v>45230</v>
      </c>
      <c r="C460" s="44">
        <v>5</v>
      </c>
      <c r="D460" s="78" t="s">
        <v>845</v>
      </c>
      <c r="E460" s="9" t="s">
        <v>414</v>
      </c>
      <c r="F460" s="40">
        <v>45596</v>
      </c>
      <c r="G460" s="40">
        <v>45611</v>
      </c>
      <c r="H460" s="40">
        <v>45616</v>
      </c>
      <c r="I460" s="46">
        <v>3.5499999999999997E-2</v>
      </c>
      <c r="J460" s="36">
        <v>0.17749999999999999</v>
      </c>
      <c r="K460" s="42" t="s">
        <v>585</v>
      </c>
    </row>
    <row r="461" spans="1:11" s="77" customFormat="1" ht="25.5">
      <c r="A461" s="39" t="s">
        <v>331</v>
      </c>
      <c r="B461" s="41">
        <v>43798</v>
      </c>
      <c r="C461" s="44">
        <v>5</v>
      </c>
      <c r="D461" s="78" t="s">
        <v>665</v>
      </c>
      <c r="E461" s="9" t="s">
        <v>414</v>
      </c>
      <c r="F461" s="40">
        <v>45625</v>
      </c>
      <c r="G461" s="40">
        <v>45642</v>
      </c>
      <c r="H461" s="40">
        <v>45645</v>
      </c>
      <c r="I461" s="46">
        <v>2.1499999999999998E-2</v>
      </c>
      <c r="J461" s="36">
        <v>0.1075</v>
      </c>
      <c r="K461" s="42" t="s">
        <v>329</v>
      </c>
    </row>
    <row r="462" spans="1:11" s="77" customFormat="1" ht="25.5">
      <c r="A462" s="39" t="s">
        <v>330</v>
      </c>
      <c r="B462" s="41">
        <v>43798</v>
      </c>
      <c r="C462" s="44">
        <v>5</v>
      </c>
      <c r="D462" s="78" t="s">
        <v>664</v>
      </c>
      <c r="E462" s="9" t="s">
        <v>422</v>
      </c>
      <c r="F462" s="40">
        <v>45625</v>
      </c>
      <c r="G462" s="40">
        <v>45642</v>
      </c>
      <c r="H462" s="40">
        <v>45645</v>
      </c>
      <c r="I462" s="46" t="s">
        <v>846</v>
      </c>
      <c r="J462" s="36">
        <v>0.21779999999999999</v>
      </c>
      <c r="K462" s="42" t="s">
        <v>329</v>
      </c>
    </row>
    <row r="463" spans="1:11" s="77" customFormat="1" ht="25.5">
      <c r="A463" s="39" t="s">
        <v>332</v>
      </c>
      <c r="B463" s="41">
        <v>43798</v>
      </c>
      <c r="C463" s="44">
        <v>5</v>
      </c>
      <c r="D463" s="78" t="s">
        <v>660</v>
      </c>
      <c r="E463" s="9" t="s">
        <v>422</v>
      </c>
      <c r="F463" s="40">
        <v>45625</v>
      </c>
      <c r="G463" s="40">
        <v>45642</v>
      </c>
      <c r="H463" s="40">
        <v>45645</v>
      </c>
      <c r="I463" s="46" t="s">
        <v>847</v>
      </c>
      <c r="J463" s="36">
        <v>0.20730000000000001</v>
      </c>
      <c r="K463" s="42" t="s">
        <v>329</v>
      </c>
    </row>
    <row r="464" spans="1:11" s="77" customFormat="1">
      <c r="A464" s="39" t="s">
        <v>848</v>
      </c>
      <c r="B464" s="41">
        <v>45260</v>
      </c>
      <c r="C464" s="44">
        <v>5</v>
      </c>
      <c r="D464" s="78" t="s">
        <v>852</v>
      </c>
      <c r="E464" s="9" t="s">
        <v>414</v>
      </c>
      <c r="F464" s="40">
        <v>45642</v>
      </c>
      <c r="G464" s="40">
        <v>45657</v>
      </c>
      <c r="H464" s="40">
        <v>45663</v>
      </c>
      <c r="I464" s="46">
        <v>2.6499999999999999E-2</v>
      </c>
      <c r="J464" s="36">
        <v>0.13250000000000001</v>
      </c>
      <c r="K464" s="42" t="s">
        <v>5</v>
      </c>
    </row>
    <row r="465" spans="1:11" s="77" customFormat="1">
      <c r="A465" s="39" t="s">
        <v>849</v>
      </c>
      <c r="B465" s="41">
        <v>45260</v>
      </c>
      <c r="C465" s="44">
        <v>5</v>
      </c>
      <c r="D465" s="78" t="s">
        <v>853</v>
      </c>
      <c r="E465" s="9" t="s">
        <v>414</v>
      </c>
      <c r="F465" s="40">
        <v>45642</v>
      </c>
      <c r="G465" s="40">
        <v>45657</v>
      </c>
      <c r="H465" s="40">
        <v>45663</v>
      </c>
      <c r="I465" s="46">
        <v>3.1E-2</v>
      </c>
      <c r="J465" s="36">
        <v>0.155</v>
      </c>
      <c r="K465" s="42" t="s">
        <v>5</v>
      </c>
    </row>
    <row r="466" spans="1:11" s="77" customFormat="1">
      <c r="A466" s="39" t="s">
        <v>774</v>
      </c>
      <c r="B466" s="41">
        <v>44915</v>
      </c>
      <c r="C466" s="44">
        <v>100</v>
      </c>
      <c r="D466" s="78" t="s">
        <v>777</v>
      </c>
      <c r="E466" s="9" t="s">
        <v>414</v>
      </c>
      <c r="F466" s="40">
        <v>45646</v>
      </c>
      <c r="G466" s="40">
        <v>45649</v>
      </c>
      <c r="H466" s="40">
        <v>45657</v>
      </c>
      <c r="I466" s="46"/>
      <c r="J466" s="36">
        <v>5.55</v>
      </c>
      <c r="K466" s="42" t="s">
        <v>129</v>
      </c>
    </row>
    <row r="467" spans="1:11" s="77" customFormat="1">
      <c r="A467" s="39" t="s">
        <v>179</v>
      </c>
      <c r="B467" s="41">
        <v>43544</v>
      </c>
      <c r="C467" s="44">
        <v>5</v>
      </c>
      <c r="D467" s="124" t="s">
        <v>971</v>
      </c>
      <c r="E467" s="9" t="s">
        <v>410</v>
      </c>
      <c r="F467" s="40">
        <v>45657</v>
      </c>
      <c r="G467" s="40">
        <v>45659</v>
      </c>
      <c r="H467" s="40">
        <v>45664</v>
      </c>
      <c r="I467" s="46">
        <v>0.04</v>
      </c>
      <c r="J467" s="36">
        <v>4.9000000000000002E-2</v>
      </c>
      <c r="K467" s="42" t="s">
        <v>8</v>
      </c>
    </row>
    <row r="468" spans="1:11" s="77" customFormat="1" ht="25.5">
      <c r="A468" s="39" t="s">
        <v>103</v>
      </c>
      <c r="B468" s="41">
        <v>41281</v>
      </c>
      <c r="C468" s="44">
        <v>5</v>
      </c>
      <c r="D468" s="78" t="s">
        <v>573</v>
      </c>
      <c r="E468" s="9" t="s">
        <v>410</v>
      </c>
      <c r="F468" s="40">
        <v>45657</v>
      </c>
      <c r="G468" s="40">
        <v>45659</v>
      </c>
      <c r="H468" s="40">
        <v>45664</v>
      </c>
      <c r="I468" s="46">
        <v>0.03</v>
      </c>
      <c r="J468" s="36">
        <v>3.7999999999999999E-2</v>
      </c>
      <c r="K468" s="42" t="s">
        <v>498</v>
      </c>
    </row>
    <row r="469" spans="1:11" s="77" customFormat="1" ht="25.5">
      <c r="A469" s="39" t="s">
        <v>106</v>
      </c>
      <c r="B469" s="41">
        <v>41281</v>
      </c>
      <c r="C469" s="44">
        <v>5</v>
      </c>
      <c r="D469" s="78" t="s">
        <v>574</v>
      </c>
      <c r="E469" s="9" t="s">
        <v>410</v>
      </c>
      <c r="F469" s="40">
        <v>45657</v>
      </c>
      <c r="G469" s="40">
        <v>45659</v>
      </c>
      <c r="H469" s="40">
        <v>45664</v>
      </c>
      <c r="I469" s="46">
        <v>0.03</v>
      </c>
      <c r="J469" s="36">
        <v>3.7499999999999999E-2</v>
      </c>
      <c r="K469" s="42" t="s">
        <v>498</v>
      </c>
    </row>
    <row r="470" spans="1:11" s="77" customFormat="1">
      <c r="A470" s="39" t="s">
        <v>570</v>
      </c>
      <c r="B470" s="41">
        <v>44183</v>
      </c>
      <c r="C470" s="44">
        <v>5</v>
      </c>
      <c r="D470" s="78" t="s">
        <v>646</v>
      </c>
      <c r="E470" s="9" t="s">
        <v>414</v>
      </c>
      <c r="F470" s="40">
        <v>45657</v>
      </c>
      <c r="G470" s="40">
        <v>45672</v>
      </c>
      <c r="H470" s="40">
        <v>45677</v>
      </c>
      <c r="I470" s="46">
        <v>5.4999999999999997E-3</v>
      </c>
      <c r="J470" s="36">
        <v>2.7500000000000004E-2</v>
      </c>
      <c r="K470" s="42" t="s">
        <v>5</v>
      </c>
    </row>
    <row r="471" spans="1:11" s="77" customFormat="1">
      <c r="A471" s="39" t="s">
        <v>760</v>
      </c>
      <c r="B471" s="41">
        <v>44915</v>
      </c>
      <c r="C471" s="44">
        <v>5</v>
      </c>
      <c r="D471" s="78" t="s">
        <v>786</v>
      </c>
      <c r="E471" s="9" t="s">
        <v>414</v>
      </c>
      <c r="F471" s="40">
        <v>45657</v>
      </c>
      <c r="G471" s="40">
        <v>45672</v>
      </c>
      <c r="H471" s="40">
        <v>45677</v>
      </c>
      <c r="I471" s="46">
        <v>0.03</v>
      </c>
      <c r="J471" s="36">
        <v>0.15</v>
      </c>
      <c r="K471" s="42" t="s">
        <v>5</v>
      </c>
    </row>
    <row r="472" spans="1:11" s="77" customFormat="1">
      <c r="A472" s="39" t="s">
        <v>761</v>
      </c>
      <c r="B472" s="41">
        <v>44915</v>
      </c>
      <c r="C472" s="44">
        <v>5</v>
      </c>
      <c r="D472" s="78" t="s">
        <v>787</v>
      </c>
      <c r="E472" s="9" t="s">
        <v>414</v>
      </c>
      <c r="F472" s="40">
        <v>45657</v>
      </c>
      <c r="G472" s="40">
        <v>45672</v>
      </c>
      <c r="H472" s="40">
        <v>45677</v>
      </c>
      <c r="I472" s="46">
        <v>2.8000000000000001E-2</v>
      </c>
      <c r="J472" s="36">
        <v>0.14000000000000001</v>
      </c>
      <c r="K472" s="42" t="s">
        <v>5</v>
      </c>
    </row>
    <row r="473" spans="1:11" s="77" customFormat="1">
      <c r="A473" s="39" t="s">
        <v>850</v>
      </c>
      <c r="B473" s="41">
        <v>45281</v>
      </c>
      <c r="C473" s="44">
        <v>5</v>
      </c>
      <c r="D473" s="78" t="s">
        <v>854</v>
      </c>
      <c r="E473" s="9" t="s">
        <v>414</v>
      </c>
      <c r="F473" s="40">
        <v>45657</v>
      </c>
      <c r="G473" s="40">
        <v>45672</v>
      </c>
      <c r="H473" s="40">
        <v>45677</v>
      </c>
      <c r="I473" s="46">
        <v>2.35E-2</v>
      </c>
      <c r="J473" s="36">
        <v>0.11749999999999999</v>
      </c>
      <c r="K473" s="42" t="s">
        <v>5</v>
      </c>
    </row>
    <row r="474" spans="1:11" s="77" customFormat="1">
      <c r="A474" s="39" t="s">
        <v>851</v>
      </c>
      <c r="B474" s="41">
        <v>45281</v>
      </c>
      <c r="C474" s="44">
        <v>5</v>
      </c>
      <c r="D474" s="78" t="s">
        <v>855</v>
      </c>
      <c r="E474" s="9" t="s">
        <v>414</v>
      </c>
      <c r="F474" s="40">
        <v>45657</v>
      </c>
      <c r="G474" s="40">
        <v>45672</v>
      </c>
      <c r="H474" s="40">
        <v>45677</v>
      </c>
      <c r="I474" s="46">
        <v>2.8000000000000001E-2</v>
      </c>
      <c r="J474" s="36">
        <v>0.14000000000000001</v>
      </c>
      <c r="K474" s="42" t="s">
        <v>5</v>
      </c>
    </row>
    <row r="475" spans="1:11" s="77" customFormat="1" ht="25.5">
      <c r="A475" s="39" t="s">
        <v>525</v>
      </c>
      <c r="B475" s="41">
        <v>43861</v>
      </c>
      <c r="C475" s="44">
        <v>5</v>
      </c>
      <c r="D475" s="78" t="s">
        <v>603</v>
      </c>
      <c r="E475" s="9" t="s">
        <v>422</v>
      </c>
      <c r="F475" s="40">
        <v>45688</v>
      </c>
      <c r="G475" s="40">
        <v>45705</v>
      </c>
      <c r="H475" s="40">
        <v>45708</v>
      </c>
      <c r="I475" s="46" t="s">
        <v>527</v>
      </c>
      <c r="J475" s="36">
        <v>0.1719</v>
      </c>
      <c r="K475" s="42" t="s">
        <v>329</v>
      </c>
    </row>
    <row r="476" spans="1:11" s="77" customFormat="1" ht="25.5">
      <c r="A476" s="39" t="s">
        <v>524</v>
      </c>
      <c r="B476" s="41">
        <v>43861</v>
      </c>
      <c r="C476" s="44">
        <v>5</v>
      </c>
      <c r="D476" s="78" t="s">
        <v>602</v>
      </c>
      <c r="E476" s="9" t="s">
        <v>414</v>
      </c>
      <c r="F476" s="40">
        <v>45688</v>
      </c>
      <c r="G476" s="40">
        <v>45705</v>
      </c>
      <c r="H476" s="40">
        <v>45708</v>
      </c>
      <c r="I476" s="46">
        <v>0.01</v>
      </c>
      <c r="J476" s="36">
        <v>0.05</v>
      </c>
      <c r="K476" s="42" t="s">
        <v>329</v>
      </c>
    </row>
    <row r="477" spans="1:11" s="77" customFormat="1" ht="25.5">
      <c r="A477" s="39" t="s">
        <v>526</v>
      </c>
      <c r="B477" s="41">
        <v>43861</v>
      </c>
      <c r="C477" s="44">
        <v>5</v>
      </c>
      <c r="D477" s="78" t="s">
        <v>604</v>
      </c>
      <c r="E477" s="9" t="s">
        <v>422</v>
      </c>
      <c r="F477" s="40">
        <v>45688</v>
      </c>
      <c r="G477" s="40">
        <v>45705</v>
      </c>
      <c r="H477" s="40">
        <v>45708</v>
      </c>
      <c r="I477" s="46" t="s">
        <v>528</v>
      </c>
      <c r="J477" s="36">
        <v>0.1825</v>
      </c>
      <c r="K477" s="42" t="s">
        <v>329</v>
      </c>
    </row>
    <row r="478" spans="1:11" s="77" customFormat="1">
      <c r="A478" s="39" t="s">
        <v>803</v>
      </c>
      <c r="B478" s="41">
        <v>44957</v>
      </c>
      <c r="C478" s="44">
        <v>5</v>
      </c>
      <c r="D478" s="78" t="s">
        <v>805</v>
      </c>
      <c r="E478" s="9" t="s">
        <v>414</v>
      </c>
      <c r="F478" s="40">
        <v>45688</v>
      </c>
      <c r="G478" s="40">
        <v>45705</v>
      </c>
      <c r="H478" s="40">
        <v>45708</v>
      </c>
      <c r="I478" s="46">
        <v>2.5499999999999998E-2</v>
      </c>
      <c r="J478" s="36">
        <v>0.1275</v>
      </c>
      <c r="K478" s="42" t="s">
        <v>5</v>
      </c>
    </row>
    <row r="479" spans="1:11" s="77" customFormat="1">
      <c r="A479" s="39" t="s">
        <v>804</v>
      </c>
      <c r="B479" s="41">
        <v>44957</v>
      </c>
      <c r="C479" s="44">
        <v>5</v>
      </c>
      <c r="D479" s="78" t="s">
        <v>806</v>
      </c>
      <c r="E479" s="9" t="s">
        <v>414</v>
      </c>
      <c r="F479" s="40">
        <v>45688</v>
      </c>
      <c r="G479" s="40">
        <v>45705</v>
      </c>
      <c r="H479" s="40">
        <v>45708</v>
      </c>
      <c r="I479" s="46">
        <v>2.75E-2</v>
      </c>
      <c r="J479" s="36">
        <v>0.13750000000000001</v>
      </c>
      <c r="K479" s="42" t="s">
        <v>5</v>
      </c>
    </row>
    <row r="480" spans="1:11" s="77" customFormat="1">
      <c r="A480" s="39" t="s">
        <v>915</v>
      </c>
      <c r="B480" s="41">
        <v>45322</v>
      </c>
      <c r="C480" s="44">
        <v>5</v>
      </c>
      <c r="D480" s="78" t="s">
        <v>921</v>
      </c>
      <c r="E480" s="9" t="s">
        <v>414</v>
      </c>
      <c r="F480" s="40">
        <v>45688</v>
      </c>
      <c r="G480" s="40">
        <v>45705</v>
      </c>
      <c r="H480" s="40">
        <v>45708</v>
      </c>
      <c r="I480" s="46">
        <v>2.75E-2</v>
      </c>
      <c r="J480" s="36">
        <v>0.13750000000000001</v>
      </c>
      <c r="K480" s="42" t="s">
        <v>5</v>
      </c>
    </row>
    <row r="481" spans="1:11" s="77" customFormat="1">
      <c r="A481" s="39" t="s">
        <v>916</v>
      </c>
      <c r="B481" s="41">
        <v>45322</v>
      </c>
      <c r="C481" s="44">
        <v>5</v>
      </c>
      <c r="D481" s="78" t="s">
        <v>920</v>
      </c>
      <c r="E481" s="9" t="s">
        <v>414</v>
      </c>
      <c r="F481" s="40">
        <v>45688</v>
      </c>
      <c r="G481" s="40">
        <v>45705</v>
      </c>
      <c r="H481" s="40">
        <v>45708</v>
      </c>
      <c r="I481" s="46">
        <v>2.3E-2</v>
      </c>
      <c r="J481" s="36">
        <v>0.115</v>
      </c>
      <c r="K481" s="42" t="s">
        <v>5</v>
      </c>
    </row>
    <row r="482" spans="1:11" s="77" customFormat="1">
      <c r="A482" s="39" t="s">
        <v>711</v>
      </c>
      <c r="B482" s="41">
        <v>44407</v>
      </c>
      <c r="C482" s="44">
        <v>5</v>
      </c>
      <c r="D482" s="78" t="s">
        <v>714</v>
      </c>
      <c r="E482" s="9" t="s">
        <v>414</v>
      </c>
      <c r="F482" s="40">
        <v>45700</v>
      </c>
      <c r="G482" s="40">
        <v>45701</v>
      </c>
      <c r="H482" s="40">
        <v>45706</v>
      </c>
      <c r="I482" s="46"/>
      <c r="J482" s="36">
        <v>0.17</v>
      </c>
      <c r="K482" s="42"/>
    </row>
    <row r="483" spans="1:11" s="77" customFormat="1">
      <c r="A483" s="39" t="s">
        <v>712</v>
      </c>
      <c r="B483" s="41">
        <v>44407</v>
      </c>
      <c r="C483" s="44">
        <v>5</v>
      </c>
      <c r="D483" s="78" t="s">
        <v>715</v>
      </c>
      <c r="E483" s="9" t="s">
        <v>414</v>
      </c>
      <c r="F483" s="40">
        <v>45700</v>
      </c>
      <c r="G483" s="40">
        <v>45701</v>
      </c>
      <c r="H483" s="40">
        <v>45706</v>
      </c>
      <c r="I483" s="46"/>
      <c r="J483" s="36">
        <v>0.17780000000000001</v>
      </c>
      <c r="K483" s="42"/>
    </row>
    <row r="484" spans="1:11" s="77" customFormat="1">
      <c r="A484" s="39" t="s">
        <v>713</v>
      </c>
      <c r="B484" s="41">
        <v>44407</v>
      </c>
      <c r="C484" s="44">
        <v>5</v>
      </c>
      <c r="D484" s="78" t="s">
        <v>716</v>
      </c>
      <c r="E484" s="9" t="s">
        <v>414</v>
      </c>
      <c r="F484" s="40">
        <v>45700</v>
      </c>
      <c r="G484" s="40">
        <v>45701</v>
      </c>
      <c r="H484" s="40">
        <v>45706</v>
      </c>
      <c r="I484" s="46"/>
      <c r="J484" s="36">
        <v>0.1628</v>
      </c>
      <c r="K484" s="42"/>
    </row>
    <row r="485" spans="1:11" s="77" customFormat="1">
      <c r="A485" s="39" t="s">
        <v>523</v>
      </c>
      <c r="B485" s="41">
        <v>43875</v>
      </c>
      <c r="C485" s="44">
        <v>100</v>
      </c>
      <c r="D485" s="78" t="s">
        <v>530</v>
      </c>
      <c r="E485" s="9" t="s">
        <v>414</v>
      </c>
      <c r="F485" s="40">
        <v>45702</v>
      </c>
      <c r="G485" s="40">
        <v>45705</v>
      </c>
      <c r="H485" s="40">
        <v>45708</v>
      </c>
      <c r="I485" s="46"/>
      <c r="J485" s="36">
        <v>0</v>
      </c>
      <c r="K485" s="42" t="s">
        <v>129</v>
      </c>
    </row>
    <row r="486" spans="1:11" s="77" customFormat="1">
      <c r="A486" s="39" t="s">
        <v>917</v>
      </c>
      <c r="B486" s="41">
        <v>45411</v>
      </c>
      <c r="C486" s="44">
        <v>5</v>
      </c>
      <c r="D486" s="78" t="s">
        <v>922</v>
      </c>
      <c r="E486" s="9" t="s">
        <v>414</v>
      </c>
      <c r="F486" s="40">
        <v>45716</v>
      </c>
      <c r="G486" s="40">
        <v>45733</v>
      </c>
      <c r="H486" s="40">
        <v>45736</v>
      </c>
      <c r="I486" s="46">
        <v>2.8500000000000001E-2</v>
      </c>
      <c r="J486" s="36">
        <v>0.14249999999999999</v>
      </c>
      <c r="K486" s="42" t="s">
        <v>5</v>
      </c>
    </row>
    <row r="487" spans="1:11" s="77" customFormat="1">
      <c r="A487" s="39" t="s">
        <v>918</v>
      </c>
      <c r="B487" s="41">
        <v>45411</v>
      </c>
      <c r="C487" s="44">
        <v>5</v>
      </c>
      <c r="D487" s="78" t="s">
        <v>919</v>
      </c>
      <c r="E487" s="9" t="s">
        <v>414</v>
      </c>
      <c r="F487" s="40">
        <v>45716</v>
      </c>
      <c r="G487" s="40">
        <v>45733</v>
      </c>
      <c r="H487" s="40">
        <v>45736</v>
      </c>
      <c r="I487" s="46">
        <v>2.4E-2</v>
      </c>
      <c r="J487" s="36">
        <v>0.12</v>
      </c>
      <c r="K487" s="42" t="s">
        <v>5</v>
      </c>
    </row>
    <row r="488" spans="1:11" s="77" customFormat="1" ht="25.5">
      <c r="A488" s="39" t="s">
        <v>531</v>
      </c>
      <c r="B488" s="41">
        <v>43889</v>
      </c>
      <c r="C488" s="44">
        <v>5</v>
      </c>
      <c r="D488" s="78" t="s">
        <v>609</v>
      </c>
      <c r="E488" s="9" t="s">
        <v>422</v>
      </c>
      <c r="F488" s="40">
        <v>45716</v>
      </c>
      <c r="G488" s="40">
        <v>45733</v>
      </c>
      <c r="H488" s="40">
        <v>45736</v>
      </c>
      <c r="I488" s="46" t="s">
        <v>533</v>
      </c>
      <c r="J488" s="36">
        <v>0.17849999999999999</v>
      </c>
      <c r="K488" s="42" t="s">
        <v>329</v>
      </c>
    </row>
    <row r="489" spans="1:11" s="77" customFormat="1" ht="25.5">
      <c r="A489" s="39" t="s">
        <v>532</v>
      </c>
      <c r="B489" s="41">
        <v>43889</v>
      </c>
      <c r="C489" s="44">
        <v>5</v>
      </c>
      <c r="D489" s="78" t="s">
        <v>610</v>
      </c>
      <c r="E489" s="9" t="s">
        <v>422</v>
      </c>
      <c r="F489" s="40">
        <v>45716</v>
      </c>
      <c r="G489" s="40">
        <v>45733</v>
      </c>
      <c r="H489" s="40">
        <v>45736</v>
      </c>
      <c r="I489" s="46" t="s">
        <v>534</v>
      </c>
      <c r="J489" s="36">
        <v>0.18859999999999999</v>
      </c>
      <c r="K489" s="42" t="s">
        <v>329</v>
      </c>
    </row>
    <row r="490" spans="1:11" s="77" customFormat="1">
      <c r="A490" s="39" t="s">
        <v>809</v>
      </c>
      <c r="B490" s="41">
        <v>44985</v>
      </c>
      <c r="C490" s="44">
        <v>5</v>
      </c>
      <c r="D490" s="78" t="s">
        <v>807</v>
      </c>
      <c r="E490" s="9" t="s">
        <v>414</v>
      </c>
      <c r="F490" s="40">
        <v>45716</v>
      </c>
      <c r="G490" s="40">
        <v>45733</v>
      </c>
      <c r="H490" s="40">
        <v>45736</v>
      </c>
      <c r="I490" s="46">
        <v>2.7E-2</v>
      </c>
      <c r="J490" s="36">
        <v>0.13500000000000001</v>
      </c>
      <c r="K490" s="42" t="s">
        <v>5</v>
      </c>
    </row>
    <row r="491" spans="1:11" s="77" customFormat="1">
      <c r="A491" s="39" t="s">
        <v>810</v>
      </c>
      <c r="B491" s="41">
        <v>44985</v>
      </c>
      <c r="C491" s="44">
        <v>5</v>
      </c>
      <c r="D491" s="78" t="s">
        <v>808</v>
      </c>
      <c r="E491" s="9" t="s">
        <v>414</v>
      </c>
      <c r="F491" s="40">
        <v>45716</v>
      </c>
      <c r="G491" s="40">
        <v>45733</v>
      </c>
      <c r="H491" s="40">
        <v>45736</v>
      </c>
      <c r="I491" s="46">
        <v>2.9000000000000001E-2</v>
      </c>
      <c r="J491" s="36">
        <v>0.14500000000000002</v>
      </c>
      <c r="K491" s="42" t="s">
        <v>5</v>
      </c>
    </row>
    <row r="492" spans="1:11" s="77" customFormat="1">
      <c r="A492" s="39" t="s">
        <v>179</v>
      </c>
      <c r="B492" s="41">
        <v>43544</v>
      </c>
      <c r="C492" s="44">
        <v>5</v>
      </c>
      <c r="D492" s="124" t="s">
        <v>971</v>
      </c>
      <c r="E492" s="9" t="s">
        <v>410</v>
      </c>
      <c r="F492" s="40">
        <v>45747</v>
      </c>
      <c r="G492" s="40">
        <v>45748</v>
      </c>
      <c r="H492" s="40">
        <v>45751</v>
      </c>
      <c r="I492" s="46">
        <v>3.5000000000000003E-2</v>
      </c>
      <c r="J492" s="36">
        <v>4.5199999999999997E-2</v>
      </c>
      <c r="K492" s="42" t="s">
        <v>8</v>
      </c>
    </row>
    <row r="493" spans="1:11" s="77" customFormat="1" ht="25.5">
      <c r="A493" s="39" t="s">
        <v>103</v>
      </c>
      <c r="B493" s="41">
        <v>41281</v>
      </c>
      <c r="C493" s="44">
        <v>5</v>
      </c>
      <c r="D493" s="78" t="s">
        <v>573</v>
      </c>
      <c r="E493" s="9" t="s">
        <v>410</v>
      </c>
      <c r="F493" s="40">
        <v>45747</v>
      </c>
      <c r="G493" s="40">
        <v>45748</v>
      </c>
      <c r="H493" s="40">
        <v>45751</v>
      </c>
      <c r="I493" s="46">
        <v>2.2499999999999999E-2</v>
      </c>
      <c r="J493" s="36">
        <v>2.7300000000000001E-2</v>
      </c>
      <c r="K493" s="42" t="s">
        <v>498</v>
      </c>
    </row>
    <row r="494" spans="1:11" s="77" customFormat="1" ht="25.5">
      <c r="A494" s="39" t="s">
        <v>106</v>
      </c>
      <c r="B494" s="41">
        <v>41281</v>
      </c>
      <c r="C494" s="44">
        <v>5</v>
      </c>
      <c r="D494" s="78" t="s">
        <v>574</v>
      </c>
      <c r="E494" s="9" t="s">
        <v>410</v>
      </c>
      <c r="F494" s="40">
        <v>45747</v>
      </c>
      <c r="G494" s="40">
        <v>45748</v>
      </c>
      <c r="H494" s="40">
        <v>45751</v>
      </c>
      <c r="I494" s="46">
        <v>1.7500000000000002E-2</v>
      </c>
      <c r="J494" s="36">
        <v>2.1399999999999999E-2</v>
      </c>
      <c r="K494" s="42" t="s">
        <v>498</v>
      </c>
    </row>
    <row r="495" spans="1:11" s="77" customFormat="1">
      <c r="A495" s="39" t="s">
        <v>923</v>
      </c>
      <c r="B495" s="41">
        <v>45379</v>
      </c>
      <c r="C495" s="44">
        <v>5</v>
      </c>
      <c r="D495" s="78" t="s">
        <v>925</v>
      </c>
      <c r="E495" s="9" t="s">
        <v>414</v>
      </c>
      <c r="F495" s="40">
        <v>45747</v>
      </c>
      <c r="G495" s="40">
        <v>45762</v>
      </c>
      <c r="H495" s="40">
        <v>45769</v>
      </c>
      <c r="I495" s="46">
        <v>2.75E-2</v>
      </c>
      <c r="J495" s="36">
        <v>0.13750000000000001</v>
      </c>
      <c r="K495" s="42" t="s">
        <v>5</v>
      </c>
    </row>
    <row r="496" spans="1:11" s="77" customFormat="1">
      <c r="A496" s="39" t="s">
        <v>924</v>
      </c>
      <c r="B496" s="41">
        <v>45379</v>
      </c>
      <c r="C496" s="44">
        <v>5</v>
      </c>
      <c r="D496" s="78" t="s">
        <v>926</v>
      </c>
      <c r="E496" s="9" t="s">
        <v>414</v>
      </c>
      <c r="F496" s="40">
        <v>45747</v>
      </c>
      <c r="G496" s="40">
        <v>45762</v>
      </c>
      <c r="H496" s="40">
        <v>45769</v>
      </c>
      <c r="I496" s="46">
        <v>2.4E-2</v>
      </c>
      <c r="J496" s="36">
        <v>0.12</v>
      </c>
      <c r="K496" s="42" t="s">
        <v>5</v>
      </c>
    </row>
    <row r="497" spans="1:11" s="77" customFormat="1" ht="22.5" customHeight="1">
      <c r="A497" s="50" t="s">
        <v>536</v>
      </c>
      <c r="B497" s="51">
        <v>43921</v>
      </c>
      <c r="C497" s="123">
        <v>5</v>
      </c>
      <c r="D497" s="124" t="s">
        <v>617</v>
      </c>
      <c r="E497" s="1" t="s">
        <v>414</v>
      </c>
      <c r="F497" s="53">
        <v>45747</v>
      </c>
      <c r="G497" s="53">
        <v>45762</v>
      </c>
      <c r="H497" s="53">
        <v>45769</v>
      </c>
      <c r="I497" s="125">
        <v>3.5000000000000003E-2</v>
      </c>
      <c r="J497" s="47">
        <v>0.17499999999999999</v>
      </c>
      <c r="K497" s="48" t="s">
        <v>329</v>
      </c>
    </row>
    <row r="498" spans="1:11" s="77" customFormat="1" ht="22.5" customHeight="1">
      <c r="A498" s="50" t="s">
        <v>537</v>
      </c>
      <c r="B498" s="51">
        <v>43921</v>
      </c>
      <c r="C498" s="123">
        <v>5</v>
      </c>
      <c r="D498" s="124" t="s">
        <v>617</v>
      </c>
      <c r="E498" s="1" t="s">
        <v>422</v>
      </c>
      <c r="F498" s="53">
        <v>45747</v>
      </c>
      <c r="G498" s="53">
        <v>45762</v>
      </c>
      <c r="H498" s="53">
        <v>45769</v>
      </c>
      <c r="I498" s="46" t="s">
        <v>538</v>
      </c>
      <c r="J498" s="36">
        <v>0.2046</v>
      </c>
      <c r="K498" s="48" t="s">
        <v>329</v>
      </c>
    </row>
    <row r="499" spans="1:11" s="77" customFormat="1" ht="22.5" customHeight="1">
      <c r="A499" s="50" t="s">
        <v>679</v>
      </c>
      <c r="B499" s="51">
        <v>43921</v>
      </c>
      <c r="C499" s="123">
        <v>5</v>
      </c>
      <c r="D499" s="124" t="s">
        <v>616</v>
      </c>
      <c r="E499" s="1" t="s">
        <v>422</v>
      </c>
      <c r="F499" s="53">
        <v>45747</v>
      </c>
      <c r="G499" s="53">
        <v>45762</v>
      </c>
      <c r="H499" s="53">
        <v>45769</v>
      </c>
      <c r="I499" s="46" t="s">
        <v>539</v>
      </c>
      <c r="J499" s="36">
        <v>0.25019999999999998</v>
      </c>
      <c r="K499" s="48" t="s">
        <v>329</v>
      </c>
    </row>
    <row r="500" spans="1:11" s="77" customFormat="1">
      <c r="A500" s="39" t="s">
        <v>816</v>
      </c>
      <c r="B500" s="41">
        <v>45016</v>
      </c>
      <c r="C500" s="44">
        <v>5</v>
      </c>
      <c r="D500" s="78" t="s">
        <v>818</v>
      </c>
      <c r="E500" s="9" t="s">
        <v>414</v>
      </c>
      <c r="F500" s="40">
        <v>45747</v>
      </c>
      <c r="G500" s="40">
        <v>45762</v>
      </c>
      <c r="H500" s="40">
        <v>45769</v>
      </c>
      <c r="I500" s="46">
        <v>2.75E-2</v>
      </c>
      <c r="J500" s="36">
        <v>0.13750000000000001</v>
      </c>
      <c r="K500" s="42" t="s">
        <v>5</v>
      </c>
    </row>
    <row r="501" spans="1:11" s="77" customFormat="1">
      <c r="A501" s="39" t="s">
        <v>817</v>
      </c>
      <c r="B501" s="41">
        <v>45016</v>
      </c>
      <c r="C501" s="44">
        <v>5</v>
      </c>
      <c r="D501" s="78" t="s">
        <v>819</v>
      </c>
      <c r="E501" s="9" t="s">
        <v>414</v>
      </c>
      <c r="F501" s="40">
        <v>45747</v>
      </c>
      <c r="G501" s="40">
        <v>45762</v>
      </c>
      <c r="H501" s="40">
        <v>45769</v>
      </c>
      <c r="I501" s="46">
        <v>2.9499999999999998E-2</v>
      </c>
      <c r="J501" s="36">
        <v>0.14749999999999999</v>
      </c>
      <c r="K501" s="42" t="s">
        <v>5</v>
      </c>
    </row>
    <row r="502" spans="1:11" s="77" customFormat="1">
      <c r="A502" s="39" t="s">
        <v>927</v>
      </c>
      <c r="B502" s="41">
        <v>45412</v>
      </c>
      <c r="C502" s="44">
        <v>5</v>
      </c>
      <c r="D502" s="78" t="s">
        <v>929</v>
      </c>
      <c r="E502" s="9" t="s">
        <v>414</v>
      </c>
      <c r="F502" s="40">
        <v>45777</v>
      </c>
      <c r="G502" s="40">
        <v>45792</v>
      </c>
      <c r="H502" s="40">
        <v>45797</v>
      </c>
      <c r="I502" s="46">
        <v>2.9499999999999998E-2</v>
      </c>
      <c r="J502" s="36">
        <v>0.14749999999999999</v>
      </c>
      <c r="K502" s="42" t="s">
        <v>5</v>
      </c>
    </row>
    <row r="503" spans="1:11" s="77" customFormat="1">
      <c r="A503" s="39" t="s">
        <v>928</v>
      </c>
      <c r="B503" s="41">
        <v>45412</v>
      </c>
      <c r="C503" s="44">
        <v>5</v>
      </c>
      <c r="D503" s="78" t="s">
        <v>930</v>
      </c>
      <c r="E503" s="9" t="s">
        <v>414</v>
      </c>
      <c r="F503" s="40">
        <v>45777</v>
      </c>
      <c r="G503" s="40">
        <v>45792</v>
      </c>
      <c r="H503" s="40">
        <v>45797</v>
      </c>
      <c r="I503" s="46">
        <v>2.5000000000000001E-2</v>
      </c>
      <c r="J503" s="36">
        <v>0.125</v>
      </c>
      <c r="K503" s="42" t="s">
        <v>5</v>
      </c>
    </row>
    <row r="504" spans="1:11" s="77" customFormat="1">
      <c r="A504" s="39" t="s">
        <v>820</v>
      </c>
      <c r="B504" s="41">
        <v>45044</v>
      </c>
      <c r="C504" s="44">
        <v>5</v>
      </c>
      <c r="D504" s="78" t="s">
        <v>834</v>
      </c>
      <c r="E504" s="9" t="s">
        <v>414</v>
      </c>
      <c r="F504" s="40">
        <v>45777</v>
      </c>
      <c r="G504" s="40">
        <v>45792</v>
      </c>
      <c r="H504" s="40">
        <v>45797</v>
      </c>
      <c r="I504" s="46">
        <v>2.75E-2</v>
      </c>
      <c r="J504" s="36">
        <v>0.13750000000000001</v>
      </c>
      <c r="K504" s="42" t="s">
        <v>5</v>
      </c>
    </row>
    <row r="505" spans="1:11" s="77" customFormat="1">
      <c r="A505" s="39" t="s">
        <v>821</v>
      </c>
      <c r="B505" s="41">
        <v>45044</v>
      </c>
      <c r="C505" s="44">
        <v>5</v>
      </c>
      <c r="D505" s="78" t="s">
        <v>835</v>
      </c>
      <c r="E505" s="9" t="s">
        <v>414</v>
      </c>
      <c r="F505" s="40">
        <v>45777</v>
      </c>
      <c r="G505" s="40">
        <v>45792</v>
      </c>
      <c r="H505" s="40">
        <v>45797</v>
      </c>
      <c r="I505" s="46">
        <v>2.9499999999999998E-2</v>
      </c>
      <c r="J505" s="36">
        <v>0.14749999999999999</v>
      </c>
      <c r="K505" s="42" t="s">
        <v>5</v>
      </c>
    </row>
    <row r="506" spans="1:11" s="77" customFormat="1">
      <c r="A506" s="39" t="s">
        <v>751</v>
      </c>
      <c r="B506" s="41">
        <v>44680</v>
      </c>
      <c r="C506" s="44">
        <v>5</v>
      </c>
      <c r="D506" s="78" t="s">
        <v>764</v>
      </c>
      <c r="E506" s="9" t="s">
        <v>422</v>
      </c>
      <c r="F506" s="40">
        <v>45777</v>
      </c>
      <c r="G506" s="40">
        <v>45792</v>
      </c>
      <c r="H506" s="40">
        <v>45797</v>
      </c>
      <c r="I506" s="46" t="s">
        <v>765</v>
      </c>
      <c r="J506" s="36">
        <v>0.1179</v>
      </c>
      <c r="K506" s="42" t="s">
        <v>5</v>
      </c>
    </row>
    <row r="507" spans="1:11" s="77" customFormat="1">
      <c r="A507" s="39" t="s">
        <v>822</v>
      </c>
      <c r="B507" s="41">
        <v>45077</v>
      </c>
      <c r="C507" s="44">
        <v>5</v>
      </c>
      <c r="D507" s="78" t="s">
        <v>836</v>
      </c>
      <c r="E507" s="9" t="s">
        <v>414</v>
      </c>
      <c r="F507" s="40">
        <v>45807</v>
      </c>
      <c r="G507" s="40">
        <v>45824</v>
      </c>
      <c r="H507" s="40">
        <v>45827</v>
      </c>
      <c r="I507" s="46">
        <v>2.7E-2</v>
      </c>
      <c r="J507" s="36">
        <v>0.13500000000000001</v>
      </c>
      <c r="K507" s="42" t="s">
        <v>5</v>
      </c>
    </row>
    <row r="508" spans="1:11" s="77" customFormat="1">
      <c r="A508" s="39" t="s">
        <v>823</v>
      </c>
      <c r="B508" s="41">
        <v>45077</v>
      </c>
      <c r="C508" s="44">
        <v>5</v>
      </c>
      <c r="D508" s="78" t="s">
        <v>837</v>
      </c>
      <c r="E508" s="9" t="s">
        <v>414</v>
      </c>
      <c r="F508" s="40">
        <v>45807</v>
      </c>
      <c r="G508" s="40">
        <v>45824</v>
      </c>
      <c r="H508" s="40">
        <v>45827</v>
      </c>
      <c r="I508" s="46">
        <v>2.9000000000000001E-2</v>
      </c>
      <c r="J508" s="36">
        <v>0.14500000000000002</v>
      </c>
      <c r="K508" s="42" t="s">
        <v>5</v>
      </c>
    </row>
    <row r="509" spans="1:11" s="77" customFormat="1">
      <c r="A509" s="39" t="s">
        <v>931</v>
      </c>
      <c r="B509" s="41">
        <v>45443</v>
      </c>
      <c r="C509" s="44">
        <v>5</v>
      </c>
      <c r="D509" s="78" t="s">
        <v>933</v>
      </c>
      <c r="E509" s="9" t="s">
        <v>414</v>
      </c>
      <c r="F509" s="40">
        <v>45807</v>
      </c>
      <c r="G509" s="40">
        <v>45824</v>
      </c>
      <c r="H509" s="40">
        <v>45827</v>
      </c>
      <c r="I509" s="46">
        <v>3.1E-2</v>
      </c>
      <c r="J509" s="36">
        <v>0.155</v>
      </c>
      <c r="K509" s="42" t="s">
        <v>5</v>
      </c>
    </row>
    <row r="510" spans="1:11" s="77" customFormat="1">
      <c r="A510" s="39" t="s">
        <v>932</v>
      </c>
      <c r="B510" s="41">
        <v>45443</v>
      </c>
      <c r="C510" s="44">
        <v>5</v>
      </c>
      <c r="D510" s="78" t="s">
        <v>934</v>
      </c>
      <c r="E510" s="9" t="s">
        <v>414</v>
      </c>
      <c r="F510" s="40">
        <v>45807</v>
      </c>
      <c r="G510" s="40">
        <v>45824</v>
      </c>
      <c r="H510" s="40">
        <v>45827</v>
      </c>
      <c r="I510" s="46">
        <v>2.6499999999999999E-2</v>
      </c>
      <c r="J510" s="36">
        <v>0.13250000000000001</v>
      </c>
      <c r="K510" s="42" t="s">
        <v>5</v>
      </c>
    </row>
    <row r="511" spans="1:11" s="77" customFormat="1">
      <c r="A511" s="39" t="s">
        <v>499</v>
      </c>
      <c r="B511" s="41">
        <v>43518</v>
      </c>
      <c r="C511" s="44">
        <v>100</v>
      </c>
      <c r="D511" s="78" t="s">
        <v>999</v>
      </c>
      <c r="E511" s="9" t="s">
        <v>414</v>
      </c>
      <c r="F511" s="40">
        <v>45828</v>
      </c>
      <c r="G511" s="40">
        <v>45832</v>
      </c>
      <c r="H511" s="40">
        <v>45835</v>
      </c>
      <c r="I511" s="46"/>
      <c r="J511" s="36">
        <v>3.75</v>
      </c>
      <c r="K511" s="42" t="s">
        <v>6</v>
      </c>
    </row>
    <row r="512" spans="1:11" s="77" customFormat="1">
      <c r="A512" s="39" t="s">
        <v>179</v>
      </c>
      <c r="B512" s="41">
        <v>43544</v>
      </c>
      <c r="C512" s="44">
        <v>5</v>
      </c>
      <c r="D512" s="78" t="s">
        <v>970</v>
      </c>
      <c r="E512" s="9" t="s">
        <v>410</v>
      </c>
      <c r="F512" s="40">
        <v>45838</v>
      </c>
      <c r="G512" s="40">
        <v>45839</v>
      </c>
      <c r="H512" s="40">
        <v>45842</v>
      </c>
      <c r="I512" s="46">
        <v>3.5000000000000003E-2</v>
      </c>
      <c r="J512" s="36">
        <v>4.5199999999999997E-2</v>
      </c>
      <c r="K512" s="42" t="s">
        <v>8</v>
      </c>
    </row>
    <row r="513" spans="1:11" s="77" customFormat="1" ht="25.5">
      <c r="A513" s="39" t="s">
        <v>103</v>
      </c>
      <c r="B513" s="41">
        <v>41281</v>
      </c>
      <c r="C513" s="44">
        <v>5</v>
      </c>
      <c r="D513" s="78" t="s">
        <v>573</v>
      </c>
      <c r="E513" s="9" t="s">
        <v>410</v>
      </c>
      <c r="F513" s="40">
        <v>45838</v>
      </c>
      <c r="G513" s="40">
        <v>45839</v>
      </c>
      <c r="H513" s="40">
        <v>45842</v>
      </c>
      <c r="I513" s="46">
        <v>2.2499999999999999E-2</v>
      </c>
      <c r="J513" s="36">
        <v>2.7300000000000001E-2</v>
      </c>
      <c r="K513" s="42" t="s">
        <v>498</v>
      </c>
    </row>
    <row r="514" spans="1:11" s="77" customFormat="1" ht="25.5">
      <c r="A514" s="39" t="s">
        <v>106</v>
      </c>
      <c r="B514" s="41">
        <v>41281</v>
      </c>
      <c r="C514" s="44">
        <v>5</v>
      </c>
      <c r="D514" s="78" t="s">
        <v>574</v>
      </c>
      <c r="E514" s="9" t="s">
        <v>410</v>
      </c>
      <c r="F514" s="40">
        <v>45838</v>
      </c>
      <c r="G514" s="40">
        <v>45839</v>
      </c>
      <c r="H514" s="40">
        <v>45842</v>
      </c>
      <c r="I514" s="46">
        <v>1.7500000000000002E-2</v>
      </c>
      <c r="J514" s="36">
        <v>2.1399999999999999E-2</v>
      </c>
      <c r="K514" s="42" t="s">
        <v>498</v>
      </c>
    </row>
    <row r="515" spans="1:11" s="77" customFormat="1">
      <c r="A515" s="39" t="s">
        <v>824</v>
      </c>
      <c r="B515" s="41">
        <v>45107</v>
      </c>
      <c r="C515" s="44">
        <v>5</v>
      </c>
      <c r="D515" s="78" t="s">
        <v>838</v>
      </c>
      <c r="E515" s="9" t="s">
        <v>414</v>
      </c>
      <c r="F515" s="40">
        <v>45838</v>
      </c>
      <c r="G515" s="40">
        <v>45853</v>
      </c>
      <c r="H515" s="40">
        <v>45856</v>
      </c>
      <c r="I515" s="46">
        <v>2.7E-2</v>
      </c>
      <c r="J515" s="36">
        <v>0.13500000000000001</v>
      </c>
      <c r="K515" s="42" t="s">
        <v>5</v>
      </c>
    </row>
    <row r="516" spans="1:11" s="77" customFormat="1">
      <c r="A516" s="39" t="s">
        <v>825</v>
      </c>
      <c r="B516" s="41">
        <v>45107</v>
      </c>
      <c r="C516" s="44">
        <v>5</v>
      </c>
      <c r="D516" s="78" t="s">
        <v>839</v>
      </c>
      <c r="E516" s="9" t="s">
        <v>414</v>
      </c>
      <c r="F516" s="40">
        <v>45838</v>
      </c>
      <c r="G516" s="40">
        <v>45853</v>
      </c>
      <c r="H516" s="40">
        <v>45856</v>
      </c>
      <c r="I516" s="46">
        <v>2.9000000000000001E-2</v>
      </c>
      <c r="J516" s="36">
        <v>0.14500000000000002</v>
      </c>
      <c r="K516" s="42" t="s">
        <v>5</v>
      </c>
    </row>
    <row r="517" spans="1:11" s="77" customFormat="1">
      <c r="A517" s="39" t="s">
        <v>752</v>
      </c>
      <c r="B517" s="41">
        <v>44742</v>
      </c>
      <c r="C517" s="44">
        <v>5</v>
      </c>
      <c r="D517" s="78" t="s">
        <v>766</v>
      </c>
      <c r="E517" s="9" t="s">
        <v>422</v>
      </c>
      <c r="F517" s="40">
        <v>45838</v>
      </c>
      <c r="G517" s="40">
        <v>45853</v>
      </c>
      <c r="H517" s="40">
        <v>45856</v>
      </c>
      <c r="I517" s="46" t="s">
        <v>769</v>
      </c>
      <c r="J517" s="36">
        <v>0.13500000000000001</v>
      </c>
      <c r="K517" s="42" t="s">
        <v>5</v>
      </c>
    </row>
    <row r="518" spans="1:11" s="77" customFormat="1">
      <c r="A518" s="39" t="s">
        <v>753</v>
      </c>
      <c r="B518" s="41">
        <v>44742</v>
      </c>
      <c r="C518" s="44">
        <v>5</v>
      </c>
      <c r="D518" s="78" t="s">
        <v>767</v>
      </c>
      <c r="E518" s="9" t="s">
        <v>414</v>
      </c>
      <c r="F518" s="40">
        <v>45838</v>
      </c>
      <c r="G518" s="40">
        <v>45853</v>
      </c>
      <c r="H518" s="40">
        <v>45856</v>
      </c>
      <c r="I518" s="46">
        <v>1.7000000000000001E-2</v>
      </c>
      <c r="J518" s="36">
        <v>8.5000000000000006E-2</v>
      </c>
      <c r="K518" s="42" t="s">
        <v>5</v>
      </c>
    </row>
    <row r="519" spans="1:11" s="77" customFormat="1">
      <c r="A519" s="39" t="s">
        <v>937</v>
      </c>
      <c r="B519" s="41">
        <v>45471</v>
      </c>
      <c r="C519" s="44">
        <v>5</v>
      </c>
      <c r="D519" s="78" t="s">
        <v>935</v>
      </c>
      <c r="E519" s="9" t="s">
        <v>414</v>
      </c>
      <c r="F519" s="40">
        <v>45838</v>
      </c>
      <c r="G519" s="40">
        <v>45853</v>
      </c>
      <c r="H519" s="40">
        <v>45856</v>
      </c>
      <c r="I519" s="46">
        <v>2.9000000000000001E-2</v>
      </c>
      <c r="J519" s="36">
        <v>0.14500000000000002</v>
      </c>
      <c r="K519" s="42" t="s">
        <v>5</v>
      </c>
    </row>
    <row r="520" spans="1:11" s="77" customFormat="1">
      <c r="A520" s="39" t="s">
        <v>938</v>
      </c>
      <c r="B520" s="41">
        <v>45471</v>
      </c>
      <c r="C520" s="44">
        <v>5</v>
      </c>
      <c r="D520" s="78" t="s">
        <v>936</v>
      </c>
      <c r="E520" s="9" t="s">
        <v>414</v>
      </c>
      <c r="F520" s="40">
        <v>45838</v>
      </c>
      <c r="G520" s="40">
        <v>45853</v>
      </c>
      <c r="H520" s="40">
        <v>45856</v>
      </c>
      <c r="I520" s="46">
        <v>2.7E-2</v>
      </c>
      <c r="J520" s="36">
        <v>0.13500000000000001</v>
      </c>
      <c r="K520" s="42" t="s">
        <v>5</v>
      </c>
    </row>
    <row r="521" spans="1:11" s="77" customFormat="1">
      <c r="A521" s="39" t="s">
        <v>504</v>
      </c>
      <c r="B521" s="41">
        <v>43553</v>
      </c>
      <c r="C521" s="44">
        <v>100</v>
      </c>
      <c r="D521" s="78" t="s">
        <v>914</v>
      </c>
      <c r="E521" s="9" t="s">
        <v>414</v>
      </c>
      <c r="F521" s="40">
        <v>45863</v>
      </c>
      <c r="G521" s="40">
        <v>45866</v>
      </c>
      <c r="H521" s="40">
        <v>45869</v>
      </c>
      <c r="I521" s="46"/>
      <c r="J521" s="36">
        <v>3.75</v>
      </c>
      <c r="K521" s="42" t="s">
        <v>6</v>
      </c>
    </row>
    <row r="522" spans="1:11" s="77" customFormat="1">
      <c r="A522" s="39" t="s">
        <v>762</v>
      </c>
      <c r="B522" s="41">
        <v>44771</v>
      </c>
      <c r="C522" s="44">
        <v>5</v>
      </c>
      <c r="D522" s="78" t="s">
        <v>770</v>
      </c>
      <c r="E522" s="9" t="s">
        <v>414</v>
      </c>
      <c r="F522" s="40">
        <v>45869</v>
      </c>
      <c r="G522" s="40">
        <v>45887</v>
      </c>
      <c r="H522" s="40">
        <v>45890</v>
      </c>
      <c r="I522" s="46">
        <v>2.8500000000000001E-2</v>
      </c>
      <c r="J522" s="36">
        <v>0.14249999999999999</v>
      </c>
      <c r="K522" s="42" t="s">
        <v>5</v>
      </c>
    </row>
    <row r="523" spans="1:11" s="77" customFormat="1">
      <c r="A523" s="39" t="s">
        <v>763</v>
      </c>
      <c r="B523" s="41">
        <v>44771</v>
      </c>
      <c r="C523" s="44">
        <v>5</v>
      </c>
      <c r="D523" s="78" t="s">
        <v>771</v>
      </c>
      <c r="E523" s="9" t="s">
        <v>414</v>
      </c>
      <c r="F523" s="40">
        <v>45869</v>
      </c>
      <c r="G523" s="40">
        <v>45887</v>
      </c>
      <c r="H523" s="40">
        <v>45890</v>
      </c>
      <c r="I523" s="46">
        <v>2.6499999999999999E-2</v>
      </c>
      <c r="J523" s="36">
        <v>0.13250000000000001</v>
      </c>
      <c r="K523" s="42" t="s">
        <v>5</v>
      </c>
    </row>
    <row r="524" spans="1:11" s="77" customFormat="1">
      <c r="A524" s="39" t="s">
        <v>939</v>
      </c>
      <c r="B524" s="41">
        <v>45504</v>
      </c>
      <c r="C524" s="44">
        <v>5</v>
      </c>
      <c r="D524" s="78" t="s">
        <v>952</v>
      </c>
      <c r="E524" s="9" t="s">
        <v>414</v>
      </c>
      <c r="F524" s="40">
        <v>45869</v>
      </c>
      <c r="G524" s="40">
        <v>45887</v>
      </c>
      <c r="H524" s="40">
        <v>45890</v>
      </c>
      <c r="I524" s="46">
        <v>2.5999999999999999E-2</v>
      </c>
      <c r="J524" s="36">
        <v>0.13</v>
      </c>
      <c r="K524" s="42" t="s">
        <v>5</v>
      </c>
    </row>
    <row r="525" spans="1:11" s="77" customFormat="1">
      <c r="A525" s="39" t="s">
        <v>940</v>
      </c>
      <c r="B525" s="41">
        <v>45504</v>
      </c>
      <c r="C525" s="44">
        <v>5</v>
      </c>
      <c r="D525" s="78" t="s">
        <v>951</v>
      </c>
      <c r="E525" s="9" t="s">
        <v>414</v>
      </c>
      <c r="F525" s="40">
        <v>45869</v>
      </c>
      <c r="G525" s="40">
        <v>45887</v>
      </c>
      <c r="H525" s="40">
        <v>45890</v>
      </c>
      <c r="I525" s="46">
        <v>2.4E-2</v>
      </c>
      <c r="J525" s="36">
        <v>0.12</v>
      </c>
      <c r="K525" s="42" t="s">
        <v>5</v>
      </c>
    </row>
    <row r="526" spans="1:11" s="77" customFormat="1">
      <c r="A526" s="39" t="s">
        <v>826</v>
      </c>
      <c r="B526" s="41">
        <v>45138</v>
      </c>
      <c r="C526" s="44">
        <v>5</v>
      </c>
      <c r="D526" s="78" t="s">
        <v>840</v>
      </c>
      <c r="E526" s="9" t="s">
        <v>414</v>
      </c>
      <c r="F526" s="40">
        <v>45869</v>
      </c>
      <c r="G526" s="40">
        <v>45887</v>
      </c>
      <c r="H526" s="40">
        <v>45890</v>
      </c>
      <c r="I526" s="46">
        <v>2.5999999999999999E-2</v>
      </c>
      <c r="J526" s="36">
        <v>0.13</v>
      </c>
      <c r="K526" s="42" t="s">
        <v>5</v>
      </c>
    </row>
    <row r="527" spans="1:11" s="77" customFormat="1">
      <c r="A527" s="39" t="s">
        <v>827</v>
      </c>
      <c r="B527" s="41">
        <v>45138</v>
      </c>
      <c r="C527" s="44">
        <v>5</v>
      </c>
      <c r="D527" s="78" t="s">
        <v>841</v>
      </c>
      <c r="E527" s="9" t="s">
        <v>414</v>
      </c>
      <c r="F527" s="40">
        <v>45869</v>
      </c>
      <c r="G527" s="40">
        <v>45887</v>
      </c>
      <c r="H527" s="40">
        <v>45890</v>
      </c>
      <c r="I527" s="46">
        <v>3.0499999999999999E-2</v>
      </c>
      <c r="J527" s="36">
        <v>0.1525</v>
      </c>
      <c r="K527" s="42" t="s">
        <v>5</v>
      </c>
    </row>
    <row r="528" spans="1:11" s="77" customFormat="1" ht="25.5">
      <c r="A528" s="50" t="s">
        <v>128</v>
      </c>
      <c r="B528" s="51">
        <v>43602</v>
      </c>
      <c r="C528" s="123">
        <v>100</v>
      </c>
      <c r="D528" s="154" t="s">
        <v>898</v>
      </c>
      <c r="E528" s="1" t="s">
        <v>414</v>
      </c>
      <c r="F528" s="53">
        <v>45891</v>
      </c>
      <c r="G528" s="53">
        <v>45894</v>
      </c>
      <c r="H528" s="53">
        <v>45897</v>
      </c>
      <c r="I528" s="125"/>
      <c r="J528" s="47">
        <v>3</v>
      </c>
      <c r="K528" s="48" t="s">
        <v>129</v>
      </c>
    </row>
    <row r="529" spans="1:11" s="77" customFormat="1">
      <c r="A529" s="39" t="s">
        <v>941</v>
      </c>
      <c r="B529" s="41">
        <v>45534</v>
      </c>
      <c r="C529" s="44">
        <v>5</v>
      </c>
      <c r="D529" s="78" t="s">
        <v>953</v>
      </c>
      <c r="E529" s="9" t="s">
        <v>414</v>
      </c>
      <c r="F529" s="40">
        <v>45898</v>
      </c>
      <c r="G529" s="40">
        <v>45915</v>
      </c>
      <c r="H529" s="40">
        <v>45918</v>
      </c>
      <c r="I529" s="46">
        <v>2.4500000000000001E-2</v>
      </c>
      <c r="J529" s="36">
        <v>0.1225</v>
      </c>
      <c r="K529" s="42" t="s">
        <v>5</v>
      </c>
    </row>
    <row r="530" spans="1:11" s="77" customFormat="1">
      <c r="A530" s="39" t="s">
        <v>942</v>
      </c>
      <c r="B530" s="41">
        <v>45534</v>
      </c>
      <c r="C530" s="44">
        <v>5</v>
      </c>
      <c r="D530" s="78" t="s">
        <v>954</v>
      </c>
      <c r="E530" s="9" t="s">
        <v>414</v>
      </c>
      <c r="F530" s="40">
        <v>45898</v>
      </c>
      <c r="G530" s="40">
        <v>45915</v>
      </c>
      <c r="H530" s="40">
        <v>45918</v>
      </c>
      <c r="I530" s="46">
        <v>2.2499999999999999E-2</v>
      </c>
      <c r="J530" s="36">
        <v>0.11249999999999999</v>
      </c>
      <c r="K530" s="42" t="s">
        <v>5</v>
      </c>
    </row>
    <row r="531" spans="1:11" s="77" customFormat="1">
      <c r="A531" s="39" t="s">
        <v>316</v>
      </c>
      <c r="B531" s="41">
        <v>43644</v>
      </c>
      <c r="C531" s="44">
        <v>100</v>
      </c>
      <c r="D531" s="78" t="s">
        <v>896</v>
      </c>
      <c r="E531" s="9" t="s">
        <v>414</v>
      </c>
      <c r="F531" s="40">
        <v>45926</v>
      </c>
      <c r="G531" s="40">
        <v>45929</v>
      </c>
      <c r="H531" s="40">
        <v>45932</v>
      </c>
      <c r="I531" s="46"/>
      <c r="J531" s="36">
        <v>3</v>
      </c>
      <c r="K531" s="42" t="s">
        <v>129</v>
      </c>
    </row>
    <row r="532" spans="1:11" s="77" customFormat="1">
      <c r="A532" s="39" t="s">
        <v>179</v>
      </c>
      <c r="B532" s="41">
        <v>43544</v>
      </c>
      <c r="C532" s="44">
        <v>5</v>
      </c>
      <c r="D532" s="78" t="s">
        <v>970</v>
      </c>
      <c r="E532" s="9" t="s">
        <v>410</v>
      </c>
      <c r="F532" s="40">
        <v>45930</v>
      </c>
      <c r="G532" s="40">
        <v>45931</v>
      </c>
      <c r="H532" s="40">
        <v>45906</v>
      </c>
      <c r="I532" s="46">
        <v>3.5000000000000003E-2</v>
      </c>
      <c r="J532" s="36">
        <v>4.5199999999999997E-2</v>
      </c>
      <c r="K532" s="42" t="s">
        <v>8</v>
      </c>
    </row>
    <row r="533" spans="1:11" s="77" customFormat="1" ht="25.5">
      <c r="A533" s="39" t="s">
        <v>103</v>
      </c>
      <c r="B533" s="41">
        <v>41281</v>
      </c>
      <c r="C533" s="44">
        <v>5</v>
      </c>
      <c r="D533" s="78" t="s">
        <v>573</v>
      </c>
      <c r="E533" s="9" t="s">
        <v>410</v>
      </c>
      <c r="F533" s="40">
        <v>45930</v>
      </c>
      <c r="G533" s="40">
        <v>45931</v>
      </c>
      <c r="H533" s="40">
        <v>45906</v>
      </c>
      <c r="I533" s="46">
        <v>2.2499999999999999E-2</v>
      </c>
      <c r="J533" s="36">
        <v>2.7300000000000001E-2</v>
      </c>
      <c r="K533" s="42" t="s">
        <v>498</v>
      </c>
    </row>
    <row r="534" spans="1:11" s="77" customFormat="1" ht="25.5">
      <c r="A534" s="39" t="s">
        <v>106</v>
      </c>
      <c r="B534" s="41">
        <v>41281</v>
      </c>
      <c r="C534" s="44">
        <v>5</v>
      </c>
      <c r="D534" s="78" t="s">
        <v>574</v>
      </c>
      <c r="E534" s="9" t="s">
        <v>410</v>
      </c>
      <c r="F534" s="40">
        <v>45930</v>
      </c>
      <c r="G534" s="40">
        <v>45931</v>
      </c>
      <c r="H534" s="40">
        <v>45906</v>
      </c>
      <c r="I534" s="46">
        <v>1.7500000000000002E-2</v>
      </c>
      <c r="J534" s="36">
        <v>2.1399999999999999E-2</v>
      </c>
      <c r="K534" s="42" t="s">
        <v>498</v>
      </c>
    </row>
    <row r="535" spans="1:11" s="77" customFormat="1">
      <c r="A535" s="39" t="s">
        <v>772</v>
      </c>
      <c r="B535" s="41">
        <v>44834</v>
      </c>
      <c r="C535" s="44">
        <v>100</v>
      </c>
      <c r="D535" s="78" t="s">
        <v>775</v>
      </c>
      <c r="E535" s="9" t="s">
        <v>414</v>
      </c>
      <c r="F535" s="40">
        <v>45930</v>
      </c>
      <c r="G535" s="40">
        <v>45931</v>
      </c>
      <c r="H535" s="40">
        <v>45936</v>
      </c>
      <c r="I535" s="46"/>
      <c r="J535" s="36">
        <v>3.5</v>
      </c>
      <c r="K535" s="42" t="s">
        <v>129</v>
      </c>
    </row>
    <row r="536" spans="1:11" s="77" customFormat="1">
      <c r="A536" s="50" t="s">
        <v>943</v>
      </c>
      <c r="B536" s="51">
        <v>45565</v>
      </c>
      <c r="C536" s="123">
        <v>5</v>
      </c>
      <c r="D536" s="124" t="s">
        <v>955</v>
      </c>
      <c r="E536" s="1" t="s">
        <v>414</v>
      </c>
      <c r="F536" s="53">
        <v>45930</v>
      </c>
      <c r="G536" s="53">
        <v>45945</v>
      </c>
      <c r="H536" s="53">
        <v>45950</v>
      </c>
      <c r="I536" s="125">
        <v>2.1999999999999999E-2</v>
      </c>
      <c r="J536" s="47">
        <v>0.10999999999999999</v>
      </c>
      <c r="K536" s="48" t="s">
        <v>5</v>
      </c>
    </row>
    <row r="537" spans="1:11" s="77" customFormat="1" ht="22.5" customHeight="1">
      <c r="A537" s="50" t="s">
        <v>944</v>
      </c>
      <c r="B537" s="51">
        <v>45565</v>
      </c>
      <c r="C537" s="123">
        <v>5</v>
      </c>
      <c r="D537" s="124" t="s">
        <v>956</v>
      </c>
      <c r="E537" s="1" t="s">
        <v>414</v>
      </c>
      <c r="F537" s="53">
        <v>45930</v>
      </c>
      <c r="G537" s="53">
        <v>45945</v>
      </c>
      <c r="H537" s="53">
        <v>45950</v>
      </c>
      <c r="I537" s="125">
        <v>0.02</v>
      </c>
      <c r="J537" s="47">
        <v>0.1</v>
      </c>
      <c r="K537" s="48" t="s">
        <v>5</v>
      </c>
    </row>
    <row r="538" spans="1:11" s="77" customFormat="1" ht="22.5" customHeight="1">
      <c r="A538" s="50" t="s">
        <v>830</v>
      </c>
      <c r="B538" s="51">
        <v>45198</v>
      </c>
      <c r="C538" s="123">
        <v>5</v>
      </c>
      <c r="D538" s="124" t="s">
        <v>842</v>
      </c>
      <c r="E538" s="1" t="s">
        <v>414</v>
      </c>
      <c r="F538" s="53">
        <v>45930</v>
      </c>
      <c r="G538" s="53">
        <v>45945</v>
      </c>
      <c r="H538" s="53">
        <v>45950</v>
      </c>
      <c r="I538" s="125">
        <v>3.1E-2</v>
      </c>
      <c r="J538" s="47">
        <v>0.155</v>
      </c>
      <c r="K538" s="48" t="s">
        <v>585</v>
      </c>
    </row>
    <row r="539" spans="1:11" s="77" customFormat="1" ht="22.5" customHeight="1">
      <c r="A539" s="50" t="s">
        <v>831</v>
      </c>
      <c r="B539" s="51">
        <v>45198</v>
      </c>
      <c r="C539" s="123">
        <v>5</v>
      </c>
      <c r="D539" s="124" t="s">
        <v>843</v>
      </c>
      <c r="E539" s="1" t="s">
        <v>414</v>
      </c>
      <c r="F539" s="53">
        <v>45930</v>
      </c>
      <c r="G539" s="53">
        <v>45945</v>
      </c>
      <c r="H539" s="53">
        <v>45950</v>
      </c>
      <c r="I539" s="125">
        <v>3.5499999999999997E-2</v>
      </c>
      <c r="J539" s="47">
        <v>0.17749999999999999</v>
      </c>
      <c r="K539" s="48" t="s">
        <v>585</v>
      </c>
    </row>
    <row r="540" spans="1:11" s="77" customFormat="1" ht="22.5" customHeight="1">
      <c r="A540" s="50" t="s">
        <v>756</v>
      </c>
      <c r="B540" s="51">
        <v>44834</v>
      </c>
      <c r="C540" s="123">
        <v>5</v>
      </c>
      <c r="D540" s="124" t="s">
        <v>782</v>
      </c>
      <c r="E540" s="1" t="s">
        <v>414</v>
      </c>
      <c r="F540" s="53">
        <v>45930</v>
      </c>
      <c r="G540" s="53">
        <v>45945</v>
      </c>
      <c r="H540" s="53">
        <v>45950</v>
      </c>
      <c r="I540" s="125">
        <v>3.4000000000000002E-2</v>
      </c>
      <c r="J540" s="47">
        <v>0.17</v>
      </c>
      <c r="K540" s="48" t="s">
        <v>5</v>
      </c>
    </row>
    <row r="541" spans="1:11" s="77" customFormat="1" ht="22.5" customHeight="1">
      <c r="A541" s="50" t="s">
        <v>757</v>
      </c>
      <c r="B541" s="51">
        <v>44834</v>
      </c>
      <c r="C541" s="123">
        <v>5</v>
      </c>
      <c r="D541" s="124" t="s">
        <v>783</v>
      </c>
      <c r="E541" s="1" t="s">
        <v>414</v>
      </c>
      <c r="F541" s="53">
        <v>45930</v>
      </c>
      <c r="G541" s="53">
        <v>45945</v>
      </c>
      <c r="H541" s="53">
        <v>45950</v>
      </c>
      <c r="I541" s="125">
        <v>3.2000000000000001E-2</v>
      </c>
      <c r="J541" s="47">
        <v>0.16</v>
      </c>
      <c r="K541" s="48" t="s">
        <v>5</v>
      </c>
    </row>
    <row r="542" spans="1:11" s="77" customFormat="1" ht="22.5" customHeight="1">
      <c r="A542" s="50" t="s">
        <v>754</v>
      </c>
      <c r="B542" s="51">
        <v>44834</v>
      </c>
      <c r="C542" s="123">
        <v>5</v>
      </c>
      <c r="D542" s="124" t="s">
        <v>778</v>
      </c>
      <c r="E542" s="1" t="s">
        <v>422</v>
      </c>
      <c r="F542" s="53">
        <v>45930</v>
      </c>
      <c r="G542" s="53">
        <v>45945</v>
      </c>
      <c r="H542" s="53">
        <v>45950</v>
      </c>
      <c r="I542" s="125" t="s">
        <v>828</v>
      </c>
      <c r="J542" s="47">
        <v>0.19800000000000001</v>
      </c>
      <c r="K542" s="48" t="s">
        <v>5</v>
      </c>
    </row>
    <row r="543" spans="1:11" s="77" customFormat="1" ht="22.5" customHeight="1">
      <c r="A543" s="50" t="s">
        <v>755</v>
      </c>
      <c r="B543" s="51">
        <v>44834</v>
      </c>
      <c r="C543" s="123">
        <v>5</v>
      </c>
      <c r="D543" s="124" t="s">
        <v>779</v>
      </c>
      <c r="E543" s="1" t="s">
        <v>422</v>
      </c>
      <c r="F543" s="53">
        <v>45930</v>
      </c>
      <c r="G543" s="53">
        <v>45945</v>
      </c>
      <c r="H543" s="53">
        <v>45950</v>
      </c>
      <c r="I543" s="125" t="s">
        <v>781</v>
      </c>
      <c r="J543" s="47">
        <v>0.19</v>
      </c>
      <c r="K543" s="48" t="s">
        <v>5</v>
      </c>
    </row>
    <row r="544" spans="1:11" s="77" customFormat="1" ht="22.5" customHeight="1">
      <c r="A544" s="50" t="s">
        <v>317</v>
      </c>
      <c r="B544" s="51">
        <v>43686</v>
      </c>
      <c r="C544" s="123">
        <v>100</v>
      </c>
      <c r="D544" s="124" t="s">
        <v>893</v>
      </c>
      <c r="E544" s="1" t="s">
        <v>414</v>
      </c>
      <c r="F544" s="53">
        <v>45940</v>
      </c>
      <c r="G544" s="53">
        <v>45943</v>
      </c>
      <c r="H544" s="53">
        <v>45946</v>
      </c>
      <c r="I544" s="125"/>
      <c r="J544" s="47">
        <v>2.5</v>
      </c>
      <c r="K544" s="48" t="s">
        <v>129</v>
      </c>
    </row>
    <row r="545" spans="1:11" s="77" customFormat="1" ht="22.5" customHeight="1">
      <c r="A545" s="50" t="s">
        <v>773</v>
      </c>
      <c r="B545" s="51">
        <v>44865</v>
      </c>
      <c r="C545" s="123">
        <v>100</v>
      </c>
      <c r="D545" s="124" t="s">
        <v>776</v>
      </c>
      <c r="E545" s="1" t="s">
        <v>414</v>
      </c>
      <c r="F545" s="53">
        <v>45961</v>
      </c>
      <c r="G545" s="53">
        <v>45964</v>
      </c>
      <c r="H545" s="53">
        <v>45967</v>
      </c>
      <c r="I545" s="125"/>
      <c r="J545" s="47">
        <v>5</v>
      </c>
      <c r="K545" s="48" t="s">
        <v>129</v>
      </c>
    </row>
    <row r="546" spans="1:11" s="77" customFormat="1" ht="22.5" customHeight="1">
      <c r="A546" s="50" t="s">
        <v>945</v>
      </c>
      <c r="B546" s="51">
        <v>45596</v>
      </c>
      <c r="C546" s="123">
        <v>5</v>
      </c>
      <c r="D546" s="124" t="s">
        <v>957</v>
      </c>
      <c r="E546" s="1" t="s">
        <v>414</v>
      </c>
      <c r="F546" s="53">
        <v>45961</v>
      </c>
      <c r="G546" s="53">
        <v>45978</v>
      </c>
      <c r="H546" s="53">
        <v>45981</v>
      </c>
      <c r="I546" s="125">
        <v>2.4500000000000001E-2</v>
      </c>
      <c r="J546" s="47">
        <v>0.1225</v>
      </c>
      <c r="K546" s="48" t="s">
        <v>5</v>
      </c>
    </row>
    <row r="547" spans="1:11" s="77" customFormat="1" ht="22.5" customHeight="1">
      <c r="A547" s="50" t="s">
        <v>946</v>
      </c>
      <c r="B547" s="51">
        <v>45596</v>
      </c>
      <c r="C547" s="123">
        <v>5</v>
      </c>
      <c r="D547" s="124" t="s">
        <v>958</v>
      </c>
      <c r="E547" s="1" t="s">
        <v>414</v>
      </c>
      <c r="F547" s="53">
        <v>45961</v>
      </c>
      <c r="G547" s="53">
        <v>45978</v>
      </c>
      <c r="H547" s="53">
        <v>45981</v>
      </c>
      <c r="I547" s="125">
        <v>2.2499999999999999E-2</v>
      </c>
      <c r="J547" s="47">
        <v>0.11249999999999999</v>
      </c>
      <c r="K547" s="48" t="s">
        <v>5</v>
      </c>
    </row>
    <row r="548" spans="1:11" s="77" customFormat="1" ht="22.5" customHeight="1">
      <c r="A548" s="50" t="s">
        <v>758</v>
      </c>
      <c r="B548" s="51">
        <v>44865</v>
      </c>
      <c r="C548" s="123">
        <v>5</v>
      </c>
      <c r="D548" s="124" t="s">
        <v>784</v>
      </c>
      <c r="E548" s="1" t="s">
        <v>414</v>
      </c>
      <c r="F548" s="53">
        <v>45961</v>
      </c>
      <c r="G548" s="53">
        <v>45978</v>
      </c>
      <c r="H548" s="53">
        <v>45981</v>
      </c>
      <c r="I548" s="125">
        <v>3.3500000000000002E-2</v>
      </c>
      <c r="J548" s="47">
        <v>0.16750000000000001</v>
      </c>
      <c r="K548" s="48" t="s">
        <v>5</v>
      </c>
    </row>
    <row r="549" spans="1:11" s="77" customFormat="1" ht="22.5" customHeight="1">
      <c r="A549" s="50" t="s">
        <v>759</v>
      </c>
      <c r="B549" s="51">
        <v>44865</v>
      </c>
      <c r="C549" s="123">
        <v>5</v>
      </c>
      <c r="D549" s="124" t="s">
        <v>785</v>
      </c>
      <c r="E549" s="1" t="s">
        <v>414</v>
      </c>
      <c r="F549" s="53">
        <v>45961</v>
      </c>
      <c r="G549" s="53">
        <v>45978</v>
      </c>
      <c r="H549" s="53">
        <v>45981</v>
      </c>
      <c r="I549" s="125">
        <v>3.15E-2</v>
      </c>
      <c r="J549" s="47">
        <v>0.1575</v>
      </c>
      <c r="K549" s="48" t="s">
        <v>5</v>
      </c>
    </row>
    <row r="550" spans="1:11" s="77" customFormat="1" ht="22.5" customHeight="1">
      <c r="A550" s="50" t="s">
        <v>833</v>
      </c>
      <c r="B550" s="51">
        <v>45230</v>
      </c>
      <c r="C550" s="123">
        <v>5</v>
      </c>
      <c r="D550" s="124" t="s">
        <v>845</v>
      </c>
      <c r="E550" s="1" t="s">
        <v>414</v>
      </c>
      <c r="F550" s="53">
        <v>45961</v>
      </c>
      <c r="G550" s="53">
        <v>45978</v>
      </c>
      <c r="H550" s="53">
        <v>45981</v>
      </c>
      <c r="I550" s="125">
        <v>3.5499999999999997E-2</v>
      </c>
      <c r="J550" s="47">
        <v>0.17749999999999999</v>
      </c>
      <c r="K550" s="48" t="s">
        <v>585</v>
      </c>
    </row>
    <row r="551" spans="1:11" s="77" customFormat="1" ht="22.5" customHeight="1">
      <c r="A551" s="50" t="s">
        <v>832</v>
      </c>
      <c r="B551" s="51">
        <v>45230</v>
      </c>
      <c r="C551" s="123">
        <v>5</v>
      </c>
      <c r="D551" s="124" t="s">
        <v>844</v>
      </c>
      <c r="E551" s="1" t="s">
        <v>414</v>
      </c>
      <c r="F551" s="53">
        <v>45961</v>
      </c>
      <c r="G551" s="53">
        <v>45978</v>
      </c>
      <c r="H551" s="53">
        <v>45981</v>
      </c>
      <c r="I551" s="125">
        <v>3.1E-2</v>
      </c>
      <c r="J551" s="47">
        <v>0.155</v>
      </c>
      <c r="K551" s="48" t="s">
        <v>585</v>
      </c>
    </row>
    <row r="552" spans="1:11" s="77" customFormat="1" ht="22.5" customHeight="1">
      <c r="A552" s="50" t="s">
        <v>947</v>
      </c>
      <c r="B552" s="51">
        <v>45625</v>
      </c>
      <c r="C552" s="123">
        <v>5</v>
      </c>
      <c r="D552" s="124" t="s">
        <v>959</v>
      </c>
      <c r="E552" s="1" t="s">
        <v>414</v>
      </c>
      <c r="F552" s="53">
        <v>45989</v>
      </c>
      <c r="G552" s="53">
        <v>46006</v>
      </c>
      <c r="H552" s="53">
        <v>46009</v>
      </c>
      <c r="I552" s="125">
        <v>2.1999999999999999E-2</v>
      </c>
      <c r="J552" s="47">
        <v>0.11</v>
      </c>
      <c r="K552" s="48" t="s">
        <v>5</v>
      </c>
    </row>
    <row r="553" spans="1:11" s="77" customFormat="1" ht="22.5" customHeight="1">
      <c r="A553" s="50" t="s">
        <v>948</v>
      </c>
      <c r="B553" s="51">
        <v>45625</v>
      </c>
      <c r="C553" s="123">
        <v>5</v>
      </c>
      <c r="D553" s="124" t="s">
        <v>960</v>
      </c>
      <c r="E553" s="1" t="s">
        <v>414</v>
      </c>
      <c r="F553" s="53">
        <v>45989</v>
      </c>
      <c r="G553" s="53">
        <v>46006</v>
      </c>
      <c r="H553" s="53">
        <v>46009</v>
      </c>
      <c r="I553" s="125">
        <v>0.02</v>
      </c>
      <c r="J553" s="47">
        <v>0.1</v>
      </c>
      <c r="K553" s="48" t="s">
        <v>5</v>
      </c>
    </row>
    <row r="554" spans="1:11" s="77" customFormat="1" ht="22.5" customHeight="1">
      <c r="A554" s="50" t="s">
        <v>848</v>
      </c>
      <c r="B554" s="51">
        <v>45260</v>
      </c>
      <c r="C554" s="123">
        <v>5</v>
      </c>
      <c r="D554" s="124" t="s">
        <v>852</v>
      </c>
      <c r="E554" s="1" t="s">
        <v>414</v>
      </c>
      <c r="F554" s="53">
        <v>45989</v>
      </c>
      <c r="G554" s="53">
        <v>46006</v>
      </c>
      <c r="H554" s="53">
        <v>46009</v>
      </c>
      <c r="I554" s="125">
        <v>2.6499999999999999E-2</v>
      </c>
      <c r="J554" s="47">
        <v>0.13250000000000001</v>
      </c>
      <c r="K554" s="48" t="s">
        <v>5</v>
      </c>
    </row>
    <row r="555" spans="1:11" s="77" customFormat="1" ht="22.5" customHeight="1">
      <c r="A555" s="50" t="s">
        <v>849</v>
      </c>
      <c r="B555" s="51">
        <v>45260</v>
      </c>
      <c r="C555" s="123">
        <v>5</v>
      </c>
      <c r="D555" s="124" t="s">
        <v>853</v>
      </c>
      <c r="E555" s="1" t="s">
        <v>414</v>
      </c>
      <c r="F555" s="53">
        <v>45989</v>
      </c>
      <c r="G555" s="53">
        <v>46006</v>
      </c>
      <c r="H555" s="53">
        <v>46009</v>
      </c>
      <c r="I555" s="125">
        <v>3.1E-2</v>
      </c>
      <c r="J555" s="47">
        <v>0.155</v>
      </c>
      <c r="K555" s="48" t="s">
        <v>5</v>
      </c>
    </row>
    <row r="556" spans="1:11" s="77" customFormat="1">
      <c r="A556" s="39" t="s">
        <v>774</v>
      </c>
      <c r="B556" s="41">
        <v>44915</v>
      </c>
      <c r="C556" s="44">
        <v>100</v>
      </c>
      <c r="D556" s="78" t="s">
        <v>777</v>
      </c>
      <c r="E556" s="9" t="s">
        <v>414</v>
      </c>
      <c r="F556" s="40">
        <v>46013</v>
      </c>
      <c r="G556" s="40">
        <v>46014</v>
      </c>
      <c r="H556" s="40">
        <v>46022</v>
      </c>
      <c r="I556" s="46"/>
      <c r="J556" s="36">
        <v>5.55</v>
      </c>
      <c r="K556" s="42" t="s">
        <v>129</v>
      </c>
    </row>
    <row r="557" spans="1:11" s="77" customFormat="1">
      <c r="A557" s="39" t="s">
        <v>179</v>
      </c>
      <c r="B557" s="41">
        <v>43544</v>
      </c>
      <c r="C557" s="44">
        <v>5</v>
      </c>
      <c r="D557" s="78" t="s">
        <v>970</v>
      </c>
      <c r="E557" s="9" t="s">
        <v>410</v>
      </c>
      <c r="F557" s="40">
        <v>46022</v>
      </c>
      <c r="G557" s="40">
        <v>46024</v>
      </c>
      <c r="H557" s="40">
        <v>46029</v>
      </c>
      <c r="I557" s="46">
        <v>3.5000000000000003E-2</v>
      </c>
      <c r="J557" s="36">
        <v>4.5199999999999997E-2</v>
      </c>
      <c r="K557" s="42" t="s">
        <v>8</v>
      </c>
    </row>
    <row r="558" spans="1:11" s="77" customFormat="1" ht="25.5">
      <c r="A558" s="39" t="s">
        <v>103</v>
      </c>
      <c r="B558" s="41">
        <v>41281</v>
      </c>
      <c r="C558" s="44">
        <v>5</v>
      </c>
      <c r="D558" s="78" t="s">
        <v>573</v>
      </c>
      <c r="E558" s="9" t="s">
        <v>410</v>
      </c>
      <c r="F558" s="40">
        <v>46022</v>
      </c>
      <c r="G558" s="40">
        <v>46024</v>
      </c>
      <c r="H558" s="40">
        <v>46029</v>
      </c>
      <c r="I558" s="46">
        <v>2.2499999999999999E-2</v>
      </c>
      <c r="J558" s="36">
        <v>2.7300000000000001E-2</v>
      </c>
      <c r="K558" s="42" t="s">
        <v>498</v>
      </c>
    </row>
    <row r="559" spans="1:11" s="77" customFormat="1" ht="25.5">
      <c r="A559" s="39" t="s">
        <v>106</v>
      </c>
      <c r="B559" s="41">
        <v>41281</v>
      </c>
      <c r="C559" s="44">
        <v>5</v>
      </c>
      <c r="D559" s="78" t="s">
        <v>574</v>
      </c>
      <c r="E559" s="9" t="s">
        <v>410</v>
      </c>
      <c r="F559" s="40">
        <v>46022</v>
      </c>
      <c r="G559" s="40">
        <v>46024</v>
      </c>
      <c r="H559" s="40">
        <v>46029</v>
      </c>
      <c r="I559" s="46">
        <v>1.7500000000000002E-2</v>
      </c>
      <c r="J559" s="36">
        <v>2.1399999999999999E-2</v>
      </c>
      <c r="K559" s="42" t="s">
        <v>498</v>
      </c>
    </row>
    <row r="560" spans="1:11" s="77" customFormat="1" ht="22.5" customHeight="1">
      <c r="A560" s="197" t="s">
        <v>949</v>
      </c>
      <c r="B560" s="198">
        <v>45646</v>
      </c>
      <c r="C560" s="199">
        <v>5</v>
      </c>
      <c r="D560" s="200" t="s">
        <v>961</v>
      </c>
      <c r="E560" s="201" t="s">
        <v>414</v>
      </c>
      <c r="F560" s="202">
        <v>46022</v>
      </c>
      <c r="G560" s="202">
        <v>46037</v>
      </c>
      <c r="H560" s="202">
        <v>46042</v>
      </c>
      <c r="I560" s="203">
        <v>2.5000000000000001E-2</v>
      </c>
      <c r="J560" s="207">
        <v>0.125</v>
      </c>
      <c r="K560" s="204" t="s">
        <v>5</v>
      </c>
    </row>
    <row r="561" spans="1:11">
      <c r="A561" s="197" t="s">
        <v>950</v>
      </c>
      <c r="B561" s="198">
        <v>45646</v>
      </c>
      <c r="C561" s="199">
        <v>5</v>
      </c>
      <c r="D561" s="200" t="s">
        <v>962</v>
      </c>
      <c r="E561" s="201" t="s">
        <v>414</v>
      </c>
      <c r="F561" s="202">
        <v>46022</v>
      </c>
      <c r="G561" s="202">
        <v>46037</v>
      </c>
      <c r="H561" s="202">
        <v>46042</v>
      </c>
      <c r="I561" s="203">
        <v>2.3E-2</v>
      </c>
      <c r="J561" s="207">
        <v>0.11499999999999999</v>
      </c>
      <c r="K561" s="204" t="s">
        <v>5</v>
      </c>
    </row>
    <row r="562" spans="1:11" s="77" customFormat="1" ht="22.5" customHeight="1">
      <c r="A562" s="197" t="s">
        <v>760</v>
      </c>
      <c r="B562" s="198">
        <v>44915</v>
      </c>
      <c r="C562" s="199">
        <v>5</v>
      </c>
      <c r="D562" s="200" t="s">
        <v>786</v>
      </c>
      <c r="E562" s="201" t="s">
        <v>414</v>
      </c>
      <c r="F562" s="202">
        <v>46022</v>
      </c>
      <c r="G562" s="202">
        <v>46037</v>
      </c>
      <c r="H562" s="202">
        <v>46042</v>
      </c>
      <c r="I562" s="203">
        <v>0.03</v>
      </c>
      <c r="J562" s="207">
        <v>0.15</v>
      </c>
      <c r="K562" s="204" t="s">
        <v>5</v>
      </c>
    </row>
    <row r="563" spans="1:11" s="77" customFormat="1" ht="22.5" customHeight="1">
      <c r="A563" s="197" t="s">
        <v>761</v>
      </c>
      <c r="B563" s="198">
        <v>44915</v>
      </c>
      <c r="C563" s="199">
        <v>5</v>
      </c>
      <c r="D563" s="200" t="s">
        <v>787</v>
      </c>
      <c r="E563" s="201" t="s">
        <v>414</v>
      </c>
      <c r="F563" s="202">
        <v>46022</v>
      </c>
      <c r="G563" s="202">
        <v>46037</v>
      </c>
      <c r="H563" s="202">
        <v>46042</v>
      </c>
      <c r="I563" s="203">
        <v>2.8000000000000001E-2</v>
      </c>
      <c r="J563" s="207">
        <v>0.14000000000000001</v>
      </c>
      <c r="K563" s="204" t="s">
        <v>5</v>
      </c>
    </row>
    <row r="564" spans="1:11" s="77" customFormat="1" ht="22.5" customHeight="1">
      <c r="A564" s="197" t="s">
        <v>850</v>
      </c>
      <c r="B564" s="198">
        <v>45281</v>
      </c>
      <c r="C564" s="199">
        <v>5</v>
      </c>
      <c r="D564" s="200" t="s">
        <v>854</v>
      </c>
      <c r="E564" s="201" t="s">
        <v>414</v>
      </c>
      <c r="F564" s="202">
        <v>46022</v>
      </c>
      <c r="G564" s="202">
        <v>46037</v>
      </c>
      <c r="H564" s="202">
        <v>46042</v>
      </c>
      <c r="I564" s="203">
        <v>2.35E-2</v>
      </c>
      <c r="J564" s="207">
        <v>0.11749999999999999</v>
      </c>
      <c r="K564" s="204" t="s">
        <v>5</v>
      </c>
    </row>
    <row r="565" spans="1:11" s="77" customFormat="1" ht="22.5" customHeight="1">
      <c r="A565" s="197" t="s">
        <v>851</v>
      </c>
      <c r="B565" s="198">
        <v>45281</v>
      </c>
      <c r="C565" s="199">
        <v>5</v>
      </c>
      <c r="D565" s="200" t="s">
        <v>855</v>
      </c>
      <c r="E565" s="201" t="s">
        <v>414</v>
      </c>
      <c r="F565" s="202">
        <v>46022</v>
      </c>
      <c r="G565" s="202">
        <v>46037</v>
      </c>
      <c r="H565" s="202">
        <v>46042</v>
      </c>
      <c r="I565" s="203">
        <v>2.8000000000000001E-2</v>
      </c>
      <c r="J565" s="207">
        <v>0.14000000000000001</v>
      </c>
      <c r="K565" s="204" t="s">
        <v>5</v>
      </c>
    </row>
    <row r="566" spans="1:11" s="77" customFormat="1">
      <c r="A566" s="121" t="s">
        <v>803</v>
      </c>
      <c r="B566" s="105">
        <v>44957</v>
      </c>
      <c r="C566" s="136">
        <v>5</v>
      </c>
      <c r="D566" s="173" t="s">
        <v>805</v>
      </c>
      <c r="E566" s="103" t="s">
        <v>414</v>
      </c>
      <c r="F566" s="104">
        <v>46052</v>
      </c>
      <c r="G566" s="104">
        <v>46069</v>
      </c>
      <c r="H566" s="104">
        <v>46072</v>
      </c>
      <c r="I566" s="137">
        <v>2.5499999999999998E-2</v>
      </c>
      <c r="J566" s="194">
        <v>0.1275</v>
      </c>
      <c r="K566" s="108" t="s">
        <v>5</v>
      </c>
    </row>
    <row r="567" spans="1:11" s="77" customFormat="1">
      <c r="A567" s="121" t="s">
        <v>804</v>
      </c>
      <c r="B567" s="105">
        <v>44957</v>
      </c>
      <c r="C567" s="136">
        <v>5</v>
      </c>
      <c r="D567" s="173" t="s">
        <v>806</v>
      </c>
      <c r="E567" s="103" t="s">
        <v>414</v>
      </c>
      <c r="F567" s="104">
        <v>46052</v>
      </c>
      <c r="G567" s="104">
        <v>46069</v>
      </c>
      <c r="H567" s="104">
        <v>46072</v>
      </c>
      <c r="I567" s="137">
        <v>2.75E-2</v>
      </c>
      <c r="J567" s="194">
        <v>0.13750000000000001</v>
      </c>
      <c r="K567" s="108" t="s">
        <v>5</v>
      </c>
    </row>
    <row r="568" spans="1:11" s="77" customFormat="1">
      <c r="A568" s="121" t="s">
        <v>915</v>
      </c>
      <c r="B568" s="105">
        <v>45322</v>
      </c>
      <c r="C568" s="136">
        <v>5</v>
      </c>
      <c r="D568" s="173" t="s">
        <v>921</v>
      </c>
      <c r="E568" s="103" t="s">
        <v>414</v>
      </c>
      <c r="F568" s="104">
        <v>46052</v>
      </c>
      <c r="G568" s="104">
        <v>46069</v>
      </c>
      <c r="H568" s="104">
        <v>46072</v>
      </c>
      <c r="I568" s="137">
        <v>2.75E-2</v>
      </c>
      <c r="J568" s="194">
        <v>0.13750000000000001</v>
      </c>
      <c r="K568" s="108" t="s">
        <v>5</v>
      </c>
    </row>
    <row r="569" spans="1:11">
      <c r="A569" s="121" t="s">
        <v>916</v>
      </c>
      <c r="B569" s="105">
        <v>45322</v>
      </c>
      <c r="C569" s="136">
        <v>5</v>
      </c>
      <c r="D569" s="173" t="s">
        <v>920</v>
      </c>
      <c r="E569" s="103" t="s">
        <v>414</v>
      </c>
      <c r="F569" s="104">
        <v>46052</v>
      </c>
      <c r="G569" s="104">
        <v>46069</v>
      </c>
      <c r="H569" s="104">
        <v>46072</v>
      </c>
      <c r="I569" s="137">
        <v>2.3E-2</v>
      </c>
      <c r="J569" s="194">
        <v>0.115</v>
      </c>
      <c r="K569" s="108" t="s">
        <v>5</v>
      </c>
    </row>
    <row r="570" spans="1:11">
      <c r="A570" s="121" t="s">
        <v>711</v>
      </c>
      <c r="B570" s="105">
        <v>44407</v>
      </c>
      <c r="C570" s="136">
        <v>5</v>
      </c>
      <c r="D570" s="173" t="s">
        <v>714</v>
      </c>
      <c r="E570" s="103" t="s">
        <v>414</v>
      </c>
      <c r="F570" s="104">
        <v>46066</v>
      </c>
      <c r="G570" s="104">
        <v>46069</v>
      </c>
      <c r="H570" s="104">
        <v>46072</v>
      </c>
      <c r="I570" s="186"/>
      <c r="J570" s="138">
        <v>0.16869999999999999</v>
      </c>
      <c r="K570" s="108"/>
    </row>
    <row r="571" spans="1:11">
      <c r="A571" s="121" t="s">
        <v>712</v>
      </c>
      <c r="B571" s="105">
        <v>44407</v>
      </c>
      <c r="C571" s="136">
        <v>5</v>
      </c>
      <c r="D571" s="173" t="s">
        <v>715</v>
      </c>
      <c r="E571" s="103" t="s">
        <v>414</v>
      </c>
      <c r="F571" s="104">
        <v>46066</v>
      </c>
      <c r="G571" s="104">
        <v>46069</v>
      </c>
      <c r="H571" s="104">
        <v>46072</v>
      </c>
      <c r="I571" s="186"/>
      <c r="J571" s="138">
        <v>0.17069999999999999</v>
      </c>
      <c r="K571" s="108"/>
    </row>
    <row r="572" spans="1:11">
      <c r="A572" s="121" t="s">
        <v>713</v>
      </c>
      <c r="B572" s="105">
        <v>44407</v>
      </c>
      <c r="C572" s="136">
        <v>5</v>
      </c>
      <c r="D572" s="173" t="s">
        <v>716</v>
      </c>
      <c r="E572" s="103" t="s">
        <v>414</v>
      </c>
      <c r="F572" s="104">
        <v>46066</v>
      </c>
      <c r="G572" s="104">
        <v>46069</v>
      </c>
      <c r="H572" s="104">
        <v>46072</v>
      </c>
      <c r="I572" s="137"/>
      <c r="J572" s="138">
        <v>0.15770000000000001</v>
      </c>
      <c r="K572" s="108"/>
    </row>
    <row r="573" spans="1:11">
      <c r="A573" s="121" t="s">
        <v>917</v>
      </c>
      <c r="B573" s="105">
        <v>45411</v>
      </c>
      <c r="C573" s="136">
        <v>5</v>
      </c>
      <c r="D573" s="173" t="s">
        <v>922</v>
      </c>
      <c r="E573" s="103" t="s">
        <v>414</v>
      </c>
      <c r="F573" s="104">
        <v>46080</v>
      </c>
      <c r="G573" s="104">
        <v>46097</v>
      </c>
      <c r="H573" s="104">
        <v>46100</v>
      </c>
      <c r="I573" s="137">
        <v>2.8500000000000001E-2</v>
      </c>
      <c r="J573" s="194">
        <v>0.14249999999999999</v>
      </c>
      <c r="K573" s="108" t="s">
        <v>5</v>
      </c>
    </row>
    <row r="574" spans="1:11">
      <c r="A574" s="121" t="s">
        <v>918</v>
      </c>
      <c r="B574" s="105">
        <v>45411</v>
      </c>
      <c r="C574" s="136">
        <v>5</v>
      </c>
      <c r="D574" s="173" t="s">
        <v>919</v>
      </c>
      <c r="E574" s="103" t="s">
        <v>414</v>
      </c>
      <c r="F574" s="104">
        <v>46080</v>
      </c>
      <c r="G574" s="104">
        <v>46097</v>
      </c>
      <c r="H574" s="104">
        <v>46100</v>
      </c>
      <c r="I574" s="137">
        <v>2.4E-2</v>
      </c>
      <c r="J574" s="194">
        <v>0.12</v>
      </c>
      <c r="K574" s="108" t="s">
        <v>5</v>
      </c>
    </row>
    <row r="575" spans="1:11">
      <c r="A575" s="121" t="s">
        <v>809</v>
      </c>
      <c r="B575" s="105">
        <v>44985</v>
      </c>
      <c r="C575" s="136">
        <v>5</v>
      </c>
      <c r="D575" s="173" t="s">
        <v>807</v>
      </c>
      <c r="E575" s="103" t="s">
        <v>414</v>
      </c>
      <c r="F575" s="104">
        <v>46080</v>
      </c>
      <c r="G575" s="104">
        <v>46097</v>
      </c>
      <c r="H575" s="104">
        <v>46100</v>
      </c>
      <c r="I575" s="137">
        <v>2.7E-2</v>
      </c>
      <c r="J575" s="194">
        <v>0.13500000000000001</v>
      </c>
      <c r="K575" s="108" t="s">
        <v>5</v>
      </c>
    </row>
    <row r="576" spans="1:11">
      <c r="A576" s="121" t="s">
        <v>810</v>
      </c>
      <c r="B576" s="105">
        <v>44985</v>
      </c>
      <c r="C576" s="136">
        <v>5</v>
      </c>
      <c r="D576" s="173" t="s">
        <v>808</v>
      </c>
      <c r="E576" s="103" t="s">
        <v>414</v>
      </c>
      <c r="F576" s="104">
        <v>46080</v>
      </c>
      <c r="G576" s="104">
        <v>46097</v>
      </c>
      <c r="H576" s="104">
        <v>46100</v>
      </c>
      <c r="I576" s="137">
        <v>2.9000000000000001E-2</v>
      </c>
      <c r="J576" s="194">
        <v>0.14500000000000002</v>
      </c>
      <c r="K576" s="108" t="s">
        <v>5</v>
      </c>
    </row>
    <row r="577" spans="1:11">
      <c r="A577" s="121" t="s">
        <v>179</v>
      </c>
      <c r="B577" s="105">
        <v>43544</v>
      </c>
      <c r="C577" s="136">
        <v>5</v>
      </c>
      <c r="D577" s="173" t="s">
        <v>971</v>
      </c>
      <c r="E577" s="103" t="s">
        <v>410</v>
      </c>
      <c r="F577" s="104">
        <v>46112</v>
      </c>
      <c r="G577" s="104">
        <v>46113</v>
      </c>
      <c r="H577" s="104">
        <v>46119</v>
      </c>
      <c r="I577" s="137">
        <v>0.03</v>
      </c>
      <c r="J577" s="138">
        <v>3.9199999999999999E-2</v>
      </c>
      <c r="K577" s="108" t="s">
        <v>8</v>
      </c>
    </row>
    <row r="578" spans="1:11" ht="25.5">
      <c r="A578" s="121" t="s">
        <v>103</v>
      </c>
      <c r="B578" s="105">
        <v>41281</v>
      </c>
      <c r="C578" s="136">
        <v>5</v>
      </c>
      <c r="D578" s="173" t="s">
        <v>573</v>
      </c>
      <c r="E578" s="103" t="s">
        <v>410</v>
      </c>
      <c r="F578" s="104">
        <v>46112</v>
      </c>
      <c r="G578" s="104">
        <v>46113</v>
      </c>
      <c r="H578" s="104">
        <v>46119</v>
      </c>
      <c r="I578" s="137">
        <v>0.03</v>
      </c>
      <c r="J578" s="138">
        <v>3.3500000000000002E-2</v>
      </c>
      <c r="K578" s="108" t="s">
        <v>498</v>
      </c>
    </row>
    <row r="579" spans="1:11" ht="25.5">
      <c r="A579" s="121" t="s">
        <v>106</v>
      </c>
      <c r="B579" s="105">
        <v>41281</v>
      </c>
      <c r="C579" s="136">
        <v>5</v>
      </c>
      <c r="D579" s="173" t="s">
        <v>574</v>
      </c>
      <c r="E579" s="103" t="s">
        <v>410</v>
      </c>
      <c r="F579" s="104">
        <v>46112</v>
      </c>
      <c r="G579" s="104">
        <v>46113</v>
      </c>
      <c r="H579" s="104">
        <v>46119</v>
      </c>
      <c r="I579" s="137">
        <v>0.02</v>
      </c>
      <c r="J579" s="138">
        <v>2.3900000000000001E-2</v>
      </c>
      <c r="K579" s="108" t="s">
        <v>498</v>
      </c>
    </row>
    <row r="580" spans="1:11" s="77" customFormat="1">
      <c r="A580" s="121" t="s">
        <v>923</v>
      </c>
      <c r="B580" s="105">
        <v>45379</v>
      </c>
      <c r="C580" s="136">
        <v>5</v>
      </c>
      <c r="D580" s="173" t="s">
        <v>925</v>
      </c>
      <c r="E580" s="103" t="s">
        <v>414</v>
      </c>
      <c r="F580" s="104">
        <v>46112</v>
      </c>
      <c r="G580" s="104">
        <v>46127</v>
      </c>
      <c r="H580" s="104">
        <v>46132</v>
      </c>
      <c r="I580" s="137">
        <v>2.75E-2</v>
      </c>
      <c r="J580" s="194">
        <v>0.13750000000000001</v>
      </c>
      <c r="K580" s="108" t="s">
        <v>5</v>
      </c>
    </row>
    <row r="581" spans="1:11" s="77" customFormat="1">
      <c r="A581" s="121" t="s">
        <v>924</v>
      </c>
      <c r="B581" s="105">
        <v>45379</v>
      </c>
      <c r="C581" s="136">
        <v>5</v>
      </c>
      <c r="D581" s="173" t="s">
        <v>926</v>
      </c>
      <c r="E581" s="103" t="s">
        <v>414</v>
      </c>
      <c r="F581" s="104">
        <v>46112</v>
      </c>
      <c r="G581" s="104">
        <v>46127</v>
      </c>
      <c r="H581" s="104">
        <v>46132</v>
      </c>
      <c r="I581" s="137">
        <v>2.4E-2</v>
      </c>
      <c r="J581" s="194">
        <v>0.12</v>
      </c>
      <c r="K581" s="108" t="s">
        <v>5</v>
      </c>
    </row>
    <row r="582" spans="1:11" s="77" customFormat="1">
      <c r="A582" s="121" t="s">
        <v>816</v>
      </c>
      <c r="B582" s="105">
        <v>45016</v>
      </c>
      <c r="C582" s="136">
        <v>5</v>
      </c>
      <c r="D582" s="173" t="s">
        <v>818</v>
      </c>
      <c r="E582" s="103" t="s">
        <v>414</v>
      </c>
      <c r="F582" s="104">
        <v>46112</v>
      </c>
      <c r="G582" s="104">
        <v>46127</v>
      </c>
      <c r="H582" s="104">
        <v>46132</v>
      </c>
      <c r="I582" s="137">
        <v>2.75E-2</v>
      </c>
      <c r="J582" s="194">
        <v>0.13750000000000001</v>
      </c>
      <c r="K582" s="108" t="s">
        <v>5</v>
      </c>
    </row>
    <row r="583" spans="1:11" s="77" customFormat="1" ht="22.5" customHeight="1">
      <c r="A583" s="121" t="s">
        <v>817</v>
      </c>
      <c r="B583" s="105">
        <v>45016</v>
      </c>
      <c r="C583" s="136">
        <v>5</v>
      </c>
      <c r="D583" s="173" t="s">
        <v>819</v>
      </c>
      <c r="E583" s="103" t="s">
        <v>414</v>
      </c>
      <c r="F583" s="104">
        <v>46112</v>
      </c>
      <c r="G583" s="104">
        <v>46127</v>
      </c>
      <c r="H583" s="104">
        <v>46132</v>
      </c>
      <c r="I583" s="137">
        <v>2.9499999999999998E-2</v>
      </c>
      <c r="J583" s="194">
        <v>0.14749999999999999</v>
      </c>
      <c r="K583" s="108" t="s">
        <v>5</v>
      </c>
    </row>
    <row r="584" spans="1:11" s="77" customFormat="1">
      <c r="A584" s="121" t="s">
        <v>927</v>
      </c>
      <c r="B584" s="105">
        <v>45412</v>
      </c>
      <c r="C584" s="136">
        <v>5</v>
      </c>
      <c r="D584" s="173" t="s">
        <v>929</v>
      </c>
      <c r="E584" s="103" t="s">
        <v>414</v>
      </c>
      <c r="F584" s="104">
        <v>46142</v>
      </c>
      <c r="G584" s="104">
        <v>46157</v>
      </c>
      <c r="H584" s="104">
        <v>46162</v>
      </c>
      <c r="I584" s="137">
        <v>2.9499999999999998E-2</v>
      </c>
      <c r="J584" s="194">
        <v>0.14749999999999999</v>
      </c>
      <c r="K584" s="108" t="s">
        <v>5</v>
      </c>
    </row>
    <row r="585" spans="1:11">
      <c r="A585" s="121" t="s">
        <v>928</v>
      </c>
      <c r="B585" s="105">
        <v>45412</v>
      </c>
      <c r="C585" s="136">
        <v>5</v>
      </c>
      <c r="D585" s="173" t="s">
        <v>930</v>
      </c>
      <c r="E585" s="103" t="s">
        <v>414</v>
      </c>
      <c r="F585" s="104">
        <v>46142</v>
      </c>
      <c r="G585" s="104">
        <v>46157</v>
      </c>
      <c r="H585" s="104">
        <v>46162</v>
      </c>
      <c r="I585" s="137">
        <v>2.5000000000000001E-2</v>
      </c>
      <c r="J585" s="194">
        <v>0.125</v>
      </c>
      <c r="K585" s="108" t="s">
        <v>5</v>
      </c>
    </row>
    <row r="586" spans="1:11">
      <c r="A586" s="121" t="s">
        <v>820</v>
      </c>
      <c r="B586" s="105">
        <v>45044</v>
      </c>
      <c r="C586" s="136">
        <v>5</v>
      </c>
      <c r="D586" s="173" t="s">
        <v>834</v>
      </c>
      <c r="E586" s="103" t="s">
        <v>414</v>
      </c>
      <c r="F586" s="104">
        <v>46142</v>
      </c>
      <c r="G586" s="104">
        <v>46157</v>
      </c>
      <c r="H586" s="104">
        <v>46162</v>
      </c>
      <c r="I586" s="137">
        <v>2.75E-2</v>
      </c>
      <c r="J586" s="194">
        <v>0.13750000000000001</v>
      </c>
      <c r="K586" s="108" t="s">
        <v>5</v>
      </c>
    </row>
    <row r="587" spans="1:11">
      <c r="A587" s="121" t="s">
        <v>821</v>
      </c>
      <c r="B587" s="105">
        <v>45044</v>
      </c>
      <c r="C587" s="136">
        <v>5</v>
      </c>
      <c r="D587" s="173" t="s">
        <v>835</v>
      </c>
      <c r="E587" s="103" t="s">
        <v>414</v>
      </c>
      <c r="F587" s="104">
        <v>46142</v>
      </c>
      <c r="G587" s="104">
        <v>46157</v>
      </c>
      <c r="H587" s="104">
        <v>46162</v>
      </c>
      <c r="I587" s="137">
        <v>2.9499999999999998E-2</v>
      </c>
      <c r="J587" s="194">
        <v>0.14749999999999999</v>
      </c>
      <c r="K587" s="108" t="s">
        <v>5</v>
      </c>
    </row>
    <row r="588" spans="1:11">
      <c r="A588" s="121" t="s">
        <v>751</v>
      </c>
      <c r="B588" s="105">
        <v>44680</v>
      </c>
      <c r="C588" s="136">
        <v>5</v>
      </c>
      <c r="D588" s="173" t="s">
        <v>764</v>
      </c>
      <c r="E588" s="103" t="s">
        <v>422</v>
      </c>
      <c r="F588" s="104">
        <v>46142</v>
      </c>
      <c r="G588" s="104">
        <v>46157</v>
      </c>
      <c r="H588" s="104">
        <v>46162</v>
      </c>
      <c r="I588" s="137">
        <v>2.5000000000000001E-2</v>
      </c>
      <c r="J588" s="194" t="s">
        <v>1034</v>
      </c>
      <c r="K588" s="108" t="s">
        <v>5</v>
      </c>
    </row>
    <row r="589" spans="1:11">
      <c r="A589" s="121" t="s">
        <v>523</v>
      </c>
      <c r="B589" s="105">
        <v>43875</v>
      </c>
      <c r="C589" s="136">
        <v>100</v>
      </c>
      <c r="D589" s="173" t="s">
        <v>530</v>
      </c>
      <c r="E589" s="103" t="s">
        <v>414</v>
      </c>
      <c r="F589" s="104">
        <v>46171</v>
      </c>
      <c r="G589" s="104">
        <v>46174</v>
      </c>
      <c r="H589" s="104">
        <v>46177</v>
      </c>
      <c r="I589" s="137"/>
      <c r="J589" s="138"/>
      <c r="K589" s="108" t="s">
        <v>129</v>
      </c>
    </row>
    <row r="590" spans="1:11">
      <c r="A590" s="121" t="s">
        <v>822</v>
      </c>
      <c r="B590" s="105">
        <v>45077</v>
      </c>
      <c r="C590" s="136">
        <v>5</v>
      </c>
      <c r="D590" s="173" t="s">
        <v>836</v>
      </c>
      <c r="E590" s="103" t="s">
        <v>414</v>
      </c>
      <c r="F590" s="104">
        <v>46171</v>
      </c>
      <c r="G590" s="104">
        <v>46188</v>
      </c>
      <c r="H590" s="104">
        <v>46191</v>
      </c>
      <c r="I590" s="137">
        <v>2.7E-2</v>
      </c>
      <c r="J590" s="194">
        <v>0.13500000000000001</v>
      </c>
      <c r="K590" s="108" t="s">
        <v>5</v>
      </c>
    </row>
    <row r="591" spans="1:11">
      <c r="A591" s="121" t="s">
        <v>823</v>
      </c>
      <c r="B591" s="105">
        <v>45077</v>
      </c>
      <c r="C591" s="136">
        <v>5</v>
      </c>
      <c r="D591" s="173" t="s">
        <v>837</v>
      </c>
      <c r="E591" s="103" t="s">
        <v>414</v>
      </c>
      <c r="F591" s="104">
        <v>46171</v>
      </c>
      <c r="G591" s="104">
        <v>46188</v>
      </c>
      <c r="H591" s="104">
        <v>46191</v>
      </c>
      <c r="I591" s="137">
        <v>2.9000000000000001E-2</v>
      </c>
      <c r="J591" s="194">
        <v>0.14500000000000002</v>
      </c>
      <c r="K591" s="108" t="s">
        <v>5</v>
      </c>
    </row>
    <row r="592" spans="1:11">
      <c r="A592" s="121" t="s">
        <v>931</v>
      </c>
      <c r="B592" s="105">
        <v>45443</v>
      </c>
      <c r="C592" s="136">
        <v>5</v>
      </c>
      <c r="D592" s="173" t="s">
        <v>933</v>
      </c>
      <c r="E592" s="103" t="s">
        <v>414</v>
      </c>
      <c r="F592" s="104">
        <v>46171</v>
      </c>
      <c r="G592" s="104">
        <v>46188</v>
      </c>
      <c r="H592" s="104">
        <v>46191</v>
      </c>
      <c r="I592" s="137">
        <v>3.1E-2</v>
      </c>
      <c r="J592" s="194">
        <v>0.155</v>
      </c>
      <c r="K592" s="108" t="s">
        <v>5</v>
      </c>
    </row>
    <row r="593" spans="1:11">
      <c r="A593" s="121" t="s">
        <v>932</v>
      </c>
      <c r="B593" s="105">
        <v>45443</v>
      </c>
      <c r="C593" s="136">
        <v>5</v>
      </c>
      <c r="D593" s="173" t="s">
        <v>934</v>
      </c>
      <c r="E593" s="103" t="s">
        <v>414</v>
      </c>
      <c r="F593" s="104">
        <v>46171</v>
      </c>
      <c r="G593" s="104">
        <v>46188</v>
      </c>
      <c r="H593" s="104">
        <v>46191</v>
      </c>
      <c r="I593" s="137">
        <v>2.6499999999999999E-2</v>
      </c>
      <c r="J593" s="194">
        <v>0.13250000000000001</v>
      </c>
      <c r="K593" s="108" t="s">
        <v>5</v>
      </c>
    </row>
    <row r="594" spans="1:11">
      <c r="A594" s="121" t="s">
        <v>179</v>
      </c>
      <c r="B594" s="105">
        <v>43544</v>
      </c>
      <c r="C594" s="136">
        <v>5</v>
      </c>
      <c r="D594" s="173" t="s">
        <v>971</v>
      </c>
      <c r="E594" s="103" t="s">
        <v>410</v>
      </c>
      <c r="F594" s="104">
        <v>46203</v>
      </c>
      <c r="G594" s="104">
        <v>46204</v>
      </c>
      <c r="H594" s="104">
        <v>46209</v>
      </c>
      <c r="I594" s="137">
        <v>0.03</v>
      </c>
      <c r="J594" s="138">
        <v>3.9199999999999999E-2</v>
      </c>
      <c r="K594" s="108" t="s">
        <v>8</v>
      </c>
    </row>
    <row r="595" spans="1:11" ht="25.5">
      <c r="A595" s="121" t="s">
        <v>103</v>
      </c>
      <c r="B595" s="105">
        <v>41281</v>
      </c>
      <c r="C595" s="136">
        <v>5</v>
      </c>
      <c r="D595" s="173" t="s">
        <v>573</v>
      </c>
      <c r="E595" s="103" t="s">
        <v>410</v>
      </c>
      <c r="F595" s="104">
        <v>46203</v>
      </c>
      <c r="G595" s="104">
        <v>46204</v>
      </c>
      <c r="H595" s="104">
        <v>46209</v>
      </c>
      <c r="I595" s="137">
        <v>0.03</v>
      </c>
      <c r="J595" s="138">
        <v>3.3500000000000002E-2</v>
      </c>
      <c r="K595" s="108" t="s">
        <v>498</v>
      </c>
    </row>
    <row r="596" spans="1:11" ht="25.5">
      <c r="A596" s="121" t="s">
        <v>106</v>
      </c>
      <c r="B596" s="105">
        <v>41281</v>
      </c>
      <c r="C596" s="136">
        <v>5</v>
      </c>
      <c r="D596" s="173" t="s">
        <v>574</v>
      </c>
      <c r="E596" s="103" t="s">
        <v>410</v>
      </c>
      <c r="F596" s="104">
        <v>46203</v>
      </c>
      <c r="G596" s="104">
        <v>46204</v>
      </c>
      <c r="H596" s="104">
        <v>46209</v>
      </c>
      <c r="I596" s="137">
        <v>0.02</v>
      </c>
      <c r="J596" s="138">
        <v>2.3900000000000001E-2</v>
      </c>
      <c r="K596" s="108" t="s">
        <v>498</v>
      </c>
    </row>
    <row r="597" spans="1:11">
      <c r="A597" s="121" t="s">
        <v>824</v>
      </c>
      <c r="B597" s="105">
        <v>45107</v>
      </c>
      <c r="C597" s="136">
        <v>5</v>
      </c>
      <c r="D597" s="173" t="s">
        <v>838</v>
      </c>
      <c r="E597" s="103" t="s">
        <v>414</v>
      </c>
      <c r="F597" s="104">
        <v>46203</v>
      </c>
      <c r="G597" s="104">
        <v>46218</v>
      </c>
      <c r="H597" s="104">
        <v>46223</v>
      </c>
      <c r="I597" s="137">
        <v>2.7E-2</v>
      </c>
      <c r="J597" s="194">
        <v>0.13500000000000001</v>
      </c>
      <c r="K597" s="108" t="s">
        <v>5</v>
      </c>
    </row>
    <row r="598" spans="1:11">
      <c r="A598" s="121" t="s">
        <v>825</v>
      </c>
      <c r="B598" s="105">
        <v>45107</v>
      </c>
      <c r="C598" s="136">
        <v>5</v>
      </c>
      <c r="D598" s="173" t="s">
        <v>839</v>
      </c>
      <c r="E598" s="103" t="s">
        <v>414</v>
      </c>
      <c r="F598" s="104">
        <v>46203</v>
      </c>
      <c r="G598" s="104">
        <v>46218</v>
      </c>
      <c r="H598" s="104">
        <v>46223</v>
      </c>
      <c r="I598" s="137">
        <v>2.9000000000000001E-2</v>
      </c>
      <c r="J598" s="194">
        <v>0.14500000000000002</v>
      </c>
      <c r="K598" s="108" t="s">
        <v>5</v>
      </c>
    </row>
    <row r="599" spans="1:11">
      <c r="A599" s="121" t="s">
        <v>752</v>
      </c>
      <c r="B599" s="105">
        <v>44742</v>
      </c>
      <c r="C599" s="136">
        <v>5</v>
      </c>
      <c r="D599" s="173" t="s">
        <v>766</v>
      </c>
      <c r="E599" s="103" t="s">
        <v>422</v>
      </c>
      <c r="F599" s="104">
        <v>46203</v>
      </c>
      <c r="G599" s="104">
        <v>46218</v>
      </c>
      <c r="H599" s="104">
        <v>46223</v>
      </c>
      <c r="I599" s="137">
        <v>0.03</v>
      </c>
      <c r="J599" s="194" t="s">
        <v>1035</v>
      </c>
      <c r="K599" s="108" t="s">
        <v>5</v>
      </c>
    </row>
    <row r="600" spans="1:11">
      <c r="A600" s="121" t="s">
        <v>753</v>
      </c>
      <c r="B600" s="105">
        <v>44742</v>
      </c>
      <c r="C600" s="136">
        <v>5</v>
      </c>
      <c r="D600" s="173" t="s">
        <v>767</v>
      </c>
      <c r="E600" s="103" t="s">
        <v>414</v>
      </c>
      <c r="F600" s="104">
        <v>46203</v>
      </c>
      <c r="G600" s="104">
        <v>46218</v>
      </c>
      <c r="H600" s="104">
        <v>46223</v>
      </c>
      <c r="I600" s="137">
        <v>1.7000000000000001E-2</v>
      </c>
      <c r="J600" s="194">
        <v>8.5000000000000006E-2</v>
      </c>
      <c r="K600" s="108" t="s">
        <v>5</v>
      </c>
    </row>
    <row r="601" spans="1:11">
      <c r="A601" s="121" t="s">
        <v>937</v>
      </c>
      <c r="B601" s="105">
        <v>45471</v>
      </c>
      <c r="C601" s="136">
        <v>5</v>
      </c>
      <c r="D601" s="173" t="s">
        <v>935</v>
      </c>
      <c r="E601" s="103" t="s">
        <v>414</v>
      </c>
      <c r="F601" s="104">
        <v>46203</v>
      </c>
      <c r="G601" s="104">
        <v>46218</v>
      </c>
      <c r="H601" s="104">
        <v>46223</v>
      </c>
      <c r="I601" s="137">
        <v>2.9000000000000001E-2</v>
      </c>
      <c r="J601" s="194">
        <v>0.14500000000000002</v>
      </c>
      <c r="K601" s="108" t="s">
        <v>5</v>
      </c>
    </row>
    <row r="602" spans="1:11">
      <c r="A602" s="121" t="s">
        <v>938</v>
      </c>
      <c r="B602" s="105">
        <v>45471</v>
      </c>
      <c r="C602" s="136">
        <v>5</v>
      </c>
      <c r="D602" s="173" t="s">
        <v>936</v>
      </c>
      <c r="E602" s="103" t="s">
        <v>414</v>
      </c>
      <c r="F602" s="104">
        <v>46203</v>
      </c>
      <c r="G602" s="104">
        <v>46218</v>
      </c>
      <c r="H602" s="104">
        <v>46223</v>
      </c>
      <c r="I602" s="137">
        <v>2.7E-2</v>
      </c>
      <c r="J602" s="194">
        <v>0.13500000000000001</v>
      </c>
      <c r="K602" s="108" t="s">
        <v>5</v>
      </c>
    </row>
    <row r="603" spans="1:11">
      <c r="A603" s="121" t="s">
        <v>762</v>
      </c>
      <c r="B603" s="105">
        <v>44771</v>
      </c>
      <c r="C603" s="136">
        <v>5</v>
      </c>
      <c r="D603" s="173" t="s">
        <v>770</v>
      </c>
      <c r="E603" s="103" t="s">
        <v>414</v>
      </c>
      <c r="F603" s="104">
        <v>46234</v>
      </c>
      <c r="G603" s="104">
        <v>46251</v>
      </c>
      <c r="H603" s="104">
        <v>46254</v>
      </c>
      <c r="I603" s="137">
        <v>2.8500000000000001E-2</v>
      </c>
      <c r="J603" s="194">
        <v>0.14249999999999999</v>
      </c>
      <c r="K603" s="108" t="s">
        <v>5</v>
      </c>
    </row>
    <row r="604" spans="1:11">
      <c r="A604" s="121" t="s">
        <v>763</v>
      </c>
      <c r="B604" s="105">
        <v>44771</v>
      </c>
      <c r="C604" s="136">
        <v>5</v>
      </c>
      <c r="D604" s="173" t="s">
        <v>771</v>
      </c>
      <c r="E604" s="103" t="s">
        <v>414</v>
      </c>
      <c r="F604" s="104">
        <v>46234</v>
      </c>
      <c r="G604" s="104">
        <v>46251</v>
      </c>
      <c r="H604" s="104">
        <v>46254</v>
      </c>
      <c r="I604" s="137">
        <v>2.6499999999999999E-2</v>
      </c>
      <c r="J604" s="194">
        <v>0.13250000000000001</v>
      </c>
      <c r="K604" s="108" t="s">
        <v>5</v>
      </c>
    </row>
    <row r="605" spans="1:11">
      <c r="A605" s="121" t="s">
        <v>939</v>
      </c>
      <c r="B605" s="105">
        <v>45504</v>
      </c>
      <c r="C605" s="136">
        <v>5</v>
      </c>
      <c r="D605" s="173" t="s">
        <v>952</v>
      </c>
      <c r="E605" s="103" t="s">
        <v>414</v>
      </c>
      <c r="F605" s="104">
        <v>46234</v>
      </c>
      <c r="G605" s="104">
        <v>46251</v>
      </c>
      <c r="H605" s="104">
        <v>46254</v>
      </c>
      <c r="I605" s="137">
        <v>2.5999999999999999E-2</v>
      </c>
      <c r="J605" s="194">
        <v>0.13</v>
      </c>
      <c r="K605" s="108" t="s">
        <v>5</v>
      </c>
    </row>
    <row r="606" spans="1:11">
      <c r="A606" s="121" t="s">
        <v>940</v>
      </c>
      <c r="B606" s="105">
        <v>45504</v>
      </c>
      <c r="C606" s="136">
        <v>5</v>
      </c>
      <c r="D606" s="173" t="s">
        <v>951</v>
      </c>
      <c r="E606" s="103" t="s">
        <v>414</v>
      </c>
      <c r="F606" s="104">
        <v>46234</v>
      </c>
      <c r="G606" s="104">
        <v>46251</v>
      </c>
      <c r="H606" s="104">
        <v>46254</v>
      </c>
      <c r="I606" s="137">
        <v>2.4E-2</v>
      </c>
      <c r="J606" s="194">
        <v>0.12</v>
      </c>
      <c r="K606" s="108" t="s">
        <v>5</v>
      </c>
    </row>
    <row r="607" spans="1:11">
      <c r="A607" s="121" t="s">
        <v>826</v>
      </c>
      <c r="B607" s="105">
        <v>45138</v>
      </c>
      <c r="C607" s="136">
        <v>5</v>
      </c>
      <c r="D607" s="173" t="s">
        <v>840</v>
      </c>
      <c r="E607" s="103" t="s">
        <v>414</v>
      </c>
      <c r="F607" s="104">
        <v>46234</v>
      </c>
      <c r="G607" s="104">
        <v>46251</v>
      </c>
      <c r="H607" s="104">
        <v>46254</v>
      </c>
      <c r="I607" s="137">
        <v>2.5999999999999999E-2</v>
      </c>
      <c r="J607" s="194">
        <v>0.13</v>
      </c>
      <c r="K607" s="108" t="s">
        <v>5</v>
      </c>
    </row>
    <row r="608" spans="1:11">
      <c r="A608" s="121" t="s">
        <v>827</v>
      </c>
      <c r="B608" s="105">
        <v>45138</v>
      </c>
      <c r="C608" s="136">
        <v>5</v>
      </c>
      <c r="D608" s="173" t="s">
        <v>841</v>
      </c>
      <c r="E608" s="103" t="s">
        <v>414</v>
      </c>
      <c r="F608" s="104">
        <v>46234</v>
      </c>
      <c r="G608" s="104">
        <v>46251</v>
      </c>
      <c r="H608" s="104">
        <v>46254</v>
      </c>
      <c r="I608" s="137">
        <v>3.0499999999999999E-2</v>
      </c>
      <c r="J608" s="194">
        <v>0.1525</v>
      </c>
      <c r="K608" s="108" t="s">
        <v>5</v>
      </c>
    </row>
    <row r="609" spans="1:11">
      <c r="A609" s="121" t="s">
        <v>941</v>
      </c>
      <c r="B609" s="105">
        <v>45534</v>
      </c>
      <c r="C609" s="136">
        <v>5</v>
      </c>
      <c r="D609" s="173" t="s">
        <v>953</v>
      </c>
      <c r="E609" s="103" t="s">
        <v>414</v>
      </c>
      <c r="F609" s="104">
        <v>46265</v>
      </c>
      <c r="G609" s="104">
        <v>46280</v>
      </c>
      <c r="H609" s="104">
        <v>46283</v>
      </c>
      <c r="I609" s="137">
        <v>2.4500000000000001E-2</v>
      </c>
      <c r="J609" s="194">
        <v>0.1225</v>
      </c>
      <c r="K609" s="108" t="s">
        <v>5</v>
      </c>
    </row>
    <row r="610" spans="1:11">
      <c r="A610" s="121" t="s">
        <v>942</v>
      </c>
      <c r="B610" s="105">
        <v>45534</v>
      </c>
      <c r="C610" s="136">
        <v>5</v>
      </c>
      <c r="D610" s="173" t="s">
        <v>954</v>
      </c>
      <c r="E610" s="103" t="s">
        <v>414</v>
      </c>
      <c r="F610" s="104">
        <v>46265</v>
      </c>
      <c r="G610" s="104">
        <v>46280</v>
      </c>
      <c r="H610" s="104">
        <v>46283</v>
      </c>
      <c r="I610" s="137">
        <v>2.2499999999999999E-2</v>
      </c>
      <c r="J610" s="194">
        <v>0.11249999999999999</v>
      </c>
      <c r="K610" s="108" t="s">
        <v>5</v>
      </c>
    </row>
    <row r="611" spans="1:11">
      <c r="A611" s="121" t="s">
        <v>179</v>
      </c>
      <c r="B611" s="105">
        <v>43544</v>
      </c>
      <c r="C611" s="136">
        <v>5</v>
      </c>
      <c r="D611" s="173" t="s">
        <v>971</v>
      </c>
      <c r="E611" s="103" t="s">
        <v>410</v>
      </c>
      <c r="F611" s="104">
        <v>46295</v>
      </c>
      <c r="G611" s="104">
        <v>46296</v>
      </c>
      <c r="H611" s="104">
        <v>46301</v>
      </c>
      <c r="I611" s="137">
        <v>0.03</v>
      </c>
      <c r="J611" s="138">
        <v>3.9199999999999999E-2</v>
      </c>
      <c r="K611" s="108" t="s">
        <v>8</v>
      </c>
    </row>
    <row r="612" spans="1:11" ht="25.5">
      <c r="A612" s="121" t="s">
        <v>103</v>
      </c>
      <c r="B612" s="105">
        <v>41281</v>
      </c>
      <c r="C612" s="136">
        <v>5</v>
      </c>
      <c r="D612" s="173" t="s">
        <v>573</v>
      </c>
      <c r="E612" s="103" t="s">
        <v>410</v>
      </c>
      <c r="F612" s="104">
        <v>46295</v>
      </c>
      <c r="G612" s="104">
        <v>46296</v>
      </c>
      <c r="H612" s="104">
        <v>46301</v>
      </c>
      <c r="I612" s="137">
        <v>0.03</v>
      </c>
      <c r="J612" s="138">
        <v>3.3500000000000002E-2</v>
      </c>
      <c r="K612" s="108" t="s">
        <v>498</v>
      </c>
    </row>
    <row r="613" spans="1:11" ht="25.5">
      <c r="A613" s="121" t="s">
        <v>106</v>
      </c>
      <c r="B613" s="105">
        <v>41281</v>
      </c>
      <c r="C613" s="136">
        <v>5</v>
      </c>
      <c r="D613" s="173" t="s">
        <v>574</v>
      </c>
      <c r="E613" s="103" t="s">
        <v>410</v>
      </c>
      <c r="F613" s="104">
        <v>46295</v>
      </c>
      <c r="G613" s="104">
        <v>46296</v>
      </c>
      <c r="H613" s="104">
        <v>46301</v>
      </c>
      <c r="I613" s="137">
        <v>0.02</v>
      </c>
      <c r="J613" s="138">
        <v>2.3900000000000001E-2</v>
      </c>
      <c r="K613" s="108" t="s">
        <v>498</v>
      </c>
    </row>
    <row r="614" spans="1:11">
      <c r="A614" s="121" t="s">
        <v>772</v>
      </c>
      <c r="B614" s="105">
        <v>44834</v>
      </c>
      <c r="C614" s="136">
        <v>100</v>
      </c>
      <c r="D614" s="173" t="s">
        <v>775</v>
      </c>
      <c r="E614" s="103" t="s">
        <v>414</v>
      </c>
      <c r="F614" s="104">
        <v>46295</v>
      </c>
      <c r="G614" s="104">
        <v>46296</v>
      </c>
      <c r="H614" s="104">
        <v>46301</v>
      </c>
      <c r="I614" s="137"/>
      <c r="J614" s="138"/>
      <c r="K614" s="108" t="s">
        <v>129</v>
      </c>
    </row>
    <row r="615" spans="1:11">
      <c r="A615" s="121" t="s">
        <v>943</v>
      </c>
      <c r="B615" s="105">
        <v>45565</v>
      </c>
      <c r="C615" s="136">
        <v>5</v>
      </c>
      <c r="D615" s="173" t="s">
        <v>955</v>
      </c>
      <c r="E615" s="103" t="s">
        <v>414</v>
      </c>
      <c r="F615" s="104">
        <v>46295</v>
      </c>
      <c r="G615" s="104">
        <v>46310</v>
      </c>
      <c r="H615" s="104">
        <v>46315</v>
      </c>
      <c r="I615" s="137">
        <v>2.1999999999999999E-2</v>
      </c>
      <c r="J615" s="194">
        <v>0.10999999999999999</v>
      </c>
      <c r="K615" s="108" t="s">
        <v>5</v>
      </c>
    </row>
    <row r="616" spans="1:11">
      <c r="A616" s="121" t="s">
        <v>944</v>
      </c>
      <c r="B616" s="105">
        <v>45565</v>
      </c>
      <c r="C616" s="136">
        <v>5</v>
      </c>
      <c r="D616" s="173" t="s">
        <v>956</v>
      </c>
      <c r="E616" s="103" t="s">
        <v>414</v>
      </c>
      <c r="F616" s="104">
        <v>46295</v>
      </c>
      <c r="G616" s="104">
        <v>46310</v>
      </c>
      <c r="H616" s="104">
        <v>46315</v>
      </c>
      <c r="I616" s="137">
        <v>0.02</v>
      </c>
      <c r="J616" s="194">
        <v>0.1</v>
      </c>
      <c r="K616" s="108" t="s">
        <v>5</v>
      </c>
    </row>
    <row r="617" spans="1:11">
      <c r="A617" s="121" t="s">
        <v>830</v>
      </c>
      <c r="B617" s="105">
        <v>45198</v>
      </c>
      <c r="C617" s="136">
        <v>5</v>
      </c>
      <c r="D617" s="173" t="s">
        <v>842</v>
      </c>
      <c r="E617" s="103" t="s">
        <v>414</v>
      </c>
      <c r="F617" s="104">
        <v>46295</v>
      </c>
      <c r="G617" s="104">
        <v>46310</v>
      </c>
      <c r="H617" s="104">
        <v>46315</v>
      </c>
      <c r="I617" s="137">
        <v>3.1E-2</v>
      </c>
      <c r="J617" s="194">
        <v>0.155</v>
      </c>
      <c r="K617" s="108" t="s">
        <v>585</v>
      </c>
    </row>
    <row r="618" spans="1:11">
      <c r="A618" s="121" t="s">
        <v>831</v>
      </c>
      <c r="B618" s="105">
        <v>45198</v>
      </c>
      <c r="C618" s="136">
        <v>5</v>
      </c>
      <c r="D618" s="173" t="s">
        <v>843</v>
      </c>
      <c r="E618" s="103" t="s">
        <v>414</v>
      </c>
      <c r="F618" s="104">
        <v>46295</v>
      </c>
      <c r="G618" s="104">
        <v>46310</v>
      </c>
      <c r="H618" s="104">
        <v>46315</v>
      </c>
      <c r="I618" s="137">
        <v>3.5499999999999997E-2</v>
      </c>
      <c r="J618" s="194">
        <v>0.17749999999999999</v>
      </c>
      <c r="K618" s="108" t="s">
        <v>585</v>
      </c>
    </row>
    <row r="619" spans="1:11">
      <c r="A619" s="121" t="s">
        <v>756</v>
      </c>
      <c r="B619" s="105">
        <v>44834</v>
      </c>
      <c r="C619" s="136">
        <v>5</v>
      </c>
      <c r="D619" s="173" t="s">
        <v>782</v>
      </c>
      <c r="E619" s="103" t="s">
        <v>414</v>
      </c>
      <c r="F619" s="104">
        <v>46295</v>
      </c>
      <c r="G619" s="104">
        <v>46310</v>
      </c>
      <c r="H619" s="104">
        <v>46315</v>
      </c>
      <c r="I619" s="137">
        <v>3.4000000000000002E-2</v>
      </c>
      <c r="J619" s="194">
        <v>0.17</v>
      </c>
      <c r="K619" s="108" t="s">
        <v>5</v>
      </c>
    </row>
    <row r="620" spans="1:11">
      <c r="A620" s="121" t="s">
        <v>757</v>
      </c>
      <c r="B620" s="105">
        <v>44834</v>
      </c>
      <c r="C620" s="136">
        <v>5</v>
      </c>
      <c r="D620" s="173" t="s">
        <v>783</v>
      </c>
      <c r="E620" s="103" t="s">
        <v>414</v>
      </c>
      <c r="F620" s="104">
        <v>46295</v>
      </c>
      <c r="G620" s="104">
        <v>46310</v>
      </c>
      <c r="H620" s="104">
        <v>46315</v>
      </c>
      <c r="I620" s="137">
        <v>3.2000000000000001E-2</v>
      </c>
      <c r="J620" s="194">
        <v>0.16</v>
      </c>
      <c r="K620" s="108" t="s">
        <v>5</v>
      </c>
    </row>
    <row r="621" spans="1:11">
      <c r="A621" s="121" t="s">
        <v>754</v>
      </c>
      <c r="B621" s="105">
        <v>44834</v>
      </c>
      <c r="C621" s="136">
        <v>5</v>
      </c>
      <c r="D621" s="173" t="s">
        <v>778</v>
      </c>
      <c r="E621" s="103" t="s">
        <v>422</v>
      </c>
      <c r="F621" s="104">
        <v>46295</v>
      </c>
      <c r="G621" s="104">
        <v>46310</v>
      </c>
      <c r="H621" s="104">
        <v>46315</v>
      </c>
      <c r="I621" s="137">
        <v>4.7E-2</v>
      </c>
      <c r="J621" s="194" t="s">
        <v>1036</v>
      </c>
      <c r="K621" s="108" t="s">
        <v>5</v>
      </c>
    </row>
    <row r="622" spans="1:11">
      <c r="A622" s="121" t="s">
        <v>755</v>
      </c>
      <c r="B622" s="105">
        <v>44834</v>
      </c>
      <c r="C622" s="136">
        <v>5</v>
      </c>
      <c r="D622" s="173" t="s">
        <v>779</v>
      </c>
      <c r="E622" s="103" t="s">
        <v>422</v>
      </c>
      <c r="F622" s="104">
        <v>46295</v>
      </c>
      <c r="G622" s="104">
        <v>46310</v>
      </c>
      <c r="H622" s="104">
        <v>46315</v>
      </c>
      <c r="I622" s="137">
        <v>4.4999999999999998E-2</v>
      </c>
      <c r="J622" s="194" t="s">
        <v>1037</v>
      </c>
      <c r="K622" s="108" t="s">
        <v>5</v>
      </c>
    </row>
    <row r="623" spans="1:11">
      <c r="A623" s="121" t="s">
        <v>945</v>
      </c>
      <c r="B623" s="105">
        <v>45596</v>
      </c>
      <c r="C623" s="136">
        <v>5</v>
      </c>
      <c r="D623" s="173" t="s">
        <v>957</v>
      </c>
      <c r="E623" s="103" t="s">
        <v>414</v>
      </c>
      <c r="F623" s="104">
        <v>46325</v>
      </c>
      <c r="G623" s="104">
        <v>46342</v>
      </c>
      <c r="H623" s="104">
        <v>46345</v>
      </c>
      <c r="I623" s="137">
        <v>2.4500000000000001E-2</v>
      </c>
      <c r="J623" s="194">
        <v>0.1225</v>
      </c>
      <c r="K623" s="108" t="s">
        <v>5</v>
      </c>
    </row>
    <row r="624" spans="1:11">
      <c r="A624" s="121" t="s">
        <v>946</v>
      </c>
      <c r="B624" s="105">
        <v>45596</v>
      </c>
      <c r="C624" s="136">
        <v>5</v>
      </c>
      <c r="D624" s="173" t="s">
        <v>958</v>
      </c>
      <c r="E624" s="103" t="s">
        <v>414</v>
      </c>
      <c r="F624" s="104">
        <v>46325</v>
      </c>
      <c r="G624" s="104">
        <v>46342</v>
      </c>
      <c r="H624" s="104">
        <v>46345</v>
      </c>
      <c r="I624" s="137">
        <v>2.2499999999999999E-2</v>
      </c>
      <c r="J624" s="194">
        <v>0.11249999999999999</v>
      </c>
      <c r="K624" s="108" t="s">
        <v>5</v>
      </c>
    </row>
    <row r="625" spans="1:11">
      <c r="A625" s="121" t="s">
        <v>758</v>
      </c>
      <c r="B625" s="105">
        <v>44865</v>
      </c>
      <c r="C625" s="136">
        <v>5</v>
      </c>
      <c r="D625" s="173" t="s">
        <v>784</v>
      </c>
      <c r="E625" s="103" t="s">
        <v>414</v>
      </c>
      <c r="F625" s="104">
        <v>46325</v>
      </c>
      <c r="G625" s="104">
        <v>46342</v>
      </c>
      <c r="H625" s="104">
        <v>46345</v>
      </c>
      <c r="I625" s="137">
        <v>3.3500000000000002E-2</v>
      </c>
      <c r="J625" s="194">
        <v>0.16750000000000001</v>
      </c>
      <c r="K625" s="108" t="s">
        <v>5</v>
      </c>
    </row>
    <row r="626" spans="1:11">
      <c r="A626" s="121" t="s">
        <v>759</v>
      </c>
      <c r="B626" s="105">
        <v>44865</v>
      </c>
      <c r="C626" s="136">
        <v>5</v>
      </c>
      <c r="D626" s="173" t="s">
        <v>785</v>
      </c>
      <c r="E626" s="103" t="s">
        <v>414</v>
      </c>
      <c r="F626" s="104">
        <v>46325</v>
      </c>
      <c r="G626" s="104">
        <v>46342</v>
      </c>
      <c r="H626" s="104">
        <v>46345</v>
      </c>
      <c r="I626" s="137">
        <v>3.15E-2</v>
      </c>
      <c r="J626" s="194">
        <v>0.1575</v>
      </c>
      <c r="K626" s="108" t="s">
        <v>5</v>
      </c>
    </row>
    <row r="627" spans="1:11">
      <c r="A627" s="121" t="s">
        <v>833</v>
      </c>
      <c r="B627" s="105">
        <v>45230</v>
      </c>
      <c r="C627" s="136">
        <v>5</v>
      </c>
      <c r="D627" s="173" t="s">
        <v>845</v>
      </c>
      <c r="E627" s="103" t="s">
        <v>414</v>
      </c>
      <c r="F627" s="104">
        <v>46325</v>
      </c>
      <c r="G627" s="104">
        <v>46342</v>
      </c>
      <c r="H627" s="104">
        <v>46345</v>
      </c>
      <c r="I627" s="137">
        <v>3.5499999999999997E-2</v>
      </c>
      <c r="J627" s="194">
        <v>0.17749999999999999</v>
      </c>
      <c r="K627" s="108" t="s">
        <v>585</v>
      </c>
    </row>
    <row r="628" spans="1:11">
      <c r="A628" s="121" t="s">
        <v>832</v>
      </c>
      <c r="B628" s="105">
        <v>45230</v>
      </c>
      <c r="C628" s="136">
        <v>5</v>
      </c>
      <c r="D628" s="173" t="s">
        <v>844</v>
      </c>
      <c r="E628" s="103" t="s">
        <v>414</v>
      </c>
      <c r="F628" s="104">
        <v>46325</v>
      </c>
      <c r="G628" s="104">
        <v>46342</v>
      </c>
      <c r="H628" s="104">
        <v>46345</v>
      </c>
      <c r="I628" s="137">
        <v>3.1E-2</v>
      </c>
      <c r="J628" s="194">
        <v>0.155</v>
      </c>
      <c r="K628" s="108" t="s">
        <v>585</v>
      </c>
    </row>
    <row r="629" spans="1:11">
      <c r="A629" s="121" t="s">
        <v>773</v>
      </c>
      <c r="B629" s="105">
        <v>44865</v>
      </c>
      <c r="C629" s="136">
        <v>100</v>
      </c>
      <c r="D629" s="173" t="s">
        <v>776</v>
      </c>
      <c r="E629" s="103" t="s">
        <v>414</v>
      </c>
      <c r="F629" s="104">
        <v>46328</v>
      </c>
      <c r="G629" s="104">
        <v>46329</v>
      </c>
      <c r="H629" s="104">
        <v>46332</v>
      </c>
      <c r="I629" s="137"/>
      <c r="J629" s="138"/>
      <c r="K629" s="108" t="s">
        <v>129</v>
      </c>
    </row>
    <row r="630" spans="1:11">
      <c r="A630" s="121" t="s">
        <v>947</v>
      </c>
      <c r="B630" s="105">
        <v>45625</v>
      </c>
      <c r="C630" s="136">
        <v>5</v>
      </c>
      <c r="D630" s="173" t="s">
        <v>959</v>
      </c>
      <c r="E630" s="103" t="s">
        <v>414</v>
      </c>
      <c r="F630" s="104">
        <v>46356</v>
      </c>
      <c r="G630" s="104">
        <v>46371</v>
      </c>
      <c r="H630" s="104">
        <v>46374</v>
      </c>
      <c r="I630" s="137">
        <v>2.1999999999999999E-2</v>
      </c>
      <c r="J630" s="194">
        <v>0.11</v>
      </c>
      <c r="K630" s="108" t="s">
        <v>5</v>
      </c>
    </row>
    <row r="631" spans="1:11">
      <c r="A631" s="121" t="s">
        <v>948</v>
      </c>
      <c r="B631" s="105">
        <v>45625</v>
      </c>
      <c r="C631" s="136">
        <v>5</v>
      </c>
      <c r="D631" s="173" t="s">
        <v>960</v>
      </c>
      <c r="E631" s="103" t="s">
        <v>414</v>
      </c>
      <c r="F631" s="104">
        <v>46356</v>
      </c>
      <c r="G631" s="104">
        <v>46371</v>
      </c>
      <c r="H631" s="104">
        <v>46374</v>
      </c>
      <c r="I631" s="137">
        <v>0.02</v>
      </c>
      <c r="J631" s="194">
        <v>0.1</v>
      </c>
      <c r="K631" s="108" t="s">
        <v>5</v>
      </c>
    </row>
    <row r="632" spans="1:11">
      <c r="A632" s="121" t="s">
        <v>848</v>
      </c>
      <c r="B632" s="105">
        <v>45260</v>
      </c>
      <c r="C632" s="136">
        <v>5</v>
      </c>
      <c r="D632" s="173" t="s">
        <v>852</v>
      </c>
      <c r="E632" s="103" t="s">
        <v>414</v>
      </c>
      <c r="F632" s="104">
        <v>46356</v>
      </c>
      <c r="G632" s="104">
        <v>46371</v>
      </c>
      <c r="H632" s="104">
        <v>46374</v>
      </c>
      <c r="I632" s="137">
        <v>2.6499999999999999E-2</v>
      </c>
      <c r="J632" s="194">
        <v>0.13250000000000001</v>
      </c>
      <c r="K632" s="108" t="s">
        <v>5</v>
      </c>
    </row>
    <row r="633" spans="1:11">
      <c r="A633" s="121" t="s">
        <v>849</v>
      </c>
      <c r="B633" s="105">
        <v>45260</v>
      </c>
      <c r="C633" s="136">
        <v>5</v>
      </c>
      <c r="D633" s="173" t="s">
        <v>853</v>
      </c>
      <c r="E633" s="103" t="s">
        <v>414</v>
      </c>
      <c r="F633" s="104">
        <v>46356</v>
      </c>
      <c r="G633" s="104">
        <v>46371</v>
      </c>
      <c r="H633" s="104">
        <v>46374</v>
      </c>
      <c r="I633" s="137">
        <v>3.1E-2</v>
      </c>
      <c r="J633" s="194">
        <v>0.155</v>
      </c>
      <c r="K633" s="108" t="s">
        <v>5</v>
      </c>
    </row>
    <row r="634" spans="1:11">
      <c r="A634" s="121" t="s">
        <v>774</v>
      </c>
      <c r="B634" s="105">
        <v>44915</v>
      </c>
      <c r="C634" s="136">
        <v>100</v>
      </c>
      <c r="D634" s="173" t="s">
        <v>777</v>
      </c>
      <c r="E634" s="103" t="s">
        <v>414</v>
      </c>
      <c r="F634" s="104">
        <v>46377</v>
      </c>
      <c r="G634" s="104">
        <v>46378</v>
      </c>
      <c r="H634" s="104">
        <v>46385</v>
      </c>
      <c r="I634" s="137"/>
      <c r="J634" s="138"/>
      <c r="K634" s="108" t="s">
        <v>129</v>
      </c>
    </row>
    <row r="635" spans="1:11">
      <c r="A635" s="121" t="s">
        <v>179</v>
      </c>
      <c r="B635" s="105">
        <v>43544</v>
      </c>
      <c r="C635" s="136">
        <v>5</v>
      </c>
      <c r="D635" s="173" t="s">
        <v>971</v>
      </c>
      <c r="E635" s="103" t="s">
        <v>410</v>
      </c>
      <c r="F635" s="104">
        <v>46387</v>
      </c>
      <c r="G635" s="104">
        <v>46391</v>
      </c>
      <c r="H635" s="104">
        <v>46394</v>
      </c>
      <c r="I635" s="137">
        <v>0.03</v>
      </c>
      <c r="J635" s="138">
        <v>3.9199999999999999E-2</v>
      </c>
      <c r="K635" s="108" t="s">
        <v>8</v>
      </c>
    </row>
    <row r="636" spans="1:11" ht="25.5">
      <c r="A636" s="121" t="s">
        <v>103</v>
      </c>
      <c r="B636" s="105">
        <v>41281</v>
      </c>
      <c r="C636" s="136">
        <v>5</v>
      </c>
      <c r="D636" s="173" t="s">
        <v>573</v>
      </c>
      <c r="E636" s="103" t="s">
        <v>410</v>
      </c>
      <c r="F636" s="104">
        <v>46387</v>
      </c>
      <c r="G636" s="104">
        <v>46391</v>
      </c>
      <c r="H636" s="104">
        <v>46394</v>
      </c>
      <c r="I636" s="137">
        <v>0.03</v>
      </c>
      <c r="J636" s="138">
        <v>3.3500000000000002E-2</v>
      </c>
      <c r="K636" s="108" t="s">
        <v>498</v>
      </c>
    </row>
    <row r="637" spans="1:11" ht="25.5">
      <c r="A637" s="121" t="s">
        <v>106</v>
      </c>
      <c r="B637" s="105">
        <v>41281</v>
      </c>
      <c r="C637" s="136">
        <v>5</v>
      </c>
      <c r="D637" s="173" t="s">
        <v>574</v>
      </c>
      <c r="E637" s="103" t="s">
        <v>410</v>
      </c>
      <c r="F637" s="104">
        <v>46387</v>
      </c>
      <c r="G637" s="104">
        <v>46391</v>
      </c>
      <c r="H637" s="104">
        <v>46394</v>
      </c>
      <c r="I637" s="137">
        <v>0.02</v>
      </c>
      <c r="J637" s="138">
        <v>2.3900000000000001E-2</v>
      </c>
      <c r="K637" s="108" t="s">
        <v>498</v>
      </c>
    </row>
    <row r="638" spans="1:11">
      <c r="A638" s="121" t="s">
        <v>949</v>
      </c>
      <c r="B638" s="105">
        <v>45646</v>
      </c>
      <c r="C638" s="136">
        <v>5</v>
      </c>
      <c r="D638" s="173" t="s">
        <v>961</v>
      </c>
      <c r="E638" s="103" t="s">
        <v>414</v>
      </c>
      <c r="F638" s="104">
        <v>46387</v>
      </c>
      <c r="G638" s="104">
        <v>46402</v>
      </c>
      <c r="H638" s="104">
        <v>46407</v>
      </c>
      <c r="I638" s="137">
        <v>2.5000000000000001E-2</v>
      </c>
      <c r="J638" s="194">
        <v>0.125</v>
      </c>
      <c r="K638" s="108" t="s">
        <v>5</v>
      </c>
    </row>
    <row r="639" spans="1:11">
      <c r="A639" s="121" t="s">
        <v>950</v>
      </c>
      <c r="B639" s="105">
        <v>45646</v>
      </c>
      <c r="C639" s="136">
        <v>5</v>
      </c>
      <c r="D639" s="173" t="s">
        <v>962</v>
      </c>
      <c r="E639" s="103" t="s">
        <v>414</v>
      </c>
      <c r="F639" s="104">
        <v>46387</v>
      </c>
      <c r="G639" s="104">
        <v>46402</v>
      </c>
      <c r="H639" s="104">
        <v>46407</v>
      </c>
      <c r="I639" s="137">
        <v>2.3E-2</v>
      </c>
      <c r="J639" s="194">
        <v>0.11499999999999999</v>
      </c>
      <c r="K639" s="108" t="s">
        <v>5</v>
      </c>
    </row>
    <row r="640" spans="1:11">
      <c r="A640" s="121" t="s">
        <v>760</v>
      </c>
      <c r="B640" s="105">
        <v>44915</v>
      </c>
      <c r="C640" s="136">
        <v>5</v>
      </c>
      <c r="D640" s="173" t="s">
        <v>786</v>
      </c>
      <c r="E640" s="103" t="s">
        <v>414</v>
      </c>
      <c r="F640" s="104">
        <v>46387</v>
      </c>
      <c r="G640" s="104">
        <v>46402</v>
      </c>
      <c r="H640" s="104">
        <v>46407</v>
      </c>
      <c r="I640" s="137">
        <v>0.03</v>
      </c>
      <c r="J640" s="194">
        <v>0.15</v>
      </c>
      <c r="K640" s="108" t="s">
        <v>5</v>
      </c>
    </row>
    <row r="641" spans="1:11">
      <c r="A641" s="121" t="s">
        <v>761</v>
      </c>
      <c r="B641" s="105">
        <v>44915</v>
      </c>
      <c r="C641" s="136">
        <v>5</v>
      </c>
      <c r="D641" s="173" t="s">
        <v>787</v>
      </c>
      <c r="E641" s="103" t="s">
        <v>414</v>
      </c>
      <c r="F641" s="104">
        <v>46387</v>
      </c>
      <c r="G641" s="104">
        <v>46402</v>
      </c>
      <c r="H641" s="104">
        <v>46407</v>
      </c>
      <c r="I641" s="137">
        <v>2.8000000000000001E-2</v>
      </c>
      <c r="J641" s="194">
        <v>0.14000000000000001</v>
      </c>
      <c r="K641" s="108" t="s">
        <v>5</v>
      </c>
    </row>
    <row r="642" spans="1:11">
      <c r="A642" s="121" t="s">
        <v>850</v>
      </c>
      <c r="B642" s="105">
        <v>45281</v>
      </c>
      <c r="C642" s="136">
        <v>5</v>
      </c>
      <c r="D642" s="173" t="s">
        <v>854</v>
      </c>
      <c r="E642" s="103" t="s">
        <v>414</v>
      </c>
      <c r="F642" s="104">
        <v>46387</v>
      </c>
      <c r="G642" s="104">
        <v>46402</v>
      </c>
      <c r="H642" s="104">
        <v>46407</v>
      </c>
      <c r="I642" s="137">
        <v>2.35E-2</v>
      </c>
      <c r="J642" s="194">
        <v>0.11749999999999999</v>
      </c>
      <c r="K642" s="108" t="s">
        <v>5</v>
      </c>
    </row>
    <row r="643" spans="1:11">
      <c r="A643" s="121" t="s">
        <v>851</v>
      </c>
      <c r="B643" s="105">
        <v>45281</v>
      </c>
      <c r="C643" s="136">
        <v>5</v>
      </c>
      <c r="D643" s="173" t="s">
        <v>855</v>
      </c>
      <c r="E643" s="103" t="s">
        <v>414</v>
      </c>
      <c r="F643" s="104">
        <v>46387</v>
      </c>
      <c r="G643" s="104">
        <v>46402</v>
      </c>
      <c r="H643" s="104">
        <v>46407</v>
      </c>
      <c r="I643" s="137">
        <v>2.8000000000000001E-2</v>
      </c>
      <c r="J643" s="194">
        <v>0.14000000000000001</v>
      </c>
      <c r="K643" s="108" t="s">
        <v>5</v>
      </c>
    </row>
    <row r="644" spans="1:11">
      <c r="A644" s="121" t="s">
        <v>1042</v>
      </c>
      <c r="B644" s="105">
        <v>45688</v>
      </c>
      <c r="C644" s="136">
        <v>5</v>
      </c>
      <c r="D644" s="173" t="s">
        <v>1038</v>
      </c>
      <c r="E644" s="103" t="s">
        <v>414</v>
      </c>
      <c r="F644" s="105">
        <v>46052</v>
      </c>
      <c r="G644" s="105">
        <v>46069</v>
      </c>
      <c r="H644" s="105">
        <v>46072</v>
      </c>
      <c r="I644" s="206">
        <v>2.1499999999999998E-2</v>
      </c>
      <c r="J644" s="205">
        <v>0.10749999999999998</v>
      </c>
      <c r="K644" s="108" t="s">
        <v>5</v>
      </c>
    </row>
    <row r="645" spans="1:11">
      <c r="A645" s="121" t="s">
        <v>1031</v>
      </c>
      <c r="B645" s="105">
        <v>45688</v>
      </c>
      <c r="C645" s="136">
        <v>5</v>
      </c>
      <c r="D645" s="173" t="s">
        <v>1039</v>
      </c>
      <c r="E645" s="103" t="s">
        <v>414</v>
      </c>
      <c r="F645" s="105">
        <v>46052</v>
      </c>
      <c r="G645" s="105">
        <v>46069</v>
      </c>
      <c r="H645" s="105">
        <v>46072</v>
      </c>
      <c r="I645" s="206">
        <v>2.35E-2</v>
      </c>
      <c r="J645" s="205">
        <v>0.11749999999999999</v>
      </c>
      <c r="K645" s="108" t="s">
        <v>5</v>
      </c>
    </row>
    <row r="646" spans="1:11">
      <c r="A646" s="121" t="s">
        <v>1032</v>
      </c>
      <c r="B646" s="105">
        <v>45747</v>
      </c>
      <c r="C646" s="136">
        <v>5</v>
      </c>
      <c r="D646" s="173" t="s">
        <v>1040</v>
      </c>
      <c r="E646" s="103" t="s">
        <v>414</v>
      </c>
      <c r="F646" s="105">
        <v>46112</v>
      </c>
      <c r="G646" s="105">
        <v>46127</v>
      </c>
      <c r="H646" s="105">
        <v>46132</v>
      </c>
      <c r="I646" s="206">
        <v>2.5000000000000001E-2</v>
      </c>
      <c r="J646" s="205">
        <v>0.125</v>
      </c>
      <c r="K646" s="108" t="s">
        <v>5</v>
      </c>
    </row>
    <row r="647" spans="1:11">
      <c r="A647" s="121" t="s">
        <v>1033</v>
      </c>
      <c r="B647" s="105">
        <v>45747</v>
      </c>
      <c r="C647" s="136">
        <v>5</v>
      </c>
      <c r="D647" s="173" t="s">
        <v>1041</v>
      </c>
      <c r="E647" s="103" t="s">
        <v>414</v>
      </c>
      <c r="F647" s="105">
        <v>46112</v>
      </c>
      <c r="G647" s="105">
        <v>46127</v>
      </c>
      <c r="H647" s="105">
        <v>46132</v>
      </c>
      <c r="I647" s="206">
        <v>2.7E-2</v>
      </c>
      <c r="J647" s="205">
        <v>0.13500000000000001</v>
      </c>
      <c r="K647" s="108" t="s">
        <v>5</v>
      </c>
    </row>
  </sheetData>
  <autoFilter ref="A5:K647" xr:uid="{A43191B6-E62C-4743-86C2-DAF66D2075AF}">
    <sortState xmlns:xlrd2="http://schemas.microsoft.com/office/spreadsheetml/2017/richdata2" ref="A6:K647">
      <sortCondition ref="F5:F647"/>
    </sortState>
  </autoFilter>
  <pageMargins left="0.7" right="0.7" top="0.75" bottom="0.75" header="0.3" footer="0.3"/>
  <pageSetup paperSize="9" scale="41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FF545-BC47-4812-BBC6-E1B3B8564E8C}">
  <sheetPr>
    <pageSetUpPr fitToPage="1"/>
  </sheetPr>
  <dimension ref="A1:N40"/>
  <sheetViews>
    <sheetView topLeftCell="B22" zoomScale="78" zoomScaleNormal="78" workbookViewId="0">
      <selection activeCell="K40" sqref="K40"/>
    </sheetView>
  </sheetViews>
  <sheetFormatPr defaultRowHeight="15"/>
  <cols>
    <col min="1" max="1" width="17.5703125" customWidth="1"/>
    <col min="2" max="2" width="15.5703125" customWidth="1"/>
    <col min="3" max="3" width="12.85546875" customWidth="1"/>
    <col min="4" max="4" width="94.140625" customWidth="1"/>
    <col min="5" max="5" width="15" customWidth="1"/>
    <col min="6" max="6" width="21.5703125" customWidth="1"/>
    <col min="7" max="7" width="17.140625" customWidth="1"/>
    <col min="8" max="8" width="19.85546875" customWidth="1"/>
    <col min="9" max="9" width="13.140625" customWidth="1"/>
    <col min="10" max="10" width="29.42578125" bestFit="1" customWidth="1"/>
    <col min="11" max="11" width="39.42578125" customWidth="1"/>
  </cols>
  <sheetData>
    <row r="1" spans="1:14" s="3" customFormat="1" ht="23.25" customHeight="1">
      <c r="B1" s="4"/>
      <c r="C1" s="6"/>
      <c r="D1" s="4"/>
      <c r="E1" s="2"/>
      <c r="F1" s="4"/>
      <c r="G1" s="2"/>
      <c r="H1" s="2"/>
      <c r="I1" s="31"/>
      <c r="J1" s="31"/>
      <c r="K1" s="31"/>
      <c r="L1" s="31"/>
      <c r="M1" s="31"/>
      <c r="N1" s="7"/>
    </row>
    <row r="2" spans="1:14" s="3" customFormat="1" ht="23.25" customHeight="1">
      <c r="B2" s="4"/>
      <c r="C2" s="6"/>
      <c r="D2" s="4"/>
      <c r="E2" s="2"/>
      <c r="F2" s="4"/>
      <c r="G2" s="2"/>
      <c r="H2" s="2"/>
      <c r="I2" s="31"/>
      <c r="J2" s="31"/>
      <c r="K2" s="31"/>
      <c r="L2" s="31"/>
      <c r="M2" s="31"/>
      <c r="N2" s="7"/>
    </row>
    <row r="3" spans="1:14" s="3" customFormat="1" ht="23.25" customHeight="1">
      <c r="B3" s="4"/>
      <c r="C3" s="6"/>
      <c r="D3" s="4"/>
      <c r="E3" s="2"/>
      <c r="F3" s="4"/>
      <c r="G3" s="2"/>
      <c r="H3" s="2"/>
      <c r="I3" s="31"/>
      <c r="J3" s="31"/>
      <c r="K3" s="31"/>
      <c r="L3" s="31"/>
      <c r="M3" s="31"/>
      <c r="N3" s="7"/>
    </row>
    <row r="4" spans="1:14" s="3" customFormat="1" ht="23.25" customHeight="1">
      <c r="B4" s="4"/>
      <c r="C4" s="6"/>
      <c r="D4" s="4"/>
      <c r="E4" s="2"/>
      <c r="F4" s="4"/>
      <c r="G4" s="2"/>
      <c r="H4" s="2"/>
      <c r="I4" s="31"/>
      <c r="J4" s="31"/>
      <c r="K4" s="31"/>
      <c r="L4" s="31"/>
      <c r="M4" s="31"/>
      <c r="N4" s="7"/>
    </row>
    <row r="5" spans="1:14" s="11" customFormat="1" ht="82.5">
      <c r="A5" s="85" t="s">
        <v>0</v>
      </c>
      <c r="B5" s="95" t="s">
        <v>690</v>
      </c>
      <c r="C5" s="85" t="s">
        <v>421</v>
      </c>
      <c r="D5" s="85" t="s">
        <v>1</v>
      </c>
      <c r="E5" s="85" t="s">
        <v>2</v>
      </c>
      <c r="F5" s="87" t="s">
        <v>680</v>
      </c>
      <c r="G5" s="87" t="s">
        <v>681</v>
      </c>
      <c r="H5" s="88" t="s">
        <v>691</v>
      </c>
      <c r="I5" s="89" t="s">
        <v>684</v>
      </c>
      <c r="J5" s="89" t="s">
        <v>899</v>
      </c>
      <c r="K5" s="85" t="s">
        <v>3</v>
      </c>
    </row>
    <row r="6" spans="1:14" s="72" customFormat="1" ht="23.25" customHeight="1">
      <c r="A6" s="39" t="s">
        <v>669</v>
      </c>
      <c r="B6" s="41">
        <v>43843</v>
      </c>
      <c r="C6" s="44">
        <v>5</v>
      </c>
      <c r="D6" s="43" t="s">
        <v>670</v>
      </c>
      <c r="E6" s="9" t="s">
        <v>414</v>
      </c>
      <c r="F6" s="40">
        <v>44209</v>
      </c>
      <c r="G6" s="40">
        <v>44210</v>
      </c>
      <c r="H6" s="40">
        <v>44215</v>
      </c>
      <c r="I6" s="46">
        <v>1.4E-2</v>
      </c>
      <c r="J6" s="45">
        <v>7.0000000000000007E-2</v>
      </c>
      <c r="K6" s="61" t="s">
        <v>585</v>
      </c>
    </row>
    <row r="7" spans="1:14" s="72" customFormat="1" ht="22.5" customHeight="1">
      <c r="A7" s="39" t="s">
        <v>582</v>
      </c>
      <c r="B7" s="41">
        <v>43984</v>
      </c>
      <c r="C7" s="44">
        <v>5</v>
      </c>
      <c r="D7" s="43" t="s">
        <v>581</v>
      </c>
      <c r="E7" s="9" t="s">
        <v>414</v>
      </c>
      <c r="F7" s="40">
        <v>44349</v>
      </c>
      <c r="G7" s="40">
        <v>44350</v>
      </c>
      <c r="H7" s="40">
        <v>44355</v>
      </c>
      <c r="I7" s="46">
        <v>2.1000000000000001E-2</v>
      </c>
      <c r="J7" s="45">
        <v>0.10500000000000001</v>
      </c>
      <c r="K7" s="61" t="s">
        <v>585</v>
      </c>
    </row>
    <row r="8" spans="1:14" s="72" customFormat="1" ht="22.5" customHeight="1">
      <c r="A8" s="39" t="s">
        <v>584</v>
      </c>
      <c r="B8" s="41">
        <v>43984</v>
      </c>
      <c r="C8" s="44">
        <v>5</v>
      </c>
      <c r="D8" s="43" t="s">
        <v>583</v>
      </c>
      <c r="E8" s="9" t="s">
        <v>414</v>
      </c>
      <c r="F8" s="40">
        <v>44349</v>
      </c>
      <c r="G8" s="40">
        <v>44350</v>
      </c>
      <c r="H8" s="40">
        <v>44355</v>
      </c>
      <c r="I8" s="46">
        <v>2.3E-2</v>
      </c>
      <c r="J8" s="45">
        <v>0.11499999999999999</v>
      </c>
      <c r="K8" s="61" t="s">
        <v>585</v>
      </c>
    </row>
    <row r="9" spans="1:14" s="72" customFormat="1" ht="22.5" customHeight="1">
      <c r="A9" s="39" t="s">
        <v>669</v>
      </c>
      <c r="B9" s="41">
        <v>43843</v>
      </c>
      <c r="C9" s="44">
        <v>5</v>
      </c>
      <c r="D9" s="43" t="s">
        <v>670</v>
      </c>
      <c r="E9" s="9" t="s">
        <v>414</v>
      </c>
      <c r="F9" s="40">
        <v>44574</v>
      </c>
      <c r="G9" s="40">
        <v>44575</v>
      </c>
      <c r="H9" s="40">
        <v>44580</v>
      </c>
      <c r="I9" s="46">
        <v>1.4E-2</v>
      </c>
      <c r="J9" s="45">
        <v>7.0000000000000007E-2</v>
      </c>
      <c r="K9" s="61" t="s">
        <v>585</v>
      </c>
    </row>
    <row r="10" spans="1:14" s="72" customFormat="1" ht="22.5" customHeight="1">
      <c r="A10" s="39" t="s">
        <v>674</v>
      </c>
      <c r="B10" s="41">
        <v>44277</v>
      </c>
      <c r="C10" s="44">
        <v>5</v>
      </c>
      <c r="D10" s="43" t="s">
        <v>673</v>
      </c>
      <c r="E10" s="9" t="s">
        <v>414</v>
      </c>
      <c r="F10" s="40">
        <v>44642</v>
      </c>
      <c r="G10" s="40">
        <v>44643</v>
      </c>
      <c r="H10" s="40">
        <v>44648</v>
      </c>
      <c r="I10" s="46">
        <v>1.6E-2</v>
      </c>
      <c r="J10" s="45">
        <v>0.86770000000000003</v>
      </c>
      <c r="K10" s="61" t="s">
        <v>675</v>
      </c>
    </row>
    <row r="11" spans="1:14" s="72" customFormat="1" ht="22.5" customHeight="1">
      <c r="A11" s="39" t="s">
        <v>582</v>
      </c>
      <c r="B11" s="41">
        <v>43984</v>
      </c>
      <c r="C11" s="44">
        <v>5</v>
      </c>
      <c r="D11" s="43" t="s">
        <v>581</v>
      </c>
      <c r="E11" s="9" t="s">
        <v>414</v>
      </c>
      <c r="F11" s="40">
        <v>44714</v>
      </c>
      <c r="G11" s="40">
        <v>44715</v>
      </c>
      <c r="H11" s="40">
        <v>44720</v>
      </c>
      <c r="I11" s="46">
        <v>2.1000000000000001E-2</v>
      </c>
      <c r="J11" s="45">
        <v>0.105</v>
      </c>
      <c r="K11" s="61" t="s">
        <v>585</v>
      </c>
    </row>
    <row r="12" spans="1:14" s="72" customFormat="1" ht="22.5" customHeight="1">
      <c r="A12" s="39" t="s">
        <v>584</v>
      </c>
      <c r="B12" s="41">
        <v>43984</v>
      </c>
      <c r="C12" s="44">
        <v>5</v>
      </c>
      <c r="D12" s="43" t="s">
        <v>583</v>
      </c>
      <c r="E12" s="9" t="s">
        <v>414</v>
      </c>
      <c r="F12" s="40">
        <v>44714</v>
      </c>
      <c r="G12" s="40">
        <v>44715</v>
      </c>
      <c r="H12" s="40">
        <v>44720</v>
      </c>
      <c r="I12" s="46">
        <v>2.3E-2</v>
      </c>
      <c r="J12" s="45">
        <v>0.115</v>
      </c>
      <c r="K12" s="61" t="s">
        <v>585</v>
      </c>
    </row>
    <row r="13" spans="1:14" s="72" customFormat="1" ht="23.25" customHeight="1">
      <c r="A13" s="39" t="s">
        <v>669</v>
      </c>
      <c r="B13" s="41">
        <v>43843</v>
      </c>
      <c r="C13" s="44">
        <v>5</v>
      </c>
      <c r="D13" s="43" t="s">
        <v>670</v>
      </c>
      <c r="E13" s="9" t="s">
        <v>414</v>
      </c>
      <c r="F13" s="40">
        <v>44939</v>
      </c>
      <c r="G13" s="40">
        <v>44942</v>
      </c>
      <c r="H13" s="40">
        <v>44945</v>
      </c>
      <c r="I13" s="46">
        <v>0.03</v>
      </c>
      <c r="J13" s="36">
        <v>1.0500000000000001E-2</v>
      </c>
      <c r="K13" s="61" t="s">
        <v>585</v>
      </c>
    </row>
    <row r="14" spans="1:14" s="72" customFormat="1" ht="23.25" customHeight="1">
      <c r="A14" s="39" t="s">
        <v>674</v>
      </c>
      <c r="B14" s="41">
        <v>44277</v>
      </c>
      <c r="C14" s="44">
        <v>5</v>
      </c>
      <c r="D14" s="43" t="s">
        <v>673</v>
      </c>
      <c r="E14" s="9" t="s">
        <v>414</v>
      </c>
      <c r="F14" s="40">
        <v>45007</v>
      </c>
      <c r="G14" s="40">
        <v>45008</v>
      </c>
      <c r="H14" s="40">
        <v>45013</v>
      </c>
      <c r="I14" s="46">
        <v>1.6E-2</v>
      </c>
      <c r="J14" s="36">
        <v>0.87658400000000003</v>
      </c>
      <c r="K14" s="61" t="s">
        <v>675</v>
      </c>
    </row>
    <row r="15" spans="1:14" s="72" customFormat="1" ht="22.5" customHeight="1">
      <c r="A15" s="39" t="s">
        <v>582</v>
      </c>
      <c r="B15" s="41">
        <v>43984</v>
      </c>
      <c r="C15" s="44">
        <v>5</v>
      </c>
      <c r="D15" s="43" t="s">
        <v>581</v>
      </c>
      <c r="E15" s="9" t="s">
        <v>414</v>
      </c>
      <c r="F15" s="40">
        <v>45079</v>
      </c>
      <c r="G15" s="40">
        <v>45082</v>
      </c>
      <c r="H15" s="40">
        <v>45085</v>
      </c>
      <c r="I15" s="46">
        <v>2.1000000000000001E-2</v>
      </c>
      <c r="J15" s="45">
        <v>0.10500000000000001</v>
      </c>
      <c r="K15" s="61" t="s">
        <v>585</v>
      </c>
    </row>
    <row r="16" spans="1:14" s="72" customFormat="1" ht="23.25" customHeight="1">
      <c r="A16" s="39" t="s">
        <v>584</v>
      </c>
      <c r="B16" s="41">
        <v>43984</v>
      </c>
      <c r="C16" s="44">
        <v>5</v>
      </c>
      <c r="D16" s="43" t="s">
        <v>583</v>
      </c>
      <c r="E16" s="9" t="s">
        <v>414</v>
      </c>
      <c r="F16" s="40">
        <v>45079</v>
      </c>
      <c r="G16" s="40">
        <v>45082</v>
      </c>
      <c r="H16" s="40">
        <v>45085</v>
      </c>
      <c r="I16" s="46">
        <v>2.3E-2</v>
      </c>
      <c r="J16" s="45">
        <v>0.11499999999999999</v>
      </c>
      <c r="K16" s="61" t="s">
        <v>585</v>
      </c>
    </row>
    <row r="17" spans="1:11" s="141" customFormat="1" ht="23.25" customHeight="1">
      <c r="A17" s="39" t="s">
        <v>669</v>
      </c>
      <c r="B17" s="41">
        <v>43843</v>
      </c>
      <c r="C17" s="44">
        <v>5</v>
      </c>
      <c r="D17" s="43" t="s">
        <v>670</v>
      </c>
      <c r="E17" s="9" t="s">
        <v>414</v>
      </c>
      <c r="F17" s="40">
        <v>45306</v>
      </c>
      <c r="G17" s="40">
        <v>45307</v>
      </c>
      <c r="H17" s="40">
        <v>45310</v>
      </c>
      <c r="I17" s="46">
        <v>0.03</v>
      </c>
      <c r="J17" s="45">
        <v>1.4999999999999999E-2</v>
      </c>
      <c r="K17" s="61" t="s">
        <v>585</v>
      </c>
    </row>
    <row r="18" spans="1:11" s="141" customFormat="1" ht="23.25" customHeight="1">
      <c r="A18" s="39" t="s">
        <v>674</v>
      </c>
      <c r="B18" s="41">
        <v>44277</v>
      </c>
      <c r="C18" s="44">
        <v>5</v>
      </c>
      <c r="D18" s="43" t="s">
        <v>673</v>
      </c>
      <c r="E18" s="9" t="s">
        <v>414</v>
      </c>
      <c r="F18" s="40">
        <v>45373</v>
      </c>
      <c r="G18" s="40">
        <v>45376</v>
      </c>
      <c r="H18" s="40">
        <v>45379</v>
      </c>
      <c r="I18" s="46">
        <v>1.6E-2</v>
      </c>
      <c r="J18" s="45">
        <v>0.88080000000000003</v>
      </c>
      <c r="K18" s="61" t="s">
        <v>675</v>
      </c>
    </row>
    <row r="19" spans="1:11" s="141" customFormat="1" ht="23.25" customHeight="1">
      <c r="A19" s="39" t="s">
        <v>793</v>
      </c>
      <c r="B19" s="41">
        <v>45019</v>
      </c>
      <c r="C19" s="44">
        <v>5</v>
      </c>
      <c r="D19" s="43" t="s">
        <v>796</v>
      </c>
      <c r="E19" s="9" t="s">
        <v>414</v>
      </c>
      <c r="F19" s="40">
        <v>45385</v>
      </c>
      <c r="G19" s="40">
        <v>45386</v>
      </c>
      <c r="H19" s="40">
        <v>45391</v>
      </c>
      <c r="I19" s="46">
        <v>4.7E-2</v>
      </c>
      <c r="J19" s="45">
        <v>0.23499999999999999</v>
      </c>
      <c r="K19" s="61" t="s">
        <v>585</v>
      </c>
    </row>
    <row r="20" spans="1:11" s="141" customFormat="1" ht="23.25" customHeight="1">
      <c r="A20" s="39" t="s">
        <v>794</v>
      </c>
      <c r="B20" s="41">
        <v>45019</v>
      </c>
      <c r="C20" s="44">
        <v>5</v>
      </c>
      <c r="D20" s="43" t="s">
        <v>795</v>
      </c>
      <c r="E20" s="9" t="s">
        <v>414</v>
      </c>
      <c r="F20" s="40">
        <v>45385</v>
      </c>
      <c r="G20" s="40">
        <v>45386</v>
      </c>
      <c r="H20" s="40">
        <v>45391</v>
      </c>
      <c r="I20" s="46">
        <v>4.3999999999999997E-2</v>
      </c>
      <c r="J20" s="45">
        <v>0.2199999999999995</v>
      </c>
      <c r="K20" s="61" t="s">
        <v>585</v>
      </c>
    </row>
    <row r="21" spans="1:11" s="141" customFormat="1" ht="23.25" customHeight="1">
      <c r="A21" s="39" t="s">
        <v>797</v>
      </c>
      <c r="B21" s="41">
        <v>45019</v>
      </c>
      <c r="C21" s="44">
        <v>5</v>
      </c>
      <c r="D21" s="43" t="s">
        <v>798</v>
      </c>
      <c r="E21" s="9" t="s">
        <v>414</v>
      </c>
      <c r="F21" s="40">
        <v>45385</v>
      </c>
      <c r="G21" s="40">
        <v>45386</v>
      </c>
      <c r="H21" s="40">
        <v>45391</v>
      </c>
      <c r="I21" s="46">
        <v>2.9000000000000001E-2</v>
      </c>
      <c r="J21" s="45">
        <v>0.14500000000000002</v>
      </c>
      <c r="K21" s="61" t="s">
        <v>585</v>
      </c>
    </row>
    <row r="22" spans="1:11" s="153" customFormat="1" ht="23.25" customHeight="1">
      <c r="A22" s="50" t="s">
        <v>582</v>
      </c>
      <c r="B22" s="51">
        <v>43984</v>
      </c>
      <c r="C22" s="123">
        <v>5</v>
      </c>
      <c r="D22" s="52" t="s">
        <v>581</v>
      </c>
      <c r="E22" s="1" t="s">
        <v>414</v>
      </c>
      <c r="F22" s="53">
        <v>45446</v>
      </c>
      <c r="G22" s="53">
        <v>45447</v>
      </c>
      <c r="H22" s="53">
        <v>45450</v>
      </c>
      <c r="I22" s="125">
        <v>2.1000000000000001E-2</v>
      </c>
      <c r="J22" s="126">
        <v>0.10500000000000001</v>
      </c>
      <c r="K22" s="152" t="s">
        <v>585</v>
      </c>
    </row>
    <row r="23" spans="1:11" s="153" customFormat="1" ht="23.25" customHeight="1">
      <c r="A23" s="50" t="s">
        <v>584</v>
      </c>
      <c r="B23" s="51">
        <v>43984</v>
      </c>
      <c r="C23" s="123">
        <v>5</v>
      </c>
      <c r="D23" s="52" t="s">
        <v>583</v>
      </c>
      <c r="E23" s="1" t="s">
        <v>414</v>
      </c>
      <c r="F23" s="53">
        <v>45446</v>
      </c>
      <c r="G23" s="53">
        <v>45447</v>
      </c>
      <c r="H23" s="53">
        <v>45450</v>
      </c>
      <c r="I23" s="125">
        <v>2.3E-2</v>
      </c>
      <c r="J23" s="126">
        <v>0.11499999999999999</v>
      </c>
      <c r="K23" s="152" t="s">
        <v>585</v>
      </c>
    </row>
    <row r="24" spans="1:11" s="153" customFormat="1" ht="23.25" customHeight="1">
      <c r="A24" s="50" t="s">
        <v>811</v>
      </c>
      <c r="B24" s="51">
        <v>45243</v>
      </c>
      <c r="C24" s="123">
        <v>5</v>
      </c>
      <c r="D24" s="52" t="s">
        <v>812</v>
      </c>
      <c r="E24" s="1" t="s">
        <v>414</v>
      </c>
      <c r="F24" s="53">
        <v>45609</v>
      </c>
      <c r="G24" s="53">
        <v>45610</v>
      </c>
      <c r="H24" s="53">
        <v>45615</v>
      </c>
      <c r="I24" s="125">
        <v>0.03</v>
      </c>
      <c r="J24" s="126">
        <v>0.15</v>
      </c>
      <c r="K24" s="152" t="s">
        <v>585</v>
      </c>
    </row>
    <row r="25" spans="1:11" s="153" customFormat="1" ht="23.25" customHeight="1">
      <c r="A25" s="50" t="s">
        <v>968</v>
      </c>
      <c r="B25" s="51">
        <v>45371</v>
      </c>
      <c r="C25" s="123">
        <v>5</v>
      </c>
      <c r="D25" s="52" t="s">
        <v>969</v>
      </c>
      <c r="E25" s="1" t="s">
        <v>414</v>
      </c>
      <c r="F25" s="53">
        <v>45736</v>
      </c>
      <c r="G25" s="53">
        <v>45737</v>
      </c>
      <c r="H25" s="53">
        <v>45742</v>
      </c>
      <c r="I25" s="125">
        <v>3.2500000000000001E-2</v>
      </c>
      <c r="J25" s="126">
        <v>0.16250000000000001</v>
      </c>
      <c r="K25" s="152" t="s">
        <v>585</v>
      </c>
    </row>
    <row r="26" spans="1:11" s="153" customFormat="1" ht="23.25" customHeight="1">
      <c r="A26" s="50" t="s">
        <v>793</v>
      </c>
      <c r="B26" s="51">
        <v>45019</v>
      </c>
      <c r="C26" s="123">
        <v>5</v>
      </c>
      <c r="D26" s="52" t="s">
        <v>796</v>
      </c>
      <c r="E26" s="1" t="s">
        <v>414</v>
      </c>
      <c r="F26" s="53">
        <v>45750</v>
      </c>
      <c r="G26" s="53">
        <v>45751</v>
      </c>
      <c r="H26" s="53">
        <v>45756</v>
      </c>
      <c r="I26" s="125">
        <v>4.7E-2</v>
      </c>
      <c r="J26" s="126">
        <v>0.23499999999999999</v>
      </c>
      <c r="K26" s="152" t="s">
        <v>585</v>
      </c>
    </row>
    <row r="27" spans="1:11" s="153" customFormat="1" ht="23.25" customHeight="1">
      <c r="A27" s="50" t="s">
        <v>794</v>
      </c>
      <c r="B27" s="51">
        <v>45019</v>
      </c>
      <c r="C27" s="123">
        <v>5</v>
      </c>
      <c r="D27" s="52" t="s">
        <v>795</v>
      </c>
      <c r="E27" s="1" t="s">
        <v>414</v>
      </c>
      <c r="F27" s="53">
        <v>45750</v>
      </c>
      <c r="G27" s="53">
        <v>45751</v>
      </c>
      <c r="H27" s="53">
        <v>45756</v>
      </c>
      <c r="I27" s="125">
        <v>4.3999999999999997E-2</v>
      </c>
      <c r="J27" s="126">
        <v>0.2199999999999995</v>
      </c>
      <c r="K27" s="152" t="s">
        <v>585</v>
      </c>
    </row>
    <row r="28" spans="1:11" s="153" customFormat="1" ht="23.25" customHeight="1">
      <c r="A28" s="50" t="s">
        <v>797</v>
      </c>
      <c r="B28" s="51">
        <v>45019</v>
      </c>
      <c r="C28" s="123">
        <v>5</v>
      </c>
      <c r="D28" s="52" t="s">
        <v>798</v>
      </c>
      <c r="E28" s="1" t="s">
        <v>414</v>
      </c>
      <c r="F28" s="53">
        <v>45750</v>
      </c>
      <c r="G28" s="53">
        <v>45751</v>
      </c>
      <c r="H28" s="53">
        <v>45756</v>
      </c>
      <c r="I28" s="125">
        <v>2.9000000000000001E-2</v>
      </c>
      <c r="J28" s="126">
        <v>0.14500000000000002</v>
      </c>
      <c r="K28" s="152" t="s">
        <v>585</v>
      </c>
    </row>
    <row r="29" spans="1:11" s="153" customFormat="1" ht="23.25" customHeight="1">
      <c r="A29" s="50" t="s">
        <v>582</v>
      </c>
      <c r="B29" s="51">
        <v>43984</v>
      </c>
      <c r="C29" s="123">
        <v>5</v>
      </c>
      <c r="D29" s="52" t="s">
        <v>581</v>
      </c>
      <c r="E29" s="1" t="s">
        <v>414</v>
      </c>
      <c r="F29" s="53">
        <v>45810</v>
      </c>
      <c r="G29" s="53">
        <v>45811</v>
      </c>
      <c r="H29" s="53">
        <v>45814</v>
      </c>
      <c r="I29" s="125">
        <v>2.1000000000000001E-2</v>
      </c>
      <c r="J29" s="126">
        <v>0.10500000000000001</v>
      </c>
      <c r="K29" s="152" t="s">
        <v>585</v>
      </c>
    </row>
    <row r="30" spans="1:11" s="153" customFormat="1" ht="23.25" customHeight="1">
      <c r="A30" s="50" t="s">
        <v>584</v>
      </c>
      <c r="B30" s="51">
        <v>43984</v>
      </c>
      <c r="C30" s="123">
        <v>5</v>
      </c>
      <c r="D30" s="52" t="s">
        <v>583</v>
      </c>
      <c r="E30" s="1" t="s">
        <v>414</v>
      </c>
      <c r="F30" s="53">
        <v>45810</v>
      </c>
      <c r="G30" s="53">
        <v>45811</v>
      </c>
      <c r="H30" s="53">
        <v>45814</v>
      </c>
      <c r="I30" s="125">
        <v>2.3E-2</v>
      </c>
      <c r="J30" s="126">
        <v>0.11499999999999999</v>
      </c>
      <c r="K30" s="152" t="s">
        <v>585</v>
      </c>
    </row>
    <row r="31" spans="1:11" s="153" customFormat="1" ht="23.25" customHeight="1">
      <c r="A31" s="50" t="s">
        <v>811</v>
      </c>
      <c r="B31" s="51">
        <v>45243</v>
      </c>
      <c r="C31" s="123">
        <v>5</v>
      </c>
      <c r="D31" s="52" t="s">
        <v>812</v>
      </c>
      <c r="E31" s="1" t="s">
        <v>414</v>
      </c>
      <c r="F31" s="53">
        <v>45974</v>
      </c>
      <c r="G31" s="53">
        <v>45975</v>
      </c>
      <c r="H31" s="53">
        <v>45980</v>
      </c>
      <c r="I31" s="125">
        <v>0.03</v>
      </c>
      <c r="J31" s="126">
        <v>0.15</v>
      </c>
      <c r="K31" s="152" t="s">
        <v>585</v>
      </c>
    </row>
    <row r="32" spans="1:11" s="153" customFormat="1" ht="23.25" customHeight="1">
      <c r="A32" s="50" t="s">
        <v>894</v>
      </c>
      <c r="B32" s="51">
        <v>45625</v>
      </c>
      <c r="C32" s="123">
        <v>5</v>
      </c>
      <c r="D32" s="52" t="s">
        <v>895</v>
      </c>
      <c r="E32" s="1" t="s">
        <v>414</v>
      </c>
      <c r="F32" s="53">
        <v>45992</v>
      </c>
      <c r="G32" s="53">
        <v>45993</v>
      </c>
      <c r="H32" s="53">
        <v>45996</v>
      </c>
      <c r="I32" s="125">
        <v>2.8000000000000001E-2</v>
      </c>
      <c r="J32" s="126">
        <v>0.14000000000000001</v>
      </c>
      <c r="K32" s="152" t="s">
        <v>585</v>
      </c>
    </row>
    <row r="33" spans="1:11" s="172" customFormat="1" ht="23.25" customHeight="1">
      <c r="A33" s="121" t="s">
        <v>968</v>
      </c>
      <c r="B33" s="105">
        <v>45371</v>
      </c>
      <c r="C33" s="136">
        <v>5</v>
      </c>
      <c r="D33" s="135" t="s">
        <v>969</v>
      </c>
      <c r="E33" s="103" t="s">
        <v>414</v>
      </c>
      <c r="F33" s="104">
        <v>46101</v>
      </c>
      <c r="G33" s="104">
        <v>46104</v>
      </c>
      <c r="H33" s="104">
        <v>46107</v>
      </c>
      <c r="I33" s="137">
        <v>3.2500000000000001E-2</v>
      </c>
      <c r="J33" s="138">
        <v>0.16250000000000001</v>
      </c>
      <c r="K33" s="139" t="s">
        <v>585</v>
      </c>
    </row>
    <row r="34" spans="1:11" s="172" customFormat="1" ht="23.25" customHeight="1">
      <c r="A34" s="121" t="s">
        <v>793</v>
      </c>
      <c r="B34" s="105">
        <v>45019</v>
      </c>
      <c r="C34" s="136">
        <v>5</v>
      </c>
      <c r="D34" s="135" t="s">
        <v>796</v>
      </c>
      <c r="E34" s="103" t="s">
        <v>414</v>
      </c>
      <c r="F34" s="104">
        <v>46119</v>
      </c>
      <c r="G34" s="104">
        <v>46120</v>
      </c>
      <c r="H34" s="104">
        <v>46125</v>
      </c>
      <c r="I34" s="137">
        <v>4.7E-2</v>
      </c>
      <c r="J34" s="138">
        <v>0.23499999999999999</v>
      </c>
      <c r="K34" s="139" t="s">
        <v>585</v>
      </c>
    </row>
    <row r="35" spans="1:11" s="172" customFormat="1" ht="23.25" customHeight="1">
      <c r="A35" s="121" t="s">
        <v>794</v>
      </c>
      <c r="B35" s="105">
        <v>45019</v>
      </c>
      <c r="C35" s="136">
        <v>5</v>
      </c>
      <c r="D35" s="135" t="s">
        <v>795</v>
      </c>
      <c r="E35" s="103" t="s">
        <v>414</v>
      </c>
      <c r="F35" s="104">
        <v>46119</v>
      </c>
      <c r="G35" s="104">
        <v>46120</v>
      </c>
      <c r="H35" s="104">
        <v>46125</v>
      </c>
      <c r="I35" s="137">
        <v>4.3999999999999997E-2</v>
      </c>
      <c r="J35" s="138">
        <v>0.21999999999999997</v>
      </c>
      <c r="K35" s="139" t="s">
        <v>585</v>
      </c>
    </row>
    <row r="36" spans="1:11" s="172" customFormat="1" ht="23.25" customHeight="1">
      <c r="A36" s="121" t="s">
        <v>797</v>
      </c>
      <c r="B36" s="105">
        <v>45019</v>
      </c>
      <c r="C36" s="136">
        <v>5</v>
      </c>
      <c r="D36" s="135" t="s">
        <v>798</v>
      </c>
      <c r="E36" s="103" t="s">
        <v>414</v>
      </c>
      <c r="F36" s="104">
        <v>46119</v>
      </c>
      <c r="G36" s="104">
        <v>46120</v>
      </c>
      <c r="H36" s="104">
        <v>46125</v>
      </c>
      <c r="I36" s="137">
        <v>2.9000000000000001E-2</v>
      </c>
      <c r="J36" s="138">
        <v>0.14500000000000002</v>
      </c>
      <c r="K36" s="139" t="s">
        <v>585</v>
      </c>
    </row>
    <row r="37" spans="1:11" s="172" customFormat="1" ht="23.25" customHeight="1">
      <c r="A37" s="121" t="s">
        <v>963</v>
      </c>
      <c r="B37" s="105">
        <v>45796</v>
      </c>
      <c r="C37" s="136">
        <v>5</v>
      </c>
      <c r="D37" s="135" t="s">
        <v>964</v>
      </c>
      <c r="E37" s="103" t="s">
        <v>414</v>
      </c>
      <c r="F37" s="104">
        <v>46161</v>
      </c>
      <c r="G37" s="104">
        <v>46162</v>
      </c>
      <c r="H37" s="104">
        <v>46168</v>
      </c>
      <c r="I37" s="137">
        <v>2.8000000000000001E-2</v>
      </c>
      <c r="J37" s="138">
        <v>0.14000000000000001</v>
      </c>
      <c r="K37" s="139" t="s">
        <v>585</v>
      </c>
    </row>
    <row r="38" spans="1:11" s="172" customFormat="1" ht="23.25" customHeight="1">
      <c r="A38" s="121" t="s">
        <v>811</v>
      </c>
      <c r="B38" s="105">
        <v>45243</v>
      </c>
      <c r="C38" s="136">
        <v>5</v>
      </c>
      <c r="D38" s="135" t="s">
        <v>812</v>
      </c>
      <c r="E38" s="103" t="s">
        <v>414</v>
      </c>
      <c r="F38" s="104">
        <v>46339</v>
      </c>
      <c r="G38" s="104">
        <v>46342</v>
      </c>
      <c r="H38" s="104">
        <v>46345</v>
      </c>
      <c r="I38" s="137">
        <v>0.03</v>
      </c>
      <c r="J38" s="138">
        <v>0.15</v>
      </c>
      <c r="K38" s="139" t="s">
        <v>585</v>
      </c>
    </row>
    <row r="39" spans="1:11" s="172" customFormat="1" ht="23.25" customHeight="1">
      <c r="A39" s="121" t="s">
        <v>894</v>
      </c>
      <c r="B39" s="105">
        <v>45625</v>
      </c>
      <c r="C39" s="136">
        <v>5</v>
      </c>
      <c r="D39" s="135" t="s">
        <v>895</v>
      </c>
      <c r="E39" s="103" t="s">
        <v>414</v>
      </c>
      <c r="F39" s="104">
        <v>46356</v>
      </c>
      <c r="G39" s="104">
        <v>46357</v>
      </c>
      <c r="H39" s="104">
        <v>46360</v>
      </c>
      <c r="I39" s="137">
        <v>2.8000000000000001E-2</v>
      </c>
      <c r="J39" s="138">
        <v>0.14000000000000001</v>
      </c>
      <c r="K39" s="139" t="s">
        <v>585</v>
      </c>
    </row>
    <row r="40" spans="1:11" s="172" customFormat="1" ht="23.25" customHeight="1">
      <c r="A40" s="121" t="s">
        <v>1021</v>
      </c>
      <c r="B40" s="105">
        <v>45999</v>
      </c>
      <c r="C40" s="136">
        <v>5</v>
      </c>
      <c r="D40" s="135" t="s">
        <v>1020</v>
      </c>
      <c r="E40" s="103" t="s">
        <v>414</v>
      </c>
      <c r="F40" s="104">
        <v>46364</v>
      </c>
      <c r="G40" s="104">
        <v>46365</v>
      </c>
      <c r="H40" s="104">
        <v>46370</v>
      </c>
      <c r="I40" s="137">
        <v>2.3E-2</v>
      </c>
      <c r="J40" s="138">
        <v>0.115</v>
      </c>
      <c r="K40" s="139" t="s">
        <v>585</v>
      </c>
    </row>
  </sheetData>
  <autoFilter ref="A5:K16" xr:uid="{5E977A96-B023-44E6-8B2D-3738B567D50E}">
    <sortState xmlns:xlrd2="http://schemas.microsoft.com/office/spreadsheetml/2017/richdata2" ref="A6:K40">
      <sortCondition ref="F5:F16"/>
    </sortState>
  </autoFilter>
  <pageMargins left="0.7" right="0.7" top="0.75" bottom="0.75" header="0.3" footer="0.3"/>
  <pageSetup paperSize="9" scale="64" fitToHeight="0" orientation="landscape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4732-267D-456B-8F47-074A4DB19464}">
  <dimension ref="A1:GY201"/>
  <sheetViews>
    <sheetView zoomScale="80" zoomScaleNormal="80" workbookViewId="0">
      <pane ySplit="5" topLeftCell="A171" activePane="bottomLeft" state="frozen"/>
      <selection pane="bottomLeft" activeCell="K198" sqref="K198"/>
    </sheetView>
  </sheetViews>
  <sheetFormatPr defaultRowHeight="15"/>
  <cols>
    <col min="1" max="1" width="20.5703125" customWidth="1"/>
    <col min="2" max="2" width="46.42578125" customWidth="1"/>
    <col min="3" max="3" width="20.140625" bestFit="1" customWidth="1"/>
    <col min="4" max="6" width="24.5703125" customWidth="1"/>
    <col min="7" max="7" width="13.85546875" style="30" customWidth="1"/>
    <col min="8" max="8" width="13.85546875" style="32" customWidth="1"/>
    <col min="9" max="12" width="13.85546875" customWidth="1"/>
    <col min="13" max="13" width="16.5703125" customWidth="1"/>
  </cols>
  <sheetData>
    <row r="1" spans="1:207" s="3" customFormat="1" ht="23.25" customHeight="1">
      <c r="B1" s="4"/>
      <c r="C1" s="6"/>
      <c r="D1" s="4"/>
      <c r="E1" s="2"/>
      <c r="F1" s="4"/>
      <c r="G1" s="2"/>
      <c r="H1" s="2"/>
      <c r="I1" s="31"/>
      <c r="J1" s="31"/>
      <c r="K1" s="31"/>
      <c r="L1" s="31"/>
      <c r="M1" s="31"/>
      <c r="N1" s="7"/>
    </row>
    <row r="2" spans="1:207" s="3" customFormat="1" ht="23.25" customHeight="1">
      <c r="B2" s="4"/>
      <c r="C2" s="6"/>
      <c r="D2" s="4"/>
      <c r="E2" s="2"/>
      <c r="F2" s="4"/>
      <c r="G2" s="2"/>
      <c r="H2" s="2"/>
      <c r="I2" s="31"/>
      <c r="J2" s="31"/>
      <c r="K2" s="31"/>
      <c r="L2" s="31"/>
      <c r="M2" s="31"/>
      <c r="N2" s="7"/>
    </row>
    <row r="3" spans="1:207" s="3" customFormat="1" ht="23.25" customHeight="1">
      <c r="B3" s="4"/>
      <c r="C3" s="6"/>
      <c r="D3" s="4"/>
      <c r="E3" s="2"/>
      <c r="F3" s="4"/>
      <c r="G3" s="2"/>
      <c r="H3" s="2"/>
      <c r="I3" s="31"/>
      <c r="J3" s="31"/>
      <c r="K3" s="31"/>
      <c r="L3" s="31"/>
      <c r="M3" s="31"/>
      <c r="N3" s="7"/>
    </row>
    <row r="4" spans="1:207" s="3" customFormat="1" ht="23.25" customHeight="1">
      <c r="B4" s="4"/>
      <c r="C4" s="6"/>
      <c r="D4" s="4"/>
      <c r="E4" s="2"/>
      <c r="F4" s="4"/>
      <c r="G4" s="2"/>
      <c r="H4" s="2"/>
      <c r="I4" s="31"/>
      <c r="J4" s="31"/>
      <c r="K4" s="151" t="s">
        <v>892</v>
      </c>
      <c r="L4" s="151" t="s">
        <v>892</v>
      </c>
      <c r="M4" s="31"/>
      <c r="N4" s="7"/>
    </row>
    <row r="5" spans="1:207" s="11" customFormat="1" ht="111">
      <c r="A5" s="85" t="s">
        <v>0</v>
      </c>
      <c r="B5" s="85" t="s">
        <v>1</v>
      </c>
      <c r="C5" s="86" t="s">
        <v>2</v>
      </c>
      <c r="D5" s="87" t="s">
        <v>680</v>
      </c>
      <c r="E5" s="87" t="s">
        <v>681</v>
      </c>
      <c r="F5" s="88" t="s">
        <v>682</v>
      </c>
      <c r="G5" s="89" t="s">
        <v>684</v>
      </c>
      <c r="H5" s="90" t="s">
        <v>689</v>
      </c>
      <c r="I5" s="91" t="s">
        <v>685</v>
      </c>
      <c r="J5" s="91" t="s">
        <v>686</v>
      </c>
      <c r="K5" s="91" t="s">
        <v>687</v>
      </c>
      <c r="L5" s="91" t="s">
        <v>688</v>
      </c>
      <c r="M5" s="85" t="s">
        <v>3</v>
      </c>
    </row>
    <row r="6" spans="1:207" s="23" customFormat="1" ht="26.25" customHeight="1">
      <c r="A6" s="43" t="s">
        <v>258</v>
      </c>
      <c r="B6" s="43" t="s">
        <v>259</v>
      </c>
      <c r="C6" s="1" t="s">
        <v>18</v>
      </c>
      <c r="D6" s="53">
        <v>43888</v>
      </c>
      <c r="E6" s="51">
        <v>43889</v>
      </c>
      <c r="F6" s="51">
        <v>43896</v>
      </c>
      <c r="G6" s="54">
        <v>0.05</v>
      </c>
      <c r="H6" s="56">
        <v>1.2320800000000001</v>
      </c>
      <c r="I6" s="56">
        <v>0</v>
      </c>
      <c r="J6" s="56">
        <v>1.2320800000000001</v>
      </c>
      <c r="K6" s="47">
        <f>+J6-((J6*0.083*0.125)+(J6*(1-0.083)*0.26))</f>
        <v>0.92554465640000005</v>
      </c>
      <c r="L6" s="57">
        <f>I6+K6</f>
        <v>0.92554465640000005</v>
      </c>
      <c r="M6" s="48" t="s">
        <v>247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</row>
    <row r="7" spans="1:207" s="23" customFormat="1" ht="26.25" customHeight="1">
      <c r="A7" s="43" t="s">
        <v>500</v>
      </c>
      <c r="B7" s="43" t="s">
        <v>423</v>
      </c>
      <c r="C7" s="1" t="s">
        <v>18</v>
      </c>
      <c r="D7" s="53">
        <v>43888</v>
      </c>
      <c r="E7" s="51">
        <v>43889</v>
      </c>
      <c r="F7" s="51">
        <v>43896</v>
      </c>
      <c r="G7" s="54">
        <v>0.05</v>
      </c>
      <c r="H7" s="56" t="s">
        <v>501</v>
      </c>
      <c r="I7" s="56" t="s">
        <v>501</v>
      </c>
      <c r="J7" s="56" t="s">
        <v>501</v>
      </c>
      <c r="K7" s="56" t="s">
        <v>501</v>
      </c>
      <c r="L7" s="56" t="s">
        <v>501</v>
      </c>
      <c r="M7" s="48" t="s">
        <v>247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</row>
    <row r="8" spans="1:207" s="23" customFormat="1" ht="26.25" customHeight="1">
      <c r="A8" s="43" t="s">
        <v>260</v>
      </c>
      <c r="B8" s="43" t="s">
        <v>415</v>
      </c>
      <c r="C8" s="1" t="s">
        <v>18</v>
      </c>
      <c r="D8" s="53">
        <v>43888</v>
      </c>
      <c r="E8" s="51">
        <v>43889</v>
      </c>
      <c r="F8" s="51">
        <v>43896</v>
      </c>
      <c r="G8" s="58"/>
      <c r="H8" s="56">
        <v>0.93103199999999997</v>
      </c>
      <c r="I8" s="56">
        <v>0</v>
      </c>
      <c r="J8" s="56">
        <v>0.93103199999999997</v>
      </c>
      <c r="K8" s="47">
        <f>+J8-((J8*0.083*0.125)+(J8*(1-0.083)*0.26))</f>
        <v>0.69939589355999998</v>
      </c>
      <c r="L8" s="57">
        <f t="shared" ref="L8:L33" si="0">I8+K8</f>
        <v>0.69939589355999998</v>
      </c>
      <c r="M8" s="48" t="s">
        <v>247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</row>
    <row r="9" spans="1:207" s="23" customFormat="1" ht="26.25" customHeight="1">
      <c r="A9" s="43" t="s">
        <v>261</v>
      </c>
      <c r="B9" s="43" t="s">
        <v>262</v>
      </c>
      <c r="C9" s="1" t="s">
        <v>18</v>
      </c>
      <c r="D9" s="53">
        <v>43888</v>
      </c>
      <c r="E9" s="51">
        <v>43889</v>
      </c>
      <c r="F9" s="51">
        <v>43896</v>
      </c>
      <c r="G9" s="54">
        <v>0.05</v>
      </c>
      <c r="H9" s="56">
        <v>1.048197</v>
      </c>
      <c r="I9" s="56">
        <v>0</v>
      </c>
      <c r="J9" s="56">
        <v>1.048197</v>
      </c>
      <c r="K9" s="47">
        <f>+J9-((J9*0.083*0.125)+(J9*(1-0.083)*0.26))</f>
        <v>0.78741082738500001</v>
      </c>
      <c r="L9" s="57">
        <f t="shared" si="0"/>
        <v>0.78741082738500001</v>
      </c>
      <c r="M9" s="48" t="s">
        <v>247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</row>
    <row r="10" spans="1:207" s="23" customFormat="1" ht="25.35" customHeight="1">
      <c r="A10" s="43" t="s">
        <v>263</v>
      </c>
      <c r="B10" s="43" t="s">
        <v>264</v>
      </c>
      <c r="C10" s="1" t="s">
        <v>18</v>
      </c>
      <c r="D10" s="53">
        <v>43888</v>
      </c>
      <c r="E10" s="51">
        <v>43889</v>
      </c>
      <c r="F10" s="51">
        <v>43896</v>
      </c>
      <c r="G10" s="54">
        <v>0.05</v>
      </c>
      <c r="H10" s="56">
        <v>0.91271199999999997</v>
      </c>
      <c r="I10" s="56">
        <v>0</v>
      </c>
      <c r="J10" s="56">
        <v>0.91271199999999997</v>
      </c>
      <c r="K10" s="47">
        <f>+J10-((J10*0.083*0.125)+(J10*(1-0.083)*0.26))</f>
        <v>0.68563381796</v>
      </c>
      <c r="L10" s="57">
        <f t="shared" si="0"/>
        <v>0.68563381796</v>
      </c>
      <c r="M10" s="48" t="s">
        <v>247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</row>
    <row r="11" spans="1:207" s="23" customFormat="1" ht="26.25" customHeight="1">
      <c r="A11" s="43" t="s">
        <v>266</v>
      </c>
      <c r="B11" s="43" t="s">
        <v>268</v>
      </c>
      <c r="C11" s="1" t="s">
        <v>18</v>
      </c>
      <c r="D11" s="53">
        <v>43888</v>
      </c>
      <c r="E11" s="51">
        <v>43889</v>
      </c>
      <c r="F11" s="51">
        <v>43896</v>
      </c>
      <c r="G11" s="54">
        <v>0.04</v>
      </c>
      <c r="H11" s="56">
        <v>1.204005</v>
      </c>
      <c r="I11" s="56">
        <v>0</v>
      </c>
      <c r="J11" s="56">
        <v>1.204005</v>
      </c>
      <c r="K11" s="47">
        <f>+J11-((J11*0.096*0.125)+(J11*(1-0.096)*0.26))</f>
        <v>0.90656760479999998</v>
      </c>
      <c r="L11" s="57">
        <f t="shared" si="0"/>
        <v>0.90656760479999998</v>
      </c>
      <c r="M11" s="48" t="s">
        <v>247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</row>
    <row r="12" spans="1:207" s="23" customFormat="1" ht="26.25" customHeight="1">
      <c r="A12" s="43" t="s">
        <v>265</v>
      </c>
      <c r="B12" s="43" t="s">
        <v>267</v>
      </c>
      <c r="C12" s="1" t="s">
        <v>18</v>
      </c>
      <c r="D12" s="53">
        <v>43888</v>
      </c>
      <c r="E12" s="51">
        <v>43889</v>
      </c>
      <c r="F12" s="51">
        <v>43896</v>
      </c>
      <c r="G12" s="54">
        <v>0.04</v>
      </c>
      <c r="H12" s="56">
        <v>0.82642700000000002</v>
      </c>
      <c r="I12" s="56">
        <v>0</v>
      </c>
      <c r="J12" s="56">
        <v>0.82642700000000002</v>
      </c>
      <c r="K12" s="47">
        <f>+J12-((J12*0.096*0.125)+(J12*(1-0.096)*0.26))</f>
        <v>0.62226647392000001</v>
      </c>
      <c r="L12" s="57">
        <f t="shared" si="0"/>
        <v>0.62226647392000001</v>
      </c>
      <c r="M12" s="48" t="s">
        <v>247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</row>
    <row r="13" spans="1:207" s="23" customFormat="1" ht="26.25" customHeight="1">
      <c r="A13" s="43" t="s">
        <v>258</v>
      </c>
      <c r="B13" s="43" t="s">
        <v>259</v>
      </c>
      <c r="C13" s="9" t="s">
        <v>18</v>
      </c>
      <c r="D13" s="40">
        <v>43979</v>
      </c>
      <c r="E13" s="41">
        <v>43980</v>
      </c>
      <c r="F13" s="41">
        <v>43990</v>
      </c>
      <c r="G13" s="60">
        <v>0.05</v>
      </c>
      <c r="H13" s="70">
        <v>1.179165</v>
      </c>
      <c r="I13" s="70">
        <v>0</v>
      </c>
      <c r="J13" s="70">
        <v>1.179165</v>
      </c>
      <c r="K13" s="36">
        <f>+J13-((J13*0.083*0.125)+(J13*(1-0.083)*0.26))</f>
        <v>0.88579464382499995</v>
      </c>
      <c r="L13" s="71">
        <f t="shared" si="0"/>
        <v>0.88579464382499995</v>
      </c>
      <c r="M13" s="42" t="s">
        <v>247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</row>
    <row r="14" spans="1:207" s="23" customFormat="1" ht="26.25" customHeight="1">
      <c r="A14" s="43" t="s">
        <v>500</v>
      </c>
      <c r="B14" s="43" t="s">
        <v>423</v>
      </c>
      <c r="C14" s="9" t="s">
        <v>18</v>
      </c>
      <c r="D14" s="40">
        <v>43979</v>
      </c>
      <c r="E14" s="41">
        <v>43980</v>
      </c>
      <c r="F14" s="41">
        <v>43990</v>
      </c>
      <c r="G14" s="60">
        <v>0.05</v>
      </c>
      <c r="H14" s="70">
        <v>1.1279509999999999</v>
      </c>
      <c r="I14" s="70">
        <v>0.4291577628038597</v>
      </c>
      <c r="J14" s="70">
        <v>0.69879323719614028</v>
      </c>
      <c r="K14" s="36">
        <f>+J14-((J14*0.083*0.125)+(J14*(1-0.083)*0.26))</f>
        <v>0.52493697374792658</v>
      </c>
      <c r="L14" s="71">
        <f t="shared" si="0"/>
        <v>0.95409473655178623</v>
      </c>
      <c r="M14" s="42" t="s">
        <v>247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</row>
    <row r="15" spans="1:207" s="23" customFormat="1" ht="26.25" customHeight="1">
      <c r="A15" s="43" t="s">
        <v>260</v>
      </c>
      <c r="B15" s="43" t="s">
        <v>415</v>
      </c>
      <c r="C15" s="9" t="s">
        <v>18</v>
      </c>
      <c r="D15" s="40">
        <v>43979</v>
      </c>
      <c r="E15" s="41">
        <v>43980</v>
      </c>
      <c r="F15" s="41">
        <v>43990</v>
      </c>
      <c r="G15" s="60"/>
      <c r="H15" s="70">
        <v>0.42668</v>
      </c>
      <c r="I15" s="70">
        <v>0</v>
      </c>
      <c r="J15" s="70">
        <v>0.42668</v>
      </c>
      <c r="K15" s="36">
        <f>+J15-((J15*0.083*0.125)+(J15*(1-0.083)*0.26))</f>
        <v>0.32052414939999996</v>
      </c>
      <c r="L15" s="71">
        <f t="shared" si="0"/>
        <v>0.32052414939999996</v>
      </c>
      <c r="M15" s="42" t="s">
        <v>416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</row>
    <row r="16" spans="1:207" s="23" customFormat="1" ht="26.25" customHeight="1">
      <c r="A16" s="43" t="s">
        <v>261</v>
      </c>
      <c r="B16" s="43" t="s">
        <v>262</v>
      </c>
      <c r="C16" s="9" t="s">
        <v>18</v>
      </c>
      <c r="D16" s="40">
        <v>43979</v>
      </c>
      <c r="E16" s="41">
        <v>43980</v>
      </c>
      <c r="F16" s="41">
        <v>43990</v>
      </c>
      <c r="G16" s="60">
        <v>0.05</v>
      </c>
      <c r="H16" s="70">
        <v>1.0006820000000001</v>
      </c>
      <c r="I16" s="70">
        <v>0</v>
      </c>
      <c r="J16" s="70">
        <v>1.0006820000000001</v>
      </c>
      <c r="K16" s="36">
        <f>+J16-((J16*0.083*0.125)+(J16*(1-0.083)*0.26))</f>
        <v>0.75171732181000006</v>
      </c>
      <c r="L16" s="71">
        <f t="shared" si="0"/>
        <v>0.75171732181000006</v>
      </c>
      <c r="M16" s="42" t="s">
        <v>247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</row>
    <row r="17" spans="1:207" s="23" customFormat="1" ht="26.25" customHeight="1">
      <c r="A17" s="43" t="s">
        <v>263</v>
      </c>
      <c r="B17" s="43" t="s">
        <v>264</v>
      </c>
      <c r="C17" s="9" t="s">
        <v>18</v>
      </c>
      <c r="D17" s="40">
        <v>43979</v>
      </c>
      <c r="E17" s="41">
        <v>43980</v>
      </c>
      <c r="F17" s="41">
        <v>43990</v>
      </c>
      <c r="G17" s="60">
        <v>0.05</v>
      </c>
      <c r="H17" s="70">
        <v>0.87606799999999996</v>
      </c>
      <c r="I17" s="70">
        <v>0</v>
      </c>
      <c r="J17" s="70">
        <v>0.87606799999999996</v>
      </c>
      <c r="K17" s="36">
        <f>+J17-((J17*0.083*0.125)+(J17*(1-0.083)*0.26))</f>
        <v>0.65810666194</v>
      </c>
      <c r="L17" s="71">
        <f t="shared" si="0"/>
        <v>0.65810666194</v>
      </c>
      <c r="M17" s="42" t="s">
        <v>247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</row>
    <row r="18" spans="1:207" s="23" customFormat="1" ht="26.25" customHeight="1">
      <c r="A18" s="43" t="s">
        <v>266</v>
      </c>
      <c r="B18" s="43" t="s">
        <v>268</v>
      </c>
      <c r="C18" s="9" t="s">
        <v>18</v>
      </c>
      <c r="D18" s="40">
        <v>43979</v>
      </c>
      <c r="E18" s="41">
        <v>43980</v>
      </c>
      <c r="F18" s="41">
        <v>43990</v>
      </c>
      <c r="G18" s="60">
        <v>0.04</v>
      </c>
      <c r="H18" s="70">
        <v>1.1670590000000001</v>
      </c>
      <c r="I18" s="70">
        <v>0</v>
      </c>
      <c r="J18" s="70">
        <v>1.1670590000000001</v>
      </c>
      <c r="K18" s="36">
        <f>+J18-((J18*0.096*0.125)+(J18*(1-0.096)*0.26))</f>
        <v>0.87874874464000008</v>
      </c>
      <c r="L18" s="71">
        <f t="shared" si="0"/>
        <v>0.87874874464000008</v>
      </c>
      <c r="M18" s="42" t="s">
        <v>247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</row>
    <row r="19" spans="1:207" s="23" customFormat="1" ht="26.25" customHeight="1">
      <c r="A19" s="43" t="s">
        <v>265</v>
      </c>
      <c r="B19" s="43" t="s">
        <v>267</v>
      </c>
      <c r="C19" s="9" t="s">
        <v>18</v>
      </c>
      <c r="D19" s="40">
        <v>43979</v>
      </c>
      <c r="E19" s="41">
        <v>43980</v>
      </c>
      <c r="F19" s="41">
        <v>43990</v>
      </c>
      <c r="G19" s="60">
        <v>0.04</v>
      </c>
      <c r="H19" s="70">
        <v>0.80473099999999997</v>
      </c>
      <c r="I19" s="70">
        <v>0</v>
      </c>
      <c r="J19" s="70">
        <v>0.80473099999999997</v>
      </c>
      <c r="K19" s="36">
        <f>+J19-((J19*0.096*0.125)+(J19*(1-0.096)*0.26))</f>
        <v>0.60593025375999998</v>
      </c>
      <c r="L19" s="71">
        <f t="shared" si="0"/>
        <v>0.60593025375999998</v>
      </c>
      <c r="M19" s="42" t="s">
        <v>247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</row>
    <row r="20" spans="1:207" s="23" customFormat="1" ht="26.25" customHeight="1">
      <c r="A20" s="43" t="s">
        <v>258</v>
      </c>
      <c r="B20" s="43" t="s">
        <v>259</v>
      </c>
      <c r="C20" s="9" t="s">
        <v>18</v>
      </c>
      <c r="D20" s="40">
        <v>44071</v>
      </c>
      <c r="E20" s="41">
        <v>44074</v>
      </c>
      <c r="F20" s="41">
        <v>44081</v>
      </c>
      <c r="G20" s="60">
        <v>0.05</v>
      </c>
      <c r="H20" s="70">
        <v>1.1565730000000001</v>
      </c>
      <c r="I20" s="70">
        <f>VLOOKUP(A20,[1]Feuil2!$A$2:$H$21,5,FALSE)</f>
        <v>0.53907845522835407</v>
      </c>
      <c r="J20" s="70">
        <f>VLOOKUP(A20,[1]Feuil2!$A$2:$H$21,6,FALSE)</f>
        <v>0.617494544771646</v>
      </c>
      <c r="K20" s="36">
        <f>+J20-((J20*0.098*0.125)+(J20*(1-0.098)*0.26))</f>
        <v>0.46511541595834693</v>
      </c>
      <c r="L20" s="71">
        <f t="shared" si="0"/>
        <v>1.0041938711867009</v>
      </c>
      <c r="M20" s="42" t="s">
        <v>247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</row>
    <row r="21" spans="1:207" s="23" customFormat="1" ht="26.25" customHeight="1">
      <c r="A21" s="43" t="s">
        <v>500</v>
      </c>
      <c r="B21" s="43" t="s">
        <v>423</v>
      </c>
      <c r="C21" s="9" t="s">
        <v>18</v>
      </c>
      <c r="D21" s="40">
        <v>44071</v>
      </c>
      <c r="E21" s="41">
        <v>44074</v>
      </c>
      <c r="F21" s="41">
        <v>44081</v>
      </c>
      <c r="G21" s="60">
        <v>0.05</v>
      </c>
      <c r="H21" s="70">
        <v>1.1770590000000001</v>
      </c>
      <c r="I21" s="70">
        <f>VLOOKUP(A21,[1]Feuil2!$A$2:$H$21,5,FALSE)</f>
        <v>0.58403301414797515</v>
      </c>
      <c r="J21" s="70">
        <f>VLOOKUP(A21,[1]Feuil2!$A$2:$H$21,6,FALSE)</f>
        <v>0.59302598585202493</v>
      </c>
      <c r="K21" s="36">
        <f>+J21-((J21*0.098*0.125)+(J21*(1-0.098)*0.26))</f>
        <v>0.44668496332332075</v>
      </c>
      <c r="L21" s="71">
        <f t="shared" si="0"/>
        <v>1.030717977471296</v>
      </c>
      <c r="M21" s="42" t="s">
        <v>247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</row>
    <row r="22" spans="1:207" s="23" customFormat="1" ht="26.25" customHeight="1">
      <c r="A22" s="43" t="s">
        <v>260</v>
      </c>
      <c r="B22" s="43" t="s">
        <v>415</v>
      </c>
      <c r="C22" s="9" t="s">
        <v>18</v>
      </c>
      <c r="D22" s="40">
        <v>44071</v>
      </c>
      <c r="E22" s="41">
        <v>44074</v>
      </c>
      <c r="F22" s="41">
        <v>44081</v>
      </c>
      <c r="G22" s="60"/>
      <c r="H22" s="70">
        <v>0.19253443000000001</v>
      </c>
      <c r="I22" s="70">
        <f>VLOOKUP(A22,[1]Feuil2!$A$2:$H$21,5,FALSE)</f>
        <v>0</v>
      </c>
      <c r="J22" s="70">
        <f>VLOOKUP(A22,[1]Feuil2!$A$2:$H$21,6,FALSE)</f>
        <v>0.19253443000000001</v>
      </c>
      <c r="K22" s="36">
        <f>+J22-((J22*0.098*0.125)+(J22*(1-0.098)*0.26))</f>
        <v>0.14502270870889999</v>
      </c>
      <c r="L22" s="71">
        <f t="shared" si="0"/>
        <v>0.14502270870889999</v>
      </c>
      <c r="M22" s="42" t="s">
        <v>416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</row>
    <row r="23" spans="1:207" s="23" customFormat="1" ht="26.25" customHeight="1">
      <c r="A23" s="43" t="s">
        <v>261</v>
      </c>
      <c r="B23" s="43" t="s">
        <v>262</v>
      </c>
      <c r="C23" s="9" t="s">
        <v>18</v>
      </c>
      <c r="D23" s="40">
        <v>44071</v>
      </c>
      <c r="E23" s="41">
        <v>44074</v>
      </c>
      <c r="F23" s="41">
        <v>44081</v>
      </c>
      <c r="G23" s="60">
        <v>0.05</v>
      </c>
      <c r="H23" s="70">
        <v>0.978989</v>
      </c>
      <c r="I23" s="70">
        <f>VLOOKUP(A23,[1]Feuil2!$A$2:$H$21,5,FALSE)</f>
        <v>0.46848136633363724</v>
      </c>
      <c r="J23" s="70">
        <f>VLOOKUP(A23,[1]Feuil2!$A$2:$H$21,6,FALSE)</f>
        <v>0.51050763366636276</v>
      </c>
      <c r="K23" s="36">
        <f>+J23-((J23*0.098*0.125)+(J23*(1-0.098)*0.26))</f>
        <v>0.38452966490651441</v>
      </c>
      <c r="L23" s="71">
        <f t="shared" si="0"/>
        <v>0.85301103124015165</v>
      </c>
      <c r="M23" s="42" t="s">
        <v>247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</row>
    <row r="24" spans="1:207" s="23" customFormat="1" ht="26.25" customHeight="1">
      <c r="A24" s="43" t="s">
        <v>263</v>
      </c>
      <c r="B24" s="43" t="s">
        <v>264</v>
      </c>
      <c r="C24" s="9" t="s">
        <v>18</v>
      </c>
      <c r="D24" s="40">
        <v>44071</v>
      </c>
      <c r="E24" s="41">
        <v>44074</v>
      </c>
      <c r="F24" s="41">
        <v>44081</v>
      </c>
      <c r="G24" s="60">
        <v>0.05</v>
      </c>
      <c r="H24" s="70">
        <v>0.91886400000000001</v>
      </c>
      <c r="I24" s="70">
        <f>VLOOKUP(A24,[1]Feuil2!$A$2:$H$21,5,FALSE)</f>
        <v>0.47752227288008053</v>
      </c>
      <c r="J24" s="70">
        <f>VLOOKUP(A24,[1]Feuil2!$A$2:$H$21,6,FALSE)</f>
        <v>0.44134172711991948</v>
      </c>
      <c r="K24" s="36">
        <f>+J24-((J24*0.098*0.125)+(J24*(1-0.098)*0.26))</f>
        <v>0.33243182911853691</v>
      </c>
      <c r="L24" s="71">
        <f t="shared" si="0"/>
        <v>0.80995410199861739</v>
      </c>
      <c r="M24" s="42" t="s">
        <v>247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</row>
    <row r="25" spans="1:207" s="23" customFormat="1" ht="26.25" customHeight="1">
      <c r="A25" s="43" t="s">
        <v>266</v>
      </c>
      <c r="B25" s="43" t="s">
        <v>268</v>
      </c>
      <c r="C25" s="9" t="s">
        <v>18</v>
      </c>
      <c r="D25" s="40">
        <v>44071</v>
      </c>
      <c r="E25" s="41">
        <v>44074</v>
      </c>
      <c r="F25" s="41">
        <v>44081</v>
      </c>
      <c r="G25" s="60">
        <v>0.04</v>
      </c>
      <c r="H25" s="70">
        <v>1.178895</v>
      </c>
      <c r="I25" s="70">
        <f>VLOOKUP(A25,[1]Feuil2!$A$2:$H$21,5,FALSE)</f>
        <v>0.7938011011498044</v>
      </c>
      <c r="J25" s="70">
        <f>VLOOKUP(A25,[1]Feuil2!$A$2:$H$21,6,FALSE)</f>
        <v>0.38509389885019568</v>
      </c>
      <c r="K25" s="36">
        <f>+J25-((J25*0.107*0.125)+(J25*(1-0.107)*0.26))</f>
        <v>0.29053216651803587</v>
      </c>
      <c r="L25" s="71">
        <f t="shared" si="0"/>
        <v>1.0843332676678403</v>
      </c>
      <c r="M25" s="42" t="s">
        <v>247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</row>
    <row r="26" spans="1:207" s="23" customFormat="1" ht="26.25" customHeight="1">
      <c r="A26" s="43" t="s">
        <v>265</v>
      </c>
      <c r="B26" s="43" t="s">
        <v>267</v>
      </c>
      <c r="C26" s="9" t="s">
        <v>18</v>
      </c>
      <c r="D26" s="40">
        <v>44071</v>
      </c>
      <c r="E26" s="41">
        <v>44074</v>
      </c>
      <c r="F26" s="41">
        <v>44081</v>
      </c>
      <c r="G26" s="60">
        <v>0.04</v>
      </c>
      <c r="H26" s="70">
        <v>0.87133899999999997</v>
      </c>
      <c r="I26" s="70">
        <f>VLOOKUP(A26,[1]Feuil2!$A$2:$H$21,5,FALSE)</f>
        <v>0.61460038918996374</v>
      </c>
      <c r="J26" s="70">
        <f>VLOOKUP(A26,[1]Feuil2!$A$2:$H$21,6,FALSE)</f>
        <v>0.25673861081003624</v>
      </c>
      <c r="K26" s="36">
        <f>+J26-((J26*0.107*0.125)+(J26*(1-0.107)*0.26))</f>
        <v>0.19369516123257779</v>
      </c>
      <c r="L26" s="71">
        <f t="shared" si="0"/>
        <v>0.80829555042254153</v>
      </c>
      <c r="M26" s="42" t="s">
        <v>247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</row>
    <row r="27" spans="1:207" s="23" customFormat="1" ht="26.25" customHeight="1">
      <c r="A27" s="43" t="s">
        <v>258</v>
      </c>
      <c r="B27" s="43" t="s">
        <v>259</v>
      </c>
      <c r="C27" s="9" t="s">
        <v>18</v>
      </c>
      <c r="D27" s="40">
        <v>44162</v>
      </c>
      <c r="E27" s="41">
        <v>44165</v>
      </c>
      <c r="F27" s="41">
        <v>44172</v>
      </c>
      <c r="G27" s="60">
        <v>0.05</v>
      </c>
      <c r="H27" s="70">
        <v>1.183676</v>
      </c>
      <c r="I27" s="70">
        <v>0.24821235636956512</v>
      </c>
      <c r="J27" s="70">
        <v>0.93546364363043488</v>
      </c>
      <c r="K27" s="36">
        <f>+J27-((J27*0.098*0.125)+(J27*(1-0.098)*0.26))</f>
        <v>0.70461928029175247</v>
      </c>
      <c r="L27" s="71">
        <f t="shared" si="0"/>
        <v>0.95283163666131765</v>
      </c>
      <c r="M27" s="42" t="s">
        <v>247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</row>
    <row r="28" spans="1:207" s="23" customFormat="1" ht="26.25" customHeight="1">
      <c r="A28" s="43" t="s">
        <v>500</v>
      </c>
      <c r="B28" s="43" t="s">
        <v>423</v>
      </c>
      <c r="C28" s="9" t="s">
        <v>18</v>
      </c>
      <c r="D28" s="40">
        <v>44162</v>
      </c>
      <c r="E28" s="41">
        <v>44165</v>
      </c>
      <c r="F28" s="41">
        <v>44172</v>
      </c>
      <c r="G28" s="60">
        <v>0.05</v>
      </c>
      <c r="H28" s="70">
        <v>1.2018709999999999</v>
      </c>
      <c r="I28" s="70">
        <v>0</v>
      </c>
      <c r="J28" s="70">
        <v>1.2018709999999999</v>
      </c>
      <c r="K28" s="36">
        <f>+J28-((J28*0.098*0.125)+(J28*(1-0.098)*0.26))</f>
        <v>0.90528529332999996</v>
      </c>
      <c r="L28" s="71">
        <f t="shared" si="0"/>
        <v>0.90528529332999996</v>
      </c>
      <c r="M28" s="42" t="s">
        <v>247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</row>
    <row r="29" spans="1:207" s="23" customFormat="1" ht="26.25" customHeight="1">
      <c r="A29" s="43" t="s">
        <v>260</v>
      </c>
      <c r="B29" s="43" t="s">
        <v>415</v>
      </c>
      <c r="C29" s="9" t="s">
        <v>18</v>
      </c>
      <c r="D29" s="40">
        <v>44162</v>
      </c>
      <c r="E29" s="41">
        <v>44165</v>
      </c>
      <c r="F29" s="41">
        <v>44172</v>
      </c>
      <c r="G29" s="60"/>
      <c r="H29" s="70">
        <v>0.11608908</v>
      </c>
      <c r="I29" s="70">
        <v>0</v>
      </c>
      <c r="J29" s="70">
        <v>0.11608908</v>
      </c>
      <c r="K29" s="36">
        <f>+J29-((J29*0.098*0.125)+(J29*(1-0.098)*0.26))</f>
        <v>8.7441777728400005E-2</v>
      </c>
      <c r="L29" s="71">
        <f t="shared" si="0"/>
        <v>8.7441777728400005E-2</v>
      </c>
      <c r="M29" s="42" t="s">
        <v>416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</row>
    <row r="30" spans="1:207" s="23" customFormat="1" ht="26.25" customHeight="1">
      <c r="A30" s="43" t="s">
        <v>261</v>
      </c>
      <c r="B30" s="43" t="s">
        <v>262</v>
      </c>
      <c r="C30" s="9" t="s">
        <v>18</v>
      </c>
      <c r="D30" s="40">
        <v>44162</v>
      </c>
      <c r="E30" s="41">
        <v>44165</v>
      </c>
      <c r="F30" s="41">
        <v>44172</v>
      </c>
      <c r="G30" s="60">
        <v>0.05</v>
      </c>
      <c r="H30" s="70">
        <v>0.99963599999999997</v>
      </c>
      <c r="I30" s="70">
        <v>2.2376606125038504E-3</v>
      </c>
      <c r="J30" s="70">
        <v>0.99739833938749611</v>
      </c>
      <c r="K30" s="36">
        <f>+J30-((J30*0.098*0.125)+(J30*(1-0.098)*0.26))</f>
        <v>0.75127035117684371</v>
      </c>
      <c r="L30" s="71">
        <f t="shared" si="0"/>
        <v>0.75350801178934756</v>
      </c>
      <c r="M30" s="42" t="s">
        <v>247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</row>
    <row r="31" spans="1:207" s="23" customFormat="1" ht="26.25" customHeight="1">
      <c r="A31" s="43" t="s">
        <v>263</v>
      </c>
      <c r="B31" s="43" t="s">
        <v>264</v>
      </c>
      <c r="C31" s="9" t="s">
        <v>18</v>
      </c>
      <c r="D31" s="40">
        <v>44162</v>
      </c>
      <c r="E31" s="41">
        <v>44165</v>
      </c>
      <c r="F31" s="41">
        <v>44172</v>
      </c>
      <c r="G31" s="60">
        <v>0.05</v>
      </c>
      <c r="H31" s="70">
        <v>0.93606900000000004</v>
      </c>
      <c r="I31" s="70">
        <v>7.594651094575619E-2</v>
      </c>
      <c r="J31" s="70">
        <v>0.86012248905424382</v>
      </c>
      <c r="K31" s="36">
        <f>+J31-((J31*0.098*0.125)+(J31*(1-0.098)*0.26))</f>
        <v>0.64787006243032808</v>
      </c>
      <c r="L31" s="71">
        <f t="shared" si="0"/>
        <v>0.72381657337608429</v>
      </c>
      <c r="M31" s="42" t="s">
        <v>247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</row>
    <row r="32" spans="1:207" s="23" customFormat="1" ht="26.25" customHeight="1">
      <c r="A32" s="43" t="s">
        <v>266</v>
      </c>
      <c r="B32" s="43" t="s">
        <v>268</v>
      </c>
      <c r="C32" s="9" t="s">
        <v>18</v>
      </c>
      <c r="D32" s="40">
        <v>44162</v>
      </c>
      <c r="E32" s="41">
        <v>44165</v>
      </c>
      <c r="F32" s="41">
        <v>44172</v>
      </c>
      <c r="G32" s="60">
        <v>0.04</v>
      </c>
      <c r="H32" s="70">
        <v>1.208264</v>
      </c>
      <c r="I32" s="70">
        <v>0.25852292950994071</v>
      </c>
      <c r="J32" s="70">
        <v>0.94974107049005929</v>
      </c>
      <c r="K32" s="36">
        <f>+J32-((J32*0.107*0.125)+(J32*(1-0.107)*0.26))</f>
        <v>0.71652740192587272</v>
      </c>
      <c r="L32" s="71">
        <f t="shared" si="0"/>
        <v>0.97505033143581343</v>
      </c>
      <c r="M32" s="42" t="s">
        <v>247</v>
      </c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</row>
    <row r="33" spans="1:207" s="23" customFormat="1" ht="26.25" customHeight="1">
      <c r="A33" s="43" t="s">
        <v>265</v>
      </c>
      <c r="B33" s="43" t="s">
        <v>267</v>
      </c>
      <c r="C33" s="9" t="s">
        <v>18</v>
      </c>
      <c r="D33" s="40">
        <v>44162</v>
      </c>
      <c r="E33" s="41">
        <v>44165</v>
      </c>
      <c r="F33" s="41">
        <v>44172</v>
      </c>
      <c r="G33" s="60">
        <v>0.04</v>
      </c>
      <c r="H33" s="70">
        <v>0.89066699999999999</v>
      </c>
      <c r="I33" s="70">
        <v>0.23662427399904426</v>
      </c>
      <c r="J33" s="70">
        <v>0.6540427260009557</v>
      </c>
      <c r="K33" s="36">
        <f>+J33-((J33*0.107*0.125)+(J33*(1-0.107)*0.26))</f>
        <v>0.49343926441779096</v>
      </c>
      <c r="L33" s="71">
        <f t="shared" si="0"/>
        <v>0.73006353841683524</v>
      </c>
      <c r="M33" s="42" t="s">
        <v>247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</row>
    <row r="34" spans="1:207" s="23" customFormat="1" ht="26.25" customHeight="1">
      <c r="A34" s="43" t="s">
        <v>258</v>
      </c>
      <c r="B34" s="43" t="s">
        <v>259</v>
      </c>
      <c r="C34" s="9" t="s">
        <v>18</v>
      </c>
      <c r="D34" s="40">
        <v>44252</v>
      </c>
      <c r="E34" s="41">
        <v>44253</v>
      </c>
      <c r="F34" s="41">
        <v>44260</v>
      </c>
      <c r="G34" s="60">
        <v>0.05</v>
      </c>
      <c r="H34" s="70">
        <v>1.1817489999999999</v>
      </c>
      <c r="I34" s="70">
        <v>0</v>
      </c>
      <c r="J34" s="70">
        <v>1.1817489999999999</v>
      </c>
      <c r="K34" s="36">
        <f>+J34-((J34*0.091*0.125)+(J34*(1-0.091)*0.26))</f>
        <v>0.88901204646499998</v>
      </c>
      <c r="L34" s="71">
        <v>0.95283163666131765</v>
      </c>
      <c r="M34" s="42" t="s">
        <v>247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</row>
    <row r="35" spans="1:207" s="23" customFormat="1" ht="26.25" customHeight="1">
      <c r="A35" s="43" t="s">
        <v>500</v>
      </c>
      <c r="B35" s="43" t="s">
        <v>423</v>
      </c>
      <c r="C35" s="9" t="s">
        <v>18</v>
      </c>
      <c r="D35" s="40">
        <v>44252</v>
      </c>
      <c r="E35" s="41">
        <v>44253</v>
      </c>
      <c r="F35" s="41">
        <v>44260</v>
      </c>
      <c r="G35" s="60">
        <v>0.05</v>
      </c>
      <c r="H35" s="70">
        <v>1.21417</v>
      </c>
      <c r="I35" s="70">
        <v>0</v>
      </c>
      <c r="J35" s="70">
        <v>1.21417</v>
      </c>
      <c r="K35" s="36">
        <f>+J35-((J35*0.091*0.125)+(J35*(1-0.091)*0.26))</f>
        <v>0.91340187844999998</v>
      </c>
      <c r="L35" s="71">
        <v>0.90528529332999996</v>
      </c>
      <c r="M35" s="42" t="s">
        <v>247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</row>
    <row r="36" spans="1:207" s="23" customFormat="1" ht="26.25" customHeight="1">
      <c r="A36" s="43" t="s">
        <v>260</v>
      </c>
      <c r="B36" s="43" t="s">
        <v>415</v>
      </c>
      <c r="C36" s="9" t="s">
        <v>18</v>
      </c>
      <c r="D36" s="40">
        <v>44252</v>
      </c>
      <c r="E36" s="41">
        <v>44253</v>
      </c>
      <c r="F36" s="41">
        <v>44260</v>
      </c>
      <c r="G36" s="60"/>
      <c r="H36" s="70">
        <v>6.1164000000000003E-2</v>
      </c>
      <c r="I36" s="70">
        <v>0</v>
      </c>
      <c r="J36" s="70">
        <v>6.1164000000000003E-2</v>
      </c>
      <c r="K36" s="36">
        <f>+J36-((J36*0.091*0.125)+(J36*(1-0.091)*0.26))</f>
        <v>4.6012759740000006E-2</v>
      </c>
      <c r="L36" s="71">
        <f>I36+K36</f>
        <v>4.6012759740000006E-2</v>
      </c>
      <c r="M36" s="42" t="s">
        <v>416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</row>
    <row r="37" spans="1:207" s="23" customFormat="1" ht="26.25" customHeight="1">
      <c r="A37" s="43" t="s">
        <v>261</v>
      </c>
      <c r="B37" s="43" t="s">
        <v>262</v>
      </c>
      <c r="C37" s="9" t="s">
        <v>18</v>
      </c>
      <c r="D37" s="40">
        <v>44252</v>
      </c>
      <c r="E37" s="41">
        <v>44253</v>
      </c>
      <c r="F37" s="41">
        <v>44260</v>
      </c>
      <c r="G37" s="60">
        <v>0.05</v>
      </c>
      <c r="H37" s="70">
        <v>0.99596499999999999</v>
      </c>
      <c r="I37" s="70">
        <v>0</v>
      </c>
      <c r="J37" s="70">
        <v>0.99596499999999999</v>
      </c>
      <c r="K37" s="36">
        <f>+J37-((J37*0.091*0.125)+(J37*(1-0.091)*0.26))</f>
        <v>0.74924953002499994</v>
      </c>
      <c r="L37" s="71">
        <v>0.75350801178934756</v>
      </c>
      <c r="M37" s="42" t="s">
        <v>247</v>
      </c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</row>
    <row r="38" spans="1:207" s="30" customFormat="1">
      <c r="A38" s="43" t="s">
        <v>263</v>
      </c>
      <c r="B38" s="43" t="s">
        <v>264</v>
      </c>
      <c r="C38" s="9" t="s">
        <v>18</v>
      </c>
      <c r="D38" s="40">
        <v>44252</v>
      </c>
      <c r="E38" s="41">
        <v>44253</v>
      </c>
      <c r="F38" s="41">
        <v>44260</v>
      </c>
      <c r="G38" s="60">
        <v>0.05</v>
      </c>
      <c r="H38" s="70">
        <v>0.94377200000000006</v>
      </c>
      <c r="I38" s="70">
        <v>0</v>
      </c>
      <c r="J38" s="70">
        <v>0.94377200000000006</v>
      </c>
      <c r="K38" s="36">
        <f>+J38-((J38*0.091*0.125)+(J38*(1-0.091)*0.26))</f>
        <v>0.70998551902000007</v>
      </c>
      <c r="L38" s="71">
        <v>0.72381657337608429</v>
      </c>
      <c r="M38" s="42" t="s">
        <v>247</v>
      </c>
    </row>
    <row r="39" spans="1:207" s="30" customFormat="1">
      <c r="A39" s="43" t="s">
        <v>266</v>
      </c>
      <c r="B39" s="43" t="s">
        <v>268</v>
      </c>
      <c r="C39" s="9" t="s">
        <v>18</v>
      </c>
      <c r="D39" s="40">
        <v>44252</v>
      </c>
      <c r="E39" s="41">
        <v>44253</v>
      </c>
      <c r="F39" s="41">
        <v>44260</v>
      </c>
      <c r="G39" s="60">
        <v>0.04</v>
      </c>
      <c r="H39" s="70">
        <v>1.2240009999999999</v>
      </c>
      <c r="I39" s="70">
        <v>0</v>
      </c>
      <c r="J39" s="70">
        <v>1.2240009999999999</v>
      </c>
      <c r="K39" s="36">
        <f>+J39-((J39*0.097*0.125)+(J39*(1-0.097)*0.26))</f>
        <v>0.92178903309499993</v>
      </c>
      <c r="L39" s="71">
        <f>I39+K39</f>
        <v>0.92178903309499993</v>
      </c>
      <c r="M39" s="42" t="s">
        <v>247</v>
      </c>
    </row>
    <row r="40" spans="1:207" s="30" customFormat="1">
      <c r="A40" s="43" t="s">
        <v>265</v>
      </c>
      <c r="B40" s="43" t="s">
        <v>267</v>
      </c>
      <c r="C40" s="9" t="s">
        <v>18</v>
      </c>
      <c r="D40" s="40">
        <v>44252</v>
      </c>
      <c r="E40" s="41">
        <v>44253</v>
      </c>
      <c r="F40" s="41">
        <v>44260</v>
      </c>
      <c r="G40" s="60">
        <v>0.04</v>
      </c>
      <c r="H40" s="70">
        <v>0.91295899999999996</v>
      </c>
      <c r="I40" s="70">
        <v>0</v>
      </c>
      <c r="J40" s="70">
        <v>0.91295899999999996</v>
      </c>
      <c r="K40" s="36">
        <f>+J40-((J40*0.097*0.125)+(J40*(1-0.097)*0.26))</f>
        <v>0.68754485810499999</v>
      </c>
      <c r="L40" s="71">
        <f>I40+K40</f>
        <v>0.68754485810499999</v>
      </c>
      <c r="M40" s="42" t="s">
        <v>247</v>
      </c>
    </row>
    <row r="41" spans="1:207" s="30" customFormat="1">
      <c r="A41" s="43" t="s">
        <v>258</v>
      </c>
      <c r="B41" s="43" t="s">
        <v>259</v>
      </c>
      <c r="C41" s="9" t="s">
        <v>18</v>
      </c>
      <c r="D41" s="40">
        <v>44344</v>
      </c>
      <c r="E41" s="41">
        <v>44347</v>
      </c>
      <c r="F41" s="41">
        <v>44354</v>
      </c>
      <c r="G41" s="60">
        <v>0.05</v>
      </c>
      <c r="H41" s="70">
        <v>1.2665139999999999</v>
      </c>
      <c r="I41" s="70">
        <v>0</v>
      </c>
      <c r="J41" s="70">
        <v>1.2665139999999999</v>
      </c>
      <c r="K41" s="36">
        <f>+J41-((J41*0.091*0.125)+(J41*(1-0.091)*0.26))</f>
        <v>0.95277948448999994</v>
      </c>
      <c r="L41" s="71">
        <v>0.95283163666131765</v>
      </c>
      <c r="M41" s="42" t="s">
        <v>247</v>
      </c>
    </row>
    <row r="42" spans="1:207" s="30" customFormat="1">
      <c r="A42" s="43" t="s">
        <v>500</v>
      </c>
      <c r="B42" s="43" t="s">
        <v>423</v>
      </c>
      <c r="C42" s="9" t="s">
        <v>18</v>
      </c>
      <c r="D42" s="40">
        <v>44344</v>
      </c>
      <c r="E42" s="41">
        <v>44347</v>
      </c>
      <c r="F42" s="41">
        <v>44354</v>
      </c>
      <c r="G42" s="60">
        <v>0.05</v>
      </c>
      <c r="H42" s="70">
        <v>1.3071729999999999</v>
      </c>
      <c r="I42" s="70">
        <v>0</v>
      </c>
      <c r="J42" s="70">
        <v>1.3071729999999999</v>
      </c>
      <c r="K42" s="36">
        <f>+J42-((J42*0.091*0.125)+(J42*(1-0.091)*0.26))</f>
        <v>0.98336664030499987</v>
      </c>
      <c r="L42" s="71">
        <v>0.90528529332999996</v>
      </c>
      <c r="M42" s="42" t="s">
        <v>247</v>
      </c>
    </row>
    <row r="43" spans="1:207" s="30" customFormat="1">
      <c r="A43" s="43" t="s">
        <v>260</v>
      </c>
      <c r="B43" s="43" t="s">
        <v>415</v>
      </c>
      <c r="C43" s="9" t="s">
        <v>18</v>
      </c>
      <c r="D43" s="40">
        <v>44344</v>
      </c>
      <c r="E43" s="41">
        <v>44347</v>
      </c>
      <c r="F43" s="41">
        <v>44354</v>
      </c>
      <c r="G43" s="60"/>
      <c r="H43" s="70">
        <v>0.57083026999999997</v>
      </c>
      <c r="I43" s="70">
        <v>0</v>
      </c>
      <c r="J43" s="70">
        <v>0.57083026999999997</v>
      </c>
      <c r="K43" s="36">
        <f>+J43-((J43*0.091*0.125)+(J43*(1-0.091)*0.26))</f>
        <v>0.42942704966694994</v>
      </c>
      <c r="L43" s="71">
        <f>I43+K43</f>
        <v>0.42942704966694994</v>
      </c>
      <c r="M43" s="42" t="s">
        <v>416</v>
      </c>
    </row>
    <row r="44" spans="1:207" s="30" customFormat="1">
      <c r="A44" s="43" t="s">
        <v>261</v>
      </c>
      <c r="B44" s="43" t="s">
        <v>262</v>
      </c>
      <c r="C44" s="9" t="s">
        <v>18</v>
      </c>
      <c r="D44" s="40">
        <v>44344</v>
      </c>
      <c r="E44" s="41">
        <v>44347</v>
      </c>
      <c r="F44" s="41">
        <v>44354</v>
      </c>
      <c r="G44" s="60">
        <v>0.05</v>
      </c>
      <c r="H44" s="70">
        <v>1.0650679999999999</v>
      </c>
      <c r="I44" s="70">
        <v>0</v>
      </c>
      <c r="J44" s="70">
        <v>1.0650679999999999</v>
      </c>
      <c r="K44" s="36">
        <f>+J44-((J44*0.091*0.125)+(J44*(1-0.091)*0.26))</f>
        <v>0.8012346803799999</v>
      </c>
      <c r="L44" s="71">
        <v>0.75350801178934756</v>
      </c>
      <c r="M44" s="42" t="s">
        <v>247</v>
      </c>
    </row>
    <row r="45" spans="1:207" s="30" customFormat="1">
      <c r="A45" s="43" t="s">
        <v>263</v>
      </c>
      <c r="B45" s="43" t="s">
        <v>264</v>
      </c>
      <c r="C45" s="9" t="s">
        <v>18</v>
      </c>
      <c r="D45" s="40">
        <v>44344</v>
      </c>
      <c r="E45" s="41">
        <v>44347</v>
      </c>
      <c r="F45" s="41">
        <v>44354</v>
      </c>
      <c r="G45" s="60">
        <v>0.05</v>
      </c>
      <c r="H45" s="70">
        <v>1.0140020000000001</v>
      </c>
      <c r="I45" s="70">
        <v>0</v>
      </c>
      <c r="J45" s="70">
        <v>1.0140020000000001</v>
      </c>
      <c r="K45" s="36">
        <f>+J45-((J45*0.091*0.125)+(J45*(1-0.091)*0.26))</f>
        <v>0.76281849457000006</v>
      </c>
      <c r="L45" s="71">
        <v>0.72381657337608429</v>
      </c>
      <c r="M45" s="42" t="s">
        <v>247</v>
      </c>
    </row>
    <row r="46" spans="1:207" s="30" customFormat="1">
      <c r="A46" s="43" t="s">
        <v>266</v>
      </c>
      <c r="B46" s="43" t="s">
        <v>268</v>
      </c>
      <c r="C46" s="9" t="s">
        <v>18</v>
      </c>
      <c r="D46" s="40">
        <v>44344</v>
      </c>
      <c r="E46" s="41">
        <v>44347</v>
      </c>
      <c r="F46" s="41">
        <v>44354</v>
      </c>
      <c r="G46" s="60">
        <v>0.04</v>
      </c>
      <c r="H46" s="70">
        <v>1.3250930000000001</v>
      </c>
      <c r="I46" s="70">
        <v>0</v>
      </c>
      <c r="J46" s="70">
        <v>1.3250930000000001</v>
      </c>
      <c r="K46" s="36">
        <f>+J46-((J46*0.097*0.125)+(J46*(1-0.097)*0.26))</f>
        <v>0.99792091283499995</v>
      </c>
      <c r="L46" s="71">
        <f>I46+K46</f>
        <v>0.99792091283499995</v>
      </c>
      <c r="M46" s="42" t="s">
        <v>247</v>
      </c>
    </row>
    <row r="47" spans="1:207" s="30" customFormat="1">
      <c r="A47" s="43" t="s">
        <v>265</v>
      </c>
      <c r="B47" s="43" t="s">
        <v>267</v>
      </c>
      <c r="C47" s="9" t="s">
        <v>18</v>
      </c>
      <c r="D47" s="40">
        <v>44344</v>
      </c>
      <c r="E47" s="41">
        <v>44347</v>
      </c>
      <c r="F47" s="41">
        <v>44354</v>
      </c>
      <c r="G47" s="60">
        <v>0.04</v>
      </c>
      <c r="H47" s="70">
        <v>0.99295699999999998</v>
      </c>
      <c r="I47" s="70">
        <v>0</v>
      </c>
      <c r="J47" s="70">
        <v>0.99295699999999998</v>
      </c>
      <c r="K47" s="36">
        <f>+J47-((J47*0.097*0.125)+(J47*(1-0.097)*0.26))</f>
        <v>0.74779095191499989</v>
      </c>
      <c r="L47" s="71">
        <f>I47+K47</f>
        <v>0.74779095191499989</v>
      </c>
      <c r="M47" s="42" t="s">
        <v>247</v>
      </c>
    </row>
    <row r="48" spans="1:207">
      <c r="A48" s="43" t="s">
        <v>258</v>
      </c>
      <c r="B48" s="43" t="s">
        <v>259</v>
      </c>
      <c r="C48" s="9" t="s">
        <v>18</v>
      </c>
      <c r="D48" s="40">
        <v>44438</v>
      </c>
      <c r="E48" s="41">
        <v>44439</v>
      </c>
      <c r="F48" s="41">
        <v>44446</v>
      </c>
      <c r="G48" s="60">
        <v>0.05</v>
      </c>
      <c r="H48" s="70">
        <v>1.276257</v>
      </c>
      <c r="I48" s="70">
        <v>0</v>
      </c>
      <c r="J48" s="70">
        <v>1.276257</v>
      </c>
      <c r="K48" s="36">
        <f>+J48-((J48*0.058*0.125)+(J48*(1-0.058)*0.26))</f>
        <v>0.95442327231000001</v>
      </c>
      <c r="L48" s="71">
        <v>0.95283163666131765</v>
      </c>
      <c r="M48" s="42" t="s">
        <v>247</v>
      </c>
    </row>
    <row r="49" spans="1:13">
      <c r="A49" s="43" t="s">
        <v>500</v>
      </c>
      <c r="B49" s="43" t="s">
        <v>423</v>
      </c>
      <c r="C49" s="9" t="s">
        <v>18</v>
      </c>
      <c r="D49" s="40">
        <v>44438</v>
      </c>
      <c r="E49" s="41">
        <v>44439</v>
      </c>
      <c r="F49" s="41">
        <v>44446</v>
      </c>
      <c r="G49" s="60">
        <v>0.05</v>
      </c>
      <c r="H49" s="70">
        <v>1.2696670000000001</v>
      </c>
      <c r="I49" s="70">
        <v>0</v>
      </c>
      <c r="J49" s="70">
        <v>1.2696670000000001</v>
      </c>
      <c r="K49" s="36">
        <f>+J49-((J49*0.058*0.125)+(J49*(1-0.058)*0.26))</f>
        <v>0.94949507260999999</v>
      </c>
      <c r="L49" s="71">
        <v>0.90528529332999996</v>
      </c>
      <c r="M49" s="42" t="s">
        <v>247</v>
      </c>
    </row>
    <row r="50" spans="1:13">
      <c r="A50" s="43" t="s">
        <v>260</v>
      </c>
      <c r="B50" s="43" t="s">
        <v>415</v>
      </c>
      <c r="C50" s="9" t="s">
        <v>18</v>
      </c>
      <c r="D50" s="40">
        <v>44438</v>
      </c>
      <c r="E50" s="41">
        <v>44439</v>
      </c>
      <c r="F50" s="41">
        <v>44446</v>
      </c>
      <c r="G50" s="60"/>
      <c r="H50" s="70">
        <v>6.702466E-2</v>
      </c>
      <c r="I50" s="70">
        <v>0</v>
      </c>
      <c r="J50" s="70">
        <v>6.702466E-2</v>
      </c>
      <c r="K50" s="36">
        <f>+J50-((J50*0.058*0.125)+(J50*(1-0.058)*0.26))</f>
        <v>5.0123051487800004E-2</v>
      </c>
      <c r="L50" s="71">
        <f>I50+K50</f>
        <v>5.0123051487800004E-2</v>
      </c>
      <c r="M50" s="42" t="s">
        <v>416</v>
      </c>
    </row>
    <row r="51" spans="1:13">
      <c r="A51" s="43" t="s">
        <v>261</v>
      </c>
      <c r="B51" s="43" t="s">
        <v>262</v>
      </c>
      <c r="C51" s="9" t="s">
        <v>18</v>
      </c>
      <c r="D51" s="40">
        <v>44438</v>
      </c>
      <c r="E51" s="41">
        <v>44439</v>
      </c>
      <c r="F51" s="41">
        <v>44446</v>
      </c>
      <c r="G51" s="60">
        <v>0.05</v>
      </c>
      <c r="H51" s="70">
        <v>1.070983</v>
      </c>
      <c r="I51" s="70">
        <v>0</v>
      </c>
      <c r="J51" s="70">
        <v>1.070983</v>
      </c>
      <c r="K51" s="36">
        <f>+J51-((J51*0.058*0.125)+(J51*(1-0.058)*0.26))</f>
        <v>0.80091321688999995</v>
      </c>
      <c r="L51" s="71">
        <v>0.75350801178934756</v>
      </c>
      <c r="M51" s="42" t="s">
        <v>247</v>
      </c>
    </row>
    <row r="52" spans="1:13">
      <c r="A52" s="43" t="s">
        <v>263</v>
      </c>
      <c r="B52" s="43" t="s">
        <v>264</v>
      </c>
      <c r="C52" s="9" t="s">
        <v>18</v>
      </c>
      <c r="D52" s="40">
        <v>44438</v>
      </c>
      <c r="E52" s="41">
        <v>44439</v>
      </c>
      <c r="F52" s="41">
        <v>44446</v>
      </c>
      <c r="G52" s="60">
        <v>0.05</v>
      </c>
      <c r="H52" s="70">
        <v>0.98282099999999994</v>
      </c>
      <c r="I52" s="70">
        <v>0</v>
      </c>
      <c r="J52" s="70">
        <v>0.98282099999999994</v>
      </c>
      <c r="K52" s="36">
        <f>+J52-((J52*0.058*0.125)+(J52*(1-0.058)*0.26))</f>
        <v>0.73498302842999996</v>
      </c>
      <c r="L52" s="71">
        <v>0.72381657337608429</v>
      </c>
      <c r="M52" s="42" t="s">
        <v>247</v>
      </c>
    </row>
    <row r="53" spans="1:13">
      <c r="A53" s="43" t="s">
        <v>266</v>
      </c>
      <c r="B53" s="43" t="s">
        <v>268</v>
      </c>
      <c r="C53" s="9" t="s">
        <v>18</v>
      </c>
      <c r="D53" s="40">
        <v>44438</v>
      </c>
      <c r="E53" s="41">
        <v>44439</v>
      </c>
      <c r="F53" s="41">
        <v>44446</v>
      </c>
      <c r="G53" s="60">
        <v>0.04</v>
      </c>
      <c r="H53" s="70">
        <v>1.3430519999999999</v>
      </c>
      <c r="I53" s="70">
        <v>0</v>
      </c>
      <c r="J53" s="70">
        <v>1.3430519999999999</v>
      </c>
      <c r="K53" s="36">
        <f>+J53-((J53*0.073*0.125)+(J53*(1-0.073)*0.26))</f>
        <v>1.0070942574599999</v>
      </c>
      <c r="L53" s="71">
        <f>I53+K53</f>
        <v>1.0070942574599999</v>
      </c>
      <c r="M53" s="42" t="s">
        <v>247</v>
      </c>
    </row>
    <row r="54" spans="1:13">
      <c r="A54" s="43" t="s">
        <v>265</v>
      </c>
      <c r="B54" s="43" t="s">
        <v>267</v>
      </c>
      <c r="C54" s="9" t="s">
        <v>18</v>
      </c>
      <c r="D54" s="40">
        <v>44438</v>
      </c>
      <c r="E54" s="41">
        <v>44439</v>
      </c>
      <c r="F54" s="41">
        <v>44446</v>
      </c>
      <c r="G54" s="60">
        <v>0.04</v>
      </c>
      <c r="H54" s="70">
        <v>0.97</v>
      </c>
      <c r="I54" s="70">
        <v>0</v>
      </c>
      <c r="J54" s="70">
        <v>0.97</v>
      </c>
      <c r="K54" s="36">
        <f>+J54-((J54*0.073*0.125)+(J54*(1-0.073)*0.26))</f>
        <v>0.72735934999999996</v>
      </c>
      <c r="L54" s="71">
        <f>I54+K54</f>
        <v>0.72735934999999996</v>
      </c>
      <c r="M54" s="42" t="s">
        <v>247</v>
      </c>
    </row>
    <row r="55" spans="1:13">
      <c r="A55" s="43" t="s">
        <v>258</v>
      </c>
      <c r="B55" s="43" t="s">
        <v>259</v>
      </c>
      <c r="C55" s="9" t="s">
        <v>18</v>
      </c>
      <c r="D55" s="40">
        <v>44529</v>
      </c>
      <c r="E55" s="41">
        <v>44530</v>
      </c>
      <c r="F55" s="41">
        <v>44537</v>
      </c>
      <c r="G55" s="60">
        <v>0.05</v>
      </c>
      <c r="H55" s="70">
        <v>1.278384</v>
      </c>
      <c r="I55" s="70">
        <v>0</v>
      </c>
      <c r="J55" s="70">
        <v>1.278384</v>
      </c>
      <c r="K55" s="36">
        <f>+J55-((J55*0.058*0.125)+(J55*(1-0.058)*0.26))</f>
        <v>0.95601390671999997</v>
      </c>
      <c r="L55" s="71">
        <v>0.95283163666131765</v>
      </c>
      <c r="M55" s="42" t="s">
        <v>247</v>
      </c>
    </row>
    <row r="56" spans="1:13">
      <c r="A56" s="43" t="s">
        <v>500</v>
      </c>
      <c r="B56" s="43" t="s">
        <v>423</v>
      </c>
      <c r="C56" s="9" t="s">
        <v>18</v>
      </c>
      <c r="D56" s="40">
        <v>44529</v>
      </c>
      <c r="E56" s="41">
        <v>44530</v>
      </c>
      <c r="F56" s="41">
        <v>44537</v>
      </c>
      <c r="G56" s="60">
        <v>0.05</v>
      </c>
      <c r="H56" s="70">
        <v>1.210375</v>
      </c>
      <c r="I56" s="70">
        <v>0</v>
      </c>
      <c r="J56" s="70">
        <v>1.210375</v>
      </c>
      <c r="K56" s="36">
        <f>+J56-((J56*0.058*0.125)+(J56*(1-0.058)*0.26))</f>
        <v>0.90515473625000009</v>
      </c>
      <c r="L56" s="71">
        <v>0.90528529332999996</v>
      </c>
      <c r="M56" s="42" t="s">
        <v>247</v>
      </c>
    </row>
    <row r="57" spans="1:13">
      <c r="A57" s="43" t="s">
        <v>260</v>
      </c>
      <c r="B57" s="43" t="s">
        <v>415</v>
      </c>
      <c r="C57" s="9" t="s">
        <v>18</v>
      </c>
      <c r="D57" s="40">
        <v>44529</v>
      </c>
      <c r="E57" s="41">
        <v>44530</v>
      </c>
      <c r="F57" s="41">
        <v>44537</v>
      </c>
      <c r="G57" s="60"/>
      <c r="H57" s="70">
        <v>0.1801381</v>
      </c>
      <c r="I57" s="70">
        <v>0</v>
      </c>
      <c r="J57" s="70">
        <v>0.1801381</v>
      </c>
      <c r="K57" s="36">
        <f>+J57-((J57*0.058*0.125)+(J57*(1-0.058)*0.26))</f>
        <v>0.13471267532299999</v>
      </c>
      <c r="L57" s="71">
        <f>I57+K57</f>
        <v>0.13471267532299999</v>
      </c>
      <c r="M57" s="42" t="s">
        <v>416</v>
      </c>
    </row>
    <row r="58" spans="1:13">
      <c r="A58" s="43" t="s">
        <v>261</v>
      </c>
      <c r="B58" s="43" t="s">
        <v>262</v>
      </c>
      <c r="C58" s="9" t="s">
        <v>18</v>
      </c>
      <c r="D58" s="40">
        <v>44529</v>
      </c>
      <c r="E58" s="41">
        <v>44530</v>
      </c>
      <c r="F58" s="41">
        <v>44537</v>
      </c>
      <c r="G58" s="60">
        <v>0.05</v>
      </c>
      <c r="H58" s="70">
        <v>1.07009</v>
      </c>
      <c r="I58" s="70">
        <v>0</v>
      </c>
      <c r="J58" s="70">
        <v>1.07009</v>
      </c>
      <c r="K58" s="36">
        <f>+J58-((J58*0.058*0.125)+(J58*(1-0.058)*0.26))</f>
        <v>0.80024540470000005</v>
      </c>
      <c r="L58" s="71">
        <v>0.75350801178934756</v>
      </c>
      <c r="M58" s="42" t="s">
        <v>247</v>
      </c>
    </row>
    <row r="59" spans="1:13">
      <c r="A59" s="43" t="s">
        <v>263</v>
      </c>
      <c r="B59" s="43" t="s">
        <v>264</v>
      </c>
      <c r="C59" s="9" t="s">
        <v>18</v>
      </c>
      <c r="D59" s="40">
        <v>44529</v>
      </c>
      <c r="E59" s="41">
        <v>44530</v>
      </c>
      <c r="F59" s="41">
        <v>44537</v>
      </c>
      <c r="G59" s="60">
        <v>0.05</v>
      </c>
      <c r="H59" s="70">
        <v>0.93456300000000003</v>
      </c>
      <c r="I59" s="70">
        <v>0</v>
      </c>
      <c r="J59" s="70">
        <v>0.93456300000000003</v>
      </c>
      <c r="K59" s="36">
        <f>+J59-((J59*0.058*0.125)+(J59*(1-0.058)*0.26))</f>
        <v>0.69889424829000002</v>
      </c>
      <c r="L59" s="71">
        <v>0.72381657337608429</v>
      </c>
      <c r="M59" s="42" t="s">
        <v>247</v>
      </c>
    </row>
    <row r="60" spans="1:13">
      <c r="A60" s="43" t="s">
        <v>266</v>
      </c>
      <c r="B60" s="43" t="s">
        <v>268</v>
      </c>
      <c r="C60" s="9" t="s">
        <v>18</v>
      </c>
      <c r="D60" s="40">
        <v>44529</v>
      </c>
      <c r="E60" s="41">
        <v>44530</v>
      </c>
      <c r="F60" s="41">
        <v>44537</v>
      </c>
      <c r="G60" s="60">
        <v>0.04</v>
      </c>
      <c r="H60" s="70">
        <v>1.3446089999999999</v>
      </c>
      <c r="I60" s="70">
        <v>0</v>
      </c>
      <c r="J60" s="70">
        <v>1.3446089999999999</v>
      </c>
      <c r="K60" s="36">
        <f>+J60-((J60*0.073*0.125)+(J60*(1-0.073)*0.26))</f>
        <v>1.0082617816949999</v>
      </c>
      <c r="L60" s="71">
        <f t="shared" ref="L60:L91" si="1">I60+K60</f>
        <v>1.0082617816949999</v>
      </c>
      <c r="M60" s="42" t="s">
        <v>247</v>
      </c>
    </row>
    <row r="61" spans="1:13">
      <c r="A61" s="43" t="s">
        <v>265</v>
      </c>
      <c r="B61" s="43" t="s">
        <v>267</v>
      </c>
      <c r="C61" s="9" t="s">
        <v>18</v>
      </c>
      <c r="D61" s="40">
        <v>44529</v>
      </c>
      <c r="E61" s="41">
        <v>44530</v>
      </c>
      <c r="F61" s="41">
        <v>44537</v>
      </c>
      <c r="G61" s="60">
        <v>0.04</v>
      </c>
      <c r="H61" s="70">
        <v>0.92421699999999996</v>
      </c>
      <c r="I61" s="70">
        <v>0</v>
      </c>
      <c r="J61" s="70">
        <v>0.92421699999999996</v>
      </c>
      <c r="K61" s="36">
        <f>+J61-((J61*0.073*0.125)+(J61*(1-0.073)*0.26))</f>
        <v>0.69302873853499991</v>
      </c>
      <c r="L61" s="71">
        <f t="shared" si="1"/>
        <v>0.69302873853499991</v>
      </c>
      <c r="M61" s="42" t="s">
        <v>247</v>
      </c>
    </row>
    <row r="62" spans="1:13">
      <c r="A62" s="43" t="s">
        <v>258</v>
      </c>
      <c r="B62" s="43" t="s">
        <v>259</v>
      </c>
      <c r="C62" s="9" t="s">
        <v>18</v>
      </c>
      <c r="D62" s="40">
        <v>44617</v>
      </c>
      <c r="E62" s="41">
        <v>44620</v>
      </c>
      <c r="F62" s="41">
        <v>44627</v>
      </c>
      <c r="G62" s="60">
        <v>0.05</v>
      </c>
      <c r="H62" s="70">
        <v>1.303245</v>
      </c>
      <c r="I62" s="70">
        <v>0</v>
      </c>
      <c r="J62" s="70">
        <v>1.303245</v>
      </c>
      <c r="K62" s="36">
        <f>+J62-((J62*0.046*0.125)+(J62*(1-0.046)*0.26))</f>
        <v>0.97249445145000002</v>
      </c>
      <c r="L62" s="71">
        <f t="shared" si="1"/>
        <v>0.97249445145000002</v>
      </c>
      <c r="M62" s="42" t="s">
        <v>247</v>
      </c>
    </row>
    <row r="63" spans="1:13">
      <c r="A63" s="43" t="s">
        <v>500</v>
      </c>
      <c r="B63" s="43" t="s">
        <v>423</v>
      </c>
      <c r="C63" s="9" t="s">
        <v>18</v>
      </c>
      <c r="D63" s="40">
        <v>44617</v>
      </c>
      <c r="E63" s="41">
        <v>44620</v>
      </c>
      <c r="F63" s="41">
        <v>44627</v>
      </c>
      <c r="G63" s="60">
        <v>0.05</v>
      </c>
      <c r="H63" s="70">
        <v>1.2272460000000001</v>
      </c>
      <c r="I63" s="70">
        <v>0</v>
      </c>
      <c r="J63" s="70">
        <v>1.2272460000000001</v>
      </c>
      <c r="K63" s="36">
        <f>+J63-((J63*0.046*0.125)+(J63*(1-0.046)*0.26))</f>
        <v>0.91578323766000014</v>
      </c>
      <c r="L63" s="71">
        <f t="shared" si="1"/>
        <v>0.91578323766000014</v>
      </c>
      <c r="M63" s="42" t="s">
        <v>247</v>
      </c>
    </row>
    <row r="64" spans="1:13">
      <c r="A64" s="43" t="s">
        <v>260</v>
      </c>
      <c r="B64" s="43" t="s">
        <v>415</v>
      </c>
      <c r="C64" s="9" t="s">
        <v>18</v>
      </c>
      <c r="D64" s="40">
        <v>44617</v>
      </c>
      <c r="E64" s="41">
        <v>44620</v>
      </c>
      <c r="F64" s="41">
        <v>44627</v>
      </c>
      <c r="G64" s="60"/>
      <c r="H64" s="70">
        <v>0</v>
      </c>
      <c r="I64" s="70">
        <v>0</v>
      </c>
      <c r="J64" s="70">
        <v>0</v>
      </c>
      <c r="K64" s="36">
        <f>+J64-((J64*0.046*0.125)+(J64*(1-0.046)*0.26))</f>
        <v>0</v>
      </c>
      <c r="L64" s="71">
        <f t="shared" si="1"/>
        <v>0</v>
      </c>
      <c r="M64" s="42" t="s">
        <v>416</v>
      </c>
    </row>
    <row r="65" spans="1:14">
      <c r="A65" s="43" t="s">
        <v>261</v>
      </c>
      <c r="B65" s="43" t="s">
        <v>262</v>
      </c>
      <c r="C65" s="9" t="s">
        <v>18</v>
      </c>
      <c r="D65" s="40">
        <v>44617</v>
      </c>
      <c r="E65" s="41">
        <v>44620</v>
      </c>
      <c r="F65" s="41">
        <v>44627</v>
      </c>
      <c r="G65" s="60">
        <v>0.05</v>
      </c>
      <c r="H65" s="70">
        <v>1.0882320000000001</v>
      </c>
      <c r="I65" s="70">
        <v>0</v>
      </c>
      <c r="J65" s="70">
        <v>1.0882320000000001</v>
      </c>
      <c r="K65" s="36">
        <f>+J65-((J65*0.046*0.125)+(J65*(1-0.046)*0.26))</f>
        <v>0.81204960071999999</v>
      </c>
      <c r="L65" s="71">
        <f t="shared" si="1"/>
        <v>0.81204960071999999</v>
      </c>
      <c r="M65" s="42" t="s">
        <v>247</v>
      </c>
    </row>
    <row r="66" spans="1:14">
      <c r="A66" s="43" t="s">
        <v>263</v>
      </c>
      <c r="B66" s="43" t="s">
        <v>264</v>
      </c>
      <c r="C66" s="9" t="s">
        <v>18</v>
      </c>
      <c r="D66" s="40">
        <v>44617</v>
      </c>
      <c r="E66" s="41">
        <v>44620</v>
      </c>
      <c r="F66" s="41">
        <v>44627</v>
      </c>
      <c r="G66" s="60">
        <v>0.05</v>
      </c>
      <c r="H66" s="70">
        <v>0.945272</v>
      </c>
      <c r="I66" s="70">
        <v>0</v>
      </c>
      <c r="J66" s="70">
        <v>0.945272</v>
      </c>
      <c r="K66" s="36">
        <f>+J66-((J66*0.046*0.125)+(J66*(1-0.046)*0.26))</f>
        <v>0.70537141912000001</v>
      </c>
      <c r="L66" s="71">
        <f t="shared" si="1"/>
        <v>0.70537141912000001</v>
      </c>
      <c r="M66" s="42" t="s">
        <v>247</v>
      </c>
    </row>
    <row r="67" spans="1:14">
      <c r="A67" s="43" t="s">
        <v>266</v>
      </c>
      <c r="B67" s="43" t="s">
        <v>268</v>
      </c>
      <c r="C67" s="9" t="s">
        <v>18</v>
      </c>
      <c r="D67" s="40">
        <v>44617</v>
      </c>
      <c r="E67" s="41">
        <v>44620</v>
      </c>
      <c r="F67" s="41">
        <v>44627</v>
      </c>
      <c r="G67" s="60">
        <v>0.04</v>
      </c>
      <c r="H67" s="70">
        <v>1.36212</v>
      </c>
      <c r="I67" s="70">
        <v>0</v>
      </c>
      <c r="J67" s="70">
        <v>1.36212</v>
      </c>
      <c r="K67" s="36">
        <f>+J67-((J67*0.067*0.125)+(J67*(1-0.067)*0.26))</f>
        <v>1.0202891753999999</v>
      </c>
      <c r="L67" s="71">
        <f t="shared" si="1"/>
        <v>1.0202891753999999</v>
      </c>
      <c r="M67" s="42" t="s">
        <v>247</v>
      </c>
    </row>
    <row r="68" spans="1:14">
      <c r="A68" s="43" t="s">
        <v>265</v>
      </c>
      <c r="B68" s="43" t="s">
        <v>267</v>
      </c>
      <c r="C68" s="9" t="s">
        <v>18</v>
      </c>
      <c r="D68" s="40">
        <v>44617</v>
      </c>
      <c r="E68" s="41">
        <v>44620</v>
      </c>
      <c r="F68" s="41">
        <v>44627</v>
      </c>
      <c r="G68" s="60">
        <v>0.04</v>
      </c>
      <c r="H68" s="70">
        <v>0.93115400000000004</v>
      </c>
      <c r="I68" s="70">
        <v>0</v>
      </c>
      <c r="J68" s="70">
        <v>0.93115400000000004</v>
      </c>
      <c r="K68" s="36">
        <f>+J68-((J68*0.067*0.125)+(J68*(1-0.067)*0.26))</f>
        <v>0.69747624793000007</v>
      </c>
      <c r="L68" s="71">
        <f t="shared" si="1"/>
        <v>0.69747624793000007</v>
      </c>
      <c r="M68" s="42" t="s">
        <v>247</v>
      </c>
    </row>
    <row r="69" spans="1:14">
      <c r="A69" s="43" t="s">
        <v>258</v>
      </c>
      <c r="B69" s="43" t="s">
        <v>259</v>
      </c>
      <c r="C69" s="9" t="s">
        <v>18</v>
      </c>
      <c r="D69" s="40">
        <v>44711</v>
      </c>
      <c r="E69" s="41">
        <v>44712</v>
      </c>
      <c r="F69" s="41">
        <v>44719</v>
      </c>
      <c r="G69" s="60">
        <v>0.05</v>
      </c>
      <c r="H69" s="70">
        <v>1.3232710000000001</v>
      </c>
      <c r="I69" s="70">
        <v>0.37004311287273906</v>
      </c>
      <c r="J69" s="70">
        <v>0.95322788712726103</v>
      </c>
      <c r="K69" s="36">
        <f>+J69-((J69*0.046*0.125)+(J69*(1-0.046)*0.26))</f>
        <v>0.7113081816532334</v>
      </c>
      <c r="L69" s="71">
        <f t="shared" si="1"/>
        <v>1.0813512945259725</v>
      </c>
      <c r="M69" s="42" t="s">
        <v>247</v>
      </c>
    </row>
    <row r="70" spans="1:14">
      <c r="A70" s="43" t="s">
        <v>500</v>
      </c>
      <c r="B70" s="43" t="s">
        <v>423</v>
      </c>
      <c r="C70" s="9" t="s">
        <v>18</v>
      </c>
      <c r="D70" s="40">
        <v>44711</v>
      </c>
      <c r="E70" s="41">
        <v>44712</v>
      </c>
      <c r="F70" s="41">
        <v>44719</v>
      </c>
      <c r="G70" s="60">
        <v>0.05</v>
      </c>
      <c r="H70" s="70">
        <v>1.181926</v>
      </c>
      <c r="I70" s="70">
        <v>0.32560538762804886</v>
      </c>
      <c r="J70" s="70">
        <v>0.85632061237195123</v>
      </c>
      <c r="K70" s="36">
        <f>+J70-((J70*0.046*0.125)+(J70*(1-0.046)*0.26))</f>
        <v>0.63899500415807375</v>
      </c>
      <c r="L70" s="71">
        <f t="shared" si="1"/>
        <v>0.96460039178612256</v>
      </c>
      <c r="M70" s="42" t="s">
        <v>247</v>
      </c>
    </row>
    <row r="71" spans="1:14">
      <c r="A71" s="43" t="s">
        <v>260</v>
      </c>
      <c r="B71" s="43" t="s">
        <v>415</v>
      </c>
      <c r="C71" s="9" t="s">
        <v>18</v>
      </c>
      <c r="D71" s="40">
        <v>44711</v>
      </c>
      <c r="E71" s="41">
        <v>44712</v>
      </c>
      <c r="F71" s="41">
        <v>44719</v>
      </c>
      <c r="G71" s="60"/>
      <c r="H71" s="70">
        <v>0.77910060999999997</v>
      </c>
      <c r="I71" s="70">
        <v>0</v>
      </c>
      <c r="J71" s="70">
        <v>0.77910060999999997</v>
      </c>
      <c r="K71" s="36">
        <f>+J71-((J71*0.046*0.125)+(J71*(1-0.046)*0.26))</f>
        <v>0.58137266618810002</v>
      </c>
      <c r="L71" s="71">
        <f t="shared" si="1"/>
        <v>0.58137266618810002</v>
      </c>
      <c r="M71" s="42" t="s">
        <v>416</v>
      </c>
    </row>
    <row r="72" spans="1:14">
      <c r="A72" s="43" t="s">
        <v>261</v>
      </c>
      <c r="B72" s="43" t="s">
        <v>262</v>
      </c>
      <c r="C72" s="9" t="s">
        <v>18</v>
      </c>
      <c r="D72" s="40">
        <v>44711</v>
      </c>
      <c r="E72" s="41">
        <v>44712</v>
      </c>
      <c r="F72" s="41">
        <v>44719</v>
      </c>
      <c r="G72" s="60">
        <v>0.05</v>
      </c>
      <c r="H72" s="70">
        <v>1.1022620000000001</v>
      </c>
      <c r="I72" s="70">
        <v>0.50928625100624747</v>
      </c>
      <c r="J72" s="70">
        <v>0.5929757489937526</v>
      </c>
      <c r="K72" s="36">
        <f>+J72-((J72*0.046*0.125)+(J72*(1-0.046)*0.26))</f>
        <v>0.44248443365662815</v>
      </c>
      <c r="L72" s="71">
        <f t="shared" si="1"/>
        <v>0.95177068466287562</v>
      </c>
      <c r="M72" s="42" t="s">
        <v>247</v>
      </c>
    </row>
    <row r="73" spans="1:14">
      <c r="A73" s="43" t="s">
        <v>263</v>
      </c>
      <c r="B73" s="43" t="s">
        <v>264</v>
      </c>
      <c r="C73" s="9" t="s">
        <v>18</v>
      </c>
      <c r="D73" s="40">
        <v>44711</v>
      </c>
      <c r="E73" s="41">
        <v>44712</v>
      </c>
      <c r="F73" s="41">
        <v>44719</v>
      </c>
      <c r="G73" s="60">
        <v>0.05</v>
      </c>
      <c r="H73" s="70">
        <v>0.90814300000000003</v>
      </c>
      <c r="I73" s="70">
        <v>0.4167429165861824</v>
      </c>
      <c r="J73" s="70">
        <v>0.49140008341381763</v>
      </c>
      <c r="K73" s="36">
        <f>+J73-((J73*0.046*0.125)+(J73*(1-0.046)*0.26))</f>
        <v>0.36668765624422484</v>
      </c>
      <c r="L73" s="71">
        <f t="shared" si="1"/>
        <v>0.78343057283040718</v>
      </c>
      <c r="M73" s="42" t="s">
        <v>247</v>
      </c>
    </row>
    <row r="74" spans="1:14">
      <c r="A74" s="43" t="s">
        <v>266</v>
      </c>
      <c r="B74" s="43" t="s">
        <v>268</v>
      </c>
      <c r="C74" s="9" t="s">
        <v>18</v>
      </c>
      <c r="D74" s="40">
        <v>44711</v>
      </c>
      <c r="E74" s="41">
        <v>44712</v>
      </c>
      <c r="F74" s="41">
        <v>44719</v>
      </c>
      <c r="G74" s="60">
        <v>0.04</v>
      </c>
      <c r="H74" s="70">
        <v>1.370584</v>
      </c>
      <c r="I74" s="70">
        <v>1.2565237180058015</v>
      </c>
      <c r="J74" s="70">
        <v>0.11406028199419839</v>
      </c>
      <c r="K74" s="36">
        <f>+J74-((J74*0.067*0.125)+(J74*(1-0.067)*0.26))</f>
        <v>8.5436283926344336E-2</v>
      </c>
      <c r="L74" s="71">
        <f t="shared" si="1"/>
        <v>1.3419600019321458</v>
      </c>
      <c r="M74" s="42" t="s">
        <v>247</v>
      </c>
    </row>
    <row r="75" spans="1:14">
      <c r="A75" s="43" t="s">
        <v>265</v>
      </c>
      <c r="B75" s="43" t="s">
        <v>267</v>
      </c>
      <c r="C75" s="9" t="s">
        <v>18</v>
      </c>
      <c r="D75" s="40">
        <v>44711</v>
      </c>
      <c r="E75" s="41">
        <v>44712</v>
      </c>
      <c r="F75" s="41">
        <v>44719</v>
      </c>
      <c r="G75" s="60">
        <v>0.04</v>
      </c>
      <c r="H75" s="70">
        <v>0.88847699999999996</v>
      </c>
      <c r="I75" s="70">
        <v>0.81407690169585112</v>
      </c>
      <c r="J75" s="70">
        <v>7.4400098304148843E-2</v>
      </c>
      <c r="K75" s="36">
        <f>+J75-((J75*0.067*0.125)+(J75*(1-0.067)*0.26))</f>
        <v>5.5729021634231171E-2</v>
      </c>
      <c r="L75" s="71">
        <f t="shared" si="1"/>
        <v>0.86980592333008233</v>
      </c>
      <c r="M75" s="42" t="s">
        <v>247</v>
      </c>
    </row>
    <row r="76" spans="1:14" s="18" customFormat="1">
      <c r="A76" s="43" t="s">
        <v>258</v>
      </c>
      <c r="B76" s="43" t="s">
        <v>259</v>
      </c>
      <c r="C76" s="9" t="s">
        <v>18</v>
      </c>
      <c r="D76" s="40">
        <v>44803</v>
      </c>
      <c r="E76" s="41">
        <v>44804</v>
      </c>
      <c r="F76" s="41">
        <v>44811</v>
      </c>
      <c r="G76" s="60">
        <v>0.05</v>
      </c>
      <c r="H76" s="70">
        <v>1.301884</v>
      </c>
      <c r="I76" s="70">
        <v>0.66405437189314376</v>
      </c>
      <c r="J76" s="70">
        <v>0.63782962810685628</v>
      </c>
      <c r="K76" s="36">
        <f>+J76-((J76*0.048*0.125)+(J76*(1-0.048)*0.26))</f>
        <v>0.47612706078920608</v>
      </c>
      <c r="L76" s="71">
        <f t="shared" si="1"/>
        <v>1.1401814326823498</v>
      </c>
      <c r="M76" s="42" t="s">
        <v>247</v>
      </c>
      <c r="N76" s="133"/>
    </row>
    <row r="77" spans="1:14" s="18" customFormat="1">
      <c r="A77" s="43" t="s">
        <v>500</v>
      </c>
      <c r="B77" s="43" t="s">
        <v>423</v>
      </c>
      <c r="C77" s="9" t="s">
        <v>18</v>
      </c>
      <c r="D77" s="40">
        <v>44803</v>
      </c>
      <c r="E77" s="41">
        <v>44804</v>
      </c>
      <c r="F77" s="41">
        <v>44811</v>
      </c>
      <c r="G77" s="60">
        <v>0.05</v>
      </c>
      <c r="H77" s="70">
        <v>1.0837619999999999</v>
      </c>
      <c r="I77" s="70">
        <v>0.51781873188446936</v>
      </c>
      <c r="J77" s="70">
        <v>0.56594326811553053</v>
      </c>
      <c r="K77" s="36">
        <f>+J77-((J77*0.048*0.125)+(J77*(1-0.048)*0.26))</f>
        <v>0.42246533078288123</v>
      </c>
      <c r="L77" s="71">
        <f t="shared" si="1"/>
        <v>0.94028406266735054</v>
      </c>
      <c r="M77" s="42" t="s">
        <v>247</v>
      </c>
      <c r="N77" s="133"/>
    </row>
    <row r="78" spans="1:14" s="18" customFormat="1">
      <c r="A78" s="43" t="s">
        <v>260</v>
      </c>
      <c r="B78" s="43" t="s">
        <v>415</v>
      </c>
      <c r="C78" s="9" t="s">
        <v>18</v>
      </c>
      <c r="D78" s="40">
        <v>44803</v>
      </c>
      <c r="E78" s="41">
        <v>44804</v>
      </c>
      <c r="F78" s="41">
        <v>44811</v>
      </c>
      <c r="G78" s="60"/>
      <c r="H78" s="70">
        <v>0.16500218999999999</v>
      </c>
      <c r="I78" s="70">
        <v>0</v>
      </c>
      <c r="J78" s="70">
        <v>0.16500218999999999</v>
      </c>
      <c r="K78" s="36">
        <f>+J78-((J78*0.048*0.125)+(J78*(1-0.048)*0.26))</f>
        <v>0.1231708347912</v>
      </c>
      <c r="L78" s="71">
        <f t="shared" si="1"/>
        <v>0.1231708347912</v>
      </c>
      <c r="M78" s="42" t="s">
        <v>416</v>
      </c>
      <c r="N78" s="133"/>
    </row>
    <row r="79" spans="1:14" s="18" customFormat="1">
      <c r="A79" s="43" t="s">
        <v>261</v>
      </c>
      <c r="B79" s="43" t="s">
        <v>262</v>
      </c>
      <c r="C79" s="9" t="s">
        <v>18</v>
      </c>
      <c r="D79" s="40">
        <v>44803</v>
      </c>
      <c r="E79" s="41">
        <v>44804</v>
      </c>
      <c r="F79" s="41">
        <v>44811</v>
      </c>
      <c r="G79" s="60">
        <v>0.05</v>
      </c>
      <c r="H79" s="70">
        <v>1.0817110000000001</v>
      </c>
      <c r="I79" s="70">
        <v>0.54388992301232131</v>
      </c>
      <c r="J79" s="70">
        <v>0.53782107698767878</v>
      </c>
      <c r="K79" s="36">
        <f>+J79-((J79*0.048*0.125)+(J79*(1-0.048)*0.26))</f>
        <v>0.40147267754976246</v>
      </c>
      <c r="L79" s="71">
        <f t="shared" si="1"/>
        <v>0.94536260056208377</v>
      </c>
      <c r="M79" s="42" t="s">
        <v>247</v>
      </c>
      <c r="N79" s="133"/>
    </row>
    <row r="80" spans="1:14" s="18" customFormat="1">
      <c r="A80" s="43" t="s">
        <v>263</v>
      </c>
      <c r="B80" s="43" t="s">
        <v>264</v>
      </c>
      <c r="C80" s="9" t="s">
        <v>18</v>
      </c>
      <c r="D80" s="40">
        <v>44803</v>
      </c>
      <c r="E80" s="41">
        <v>44804</v>
      </c>
      <c r="F80" s="41">
        <v>44811</v>
      </c>
      <c r="G80" s="60">
        <v>0.05</v>
      </c>
      <c r="H80" s="70">
        <v>0.83008000000000004</v>
      </c>
      <c r="I80" s="70">
        <v>0.3801440678838699</v>
      </c>
      <c r="J80" s="70">
        <v>0.44993593211613014</v>
      </c>
      <c r="K80" s="36">
        <f>+J80-((J80*0.048*0.125)+(J80*(1-0.048)*0.26))</f>
        <v>0.33586817460604884</v>
      </c>
      <c r="L80" s="71">
        <f t="shared" si="1"/>
        <v>0.71601224248991868</v>
      </c>
      <c r="M80" s="42" t="s">
        <v>247</v>
      </c>
      <c r="N80" s="133"/>
    </row>
    <row r="81" spans="1:14" s="18" customFormat="1">
      <c r="A81" s="43" t="s">
        <v>266</v>
      </c>
      <c r="B81" s="43" t="s">
        <v>268</v>
      </c>
      <c r="C81" s="9" t="s">
        <v>18</v>
      </c>
      <c r="D81" s="40">
        <v>44803</v>
      </c>
      <c r="E81" s="41">
        <v>44804</v>
      </c>
      <c r="F81" s="41">
        <v>44811</v>
      </c>
      <c r="G81" s="60">
        <v>0.04</v>
      </c>
      <c r="H81" s="70">
        <v>1.336643</v>
      </c>
      <c r="I81" s="70">
        <v>0.94741630607776117</v>
      </c>
      <c r="J81" s="70">
        <v>0.38922669392223874</v>
      </c>
      <c r="K81" s="36">
        <f>+J81-((J81*0.054*0.125)+(J81*(1-0.054)*0.26))</f>
        <v>0.29086521610114979</v>
      </c>
      <c r="L81" s="71">
        <f t="shared" si="1"/>
        <v>1.238281522178911</v>
      </c>
      <c r="M81" s="42" t="s">
        <v>247</v>
      </c>
      <c r="N81" s="133"/>
    </row>
    <row r="82" spans="1:14" s="18" customFormat="1">
      <c r="A82" s="43" t="s">
        <v>265</v>
      </c>
      <c r="B82" s="43" t="s">
        <v>267</v>
      </c>
      <c r="C82" s="9" t="s">
        <v>18</v>
      </c>
      <c r="D82" s="40">
        <v>44803</v>
      </c>
      <c r="E82" s="41">
        <v>44804</v>
      </c>
      <c r="F82" s="41">
        <v>44811</v>
      </c>
      <c r="G82" s="60">
        <v>0.04</v>
      </c>
      <c r="H82" s="70">
        <v>0.80683499999999997</v>
      </c>
      <c r="I82" s="70">
        <v>0.53975121806370208</v>
      </c>
      <c r="J82" s="70">
        <v>0.26708378193629789</v>
      </c>
      <c r="K82" s="36">
        <f>+J82-((J82*0.054*0.125)+(J82*(1-0.054)*0.26))</f>
        <v>0.19958903940317604</v>
      </c>
      <c r="L82" s="71">
        <f t="shared" si="1"/>
        <v>0.73934025746687815</v>
      </c>
      <c r="M82" s="42" t="s">
        <v>247</v>
      </c>
      <c r="N82" s="133"/>
    </row>
    <row r="83" spans="1:14" s="18" customFormat="1">
      <c r="A83" s="43" t="s">
        <v>258</v>
      </c>
      <c r="B83" s="43" t="s">
        <v>259</v>
      </c>
      <c r="C83" s="9" t="s">
        <v>18</v>
      </c>
      <c r="D83" s="40">
        <v>44894</v>
      </c>
      <c r="E83" s="41">
        <v>44895</v>
      </c>
      <c r="F83" s="41">
        <v>44902</v>
      </c>
      <c r="G83" s="60">
        <v>0.05</v>
      </c>
      <c r="H83" s="70">
        <v>1.2917749999999999</v>
      </c>
      <c r="I83" s="70">
        <v>0.20274034451415177</v>
      </c>
      <c r="J83" s="70">
        <v>1.0890346554858481</v>
      </c>
      <c r="K83" s="36">
        <f>+J83-((J83*0.048*0.125)+(J83*(1-0.048)*0.26))</f>
        <v>0.81294258962707588</v>
      </c>
      <c r="L83" s="71">
        <f t="shared" si="1"/>
        <v>1.0156829341412277</v>
      </c>
      <c r="M83" s="42" t="s">
        <v>247</v>
      </c>
      <c r="N83" s="133"/>
    </row>
    <row r="84" spans="1:14" s="18" customFormat="1">
      <c r="A84" s="43" t="s">
        <v>500</v>
      </c>
      <c r="B84" s="43" t="s">
        <v>423</v>
      </c>
      <c r="C84" s="9" t="s">
        <v>18</v>
      </c>
      <c r="D84" s="40">
        <v>44894</v>
      </c>
      <c r="E84" s="41">
        <v>44895</v>
      </c>
      <c r="F84" s="41">
        <v>44902</v>
      </c>
      <c r="G84" s="60">
        <v>0.05</v>
      </c>
      <c r="H84" s="70">
        <v>1.0893809999999999</v>
      </c>
      <c r="I84" s="70">
        <v>0.14309716326819608</v>
      </c>
      <c r="J84" s="70">
        <v>0.94628383673180383</v>
      </c>
      <c r="K84" s="36">
        <f>+J84-((J84*0.048*0.125)+(J84*(1-0.048)*0.26))</f>
        <v>0.70638195844355689</v>
      </c>
      <c r="L84" s="71">
        <f t="shared" si="1"/>
        <v>0.84947912171175299</v>
      </c>
      <c r="M84" s="42" t="s">
        <v>247</v>
      </c>
      <c r="N84" s="133"/>
    </row>
    <row r="85" spans="1:14" s="18" customFormat="1">
      <c r="A85" s="43" t="s">
        <v>260</v>
      </c>
      <c r="B85" s="43" t="s">
        <v>415</v>
      </c>
      <c r="C85" s="9" t="s">
        <v>18</v>
      </c>
      <c r="D85" s="40">
        <v>44894</v>
      </c>
      <c r="E85" s="41">
        <v>44895</v>
      </c>
      <c r="F85" s="41">
        <v>44902</v>
      </c>
      <c r="G85" s="60"/>
      <c r="H85" s="70">
        <v>0.1589035</v>
      </c>
      <c r="I85" s="70">
        <v>0</v>
      </c>
      <c r="J85" s="70">
        <v>0.1589035</v>
      </c>
      <c r="K85" s="36">
        <f>+J85-((J85*0.048*0.125)+(J85*(1-0.048)*0.26))</f>
        <v>0.11861828467999999</v>
      </c>
      <c r="L85" s="71">
        <f t="shared" si="1"/>
        <v>0.11861828467999999</v>
      </c>
      <c r="M85" s="42" t="s">
        <v>416</v>
      </c>
      <c r="N85" s="133"/>
    </row>
    <row r="86" spans="1:14" s="18" customFormat="1">
      <c r="A86" s="43" t="s">
        <v>261</v>
      </c>
      <c r="B86" s="43" t="s">
        <v>262</v>
      </c>
      <c r="C86" s="9" t="s">
        <v>18</v>
      </c>
      <c r="D86" s="40">
        <v>44894</v>
      </c>
      <c r="E86" s="41">
        <v>44895</v>
      </c>
      <c r="F86" s="41">
        <v>44902</v>
      </c>
      <c r="G86" s="60">
        <v>0.05</v>
      </c>
      <c r="H86" s="70">
        <v>1.070646</v>
      </c>
      <c r="I86" s="70">
        <v>0</v>
      </c>
      <c r="J86" s="70">
        <v>1.070646</v>
      </c>
      <c r="K86" s="36">
        <f>+J86-((J86*0.048*0.125)+(J86*(1-0.048)*0.26))</f>
        <v>0.79921582607999997</v>
      </c>
      <c r="L86" s="71">
        <f t="shared" si="1"/>
        <v>0.79921582607999997</v>
      </c>
      <c r="M86" s="42" t="s">
        <v>247</v>
      </c>
      <c r="N86" s="133"/>
    </row>
    <row r="87" spans="1:14" s="18" customFormat="1">
      <c r="A87" s="43" t="s">
        <v>263</v>
      </c>
      <c r="B87" s="43" t="s">
        <v>264</v>
      </c>
      <c r="C87" s="9" t="s">
        <v>18</v>
      </c>
      <c r="D87" s="40">
        <v>44894</v>
      </c>
      <c r="E87" s="41">
        <v>44895</v>
      </c>
      <c r="F87" s="41">
        <v>44902</v>
      </c>
      <c r="G87" s="60">
        <v>0.05</v>
      </c>
      <c r="H87" s="70">
        <v>0.83254799999999995</v>
      </c>
      <c r="I87" s="70">
        <v>0</v>
      </c>
      <c r="J87" s="70">
        <v>0.83254799999999995</v>
      </c>
      <c r="K87" s="36">
        <f>+J87-((J87*0.048*0.125)+(J87*(1-0.048)*0.26))</f>
        <v>0.62148043103999995</v>
      </c>
      <c r="L87" s="71">
        <f t="shared" si="1"/>
        <v>0.62148043103999995</v>
      </c>
      <c r="M87" s="42" t="s">
        <v>247</v>
      </c>
      <c r="N87" s="133"/>
    </row>
    <row r="88" spans="1:14" s="18" customFormat="1">
      <c r="A88" s="43" t="s">
        <v>266</v>
      </c>
      <c r="B88" s="43" t="s">
        <v>268</v>
      </c>
      <c r="C88" s="9" t="s">
        <v>18</v>
      </c>
      <c r="D88" s="40">
        <v>44894</v>
      </c>
      <c r="E88" s="41">
        <v>44895</v>
      </c>
      <c r="F88" s="41">
        <v>44902</v>
      </c>
      <c r="G88" s="60">
        <v>0.04</v>
      </c>
      <c r="H88" s="70">
        <v>1.35253</v>
      </c>
      <c r="I88" s="70">
        <v>9.8615480733278874E-2</v>
      </c>
      <c r="J88" s="70">
        <v>1.2539145192667212</v>
      </c>
      <c r="K88" s="36">
        <f>+J88-((J88*0.054*0.125)+(J88*(1-0.054)*0.26))</f>
        <v>0.93703778110282809</v>
      </c>
      <c r="L88" s="71">
        <f t="shared" si="1"/>
        <v>1.035653261836107</v>
      </c>
      <c r="M88" s="42" t="s">
        <v>247</v>
      </c>
      <c r="N88" s="133"/>
    </row>
    <row r="89" spans="1:14" s="18" customFormat="1">
      <c r="A89" s="43" t="s">
        <v>265</v>
      </c>
      <c r="B89" s="43" t="s">
        <v>267</v>
      </c>
      <c r="C89" s="9" t="s">
        <v>18</v>
      </c>
      <c r="D89" s="40">
        <v>44894</v>
      </c>
      <c r="E89" s="41">
        <v>44895</v>
      </c>
      <c r="F89" s="41">
        <v>44902</v>
      </c>
      <c r="G89" s="60">
        <v>0.04</v>
      </c>
      <c r="H89" s="70">
        <v>0.82662500000000005</v>
      </c>
      <c r="I89" s="70">
        <v>1.9572947192878973E-2</v>
      </c>
      <c r="J89" s="70">
        <v>0.80705205280712111</v>
      </c>
      <c r="K89" s="36">
        <f>+J89-((J89*0.054*0.125)+(J89*(1-0.054)*0.26))</f>
        <v>0.60310192854223355</v>
      </c>
      <c r="L89" s="71">
        <f t="shared" si="1"/>
        <v>0.62267487573511249</v>
      </c>
      <c r="M89" s="42" t="s">
        <v>247</v>
      </c>
      <c r="N89" s="133"/>
    </row>
    <row r="90" spans="1:14" s="18" customFormat="1">
      <c r="A90" s="43" t="s">
        <v>258</v>
      </c>
      <c r="B90" s="43" t="s">
        <v>259</v>
      </c>
      <c r="C90" s="9" t="s">
        <v>18</v>
      </c>
      <c r="D90" s="40">
        <v>44984</v>
      </c>
      <c r="E90" s="41">
        <v>44985</v>
      </c>
      <c r="F90" s="41">
        <v>44992</v>
      </c>
      <c r="G90" s="60">
        <v>0.05</v>
      </c>
      <c r="H90" s="70">
        <v>1.26508</v>
      </c>
      <c r="I90" s="70">
        <v>0</v>
      </c>
      <c r="J90" s="70">
        <v>1.26508</v>
      </c>
      <c r="K90" s="36">
        <f>+J90-((J90*0.044*0.125)+(J90*(1-0.044)*0.26))</f>
        <v>0.94367377519999995</v>
      </c>
      <c r="L90" s="71">
        <f t="shared" si="1"/>
        <v>0.94367377519999995</v>
      </c>
      <c r="M90" s="42" t="s">
        <v>247</v>
      </c>
      <c r="N90" s="133"/>
    </row>
    <row r="91" spans="1:14" s="18" customFormat="1">
      <c r="A91" s="43" t="s">
        <v>500</v>
      </c>
      <c r="B91" s="43" t="s">
        <v>423</v>
      </c>
      <c r="C91" s="9" t="s">
        <v>18</v>
      </c>
      <c r="D91" s="40">
        <v>44984</v>
      </c>
      <c r="E91" s="41">
        <v>44985</v>
      </c>
      <c r="F91" s="41">
        <v>44992</v>
      </c>
      <c r="G91" s="60">
        <v>0.05</v>
      </c>
      <c r="H91" s="70">
        <v>1.089906</v>
      </c>
      <c r="I91" s="70">
        <v>0</v>
      </c>
      <c r="J91" s="70">
        <v>1.089906</v>
      </c>
      <c r="K91" s="36">
        <f>+J91-((J91*0.044*0.125)+(J91*(1-0.044)*0.26))</f>
        <v>0.81300448163999994</v>
      </c>
      <c r="L91" s="71">
        <f t="shared" si="1"/>
        <v>0.81300448163999994</v>
      </c>
      <c r="M91" s="42" t="s">
        <v>247</v>
      </c>
      <c r="N91" s="133"/>
    </row>
    <row r="92" spans="1:14" s="18" customFormat="1">
      <c r="A92" s="43" t="s">
        <v>260</v>
      </c>
      <c r="B92" s="43" t="s">
        <v>415</v>
      </c>
      <c r="C92" s="9" t="s">
        <v>18</v>
      </c>
      <c r="D92" s="40">
        <v>44984</v>
      </c>
      <c r="E92" s="41">
        <v>44985</v>
      </c>
      <c r="F92" s="41">
        <v>44992</v>
      </c>
      <c r="G92" s="60"/>
      <c r="H92" s="70">
        <v>0.13792520999999999</v>
      </c>
      <c r="I92" s="70">
        <v>0</v>
      </c>
      <c r="J92" s="70">
        <v>0.13792520999999999</v>
      </c>
      <c r="K92" s="36">
        <f>+J92-((J92*0.044*0.125)+(J92*(1-0.044)*0.26))</f>
        <v>0.10288393114739999</v>
      </c>
      <c r="L92" s="71">
        <f t="shared" ref="L92:L123" si="2">I92+K92</f>
        <v>0.10288393114739999</v>
      </c>
      <c r="M92" s="42" t="s">
        <v>416</v>
      </c>
      <c r="N92" s="133"/>
    </row>
    <row r="93" spans="1:14" s="18" customFormat="1">
      <c r="A93" s="43" t="s">
        <v>261</v>
      </c>
      <c r="B93" s="43" t="s">
        <v>262</v>
      </c>
      <c r="C93" s="9" t="s">
        <v>18</v>
      </c>
      <c r="D93" s="40">
        <v>44984</v>
      </c>
      <c r="E93" s="41">
        <v>44985</v>
      </c>
      <c r="F93" s="41">
        <v>44992</v>
      </c>
      <c r="G93" s="60">
        <v>0.05</v>
      </c>
      <c r="H93" s="70">
        <v>1.045941</v>
      </c>
      <c r="I93" s="70">
        <v>0</v>
      </c>
      <c r="J93" s="70">
        <v>1.045941</v>
      </c>
      <c r="K93" s="36">
        <f>+J93-((J93*0.044*0.125)+(J93*(1-0.044)*0.26))</f>
        <v>0.78020922954000005</v>
      </c>
      <c r="L93" s="71">
        <f t="shared" si="2"/>
        <v>0.78020922954000005</v>
      </c>
      <c r="M93" s="42" t="s">
        <v>247</v>
      </c>
      <c r="N93" s="133"/>
    </row>
    <row r="94" spans="1:14" s="18" customFormat="1">
      <c r="A94" s="43" t="s">
        <v>263</v>
      </c>
      <c r="B94" s="43" t="s">
        <v>264</v>
      </c>
      <c r="C94" s="9" t="s">
        <v>18</v>
      </c>
      <c r="D94" s="40">
        <v>44984</v>
      </c>
      <c r="E94" s="41">
        <v>44985</v>
      </c>
      <c r="F94" s="41">
        <v>44992</v>
      </c>
      <c r="G94" s="60">
        <v>0.05</v>
      </c>
      <c r="H94" s="70">
        <v>0.830681</v>
      </c>
      <c r="I94" s="70">
        <v>0</v>
      </c>
      <c r="J94" s="70">
        <v>0.830681</v>
      </c>
      <c r="K94" s="36">
        <f>+J94-((J94*0.044*0.125)+(J94*(1-0.044)*0.26))</f>
        <v>0.61963818514000002</v>
      </c>
      <c r="L94" s="71">
        <f t="shared" si="2"/>
        <v>0.61963818514000002</v>
      </c>
      <c r="M94" s="42" t="s">
        <v>247</v>
      </c>
      <c r="N94" s="133"/>
    </row>
    <row r="95" spans="1:14" s="18" customFormat="1">
      <c r="A95" s="43" t="s">
        <v>266</v>
      </c>
      <c r="B95" s="43" t="s">
        <v>268</v>
      </c>
      <c r="C95" s="9" t="s">
        <v>18</v>
      </c>
      <c r="D95" s="40">
        <v>44984</v>
      </c>
      <c r="E95" s="41">
        <v>44985</v>
      </c>
      <c r="F95" s="41">
        <v>44992</v>
      </c>
      <c r="G95" s="60">
        <v>0.04</v>
      </c>
      <c r="H95" s="70">
        <v>1.328268</v>
      </c>
      <c r="I95" s="70">
        <v>0</v>
      </c>
      <c r="J95" s="70">
        <v>1.328268</v>
      </c>
      <c r="K95" s="36">
        <f>+J95-((J95*0.038*0.125)+(J95*(1-0.038)*0.26))</f>
        <v>0.98973233484000001</v>
      </c>
      <c r="L95" s="71">
        <f t="shared" si="2"/>
        <v>0.98973233484000001</v>
      </c>
      <c r="M95" s="42" t="s">
        <v>247</v>
      </c>
      <c r="N95" s="133"/>
    </row>
    <row r="96" spans="1:14" s="18" customFormat="1">
      <c r="A96" s="43" t="s">
        <v>265</v>
      </c>
      <c r="B96" s="43" t="s">
        <v>267</v>
      </c>
      <c r="C96" s="9" t="s">
        <v>18</v>
      </c>
      <c r="D96" s="40">
        <v>44984</v>
      </c>
      <c r="E96" s="41">
        <v>44985</v>
      </c>
      <c r="F96" s="41">
        <v>44992</v>
      </c>
      <c r="G96" s="60">
        <v>0.04</v>
      </c>
      <c r="H96" s="70">
        <v>0.82893799999999995</v>
      </c>
      <c r="I96" s="70">
        <v>0</v>
      </c>
      <c r="J96" s="70">
        <v>0.82893799999999995</v>
      </c>
      <c r="K96" s="36">
        <f>+J96-((J96*0.038*0.125)+(J96*(1-0.038)*0.26))</f>
        <v>0.61766657193999996</v>
      </c>
      <c r="L96" s="71">
        <f t="shared" si="2"/>
        <v>0.61766657193999996</v>
      </c>
      <c r="M96" s="42" t="s">
        <v>247</v>
      </c>
      <c r="N96" s="133"/>
    </row>
    <row r="97" spans="1:14" s="18" customFormat="1">
      <c r="A97" s="52" t="s">
        <v>258</v>
      </c>
      <c r="B97" s="52" t="s">
        <v>259</v>
      </c>
      <c r="C97" s="1" t="s">
        <v>18</v>
      </c>
      <c r="D97" s="53">
        <v>45076</v>
      </c>
      <c r="E97" s="51">
        <v>45077</v>
      </c>
      <c r="F97" s="51">
        <v>45084</v>
      </c>
      <c r="G97" s="142">
        <v>0.05</v>
      </c>
      <c r="H97" s="56">
        <f>VLOOKUP($A97,[3]Feuil2!$A$1:$H$27,7,FALSE)</f>
        <v>1.2431220000000001</v>
      </c>
      <c r="I97" s="56">
        <f>VLOOKUP($A97,[3]Feuil2!$A$1:$H$27,5,FALSE)</f>
        <v>0.4815098846142612</v>
      </c>
      <c r="J97" s="56">
        <f>VLOOKUP(A97,[3]Feuil2!$A$1:$H$25,6,FALSE)</f>
        <v>0.76161211538573892</v>
      </c>
      <c r="K97" s="47">
        <f>+J97-((J97*0.044*0.125)+(J97*(1-0.044)*0.26))</f>
        <v>0.56811694135083812</v>
      </c>
      <c r="L97" s="57">
        <f t="shared" si="2"/>
        <v>1.0496268259650994</v>
      </c>
      <c r="M97" s="48" t="s">
        <v>247</v>
      </c>
      <c r="N97" s="133"/>
    </row>
    <row r="98" spans="1:14" s="18" customFormat="1">
      <c r="A98" s="52" t="s">
        <v>500</v>
      </c>
      <c r="B98" s="52" t="s">
        <v>423</v>
      </c>
      <c r="C98" s="1" t="s">
        <v>18</v>
      </c>
      <c r="D98" s="53">
        <v>45076</v>
      </c>
      <c r="E98" s="51">
        <v>45077</v>
      </c>
      <c r="F98" s="51">
        <v>45084</v>
      </c>
      <c r="G98" s="142">
        <v>0.05</v>
      </c>
      <c r="H98" s="56">
        <f>VLOOKUP($A98,[3]Feuil2!$A$1:$H$27,7,FALSE)</f>
        <v>1.0700750000000001</v>
      </c>
      <c r="I98" s="56">
        <f>VLOOKUP(A98,[3]Feuil2!$A$1:$H$26,5,FALSE)</f>
        <v>0.40264305017630225</v>
      </c>
      <c r="J98" s="56">
        <f>VLOOKUP(A98,[3]Feuil2!$A$1:$H$25,6,FALSE)</f>
        <v>0.6674319498236978</v>
      </c>
      <c r="K98" s="47">
        <f>+J98-((J98*0.044*0.125)+(J98*(1-0.044)*0.26))</f>
        <v>0.49786418865148918</v>
      </c>
      <c r="L98" s="57">
        <f t="shared" si="2"/>
        <v>0.90050723882779149</v>
      </c>
      <c r="M98" s="48" t="s">
        <v>247</v>
      </c>
      <c r="N98" s="133"/>
    </row>
    <row r="99" spans="1:14" s="18" customFormat="1">
      <c r="A99" s="52" t="s">
        <v>260</v>
      </c>
      <c r="B99" s="52" t="s">
        <v>415</v>
      </c>
      <c r="C99" s="1" t="s">
        <v>18</v>
      </c>
      <c r="D99" s="53">
        <v>45076</v>
      </c>
      <c r="E99" s="51">
        <v>45077</v>
      </c>
      <c r="F99" s="51">
        <v>45084</v>
      </c>
      <c r="G99" s="58"/>
      <c r="H99" s="56">
        <f>VLOOKUP($A99,[3]Feuil2!$A$1:$H$27,7,FALSE)</f>
        <v>0.64223461999999998</v>
      </c>
      <c r="I99" s="56">
        <f>VLOOKUP(A99,[3]Feuil2!$A$1:$H$26,5,FALSE)</f>
        <v>0</v>
      </c>
      <c r="J99" s="56">
        <f>VLOOKUP(A99,[3]Feuil2!$A$1:$H$25,6,FALSE)</f>
        <v>0.64223461999999998</v>
      </c>
      <c r="K99" s="47">
        <f>+J99-((J99*0.044*0.125)+(J99*(1-0.044)*0.26))</f>
        <v>0.47906849244279998</v>
      </c>
      <c r="L99" s="57">
        <f t="shared" si="2"/>
        <v>0.47906849244279998</v>
      </c>
      <c r="M99" s="48" t="s">
        <v>416</v>
      </c>
      <c r="N99" s="133"/>
    </row>
    <row r="100" spans="1:14" s="18" customFormat="1">
      <c r="A100" s="52" t="s">
        <v>261</v>
      </c>
      <c r="B100" s="52" t="s">
        <v>262</v>
      </c>
      <c r="C100" s="1" t="s">
        <v>18</v>
      </c>
      <c r="D100" s="53">
        <v>45076</v>
      </c>
      <c r="E100" s="51">
        <v>45077</v>
      </c>
      <c r="F100" s="51">
        <v>45084</v>
      </c>
      <c r="G100" s="142">
        <v>0.05</v>
      </c>
      <c r="H100" s="56">
        <f>VLOOKUP($A100,[3]Feuil2!$A$1:$H$27,7,FALSE)</f>
        <v>1.0252019999999999</v>
      </c>
      <c r="I100" s="56">
        <f>VLOOKUP(A100,[3]Feuil2!$A$1:$H$26,5,FALSE)</f>
        <v>0.59351947394847948</v>
      </c>
      <c r="J100" s="56">
        <f>VLOOKUP(A100,[3]Feuil2!$A$1:$H$25,6,FALSE)</f>
        <v>0.43168252605152047</v>
      </c>
      <c r="K100" s="47">
        <f>+J100-((J100*0.044*0.125)+(J100*(1-0.044)*0.26))</f>
        <v>0.32200926348287118</v>
      </c>
      <c r="L100" s="57">
        <f t="shared" si="2"/>
        <v>0.91552873743135066</v>
      </c>
      <c r="M100" s="48" t="s">
        <v>247</v>
      </c>
      <c r="N100" s="133"/>
    </row>
    <row r="101" spans="1:14" s="18" customFormat="1">
      <c r="A101" s="52" t="s">
        <v>263</v>
      </c>
      <c r="B101" s="52" t="s">
        <v>264</v>
      </c>
      <c r="C101" s="1" t="s">
        <v>18</v>
      </c>
      <c r="D101" s="53">
        <v>45076</v>
      </c>
      <c r="E101" s="51">
        <v>45077</v>
      </c>
      <c r="F101" s="51">
        <v>45084</v>
      </c>
      <c r="G101" s="142">
        <v>0.05</v>
      </c>
      <c r="H101" s="56">
        <f>VLOOKUP($A101,[3]Feuil2!$A$1:$H$27,7,FALSE)</f>
        <v>0.81342199999999998</v>
      </c>
      <c r="I101" s="56">
        <f>VLOOKUP(A101,[3]Feuil2!$A$1:$H$26,5,FALSE)</f>
        <v>0.46493151749760131</v>
      </c>
      <c r="J101" s="56">
        <f>VLOOKUP(A101,[3]Feuil2!$A$1:$H$25,6,FALSE)</f>
        <v>0.34849048250239867</v>
      </c>
      <c r="K101" s="47">
        <f>+J101-((J101*0.044*0.125)+(J101*(1-0.044)*0.26))</f>
        <v>0.25995299051783927</v>
      </c>
      <c r="L101" s="57">
        <f t="shared" si="2"/>
        <v>0.72488450801544058</v>
      </c>
      <c r="M101" s="48" t="s">
        <v>247</v>
      </c>
      <c r="N101" s="133"/>
    </row>
    <row r="102" spans="1:14" s="18" customFormat="1">
      <c r="A102" s="52" t="s">
        <v>266</v>
      </c>
      <c r="B102" s="52" t="s">
        <v>268</v>
      </c>
      <c r="C102" s="1" t="s">
        <v>18</v>
      </c>
      <c r="D102" s="53">
        <v>45076</v>
      </c>
      <c r="E102" s="51">
        <v>45077</v>
      </c>
      <c r="F102" s="51">
        <v>45084</v>
      </c>
      <c r="G102" s="142">
        <v>0.04</v>
      </c>
      <c r="H102" s="56">
        <f>VLOOKUP($A102,[3]Feuil2!$A$1:$H$27,7,FALSE)</f>
        <v>1.3203199999999999</v>
      </c>
      <c r="I102" s="56">
        <f>VLOOKUP(A102,[3]Feuil2!$A$1:$H$26,5,FALSE)</f>
        <v>1.0645898395062239</v>
      </c>
      <c r="J102" s="56">
        <f>VLOOKUP(A102,[3]Feuil2!$A$1:$H$25,6,FALSE)</f>
        <v>0.25573016049377617</v>
      </c>
      <c r="K102" s="47">
        <f>+J102-((J102*0.038*0.125)+(J102*(1-0.038)*0.26))</f>
        <v>0.19055221448872744</v>
      </c>
      <c r="L102" s="57">
        <f t="shared" si="2"/>
        <v>1.2551420539949514</v>
      </c>
      <c r="M102" s="48" t="s">
        <v>247</v>
      </c>
      <c r="N102" s="133"/>
    </row>
    <row r="103" spans="1:14" s="18" customFormat="1">
      <c r="A103" s="52" t="s">
        <v>265</v>
      </c>
      <c r="B103" s="52" t="s">
        <v>267</v>
      </c>
      <c r="C103" s="1" t="s">
        <v>18</v>
      </c>
      <c r="D103" s="53">
        <v>45076</v>
      </c>
      <c r="E103" s="51">
        <v>45077</v>
      </c>
      <c r="F103" s="51">
        <v>45084</v>
      </c>
      <c r="G103" s="142">
        <v>0.04</v>
      </c>
      <c r="H103" s="56">
        <f>VLOOKUP($A103,[3]Feuil2!$A$1:$H$27,7,FALSE)</f>
        <v>0.82323900000000005</v>
      </c>
      <c r="I103" s="56">
        <f>VLOOKUP(A103,[3]Feuil2!$A$1:$H$26,5,FALSE)</f>
        <v>0.66072900528838552</v>
      </c>
      <c r="J103" s="56">
        <f>VLOOKUP(A103,[3]Feuil2!$A$1:$H$25,6,FALSE)</f>
        <v>0.16250999471161454</v>
      </c>
      <c r="K103" s="47">
        <f>+J103-((J103*0.038*0.125)+(J103*(1-0.038)*0.26))</f>
        <v>0.12109107235946534</v>
      </c>
      <c r="L103" s="57">
        <f t="shared" si="2"/>
        <v>0.78182007764785089</v>
      </c>
      <c r="M103" s="48" t="s">
        <v>247</v>
      </c>
      <c r="N103" s="133"/>
    </row>
    <row r="104" spans="1:14">
      <c r="A104" s="43" t="s">
        <v>258</v>
      </c>
      <c r="B104" s="43" t="s">
        <v>259</v>
      </c>
      <c r="C104" s="9" t="s">
        <v>18</v>
      </c>
      <c r="D104" s="40">
        <v>45168</v>
      </c>
      <c r="E104" s="41">
        <v>45169</v>
      </c>
      <c r="F104" s="41">
        <v>45176</v>
      </c>
      <c r="G104" s="147">
        <v>0.05</v>
      </c>
      <c r="H104" s="70">
        <v>1.235444</v>
      </c>
      <c r="I104" s="70">
        <v>0.54229380356668133</v>
      </c>
      <c r="J104" s="70">
        <v>0.69315019643331865</v>
      </c>
      <c r="K104" s="36">
        <f>+J104-((J104*0.075*0.125)+(J104*(1-0.075)*0.26))</f>
        <v>0.51994929109954313</v>
      </c>
      <c r="L104" s="71">
        <f t="shared" si="2"/>
        <v>1.0622430946662245</v>
      </c>
      <c r="M104" s="42" t="s">
        <v>247</v>
      </c>
    </row>
    <row r="105" spans="1:14">
      <c r="A105" s="43" t="s">
        <v>500</v>
      </c>
      <c r="B105" s="43" t="s">
        <v>423</v>
      </c>
      <c r="C105" s="9" t="s">
        <v>18</v>
      </c>
      <c r="D105" s="40">
        <v>45168</v>
      </c>
      <c r="E105" s="41">
        <v>45169</v>
      </c>
      <c r="F105" s="41">
        <v>45176</v>
      </c>
      <c r="G105" s="147">
        <v>0.05</v>
      </c>
      <c r="H105" s="70">
        <v>1.0764290000000001</v>
      </c>
      <c r="I105" s="70">
        <v>0.46838012725808126</v>
      </c>
      <c r="J105" s="70">
        <v>0.60804887274191877</v>
      </c>
      <c r="K105" s="36">
        <f>+J105-((J105*0.075*0.125)+(J105*(1-0.075)*0.26))</f>
        <v>0.4561126606655318</v>
      </c>
      <c r="L105" s="71">
        <f t="shared" si="2"/>
        <v>0.92449278792361311</v>
      </c>
      <c r="M105" s="42" t="s">
        <v>247</v>
      </c>
    </row>
    <row r="106" spans="1:14">
      <c r="A106" s="43" t="s">
        <v>260</v>
      </c>
      <c r="B106" s="43" t="s">
        <v>415</v>
      </c>
      <c r="C106" s="9" t="s">
        <v>18</v>
      </c>
      <c r="D106" s="40">
        <v>45168</v>
      </c>
      <c r="E106" s="41">
        <v>45169</v>
      </c>
      <c r="F106" s="41">
        <v>45176</v>
      </c>
      <c r="G106" s="148"/>
      <c r="H106" s="70">
        <v>0.21727320999999999</v>
      </c>
      <c r="I106" s="70">
        <v>0</v>
      </c>
      <c r="J106" s="70">
        <v>0.21727320999999999</v>
      </c>
      <c r="K106" s="36">
        <f>+J106-((J106*0.075*0.125)+(J106*(1-0.075)*0.26))</f>
        <v>0.16298206665125001</v>
      </c>
      <c r="L106" s="71">
        <f t="shared" si="2"/>
        <v>0.16298206665125001</v>
      </c>
      <c r="M106" s="42" t="s">
        <v>416</v>
      </c>
    </row>
    <row r="107" spans="1:14">
      <c r="A107" s="43" t="s">
        <v>261</v>
      </c>
      <c r="B107" s="43" t="s">
        <v>262</v>
      </c>
      <c r="C107" s="9" t="s">
        <v>18</v>
      </c>
      <c r="D107" s="40">
        <v>45168</v>
      </c>
      <c r="E107" s="41">
        <v>45169</v>
      </c>
      <c r="F107" s="41">
        <v>45176</v>
      </c>
      <c r="G107" s="147">
        <v>0.05</v>
      </c>
      <c r="H107" s="70">
        <v>1.016313</v>
      </c>
      <c r="I107" s="70">
        <v>0.4431041773398896</v>
      </c>
      <c r="J107" s="70">
        <v>0.57320882266011042</v>
      </c>
      <c r="K107" s="36">
        <f>+J107-((J107*0.075*0.125)+(J107*(1-0.075)*0.26))</f>
        <v>0.42997826809791528</v>
      </c>
      <c r="L107" s="71">
        <f t="shared" si="2"/>
        <v>0.87308244543780489</v>
      </c>
      <c r="M107" s="42" t="s">
        <v>247</v>
      </c>
    </row>
    <row r="108" spans="1:14">
      <c r="A108" s="43" t="s">
        <v>263</v>
      </c>
      <c r="B108" s="43" t="s">
        <v>264</v>
      </c>
      <c r="C108" s="9" t="s">
        <v>18</v>
      </c>
      <c r="D108" s="40">
        <v>45168</v>
      </c>
      <c r="E108" s="41">
        <v>45169</v>
      </c>
      <c r="F108" s="41">
        <v>45176</v>
      </c>
      <c r="G108" s="147">
        <v>0.05</v>
      </c>
      <c r="H108" s="70">
        <v>0.81633999999999995</v>
      </c>
      <c r="I108" s="70">
        <v>0.35260407525910065</v>
      </c>
      <c r="J108" s="70">
        <v>0.46373592474089931</v>
      </c>
      <c r="K108" s="36">
        <f>+J108-((J108*0.075*0.125)+(J108*(1-0.075)*0.26))</f>
        <v>0.34785991054626708</v>
      </c>
      <c r="L108" s="71">
        <f t="shared" si="2"/>
        <v>0.70046398580536773</v>
      </c>
      <c r="M108" s="42" t="s">
        <v>247</v>
      </c>
    </row>
    <row r="109" spans="1:14">
      <c r="A109" s="43" t="s">
        <v>266</v>
      </c>
      <c r="B109" s="43" t="s">
        <v>268</v>
      </c>
      <c r="C109" s="9" t="s">
        <v>18</v>
      </c>
      <c r="D109" s="40">
        <v>45168</v>
      </c>
      <c r="E109" s="41">
        <v>45169</v>
      </c>
      <c r="F109" s="41">
        <v>45176</v>
      </c>
      <c r="G109" s="147">
        <v>0.04</v>
      </c>
      <c r="H109" s="70">
        <v>1.339108</v>
      </c>
      <c r="I109" s="70">
        <v>0.76558872627248775</v>
      </c>
      <c r="J109" s="70">
        <v>0.57351927372751221</v>
      </c>
      <c r="K109" s="36">
        <f>+J109-((J109*0.029*0.125)+(J109*(1-0.029)*0.26))</f>
        <v>0.42664959051500223</v>
      </c>
      <c r="L109" s="71">
        <f t="shared" si="2"/>
        <v>1.1922383167874899</v>
      </c>
      <c r="M109" s="42" t="s">
        <v>247</v>
      </c>
    </row>
    <row r="110" spans="1:14">
      <c r="A110" s="43" t="s">
        <v>265</v>
      </c>
      <c r="B110" s="43" t="s">
        <v>267</v>
      </c>
      <c r="C110" s="9" t="s">
        <v>18</v>
      </c>
      <c r="D110" s="40">
        <v>45168</v>
      </c>
      <c r="E110" s="41">
        <v>45169</v>
      </c>
      <c r="F110" s="41">
        <v>45176</v>
      </c>
      <c r="G110" s="147">
        <v>0.04</v>
      </c>
      <c r="H110" s="70">
        <v>0.84504900000000005</v>
      </c>
      <c r="I110" s="70">
        <v>0.48123411287659834</v>
      </c>
      <c r="J110" s="70">
        <v>0.36381488712340171</v>
      </c>
      <c r="K110" s="36">
        <f>+J110-((J110*0.029*0.125)+(J110*(1-0.029)*0.26))</f>
        <v>0.27064735175440535</v>
      </c>
      <c r="L110" s="71">
        <f t="shared" si="2"/>
        <v>0.75188146463100369</v>
      </c>
      <c r="M110" s="42" t="s">
        <v>247</v>
      </c>
    </row>
    <row r="111" spans="1:14">
      <c r="A111" s="43" t="s">
        <v>258</v>
      </c>
      <c r="B111" s="43" t="s">
        <v>259</v>
      </c>
      <c r="C111" s="9" t="s">
        <v>18</v>
      </c>
      <c r="D111" s="40">
        <v>45259</v>
      </c>
      <c r="E111" s="41">
        <v>45260</v>
      </c>
      <c r="F111" s="41">
        <v>45267</v>
      </c>
      <c r="G111" s="147">
        <v>0.05</v>
      </c>
      <c r="H111" s="70">
        <v>1.2009529999999999</v>
      </c>
      <c r="I111" s="70">
        <v>0.12382162752600019</v>
      </c>
      <c r="J111" s="70">
        <v>1.0771313724739997</v>
      </c>
      <c r="K111" s="36">
        <f>+J111-((J111*0.075*0.125)+(J111*(1-0.075)*0.26))</f>
        <v>0.80798317077705906</v>
      </c>
      <c r="L111" s="71">
        <f t="shared" si="2"/>
        <v>0.93180479830305929</v>
      </c>
      <c r="M111" s="42" t="s">
        <v>247</v>
      </c>
    </row>
    <row r="112" spans="1:14">
      <c r="A112" s="43" t="s">
        <v>500</v>
      </c>
      <c r="B112" s="43" t="s">
        <v>423</v>
      </c>
      <c r="C112" s="9" t="s">
        <v>18</v>
      </c>
      <c r="D112" s="40">
        <v>45259</v>
      </c>
      <c r="E112" s="41">
        <v>45260</v>
      </c>
      <c r="F112" s="41">
        <v>45267</v>
      </c>
      <c r="G112" s="147">
        <v>0.05</v>
      </c>
      <c r="H112" s="70">
        <v>1.0464739999999999</v>
      </c>
      <c r="I112" s="70">
        <v>0.10376983874598411</v>
      </c>
      <c r="J112" s="70">
        <v>0.94270416125401579</v>
      </c>
      <c r="K112" s="36">
        <f>+J112-((J112*0.075*0.125)+(J112*(1-0.075)*0.26))</f>
        <v>0.70714595896066856</v>
      </c>
      <c r="L112" s="71">
        <f t="shared" si="2"/>
        <v>0.81091579770665267</v>
      </c>
      <c r="M112" s="42" t="s">
        <v>247</v>
      </c>
    </row>
    <row r="113" spans="1:13">
      <c r="A113" s="43" t="s">
        <v>260</v>
      </c>
      <c r="B113" s="43" t="s">
        <v>415</v>
      </c>
      <c r="C113" s="9" t="s">
        <v>18</v>
      </c>
      <c r="D113" s="40">
        <v>45259</v>
      </c>
      <c r="E113" s="41">
        <v>45260</v>
      </c>
      <c r="F113" s="41">
        <v>45267</v>
      </c>
      <c r="G113" s="148"/>
      <c r="H113" s="70">
        <v>0.17695643999999999</v>
      </c>
      <c r="I113" s="70">
        <v>0</v>
      </c>
      <c r="J113" s="70">
        <v>0.17695643999999999</v>
      </c>
      <c r="K113" s="36">
        <f>+J113-((J113*0.075*0.125)+(J113*(1-0.075)*0.26))</f>
        <v>0.132739449555</v>
      </c>
      <c r="L113" s="71">
        <f t="shared" si="2"/>
        <v>0.132739449555</v>
      </c>
      <c r="M113" s="42" t="s">
        <v>416</v>
      </c>
    </row>
    <row r="114" spans="1:13">
      <c r="A114" s="43" t="s">
        <v>261</v>
      </c>
      <c r="B114" s="43" t="s">
        <v>262</v>
      </c>
      <c r="C114" s="9" t="s">
        <v>18</v>
      </c>
      <c r="D114" s="40">
        <v>45259</v>
      </c>
      <c r="E114" s="41">
        <v>45260</v>
      </c>
      <c r="F114" s="41">
        <v>45267</v>
      </c>
      <c r="G114" s="147">
        <v>0.05</v>
      </c>
      <c r="H114" s="70">
        <v>0.98548599999999997</v>
      </c>
      <c r="I114" s="70">
        <v>0</v>
      </c>
      <c r="J114" s="70">
        <v>0.98548599999999997</v>
      </c>
      <c r="K114" s="36">
        <f>+J114-((J114*0.075*0.125)+(J114*(1-0.075)*0.26))</f>
        <v>0.73923768575000004</v>
      </c>
      <c r="L114" s="71">
        <f t="shared" si="2"/>
        <v>0.73923768575000004</v>
      </c>
      <c r="M114" s="42" t="s">
        <v>247</v>
      </c>
    </row>
    <row r="115" spans="1:13">
      <c r="A115" s="43" t="s">
        <v>263</v>
      </c>
      <c r="B115" s="43" t="s">
        <v>264</v>
      </c>
      <c r="C115" s="9" t="s">
        <v>18</v>
      </c>
      <c r="D115" s="40">
        <v>45259</v>
      </c>
      <c r="E115" s="41">
        <v>45260</v>
      </c>
      <c r="F115" s="41">
        <v>45267</v>
      </c>
      <c r="G115" s="147">
        <v>0.05</v>
      </c>
      <c r="H115" s="70">
        <v>0.79178099999999996</v>
      </c>
      <c r="I115" s="70">
        <v>0</v>
      </c>
      <c r="J115" s="70">
        <v>0.79178099999999996</v>
      </c>
      <c r="K115" s="36">
        <f>+J115-((J115*0.075*0.125)+(J115*(1-0.075)*0.26))</f>
        <v>0.59393472262499991</v>
      </c>
      <c r="L115" s="71">
        <f t="shared" si="2"/>
        <v>0.59393472262499991</v>
      </c>
      <c r="M115" s="42" t="s">
        <v>247</v>
      </c>
    </row>
    <row r="116" spans="1:13">
      <c r="A116" s="43" t="s">
        <v>266</v>
      </c>
      <c r="B116" s="43" t="s">
        <v>268</v>
      </c>
      <c r="C116" s="9" t="s">
        <v>18</v>
      </c>
      <c r="D116" s="40">
        <v>45259</v>
      </c>
      <c r="E116" s="41">
        <v>45260</v>
      </c>
      <c r="F116" s="41">
        <v>45267</v>
      </c>
      <c r="G116" s="147">
        <v>0.04</v>
      </c>
      <c r="H116" s="70">
        <v>1.3151120000000001</v>
      </c>
      <c r="I116" s="70">
        <v>0</v>
      </c>
      <c r="J116" s="70">
        <v>1.3151120000000001</v>
      </c>
      <c r="K116" s="36">
        <f>+J116-((J116*0.029*0.125)+(J116*(1-0.029)*0.26))</f>
        <v>0.97833154348000007</v>
      </c>
      <c r="L116" s="71">
        <f t="shared" si="2"/>
        <v>0.97833154348000007</v>
      </c>
      <c r="M116" s="42" t="s">
        <v>247</v>
      </c>
    </row>
    <row r="117" spans="1:13">
      <c r="A117" s="43" t="s">
        <v>265</v>
      </c>
      <c r="B117" s="43" t="s">
        <v>267</v>
      </c>
      <c r="C117" s="9" t="s">
        <v>18</v>
      </c>
      <c r="D117" s="40">
        <v>45259</v>
      </c>
      <c r="E117" s="41">
        <v>45260</v>
      </c>
      <c r="F117" s="41">
        <v>45267</v>
      </c>
      <c r="G117" s="147">
        <v>0.04</v>
      </c>
      <c r="H117" s="70">
        <v>0.83008199999999999</v>
      </c>
      <c r="I117" s="70">
        <v>0</v>
      </c>
      <c r="J117" s="70">
        <v>0.83008199999999999</v>
      </c>
      <c r="K117" s="36">
        <f>+J117-((J117*0.029*0.125)+(J117*(1-0.029)*0.26))</f>
        <v>0.61751045103000002</v>
      </c>
      <c r="L117" s="71">
        <f t="shared" si="2"/>
        <v>0.61751045103000002</v>
      </c>
      <c r="M117" s="42" t="s">
        <v>247</v>
      </c>
    </row>
    <row r="118" spans="1:13">
      <c r="A118" s="43" t="s">
        <v>258</v>
      </c>
      <c r="B118" s="43" t="s">
        <v>259</v>
      </c>
      <c r="C118" s="9" t="s">
        <v>18</v>
      </c>
      <c r="D118" s="40">
        <v>45350</v>
      </c>
      <c r="E118" s="41">
        <v>45351</v>
      </c>
      <c r="F118" s="41">
        <v>45358</v>
      </c>
      <c r="G118" s="147">
        <v>0.05</v>
      </c>
      <c r="H118" s="70">
        <v>1.2305889999999999</v>
      </c>
      <c r="I118" s="70">
        <v>0</v>
      </c>
      <c r="J118" s="70">
        <v>1.2305889999999999</v>
      </c>
      <c r="K118" s="36">
        <f>+J118-((J118*0.106*0.125)+(J118*(1-0.106)*0.26))</f>
        <v>0.92824558858999995</v>
      </c>
      <c r="L118" s="71">
        <f t="shared" si="2"/>
        <v>0.92824558858999995</v>
      </c>
      <c r="M118" s="42" t="s">
        <v>247</v>
      </c>
    </row>
    <row r="119" spans="1:13">
      <c r="A119" s="43" t="s">
        <v>500</v>
      </c>
      <c r="B119" s="43" t="s">
        <v>423</v>
      </c>
      <c r="C119" s="9" t="s">
        <v>18</v>
      </c>
      <c r="D119" s="40">
        <v>45350</v>
      </c>
      <c r="E119" s="41">
        <v>45351</v>
      </c>
      <c r="F119" s="41">
        <v>45358</v>
      </c>
      <c r="G119" s="147">
        <v>0.05</v>
      </c>
      <c r="H119" s="70">
        <v>1.058648</v>
      </c>
      <c r="I119" s="70">
        <v>0</v>
      </c>
      <c r="J119" s="70">
        <v>1.058648</v>
      </c>
      <c r="K119" s="36">
        <f>+J119-((J119*0.106*0.125)+(J119*(1-0.106)*0.26))</f>
        <v>0.79854877288000004</v>
      </c>
      <c r="L119" s="71">
        <f t="shared" si="2"/>
        <v>0.79854877288000004</v>
      </c>
      <c r="M119" s="42" t="s">
        <v>247</v>
      </c>
    </row>
    <row r="120" spans="1:13">
      <c r="A120" s="43" t="s">
        <v>260</v>
      </c>
      <c r="B120" s="43" t="s">
        <v>415</v>
      </c>
      <c r="C120" s="9" t="s">
        <v>18</v>
      </c>
      <c r="D120" s="40">
        <v>45350</v>
      </c>
      <c r="E120" s="41">
        <v>45351</v>
      </c>
      <c r="F120" s="41">
        <v>45358</v>
      </c>
      <c r="G120" s="147"/>
      <c r="H120" s="70">
        <v>0.17733806999999999</v>
      </c>
      <c r="I120" s="70">
        <v>0</v>
      </c>
      <c r="J120" s="70">
        <v>0.17733806999999999</v>
      </c>
      <c r="K120" s="36">
        <f>+J120-((J120*0.106*0.125)+(J120*(1-0.106)*0.26))</f>
        <v>0.1337678795817</v>
      </c>
      <c r="L120" s="71">
        <f t="shared" si="2"/>
        <v>0.1337678795817</v>
      </c>
      <c r="M120" s="42" t="s">
        <v>416</v>
      </c>
    </row>
    <row r="121" spans="1:13">
      <c r="A121" s="43" t="s">
        <v>261</v>
      </c>
      <c r="B121" s="43" t="s">
        <v>262</v>
      </c>
      <c r="C121" s="9" t="s">
        <v>18</v>
      </c>
      <c r="D121" s="40">
        <v>45350</v>
      </c>
      <c r="E121" s="41">
        <v>45351</v>
      </c>
      <c r="F121" s="41">
        <v>45358</v>
      </c>
      <c r="G121" s="147">
        <v>0.05</v>
      </c>
      <c r="H121" s="70">
        <v>1.0072939999999999</v>
      </c>
      <c r="I121" s="70">
        <v>0</v>
      </c>
      <c r="J121" s="70">
        <v>1.0072939999999999</v>
      </c>
      <c r="K121" s="36">
        <f>+J121-((J121*0.106*0.125)+(J121*(1-0.106)*0.26))</f>
        <v>0.75981193713999984</v>
      </c>
      <c r="L121" s="71">
        <f t="shared" si="2"/>
        <v>0.75981193713999984</v>
      </c>
      <c r="M121" s="42" t="s">
        <v>247</v>
      </c>
    </row>
    <row r="122" spans="1:13">
      <c r="A122" s="43" t="s">
        <v>263</v>
      </c>
      <c r="B122" s="43" t="s">
        <v>264</v>
      </c>
      <c r="C122" s="9" t="s">
        <v>18</v>
      </c>
      <c r="D122" s="40">
        <v>45350</v>
      </c>
      <c r="E122" s="41">
        <v>45351</v>
      </c>
      <c r="F122" s="41">
        <v>45358</v>
      </c>
      <c r="G122" s="147">
        <v>0.05</v>
      </c>
      <c r="H122" s="70">
        <v>0.79894299999999996</v>
      </c>
      <c r="I122" s="70">
        <v>0</v>
      </c>
      <c r="J122" s="70">
        <v>0.79894299999999996</v>
      </c>
      <c r="K122" s="36">
        <f>+J122-((J122*0.106*0.125)+(J122*(1-0.106)*0.26))</f>
        <v>0.60265069432999996</v>
      </c>
      <c r="L122" s="71">
        <f t="shared" si="2"/>
        <v>0.60265069432999996</v>
      </c>
      <c r="M122" s="42" t="s">
        <v>247</v>
      </c>
    </row>
    <row r="123" spans="1:13">
      <c r="A123" s="43" t="s">
        <v>266</v>
      </c>
      <c r="B123" s="43" t="s">
        <v>268</v>
      </c>
      <c r="C123" s="9" t="s">
        <v>18</v>
      </c>
      <c r="D123" s="40">
        <v>45350</v>
      </c>
      <c r="E123" s="41">
        <v>45351</v>
      </c>
      <c r="F123" s="41">
        <v>45358</v>
      </c>
      <c r="G123" s="147">
        <v>0.04</v>
      </c>
      <c r="H123" s="70">
        <v>1.3782829999999999</v>
      </c>
      <c r="I123" s="70">
        <v>0</v>
      </c>
      <c r="J123" s="70">
        <v>1.3782829999999999</v>
      </c>
      <c r="K123" s="36">
        <f>+J123-((J123*0.046*0.125)+(J123*(1-0.046)*0.26))</f>
        <v>1.02848855743</v>
      </c>
      <c r="L123" s="71">
        <f t="shared" si="2"/>
        <v>1.02848855743</v>
      </c>
      <c r="M123" s="42" t="s">
        <v>247</v>
      </c>
    </row>
    <row r="124" spans="1:13">
      <c r="A124" s="43" t="s">
        <v>265</v>
      </c>
      <c r="B124" s="43" t="s">
        <v>267</v>
      </c>
      <c r="C124" s="9" t="s">
        <v>18</v>
      </c>
      <c r="D124" s="40">
        <v>45350</v>
      </c>
      <c r="E124" s="41">
        <v>45351</v>
      </c>
      <c r="F124" s="41">
        <v>45358</v>
      </c>
      <c r="G124" s="147">
        <v>0.04</v>
      </c>
      <c r="H124" s="70">
        <v>0.85872899999999996</v>
      </c>
      <c r="I124" s="70">
        <v>0</v>
      </c>
      <c r="J124" s="70">
        <v>0.85872899999999996</v>
      </c>
      <c r="K124" s="36">
        <f>+J124-((J124*0.046*0.125)+(J124*(1-0.046)*0.26))</f>
        <v>0.64079216708999998</v>
      </c>
      <c r="L124" s="71">
        <f t="shared" ref="L124:L141" si="3">I124+K124</f>
        <v>0.64079216708999998</v>
      </c>
      <c r="M124" s="42" t="s">
        <v>247</v>
      </c>
    </row>
    <row r="125" spans="1:13">
      <c r="A125" s="43" t="s">
        <v>258</v>
      </c>
      <c r="B125" s="43" t="s">
        <v>259</v>
      </c>
      <c r="C125" s="9" t="s">
        <v>18</v>
      </c>
      <c r="D125" s="40">
        <v>45442</v>
      </c>
      <c r="E125" s="41">
        <v>45443</v>
      </c>
      <c r="F125" s="41">
        <v>45450</v>
      </c>
      <c r="G125" s="147">
        <v>0.05</v>
      </c>
      <c r="H125" s="70">
        <v>1.2614730000000001</v>
      </c>
      <c r="I125" s="70">
        <v>0.46173943199545664</v>
      </c>
      <c r="J125" s="70">
        <v>0.79973356800454343</v>
      </c>
      <c r="K125" s="36">
        <f>+J125-((J125*0.106*0.125)+(J125*(1-0.106)*0.26))</f>
        <v>0.60324702768150718</v>
      </c>
      <c r="L125" s="71">
        <f t="shared" si="3"/>
        <v>1.0649864596769638</v>
      </c>
      <c r="M125" s="42" t="s">
        <v>247</v>
      </c>
    </row>
    <row r="126" spans="1:13">
      <c r="A126" s="43" t="s">
        <v>500</v>
      </c>
      <c r="B126" s="43" t="s">
        <v>423</v>
      </c>
      <c r="C126" s="9" t="s">
        <v>18</v>
      </c>
      <c r="D126" s="40">
        <v>45442</v>
      </c>
      <c r="E126" s="41">
        <v>45443</v>
      </c>
      <c r="F126" s="41">
        <v>45450</v>
      </c>
      <c r="G126" s="147">
        <v>0.05</v>
      </c>
      <c r="H126" s="70">
        <v>1.084047</v>
      </c>
      <c r="I126" s="70">
        <v>0.40813621234440189</v>
      </c>
      <c r="J126" s="70">
        <v>0.67591078765559809</v>
      </c>
      <c r="K126" s="36">
        <f>+J126-((J126*0.106*0.125)+(J126*(1-0.106)*0.26))</f>
        <v>0.50984626623649421</v>
      </c>
      <c r="L126" s="71">
        <f t="shared" si="3"/>
        <v>0.9179824785808961</v>
      </c>
      <c r="M126" s="42" t="s">
        <v>247</v>
      </c>
    </row>
    <row r="127" spans="1:13">
      <c r="A127" s="43" t="s">
        <v>260</v>
      </c>
      <c r="B127" s="43" t="s">
        <v>415</v>
      </c>
      <c r="C127" s="9" t="s">
        <v>18</v>
      </c>
      <c r="D127" s="40">
        <v>45442</v>
      </c>
      <c r="E127" s="41">
        <v>45443</v>
      </c>
      <c r="F127" s="41">
        <v>45450</v>
      </c>
      <c r="G127" s="147"/>
      <c r="H127" s="70">
        <v>0.66687595</v>
      </c>
      <c r="I127" s="70">
        <v>0</v>
      </c>
      <c r="J127" s="70">
        <v>0.66687595</v>
      </c>
      <c r="K127" s="36">
        <f>+J127-((J127*0.106*0.125)+(J127*(1-0.106)*0.26))</f>
        <v>0.50303119784450001</v>
      </c>
      <c r="L127" s="71">
        <f t="shared" si="3"/>
        <v>0.50303119784450001</v>
      </c>
      <c r="M127" s="42" t="s">
        <v>416</v>
      </c>
    </row>
    <row r="128" spans="1:13">
      <c r="A128" s="43" t="s">
        <v>261</v>
      </c>
      <c r="B128" s="43" t="s">
        <v>262</v>
      </c>
      <c r="C128" s="9" t="s">
        <v>18</v>
      </c>
      <c r="D128" s="40">
        <v>45442</v>
      </c>
      <c r="E128" s="41">
        <v>45443</v>
      </c>
      <c r="F128" s="41">
        <v>45450</v>
      </c>
      <c r="G128" s="147">
        <v>0.05</v>
      </c>
      <c r="H128" s="70">
        <v>1.029984</v>
      </c>
      <c r="I128" s="70">
        <v>0.57046852360358546</v>
      </c>
      <c r="J128" s="70">
        <v>0.45951547639641466</v>
      </c>
      <c r="K128" s="36">
        <f>+J128-((J128*0.106*0.125)+(J128*(1-0.106)*0.26))</f>
        <v>0.34661711900057957</v>
      </c>
      <c r="L128" s="71">
        <f t="shared" si="3"/>
        <v>0.91708564260416503</v>
      </c>
      <c r="M128" s="42" t="s">
        <v>247</v>
      </c>
    </row>
    <row r="129" spans="1:13">
      <c r="A129" s="43" t="s">
        <v>263</v>
      </c>
      <c r="B129" s="43" t="s">
        <v>264</v>
      </c>
      <c r="C129" s="9" t="s">
        <v>18</v>
      </c>
      <c r="D129" s="40">
        <v>45442</v>
      </c>
      <c r="E129" s="41">
        <v>45443</v>
      </c>
      <c r="F129" s="41">
        <v>45450</v>
      </c>
      <c r="G129" s="147">
        <v>0.05</v>
      </c>
      <c r="H129" s="70">
        <v>0.81604200000000005</v>
      </c>
      <c r="I129" s="70">
        <v>0.45417703092019229</v>
      </c>
      <c r="J129" s="70">
        <v>0.36186496907980775</v>
      </c>
      <c r="K129" s="36">
        <f>+J129-((J129*0.106*0.125)+(J129*(1-0.106)*0.26))</f>
        <v>0.27295836482658975</v>
      </c>
      <c r="L129" s="71">
        <f t="shared" si="3"/>
        <v>0.7271353957467821</v>
      </c>
      <c r="M129" s="42" t="s">
        <v>247</v>
      </c>
    </row>
    <row r="130" spans="1:13">
      <c r="A130" s="43" t="s">
        <v>266</v>
      </c>
      <c r="B130" s="43" t="s">
        <v>268</v>
      </c>
      <c r="C130" s="9" t="s">
        <v>18</v>
      </c>
      <c r="D130" s="40">
        <v>45442</v>
      </c>
      <c r="E130" s="41">
        <v>45443</v>
      </c>
      <c r="F130" s="41">
        <v>45450</v>
      </c>
      <c r="G130" s="147">
        <v>0.04</v>
      </c>
      <c r="H130" s="70">
        <v>1.433316</v>
      </c>
      <c r="I130" s="70">
        <v>1.196440262963923</v>
      </c>
      <c r="J130" s="70">
        <v>0.23687573703607703</v>
      </c>
      <c r="K130" s="36">
        <f>+J130-((J130*0.046*0.125)+(J130*(1-0.046)*0.26))</f>
        <v>0.17675904373369106</v>
      </c>
      <c r="L130" s="71">
        <f t="shared" si="3"/>
        <v>1.373199306697614</v>
      </c>
      <c r="M130" s="42" t="s">
        <v>247</v>
      </c>
    </row>
    <row r="131" spans="1:13">
      <c r="A131" s="43" t="s">
        <v>265</v>
      </c>
      <c r="B131" s="43" t="s">
        <v>267</v>
      </c>
      <c r="C131" s="9" t="s">
        <v>18</v>
      </c>
      <c r="D131" s="40">
        <v>45442</v>
      </c>
      <c r="E131" s="41">
        <v>45443</v>
      </c>
      <c r="F131" s="41">
        <v>45450</v>
      </c>
      <c r="G131" s="147">
        <v>0.04</v>
      </c>
      <c r="H131" s="70">
        <v>0.89207899999999996</v>
      </c>
      <c r="I131" s="70">
        <v>0.74554936687607076</v>
      </c>
      <c r="J131" s="70">
        <v>0.14652963312392914</v>
      </c>
      <c r="K131" s="36">
        <f>+J131-((J131*0.046*0.125)+(J131*(1-0.046)*0.26))</f>
        <v>0.10934187753340716</v>
      </c>
      <c r="L131" s="71">
        <f t="shared" si="3"/>
        <v>0.85489124440947795</v>
      </c>
      <c r="M131" s="42" t="s">
        <v>247</v>
      </c>
    </row>
    <row r="132" spans="1:13">
      <c r="A132" s="43" t="s">
        <v>258</v>
      </c>
      <c r="B132" s="43" t="s">
        <v>259</v>
      </c>
      <c r="C132" s="9" t="s">
        <v>18</v>
      </c>
      <c r="D132" s="40">
        <v>45533</v>
      </c>
      <c r="E132" s="41">
        <v>45534</v>
      </c>
      <c r="F132" s="41">
        <v>45541</v>
      </c>
      <c r="G132" s="147">
        <v>0.05</v>
      </c>
      <c r="H132" s="70">
        <v>1.2829539999999999</v>
      </c>
      <c r="I132" s="70">
        <v>0.60809752942198636</v>
      </c>
      <c r="J132" s="70">
        <v>0.67485647057801357</v>
      </c>
      <c r="K132" s="36">
        <f>+J132-((J132*0.104*0.125)+(J132*(1-0.104)*0.26))</f>
        <v>0.50886877307464529</v>
      </c>
      <c r="L132" s="71">
        <f t="shared" si="3"/>
        <v>1.1169663024966316</v>
      </c>
      <c r="M132" s="42" t="s">
        <v>247</v>
      </c>
    </row>
    <row r="133" spans="1:13">
      <c r="A133" s="43" t="s">
        <v>500</v>
      </c>
      <c r="B133" s="43" t="s">
        <v>423</v>
      </c>
      <c r="C133" s="9" t="s">
        <v>18</v>
      </c>
      <c r="D133" s="40">
        <v>45533</v>
      </c>
      <c r="E133" s="41">
        <v>45534</v>
      </c>
      <c r="F133" s="41">
        <v>45541</v>
      </c>
      <c r="G133" s="147">
        <v>0.05</v>
      </c>
      <c r="H133" s="70">
        <v>1.1189830000000001</v>
      </c>
      <c r="I133" s="70">
        <v>0.54368712879213166</v>
      </c>
      <c r="J133" s="70">
        <v>0.5752958712078684</v>
      </c>
      <c r="K133" s="36">
        <f>+J133-((J133*0.104*0.125)+(J133*(1-0.104)*0.26))</f>
        <v>0.43379609872558111</v>
      </c>
      <c r="L133" s="71">
        <f t="shared" si="3"/>
        <v>0.97748322751771277</v>
      </c>
      <c r="M133" s="42" t="s">
        <v>247</v>
      </c>
    </row>
    <row r="134" spans="1:13">
      <c r="A134" s="43" t="s">
        <v>260</v>
      </c>
      <c r="B134" s="43" t="s">
        <v>415</v>
      </c>
      <c r="C134" s="9" t="s">
        <v>18</v>
      </c>
      <c r="D134" s="40">
        <v>45533</v>
      </c>
      <c r="E134" s="41">
        <v>45534</v>
      </c>
      <c r="F134" s="41">
        <v>45541</v>
      </c>
      <c r="G134" s="147"/>
      <c r="H134" s="70">
        <v>0.20804122</v>
      </c>
      <c r="I134" s="70">
        <v>0</v>
      </c>
      <c r="J134" s="70">
        <v>0.20804122</v>
      </c>
      <c r="K134" s="36">
        <f>+J134-((J134*0.104*0.125)+(J134*(1-0.104)*0.26))</f>
        <v>0.1568714015288</v>
      </c>
      <c r="L134" s="71">
        <f t="shared" si="3"/>
        <v>0.1568714015288</v>
      </c>
      <c r="M134" s="42" t="s">
        <v>416</v>
      </c>
    </row>
    <row r="135" spans="1:13">
      <c r="A135" s="43" t="s">
        <v>261</v>
      </c>
      <c r="B135" s="43" t="s">
        <v>262</v>
      </c>
      <c r="C135" s="9" t="s">
        <v>18</v>
      </c>
      <c r="D135" s="40">
        <v>45533</v>
      </c>
      <c r="E135" s="41">
        <v>45534</v>
      </c>
      <c r="F135" s="41">
        <v>45541</v>
      </c>
      <c r="G135" s="147">
        <v>0.05</v>
      </c>
      <c r="H135" s="70">
        <v>1.044916</v>
      </c>
      <c r="I135" s="70">
        <v>0.49375625390001154</v>
      </c>
      <c r="J135" s="70">
        <v>0.55115974609998841</v>
      </c>
      <c r="K135" s="36">
        <f>+J135-((J135*0.104*0.125)+(J135*(1-0.104)*0.26))</f>
        <v>0.41559649494923523</v>
      </c>
      <c r="L135" s="71">
        <f t="shared" si="3"/>
        <v>0.90935274884924677</v>
      </c>
      <c r="M135" s="42" t="s">
        <v>247</v>
      </c>
    </row>
    <row r="136" spans="1:13">
      <c r="A136" s="43" t="s">
        <v>263</v>
      </c>
      <c r="B136" s="43" t="s">
        <v>264</v>
      </c>
      <c r="C136" s="9" t="s">
        <v>18</v>
      </c>
      <c r="D136" s="40">
        <v>45533</v>
      </c>
      <c r="E136" s="41">
        <v>45534</v>
      </c>
      <c r="F136" s="41">
        <v>45541</v>
      </c>
      <c r="G136" s="147">
        <v>0.05</v>
      </c>
      <c r="H136" s="70">
        <v>0.84014999999999995</v>
      </c>
      <c r="I136" s="70">
        <v>0.40401405301819338</v>
      </c>
      <c r="J136" s="70">
        <v>0.43613594698180658</v>
      </c>
      <c r="K136" s="36">
        <f>+J136-((J136*0.104*0.125)+(J136*(1-0.104)*0.26))</f>
        <v>0.32886394946216141</v>
      </c>
      <c r="L136" s="71">
        <f t="shared" si="3"/>
        <v>0.73287800248035473</v>
      </c>
      <c r="M136" s="42" t="s">
        <v>247</v>
      </c>
    </row>
    <row r="137" spans="1:13">
      <c r="A137" s="43" t="s">
        <v>266</v>
      </c>
      <c r="B137" s="43" t="s">
        <v>268</v>
      </c>
      <c r="C137" s="9" t="s">
        <v>18</v>
      </c>
      <c r="D137" s="40">
        <v>45533</v>
      </c>
      <c r="E137" s="41">
        <v>45534</v>
      </c>
      <c r="F137" s="41">
        <v>45541</v>
      </c>
      <c r="G137" s="147">
        <v>0.04</v>
      </c>
      <c r="H137" s="70">
        <v>1.4732190000000001</v>
      </c>
      <c r="I137" s="70">
        <v>0.88466358278713197</v>
      </c>
      <c r="J137" s="70">
        <v>0.58855541721286797</v>
      </c>
      <c r="K137" s="36">
        <f>+J137-((J137*0.064*0.125)+(J137*(1-0.064)*0.26))</f>
        <v>0.44061612754224144</v>
      </c>
      <c r="L137" s="71">
        <f t="shared" si="3"/>
        <v>1.3252797103293734</v>
      </c>
      <c r="M137" s="42" t="s">
        <v>247</v>
      </c>
    </row>
    <row r="138" spans="1:13">
      <c r="A138" s="43" t="s">
        <v>265</v>
      </c>
      <c r="B138" s="43" t="s">
        <v>267</v>
      </c>
      <c r="C138" s="9" t="s">
        <v>18</v>
      </c>
      <c r="D138" s="40">
        <v>45533</v>
      </c>
      <c r="E138" s="41">
        <v>45534</v>
      </c>
      <c r="F138" s="41">
        <v>45541</v>
      </c>
      <c r="G138" s="147">
        <v>0.04</v>
      </c>
      <c r="H138" s="70">
        <v>0.93054400000000004</v>
      </c>
      <c r="I138" s="70">
        <v>0.56604363482117004</v>
      </c>
      <c r="J138" s="70">
        <v>0.36450036517882994</v>
      </c>
      <c r="K138" s="36">
        <f>+J138-((J138*0.064*0.125)+(J138*(1-0.064)*0.26))</f>
        <v>0.27287955338747927</v>
      </c>
      <c r="L138" s="71">
        <f t="shared" si="3"/>
        <v>0.83892318820864931</v>
      </c>
      <c r="M138" s="42" t="s">
        <v>247</v>
      </c>
    </row>
    <row r="139" spans="1:13">
      <c r="A139" s="43" t="s">
        <v>258</v>
      </c>
      <c r="B139" s="43" t="s">
        <v>259</v>
      </c>
      <c r="C139" s="9" t="s">
        <v>18</v>
      </c>
      <c r="D139" s="40">
        <v>45624</v>
      </c>
      <c r="E139" s="41">
        <v>45625</v>
      </c>
      <c r="F139" s="41">
        <v>45632</v>
      </c>
      <c r="G139" s="60">
        <v>0.05</v>
      </c>
      <c r="H139" s="70">
        <v>1.314378</v>
      </c>
      <c r="I139" s="70">
        <v>0.25442068973632348</v>
      </c>
      <c r="J139" s="70">
        <v>1.0599573102636766</v>
      </c>
      <c r="K139" s="36">
        <f>+J139-((J139*0.104*0.125)+(J139*(1-0.104)*0.26))</f>
        <v>0.79925021023122267</v>
      </c>
      <c r="L139" s="71">
        <f t="shared" si="3"/>
        <v>1.0536708999675461</v>
      </c>
      <c r="M139" s="42" t="s">
        <v>247</v>
      </c>
    </row>
    <row r="140" spans="1:13">
      <c r="A140" s="43" t="s">
        <v>500</v>
      </c>
      <c r="B140" s="43" t="s">
        <v>423</v>
      </c>
      <c r="C140" s="9" t="s">
        <v>18</v>
      </c>
      <c r="D140" s="40">
        <v>45624</v>
      </c>
      <c r="E140" s="41">
        <v>45625</v>
      </c>
      <c r="F140" s="41">
        <v>45632</v>
      </c>
      <c r="G140" s="60">
        <v>0.05</v>
      </c>
      <c r="H140" s="70">
        <v>1.0893029999999999</v>
      </c>
      <c r="I140" s="70">
        <v>0.17578373900557748</v>
      </c>
      <c r="J140" s="70">
        <v>0.91351926099442249</v>
      </c>
      <c r="K140" s="36">
        <f>+J140-((J140*0.104*0.125)+(J140*(1-0.104)*0.26))</f>
        <v>0.68883006356023435</v>
      </c>
      <c r="L140" s="71">
        <f t="shared" si="3"/>
        <v>0.86461380256581188</v>
      </c>
      <c r="M140" s="42" t="s">
        <v>247</v>
      </c>
    </row>
    <row r="141" spans="1:13">
      <c r="A141" s="43" t="s">
        <v>260</v>
      </c>
      <c r="B141" s="43" t="s">
        <v>415</v>
      </c>
      <c r="C141" s="9" t="s">
        <v>18</v>
      </c>
      <c r="D141" s="40">
        <v>45624</v>
      </c>
      <c r="E141" s="41">
        <v>45625</v>
      </c>
      <c r="F141" s="41">
        <v>45632</v>
      </c>
      <c r="G141" s="148"/>
      <c r="H141" s="70">
        <v>0.17335320000000001</v>
      </c>
      <c r="I141" s="70">
        <v>0</v>
      </c>
      <c r="J141" s="70">
        <v>0.17335320000000001</v>
      </c>
      <c r="K141" s="36">
        <f>+J141-((J141*0.104*0.125)+(J141*(1-0.104)*0.26))</f>
        <v>0.13071524692800002</v>
      </c>
      <c r="L141" s="71">
        <f t="shared" si="3"/>
        <v>0.13071524692800002</v>
      </c>
      <c r="M141" s="42" t="s">
        <v>416</v>
      </c>
    </row>
    <row r="142" spans="1:13">
      <c r="A142" s="43" t="s">
        <v>261</v>
      </c>
      <c r="B142" s="43" t="s">
        <v>262</v>
      </c>
      <c r="C142" s="9" t="s">
        <v>18</v>
      </c>
      <c r="D142" s="40">
        <v>45624</v>
      </c>
      <c r="E142" s="41">
        <v>45625</v>
      </c>
      <c r="F142" s="41">
        <v>45632</v>
      </c>
      <c r="G142" s="60">
        <v>0.05</v>
      </c>
      <c r="H142" s="70">
        <v>1.067855</v>
      </c>
      <c r="I142" s="70">
        <v>9.9354159861929064E-3</v>
      </c>
      <c r="J142" s="70">
        <v>1.0579195840138071</v>
      </c>
      <c r="K142" s="36">
        <f>+J142-((J142*0.104*0.125)+(J142*(1-0.104)*0.26))</f>
        <v>0.79771368312977109</v>
      </c>
      <c r="L142" s="71">
        <f t="shared" ref="L142:L173" si="4">I142+K142</f>
        <v>0.80764909911596394</v>
      </c>
      <c r="M142" s="42" t="s">
        <v>247</v>
      </c>
    </row>
    <row r="143" spans="1:13">
      <c r="A143" s="43" t="s">
        <v>263</v>
      </c>
      <c r="B143" s="43" t="s">
        <v>264</v>
      </c>
      <c r="C143" s="9" t="s">
        <v>18</v>
      </c>
      <c r="D143" s="40">
        <v>45624</v>
      </c>
      <c r="E143" s="41">
        <v>45625</v>
      </c>
      <c r="F143" s="41">
        <v>45632</v>
      </c>
      <c r="G143" s="60">
        <v>0.05</v>
      </c>
      <c r="H143" s="70">
        <v>0.815612</v>
      </c>
      <c r="I143" s="70">
        <v>0</v>
      </c>
      <c r="J143" s="70">
        <v>0.815612</v>
      </c>
      <c r="K143" s="36">
        <f>+J143-((J143*0.104*0.125)+(J143*(1-0.104)*0.26))</f>
        <v>0.61500407248</v>
      </c>
      <c r="L143" s="71">
        <f t="shared" si="4"/>
        <v>0.61500407248</v>
      </c>
      <c r="M143" s="42" t="s">
        <v>247</v>
      </c>
    </row>
    <row r="144" spans="1:13">
      <c r="A144" s="43" t="s">
        <v>266</v>
      </c>
      <c r="B144" s="43" t="s">
        <v>268</v>
      </c>
      <c r="C144" s="9" t="s">
        <v>18</v>
      </c>
      <c r="D144" s="40">
        <v>45624</v>
      </c>
      <c r="E144" s="41">
        <v>45625</v>
      </c>
      <c r="F144" s="41">
        <v>45632</v>
      </c>
      <c r="G144" s="60">
        <v>0.04</v>
      </c>
      <c r="H144" s="70">
        <v>1.533188</v>
      </c>
      <c r="I144" s="70">
        <v>0.1193942512245931</v>
      </c>
      <c r="J144" s="70">
        <v>1.4137937487754069</v>
      </c>
      <c r="K144" s="36">
        <f>+J144-((J144*0.064*0.125)+(J144*(1-0.064)*0.26))</f>
        <v>1.0584225520832207</v>
      </c>
      <c r="L144" s="71">
        <f t="shared" si="4"/>
        <v>1.1778168033078138</v>
      </c>
      <c r="M144" s="42" t="s">
        <v>247</v>
      </c>
    </row>
    <row r="145" spans="1:13">
      <c r="A145" s="43" t="s">
        <v>265</v>
      </c>
      <c r="B145" s="43" t="s">
        <v>267</v>
      </c>
      <c r="C145" s="9" t="s">
        <v>18</v>
      </c>
      <c r="D145" s="40">
        <v>45624</v>
      </c>
      <c r="E145" s="41">
        <v>45625</v>
      </c>
      <c r="F145" s="41">
        <v>45632</v>
      </c>
      <c r="G145" s="60">
        <v>0.04</v>
      </c>
      <c r="H145" s="70">
        <v>0.92009600000000002</v>
      </c>
      <c r="I145" s="70">
        <v>3.7048768273015523E-2</v>
      </c>
      <c r="J145" s="70">
        <v>0.88304723172698452</v>
      </c>
      <c r="K145" s="36">
        <f>+J145-((J145*0.064*0.125)+(J145*(1-0.064)*0.26))</f>
        <v>0.66108447956008964</v>
      </c>
      <c r="L145" s="71">
        <f t="shared" si="4"/>
        <v>0.69813324783310515</v>
      </c>
      <c r="M145" s="42" t="s">
        <v>247</v>
      </c>
    </row>
    <row r="146" spans="1:13">
      <c r="A146" s="43" t="s">
        <v>258</v>
      </c>
      <c r="B146" s="43" t="s">
        <v>259</v>
      </c>
      <c r="C146" s="9" t="s">
        <v>18</v>
      </c>
      <c r="D146" s="40">
        <v>45715</v>
      </c>
      <c r="E146" s="41">
        <v>45716</v>
      </c>
      <c r="F146" s="41">
        <v>45723</v>
      </c>
      <c r="G146" s="60">
        <v>0.05</v>
      </c>
      <c r="H146" s="70">
        <v>1.347038</v>
      </c>
      <c r="I146" s="70">
        <v>0</v>
      </c>
      <c r="J146" s="70">
        <v>1.347038</v>
      </c>
      <c r="K146" s="36">
        <f>+J146-((J146*0.096*0.125)+(J146*(1-0.096)*0.26))</f>
        <v>1.01426573248</v>
      </c>
      <c r="L146" s="71">
        <f t="shared" si="4"/>
        <v>1.01426573248</v>
      </c>
      <c r="M146" s="42" t="s">
        <v>247</v>
      </c>
    </row>
    <row r="147" spans="1:13">
      <c r="A147" s="43" t="s">
        <v>500</v>
      </c>
      <c r="B147" s="43" t="s">
        <v>423</v>
      </c>
      <c r="C147" s="9" t="s">
        <v>18</v>
      </c>
      <c r="D147" s="40">
        <v>45715</v>
      </c>
      <c r="E147" s="41">
        <v>45716</v>
      </c>
      <c r="F147" s="41">
        <v>45723</v>
      </c>
      <c r="G147" s="60">
        <v>0.05</v>
      </c>
      <c r="H147" s="70">
        <v>1.094195</v>
      </c>
      <c r="I147" s="70">
        <v>0</v>
      </c>
      <c r="J147" s="70">
        <v>1.094195</v>
      </c>
      <c r="K147" s="36">
        <f>+J147-((J147*0.096*0.125)+(J147*(1-0.096)*0.26))</f>
        <v>0.82388506719999999</v>
      </c>
      <c r="L147" s="71">
        <f t="shared" si="4"/>
        <v>0.82388506719999999</v>
      </c>
      <c r="M147" s="42" t="s">
        <v>247</v>
      </c>
    </row>
    <row r="148" spans="1:13">
      <c r="A148" s="43" t="s">
        <v>260</v>
      </c>
      <c r="B148" s="43" t="s">
        <v>415</v>
      </c>
      <c r="C148" s="9" t="s">
        <v>18</v>
      </c>
      <c r="D148" s="40">
        <v>45715</v>
      </c>
      <c r="E148" s="41">
        <v>45716</v>
      </c>
      <c r="F148" s="41">
        <v>45723</v>
      </c>
      <c r="G148" s="60"/>
      <c r="H148" s="70">
        <v>0.15273582999999999</v>
      </c>
      <c r="I148" s="70">
        <v>0</v>
      </c>
      <c r="J148" s="70">
        <v>0.15273582999999999</v>
      </c>
      <c r="K148" s="36">
        <f>+J148-((J148*0.096*0.125)+(J148*(1-0.096)*0.26))</f>
        <v>0.11500397055679999</v>
      </c>
      <c r="L148" s="71">
        <f t="shared" si="4"/>
        <v>0.11500397055679999</v>
      </c>
      <c r="M148" s="42" t="s">
        <v>416</v>
      </c>
    </row>
    <row r="149" spans="1:13">
      <c r="A149" s="43" t="s">
        <v>261</v>
      </c>
      <c r="B149" s="43" t="s">
        <v>262</v>
      </c>
      <c r="C149" s="9" t="s">
        <v>18</v>
      </c>
      <c r="D149" s="40">
        <v>45715</v>
      </c>
      <c r="E149" s="41">
        <v>45716</v>
      </c>
      <c r="F149" s="41">
        <v>45723</v>
      </c>
      <c r="G149" s="60">
        <v>0.05</v>
      </c>
      <c r="H149" s="70">
        <v>1.091696</v>
      </c>
      <c r="I149" s="70">
        <v>0</v>
      </c>
      <c r="J149" s="70">
        <v>1.091696</v>
      </c>
      <c r="K149" s="36">
        <f>+J149-((J149*0.096*0.125)+(J149*(1-0.096)*0.26))</f>
        <v>0.82200342015999994</v>
      </c>
      <c r="L149" s="71">
        <f t="shared" si="4"/>
        <v>0.82200342015999994</v>
      </c>
      <c r="M149" s="42" t="s">
        <v>247</v>
      </c>
    </row>
    <row r="150" spans="1:13">
      <c r="A150" s="43" t="s">
        <v>263</v>
      </c>
      <c r="B150" s="43" t="s">
        <v>264</v>
      </c>
      <c r="C150" s="9" t="s">
        <v>18</v>
      </c>
      <c r="D150" s="40">
        <v>45715</v>
      </c>
      <c r="E150" s="41">
        <v>45716</v>
      </c>
      <c r="F150" s="41">
        <v>45723</v>
      </c>
      <c r="G150" s="60">
        <v>0.05</v>
      </c>
      <c r="H150" s="70">
        <v>0.81717700000000004</v>
      </c>
      <c r="I150" s="70">
        <v>0</v>
      </c>
      <c r="J150" s="70">
        <v>0.81717700000000004</v>
      </c>
      <c r="K150" s="36">
        <f>+J150-((J150*0.096*0.125)+(J150*(1-0.096)*0.26))</f>
        <v>0.61530159392000006</v>
      </c>
      <c r="L150" s="71">
        <f t="shared" si="4"/>
        <v>0.61530159392000006</v>
      </c>
      <c r="M150" s="42" t="s">
        <v>247</v>
      </c>
    </row>
    <row r="151" spans="1:13">
      <c r="A151" s="43" t="s">
        <v>266</v>
      </c>
      <c r="B151" s="43" t="s">
        <v>268</v>
      </c>
      <c r="C151" s="9" t="s">
        <v>18</v>
      </c>
      <c r="D151" s="40">
        <v>45715</v>
      </c>
      <c r="E151" s="41">
        <v>45716</v>
      </c>
      <c r="F151" s="41">
        <v>45723</v>
      </c>
      <c r="G151" s="60">
        <v>0.04</v>
      </c>
      <c r="H151" s="70">
        <v>1.55419</v>
      </c>
      <c r="I151" s="70">
        <v>0</v>
      </c>
      <c r="J151" s="70">
        <v>1.55419</v>
      </c>
      <c r="K151" s="36">
        <f>+J151-((J151*0.051*0.125)+(J151*(1-0.051)*0.26))</f>
        <v>1.1608011981499999</v>
      </c>
      <c r="L151" s="71">
        <f t="shared" si="4"/>
        <v>1.1608011981499999</v>
      </c>
      <c r="M151" s="42" t="s">
        <v>247</v>
      </c>
    </row>
    <row r="152" spans="1:13">
      <c r="A152" s="43" t="s">
        <v>265</v>
      </c>
      <c r="B152" s="43" t="s">
        <v>267</v>
      </c>
      <c r="C152" s="9" t="s">
        <v>18</v>
      </c>
      <c r="D152" s="40">
        <v>45715</v>
      </c>
      <c r="E152" s="41">
        <v>45716</v>
      </c>
      <c r="F152" s="41">
        <v>45723</v>
      </c>
      <c r="G152" s="60">
        <v>0.04</v>
      </c>
      <c r="H152" s="70">
        <v>0.913995</v>
      </c>
      <c r="I152" s="70">
        <v>0</v>
      </c>
      <c r="J152" s="70">
        <v>0.913995</v>
      </c>
      <c r="K152" s="36">
        <f>+J152-((J152*0.051*0.125)+(J152*(1-0.051)*0.26))</f>
        <v>0.68264915557500006</v>
      </c>
      <c r="L152" s="71">
        <f t="shared" si="4"/>
        <v>0.68264915557500006</v>
      </c>
      <c r="M152" s="42" t="s">
        <v>247</v>
      </c>
    </row>
    <row r="153" spans="1:13">
      <c r="A153" s="43" t="s">
        <v>258</v>
      </c>
      <c r="B153" s="43" t="s">
        <v>259</v>
      </c>
      <c r="C153" s="9" t="s">
        <v>18</v>
      </c>
      <c r="D153" s="40">
        <v>45805</v>
      </c>
      <c r="E153" s="41">
        <v>45807</v>
      </c>
      <c r="F153" s="41">
        <v>45814</v>
      </c>
      <c r="G153" s="60">
        <v>0.05</v>
      </c>
      <c r="H153" s="70">
        <v>1.2752079999999999</v>
      </c>
      <c r="I153" s="70">
        <v>0.34085695470015048</v>
      </c>
      <c r="J153" s="70">
        <v>0.93435104529984947</v>
      </c>
      <c r="K153" s="36">
        <f>+J153-((J153*0.096*0.125)+(J153*(1-0.096)*0.26))</f>
        <v>0.70352896306897461</v>
      </c>
      <c r="L153" s="71">
        <f t="shared" si="4"/>
        <v>1.044385917769125</v>
      </c>
      <c r="M153" s="42" t="s">
        <v>247</v>
      </c>
    </row>
    <row r="154" spans="1:13">
      <c r="A154" s="43" t="s">
        <v>500</v>
      </c>
      <c r="B154" s="43" t="s">
        <v>423</v>
      </c>
      <c r="C154" s="9" t="s">
        <v>18</v>
      </c>
      <c r="D154" s="40">
        <v>45805</v>
      </c>
      <c r="E154" s="41">
        <v>45807</v>
      </c>
      <c r="F154" s="41">
        <v>45814</v>
      </c>
      <c r="G154" s="60">
        <v>0.05</v>
      </c>
      <c r="H154" s="70">
        <v>1.122946</v>
      </c>
      <c r="I154" s="70">
        <v>0.31051199438675225</v>
      </c>
      <c r="J154" s="70">
        <v>0.81243400561324775</v>
      </c>
      <c r="K154" s="36">
        <f>+J154-((J154*0.096*0.125)+(J154*(1-0.096)*0.26))</f>
        <v>0.611730308866551</v>
      </c>
      <c r="L154" s="71">
        <f t="shared" si="4"/>
        <v>0.92224230325330325</v>
      </c>
      <c r="M154" s="42" t="s">
        <v>247</v>
      </c>
    </row>
    <row r="155" spans="1:13">
      <c r="A155" s="43" t="s">
        <v>260</v>
      </c>
      <c r="B155" s="43" t="s">
        <v>415</v>
      </c>
      <c r="C155" s="9" t="s">
        <v>18</v>
      </c>
      <c r="D155" s="40">
        <v>45805</v>
      </c>
      <c r="E155" s="41">
        <v>45807</v>
      </c>
      <c r="F155" s="41">
        <v>45814</v>
      </c>
      <c r="G155" s="60"/>
      <c r="H155" s="70">
        <v>0.78353660000000003</v>
      </c>
      <c r="I155" s="70">
        <v>0</v>
      </c>
      <c r="J155" s="70">
        <v>0.78353660000000003</v>
      </c>
      <c r="K155" s="36">
        <f>+J155-((J155*0.096*0.125)+(J155*(1-0.096)*0.26))</f>
        <v>0.58997171833600004</v>
      </c>
      <c r="L155" s="71">
        <f t="shared" si="4"/>
        <v>0.58997171833600004</v>
      </c>
      <c r="M155" s="42" t="s">
        <v>416</v>
      </c>
    </row>
    <row r="156" spans="1:13">
      <c r="A156" s="43" t="s">
        <v>261</v>
      </c>
      <c r="B156" s="43" t="s">
        <v>262</v>
      </c>
      <c r="C156" s="9" t="s">
        <v>18</v>
      </c>
      <c r="D156" s="40">
        <v>45805</v>
      </c>
      <c r="E156" s="41">
        <v>45807</v>
      </c>
      <c r="F156" s="41">
        <v>45814</v>
      </c>
      <c r="G156" s="60">
        <v>0.05</v>
      </c>
      <c r="H156" s="70">
        <v>1.0309140000000001</v>
      </c>
      <c r="I156" s="70">
        <v>0.47371934908415114</v>
      </c>
      <c r="J156" s="70">
        <v>0.55719465091584897</v>
      </c>
      <c r="K156" s="36">
        <f>+J156-((J156*0.096*0.125)+(J156*(1-0.096)*0.26))</f>
        <v>0.41954528435359761</v>
      </c>
      <c r="L156" s="71">
        <f t="shared" si="4"/>
        <v>0.89326463343774876</v>
      </c>
      <c r="M156" s="42" t="s">
        <v>247</v>
      </c>
    </row>
    <row r="157" spans="1:13">
      <c r="A157" s="43" t="s">
        <v>263</v>
      </c>
      <c r="B157" s="43" t="s">
        <v>264</v>
      </c>
      <c r="C157" s="9" t="s">
        <v>18</v>
      </c>
      <c r="D157" s="40">
        <v>45805</v>
      </c>
      <c r="E157" s="41">
        <v>45807</v>
      </c>
      <c r="F157" s="41">
        <v>45814</v>
      </c>
      <c r="G157" s="60">
        <v>0.05</v>
      </c>
      <c r="H157" s="70">
        <v>0.83657499999999996</v>
      </c>
      <c r="I157" s="70">
        <v>0.3894793053897968</v>
      </c>
      <c r="J157" s="70">
        <v>0.44709569461020315</v>
      </c>
      <c r="K157" s="36">
        <f>+J157-((J157*0.096*0.125)+(J157*(1-0.096)*0.26))</f>
        <v>0.33664517421369855</v>
      </c>
      <c r="L157" s="71">
        <f t="shared" si="4"/>
        <v>0.72612447960349535</v>
      </c>
      <c r="M157" s="42" t="s">
        <v>247</v>
      </c>
    </row>
    <row r="158" spans="1:13">
      <c r="A158" s="43" t="s">
        <v>266</v>
      </c>
      <c r="B158" s="43" t="s">
        <v>268</v>
      </c>
      <c r="C158" s="9" t="s">
        <v>18</v>
      </c>
      <c r="D158" s="40">
        <v>45805</v>
      </c>
      <c r="E158" s="41">
        <v>45807</v>
      </c>
      <c r="F158" s="41">
        <v>45814</v>
      </c>
      <c r="G158" s="60">
        <v>0.04</v>
      </c>
      <c r="H158" s="70">
        <v>1.455317</v>
      </c>
      <c r="I158" s="70">
        <v>1.0723678960340493</v>
      </c>
      <c r="J158" s="70">
        <v>0.38294910396595061</v>
      </c>
      <c r="K158" s="36">
        <f>+J158-((J158*0.051*0.125)+(J158*(1-0.051)*0.26))</f>
        <v>0.28601894151560903</v>
      </c>
      <c r="L158" s="71">
        <f t="shared" si="4"/>
        <v>1.3583868375496584</v>
      </c>
      <c r="M158" s="42" t="s">
        <v>247</v>
      </c>
    </row>
    <row r="159" spans="1:13">
      <c r="A159" s="43" t="s">
        <v>265</v>
      </c>
      <c r="B159" s="43" t="s">
        <v>267</v>
      </c>
      <c r="C159" s="9" t="s">
        <v>18</v>
      </c>
      <c r="D159" s="40">
        <v>45805</v>
      </c>
      <c r="E159" s="41">
        <v>45807</v>
      </c>
      <c r="F159" s="41">
        <v>45814</v>
      </c>
      <c r="G159" s="60">
        <v>0.04</v>
      </c>
      <c r="H159" s="70">
        <v>0.92821100000000001</v>
      </c>
      <c r="I159" s="70">
        <v>0.68894483154460129</v>
      </c>
      <c r="J159" s="70">
        <v>0.23926616845539875</v>
      </c>
      <c r="K159" s="36">
        <f>+J159-((J159*0.051*0.125)+(J159*(1-0.051)*0.26))</f>
        <v>0.17870431222681049</v>
      </c>
      <c r="L159" s="71">
        <f t="shared" si="4"/>
        <v>0.86764914377141178</v>
      </c>
      <c r="M159" s="42" t="s">
        <v>247</v>
      </c>
    </row>
    <row r="160" spans="1:13">
      <c r="A160" s="43" t="s">
        <v>258</v>
      </c>
      <c r="B160" s="43" t="s">
        <v>259</v>
      </c>
      <c r="C160" s="9" t="s">
        <v>18</v>
      </c>
      <c r="D160" s="40">
        <v>45897</v>
      </c>
      <c r="E160" s="41">
        <v>45898</v>
      </c>
      <c r="F160" s="41">
        <v>45905</v>
      </c>
      <c r="G160" s="60">
        <v>0.05</v>
      </c>
      <c r="H160" s="70">
        <v>1.271407</v>
      </c>
      <c r="I160" s="70">
        <v>0.63163623712991246</v>
      </c>
      <c r="J160" s="70">
        <v>0.63977076287008749</v>
      </c>
      <c r="K160" s="36">
        <f>+J160-((J160*0.086*0.125)+(J160*(1-0.086)*0.26))</f>
        <v>0.48085810308078647</v>
      </c>
      <c r="L160" s="71">
        <f t="shared" si="4"/>
        <v>1.112494340210699</v>
      </c>
      <c r="M160" s="42" t="s">
        <v>247</v>
      </c>
    </row>
    <row r="161" spans="1:13">
      <c r="A161" s="43" t="s">
        <v>500</v>
      </c>
      <c r="B161" s="43" t="s">
        <v>423</v>
      </c>
      <c r="C161" s="9" t="s">
        <v>18</v>
      </c>
      <c r="D161" s="40">
        <v>45897</v>
      </c>
      <c r="E161" s="41">
        <v>45898</v>
      </c>
      <c r="F161" s="41">
        <v>45905</v>
      </c>
      <c r="G161" s="60">
        <v>0.05</v>
      </c>
      <c r="H161" s="70">
        <v>1.146685</v>
      </c>
      <c r="I161" s="70">
        <v>0.58554839565240357</v>
      </c>
      <c r="J161" s="70">
        <v>0.56113660434759627</v>
      </c>
      <c r="K161" s="36">
        <f>+J161-((J161*0.086*0.125)+(J161*(1-0.086)*0.26))</f>
        <v>0.42175588319369683</v>
      </c>
      <c r="L161" s="71">
        <f t="shared" si="4"/>
        <v>1.0073042788461004</v>
      </c>
      <c r="M161" s="42" t="s">
        <v>247</v>
      </c>
    </row>
    <row r="162" spans="1:13">
      <c r="A162" s="43" t="s">
        <v>260</v>
      </c>
      <c r="B162" s="43" t="s">
        <v>415</v>
      </c>
      <c r="C162" s="9" t="s">
        <v>18</v>
      </c>
      <c r="D162" s="40">
        <v>45897</v>
      </c>
      <c r="E162" s="41">
        <v>45898</v>
      </c>
      <c r="F162" s="41">
        <v>45905</v>
      </c>
      <c r="G162" s="60"/>
      <c r="H162" s="70">
        <v>0.18243825999999999</v>
      </c>
      <c r="I162" s="70">
        <v>0</v>
      </c>
      <c r="J162" s="70">
        <v>0.18243825999999999</v>
      </c>
      <c r="K162" s="36">
        <f>+J162-((J162*0.086*0.125)+(J162*(1-0.086)*0.26))</f>
        <v>0.13712242059859997</v>
      </c>
      <c r="L162" s="71">
        <f t="shared" si="4"/>
        <v>0.13712242059859997</v>
      </c>
      <c r="M162" s="42" t="s">
        <v>416</v>
      </c>
    </row>
    <row r="163" spans="1:13">
      <c r="A163" s="43" t="s">
        <v>261</v>
      </c>
      <c r="B163" s="43" t="s">
        <v>262</v>
      </c>
      <c r="C163" s="9" t="s">
        <v>18</v>
      </c>
      <c r="D163" s="40">
        <v>45897</v>
      </c>
      <c r="E163" s="41">
        <v>45898</v>
      </c>
      <c r="F163" s="41">
        <v>45905</v>
      </c>
      <c r="G163" s="60">
        <v>0.05</v>
      </c>
      <c r="H163" s="70">
        <v>1.0252829999999999</v>
      </c>
      <c r="I163" s="70">
        <v>0</v>
      </c>
      <c r="J163" s="70">
        <v>1.0252829999999999</v>
      </c>
      <c r="K163" s="36">
        <f>+J163-((J163*0.086*0.125)+(J163*(1-0.086)*0.26))</f>
        <v>0.77061295562999987</v>
      </c>
      <c r="L163" s="71">
        <f t="shared" si="4"/>
        <v>0.77061295562999987</v>
      </c>
      <c r="M163" s="42" t="s">
        <v>247</v>
      </c>
    </row>
    <row r="164" spans="1:13">
      <c r="A164" s="43" t="s">
        <v>263</v>
      </c>
      <c r="B164" s="43" t="s">
        <v>264</v>
      </c>
      <c r="C164" s="9" t="s">
        <v>18</v>
      </c>
      <c r="D164" s="40">
        <v>45897</v>
      </c>
      <c r="E164" s="41">
        <v>45898</v>
      </c>
      <c r="F164" s="41">
        <v>45905</v>
      </c>
      <c r="G164" s="60">
        <v>0.05</v>
      </c>
      <c r="H164" s="70">
        <v>0.85209599999999996</v>
      </c>
      <c r="I164" s="70">
        <v>1.8939658990969381E-2</v>
      </c>
      <c r="J164" s="70">
        <v>0.83315634100903058</v>
      </c>
      <c r="K164" s="36">
        <f>+J164-((J164*0.086*0.125)+(J164*(1-0.086)*0.26))</f>
        <v>0.62620863746579747</v>
      </c>
      <c r="L164" s="71">
        <f t="shared" si="4"/>
        <v>0.64514829645676686</v>
      </c>
      <c r="M164" s="42" t="s">
        <v>247</v>
      </c>
    </row>
    <row r="165" spans="1:13">
      <c r="A165" s="43" t="s">
        <v>266</v>
      </c>
      <c r="B165" s="43" t="s">
        <v>268</v>
      </c>
      <c r="C165" s="9" t="s">
        <v>18</v>
      </c>
      <c r="D165" s="40">
        <v>45897</v>
      </c>
      <c r="E165" s="41">
        <v>45898</v>
      </c>
      <c r="F165" s="41">
        <v>45905</v>
      </c>
      <c r="G165" s="60">
        <v>0.04</v>
      </c>
      <c r="H165" s="70">
        <v>1.4915860000000001</v>
      </c>
      <c r="I165" s="70">
        <v>0.94262152479493366</v>
      </c>
      <c r="J165" s="70">
        <v>0.54896447520506642</v>
      </c>
      <c r="K165" s="36">
        <f>+J165-((J165*0.04726*0.125)+(J165*(1-0.04726)*0.26))</f>
        <v>0.409736159900005</v>
      </c>
      <c r="L165" s="71">
        <f t="shared" si="4"/>
        <v>1.3523576846949386</v>
      </c>
      <c r="M165" s="42" t="s">
        <v>247</v>
      </c>
    </row>
    <row r="166" spans="1:13">
      <c r="A166" s="43" t="s">
        <v>265</v>
      </c>
      <c r="B166" s="43" t="s">
        <v>267</v>
      </c>
      <c r="C166" s="9" t="s">
        <v>18</v>
      </c>
      <c r="D166" s="40">
        <v>45897</v>
      </c>
      <c r="E166" s="41">
        <v>45898</v>
      </c>
      <c r="F166" s="41">
        <v>45905</v>
      </c>
      <c r="G166" s="60">
        <v>0.04</v>
      </c>
      <c r="H166" s="70">
        <v>0.97424500000000003</v>
      </c>
      <c r="I166" s="70">
        <v>0.63627535532230628</v>
      </c>
      <c r="J166" s="70">
        <v>0.33796964467769375</v>
      </c>
      <c r="K166" s="36">
        <f>+J166-((J166*0.04726*0.125)+(J166*(1-0.04726)*0.26))</f>
        <v>0.25225381719150153</v>
      </c>
      <c r="L166" s="71">
        <f t="shared" si="4"/>
        <v>0.88852917251380781</v>
      </c>
      <c r="M166" s="42" t="s">
        <v>247</v>
      </c>
    </row>
    <row r="167" spans="1:13">
      <c r="A167" s="43" t="s">
        <v>258</v>
      </c>
      <c r="B167" s="43" t="s">
        <v>259</v>
      </c>
      <c r="C167" s="9" t="s">
        <v>18</v>
      </c>
      <c r="D167" s="40">
        <v>45988</v>
      </c>
      <c r="E167" s="41">
        <v>45989</v>
      </c>
      <c r="F167" s="41">
        <v>45996</v>
      </c>
      <c r="G167" s="60">
        <v>0.05</v>
      </c>
      <c r="H167" s="70">
        <v>1.330463</v>
      </c>
      <c r="I167" s="70">
        <v>0.26253458520706635</v>
      </c>
      <c r="J167" s="70">
        <v>1.0679284147929335</v>
      </c>
      <c r="K167" s="36">
        <f>+J167-((J167*0.086*0.125)+(J167*(1-0.086)*0.26))</f>
        <v>0.8026656758425168</v>
      </c>
      <c r="L167" s="71">
        <f t="shared" si="4"/>
        <v>1.0652002610495832</v>
      </c>
      <c r="M167" s="42" t="s">
        <v>247</v>
      </c>
    </row>
    <row r="168" spans="1:13">
      <c r="A168" s="43" t="s">
        <v>500</v>
      </c>
      <c r="B168" s="43" t="s">
        <v>423</v>
      </c>
      <c r="C168" s="9" t="s">
        <v>18</v>
      </c>
      <c r="D168" s="40">
        <v>45988</v>
      </c>
      <c r="E168" s="41">
        <v>45989</v>
      </c>
      <c r="F168" s="41">
        <v>45996</v>
      </c>
      <c r="G168" s="60">
        <v>0.05</v>
      </c>
      <c r="H168" s="70">
        <v>1.184577</v>
      </c>
      <c r="I168" s="70">
        <v>0.2420677423683332</v>
      </c>
      <c r="J168" s="70">
        <v>0.94250925763166682</v>
      </c>
      <c r="K168" s="36">
        <f>+J168-((J168*0.086*0.125)+(J168*(1-0.086)*0.26))</f>
        <v>0.70839938312853712</v>
      </c>
      <c r="L168" s="71">
        <f t="shared" si="4"/>
        <v>0.95046712549687029</v>
      </c>
      <c r="M168" s="42" t="s">
        <v>247</v>
      </c>
    </row>
    <row r="169" spans="1:13">
      <c r="A169" s="43" t="s">
        <v>260</v>
      </c>
      <c r="B169" s="43" t="s">
        <v>415</v>
      </c>
      <c r="C169" s="9" t="s">
        <v>18</v>
      </c>
      <c r="D169" s="40">
        <v>45988</v>
      </c>
      <c r="E169" s="41">
        <v>45989</v>
      </c>
      <c r="F169" s="41">
        <v>45996</v>
      </c>
      <c r="G169" s="60"/>
      <c r="H169" s="70">
        <v>0.12913446000000001</v>
      </c>
      <c r="I169" s="70">
        <v>0</v>
      </c>
      <c r="J169" s="70">
        <v>0.12913446000000001</v>
      </c>
      <c r="K169" s="36">
        <f>+J169-((J169*0.086*0.125)+(J169*(1-0.086)*0.26))</f>
        <v>9.7058751480600003E-2</v>
      </c>
      <c r="L169" s="71">
        <f t="shared" si="4"/>
        <v>9.7058751480600003E-2</v>
      </c>
      <c r="M169" s="42" t="s">
        <v>416</v>
      </c>
    </row>
    <row r="170" spans="1:13">
      <c r="A170" s="43" t="s">
        <v>261</v>
      </c>
      <c r="B170" s="43" t="s">
        <v>262</v>
      </c>
      <c r="C170" s="9" t="s">
        <v>18</v>
      </c>
      <c r="D170" s="40">
        <v>45988</v>
      </c>
      <c r="E170" s="41">
        <v>45989</v>
      </c>
      <c r="F170" s="41">
        <v>45996</v>
      </c>
      <c r="G170" s="60">
        <v>0.05</v>
      </c>
      <c r="H170" s="70">
        <v>1.070673</v>
      </c>
      <c r="I170" s="70">
        <v>1.1456383219810186E-2</v>
      </c>
      <c r="J170" s="70">
        <v>1.0592166167801897</v>
      </c>
      <c r="K170" s="36">
        <f>+J170-((J170*0.086*0.125)+(J170*(1-0.086)*0.26))</f>
        <v>0.79611780133815835</v>
      </c>
      <c r="L170" s="71">
        <f t="shared" si="4"/>
        <v>0.80757418455796859</v>
      </c>
      <c r="M170" s="42" t="s">
        <v>247</v>
      </c>
    </row>
    <row r="171" spans="1:13">
      <c r="A171" s="43" t="s">
        <v>263</v>
      </c>
      <c r="B171" s="43" t="s">
        <v>264</v>
      </c>
      <c r="C171" s="9" t="s">
        <v>18</v>
      </c>
      <c r="D171" s="40">
        <v>45988</v>
      </c>
      <c r="E171" s="41">
        <v>45989</v>
      </c>
      <c r="F171" s="41">
        <v>45996</v>
      </c>
      <c r="G171" s="60">
        <v>0.05</v>
      </c>
      <c r="H171" s="70">
        <v>0.87800100000000003</v>
      </c>
      <c r="I171" s="70">
        <v>1.8312768168535016E-2</v>
      </c>
      <c r="J171" s="70">
        <v>0.85968823183146503</v>
      </c>
      <c r="K171" s="36">
        <f>+J171-((J171*0.086*0.125)+(J171*(1-0.086)*0.26))</f>
        <v>0.64615027192684737</v>
      </c>
      <c r="L171" s="71">
        <f t="shared" si="4"/>
        <v>0.66446304009538237</v>
      </c>
      <c r="M171" s="42" t="s">
        <v>247</v>
      </c>
    </row>
    <row r="172" spans="1:13">
      <c r="A172" s="43" t="s">
        <v>266</v>
      </c>
      <c r="B172" s="43" t="s">
        <v>268</v>
      </c>
      <c r="C172" s="9" t="s">
        <v>18</v>
      </c>
      <c r="D172" s="40">
        <v>45988</v>
      </c>
      <c r="E172" s="41">
        <v>45989</v>
      </c>
      <c r="F172" s="41">
        <v>45996</v>
      </c>
      <c r="G172" s="60">
        <v>0.04</v>
      </c>
      <c r="H172" s="70">
        <v>1.5929139999999999</v>
      </c>
      <c r="I172" s="70">
        <v>0.19553347963055412</v>
      </c>
      <c r="J172" s="70">
        <v>1.3973805203694458</v>
      </c>
      <c r="K172" s="36">
        <f>+J172-((J172*0.04726*0.125)+(J172*(1-0.04726)*0.26))</f>
        <v>1.0429770125313991</v>
      </c>
      <c r="L172" s="71">
        <f t="shared" si="4"/>
        <v>1.2385104921619532</v>
      </c>
      <c r="M172" s="42" t="s">
        <v>247</v>
      </c>
    </row>
    <row r="173" spans="1:13">
      <c r="A173" s="43" t="s">
        <v>265</v>
      </c>
      <c r="B173" s="43" t="s">
        <v>267</v>
      </c>
      <c r="C173" s="9" t="s">
        <v>18</v>
      </c>
      <c r="D173" s="40">
        <v>45988</v>
      </c>
      <c r="E173" s="41">
        <v>45989</v>
      </c>
      <c r="F173" s="41">
        <v>45996</v>
      </c>
      <c r="G173" s="60">
        <v>0.04</v>
      </c>
      <c r="H173" s="70">
        <v>1.0304249999999999</v>
      </c>
      <c r="I173" s="70">
        <v>0.14024768260411816</v>
      </c>
      <c r="J173" s="70">
        <v>0.8901773173958818</v>
      </c>
      <c r="K173" s="36">
        <f>+J173-((J173*0.04726*0.125)+(J173*(1-0.04726)*0.26))</f>
        <v>0.66441063517567001</v>
      </c>
      <c r="L173" s="71">
        <f t="shared" si="4"/>
        <v>0.80465831777978813</v>
      </c>
      <c r="M173" s="42" t="s">
        <v>247</v>
      </c>
    </row>
    <row r="174" spans="1:13">
      <c r="A174" s="135" t="s">
        <v>258</v>
      </c>
      <c r="B174" s="135" t="s">
        <v>259</v>
      </c>
      <c r="C174" s="103" t="s">
        <v>18</v>
      </c>
      <c r="D174" s="104">
        <v>46079</v>
      </c>
      <c r="E174" s="105">
        <v>46080</v>
      </c>
      <c r="F174" s="105">
        <v>46087</v>
      </c>
      <c r="G174" s="178">
        <v>0.05</v>
      </c>
      <c r="H174" s="106"/>
      <c r="I174" s="106"/>
      <c r="J174" s="106"/>
      <c r="K174" s="107">
        <f>+J174-((J174*0.0911*0.125)+(J174*(1-0.0911)*0.26))</f>
        <v>0</v>
      </c>
      <c r="L174" s="177">
        <f t="shared" ref="L174:L180" si="5">I174+K174</f>
        <v>0</v>
      </c>
      <c r="M174" s="108" t="s">
        <v>247</v>
      </c>
    </row>
    <row r="175" spans="1:13">
      <c r="A175" s="135" t="s">
        <v>500</v>
      </c>
      <c r="B175" s="135" t="s">
        <v>423</v>
      </c>
      <c r="C175" s="103" t="s">
        <v>18</v>
      </c>
      <c r="D175" s="104">
        <v>46079</v>
      </c>
      <c r="E175" s="105">
        <v>46080</v>
      </c>
      <c r="F175" s="105">
        <v>46087</v>
      </c>
      <c r="G175" s="178">
        <v>0.05</v>
      </c>
      <c r="H175" s="106"/>
      <c r="I175" s="106"/>
      <c r="J175" s="106"/>
      <c r="K175" s="107">
        <f t="shared" ref="K175:K185" si="6">+J175-((J175*0.0911*0.125)+(J175*(1-0.0911)*0.26))</f>
        <v>0</v>
      </c>
      <c r="L175" s="177">
        <f t="shared" si="5"/>
        <v>0</v>
      </c>
      <c r="M175" s="108" t="s">
        <v>247</v>
      </c>
    </row>
    <row r="176" spans="1:13">
      <c r="A176" s="135" t="s">
        <v>260</v>
      </c>
      <c r="B176" s="135" t="s">
        <v>415</v>
      </c>
      <c r="C176" s="103" t="s">
        <v>18</v>
      </c>
      <c r="D176" s="104">
        <v>46079</v>
      </c>
      <c r="E176" s="105">
        <v>46080</v>
      </c>
      <c r="F176" s="105">
        <v>46087</v>
      </c>
      <c r="G176" s="178"/>
      <c r="H176" s="106"/>
      <c r="I176" s="106"/>
      <c r="J176" s="106"/>
      <c r="K176" s="107">
        <f t="shared" si="6"/>
        <v>0</v>
      </c>
      <c r="L176" s="177">
        <f t="shared" si="5"/>
        <v>0</v>
      </c>
      <c r="M176" s="108" t="s">
        <v>416</v>
      </c>
    </row>
    <row r="177" spans="1:13">
      <c r="A177" s="135" t="s">
        <v>261</v>
      </c>
      <c r="B177" s="135" t="s">
        <v>262</v>
      </c>
      <c r="C177" s="103" t="s">
        <v>18</v>
      </c>
      <c r="D177" s="104">
        <v>46079</v>
      </c>
      <c r="E177" s="105">
        <v>46080</v>
      </c>
      <c r="F177" s="105">
        <v>46087</v>
      </c>
      <c r="G177" s="178">
        <v>0.05</v>
      </c>
      <c r="H177" s="106"/>
      <c r="I177" s="106"/>
      <c r="J177" s="106"/>
      <c r="K177" s="107">
        <f t="shared" si="6"/>
        <v>0</v>
      </c>
      <c r="L177" s="177">
        <f t="shared" si="5"/>
        <v>0</v>
      </c>
      <c r="M177" s="108" t="s">
        <v>247</v>
      </c>
    </row>
    <row r="178" spans="1:13">
      <c r="A178" s="135" t="s">
        <v>263</v>
      </c>
      <c r="B178" s="135" t="s">
        <v>264</v>
      </c>
      <c r="C178" s="103" t="s">
        <v>18</v>
      </c>
      <c r="D178" s="104">
        <v>46079</v>
      </c>
      <c r="E178" s="105">
        <v>46080</v>
      </c>
      <c r="F178" s="105">
        <v>46087</v>
      </c>
      <c r="G178" s="178">
        <v>0.05</v>
      </c>
      <c r="H178" s="106"/>
      <c r="I178" s="106"/>
      <c r="J178" s="106"/>
      <c r="K178" s="107">
        <f t="shared" si="6"/>
        <v>0</v>
      </c>
      <c r="L178" s="177">
        <f t="shared" si="5"/>
        <v>0</v>
      </c>
      <c r="M178" s="108" t="s">
        <v>247</v>
      </c>
    </row>
    <row r="179" spans="1:13">
      <c r="A179" s="135" t="s">
        <v>266</v>
      </c>
      <c r="B179" s="135" t="s">
        <v>268</v>
      </c>
      <c r="C179" s="103" t="s">
        <v>18</v>
      </c>
      <c r="D179" s="104">
        <v>46079</v>
      </c>
      <c r="E179" s="105">
        <v>46080</v>
      </c>
      <c r="F179" s="105">
        <v>46087</v>
      </c>
      <c r="G179" s="178">
        <v>0.04</v>
      </c>
      <c r="H179" s="106"/>
      <c r="I179" s="106"/>
      <c r="J179" s="106"/>
      <c r="K179" s="107">
        <f t="shared" si="6"/>
        <v>0</v>
      </c>
      <c r="L179" s="177">
        <f t="shared" si="5"/>
        <v>0</v>
      </c>
      <c r="M179" s="108" t="s">
        <v>247</v>
      </c>
    </row>
    <row r="180" spans="1:13">
      <c r="A180" s="135" t="s">
        <v>265</v>
      </c>
      <c r="B180" s="135" t="s">
        <v>267</v>
      </c>
      <c r="C180" s="103" t="s">
        <v>18</v>
      </c>
      <c r="D180" s="104">
        <v>46079</v>
      </c>
      <c r="E180" s="105">
        <v>46080</v>
      </c>
      <c r="F180" s="105">
        <v>46087</v>
      </c>
      <c r="G180" s="178">
        <v>0.04</v>
      </c>
      <c r="H180" s="106"/>
      <c r="I180" s="106"/>
      <c r="J180" s="106"/>
      <c r="K180" s="107">
        <f t="shared" si="6"/>
        <v>0</v>
      </c>
      <c r="L180" s="177">
        <f t="shared" si="5"/>
        <v>0</v>
      </c>
      <c r="M180" s="108" t="s">
        <v>247</v>
      </c>
    </row>
    <row r="181" spans="1:13">
      <c r="A181" s="135" t="s">
        <v>258</v>
      </c>
      <c r="B181" s="135" t="s">
        <v>259</v>
      </c>
      <c r="C181" s="103" t="s">
        <v>18</v>
      </c>
      <c r="D181" s="104">
        <v>46170</v>
      </c>
      <c r="E181" s="105">
        <v>46171</v>
      </c>
      <c r="F181" s="105">
        <v>46178</v>
      </c>
      <c r="G181" s="178">
        <v>0.05</v>
      </c>
      <c r="H181" s="106"/>
      <c r="I181" s="106"/>
      <c r="J181" s="106"/>
      <c r="K181" s="107">
        <f t="shared" si="6"/>
        <v>0</v>
      </c>
      <c r="L181" s="177">
        <f t="shared" ref="L181:L187" si="7">I181+K181</f>
        <v>0</v>
      </c>
      <c r="M181" s="108" t="s">
        <v>247</v>
      </c>
    </row>
    <row r="182" spans="1:13">
      <c r="A182" s="135" t="s">
        <v>500</v>
      </c>
      <c r="B182" s="135" t="s">
        <v>423</v>
      </c>
      <c r="C182" s="103" t="s">
        <v>18</v>
      </c>
      <c r="D182" s="104">
        <v>46170</v>
      </c>
      <c r="E182" s="105">
        <v>46171</v>
      </c>
      <c r="F182" s="105">
        <v>46178</v>
      </c>
      <c r="G182" s="178">
        <v>0.05</v>
      </c>
      <c r="H182" s="106"/>
      <c r="I182" s="106"/>
      <c r="J182" s="106"/>
      <c r="K182" s="107">
        <f t="shared" si="6"/>
        <v>0</v>
      </c>
      <c r="L182" s="177">
        <f t="shared" si="7"/>
        <v>0</v>
      </c>
      <c r="M182" s="108" t="s">
        <v>247</v>
      </c>
    </row>
    <row r="183" spans="1:13">
      <c r="A183" s="135" t="s">
        <v>260</v>
      </c>
      <c r="B183" s="135" t="s">
        <v>415</v>
      </c>
      <c r="C183" s="103" t="s">
        <v>18</v>
      </c>
      <c r="D183" s="104">
        <v>46170</v>
      </c>
      <c r="E183" s="105">
        <v>46171</v>
      </c>
      <c r="F183" s="105">
        <v>46178</v>
      </c>
      <c r="G183" s="178"/>
      <c r="H183" s="106"/>
      <c r="I183" s="106"/>
      <c r="J183" s="106"/>
      <c r="K183" s="107">
        <f t="shared" si="6"/>
        <v>0</v>
      </c>
      <c r="L183" s="177">
        <f t="shared" si="7"/>
        <v>0</v>
      </c>
      <c r="M183" s="108" t="s">
        <v>416</v>
      </c>
    </row>
    <row r="184" spans="1:13">
      <c r="A184" s="135" t="s">
        <v>261</v>
      </c>
      <c r="B184" s="135" t="s">
        <v>262</v>
      </c>
      <c r="C184" s="103" t="s">
        <v>18</v>
      </c>
      <c r="D184" s="104">
        <v>46170</v>
      </c>
      <c r="E184" s="105">
        <v>46171</v>
      </c>
      <c r="F184" s="105">
        <v>46178</v>
      </c>
      <c r="G184" s="178">
        <v>0.05</v>
      </c>
      <c r="H184" s="106"/>
      <c r="I184" s="106"/>
      <c r="J184" s="106"/>
      <c r="K184" s="107">
        <f t="shared" si="6"/>
        <v>0</v>
      </c>
      <c r="L184" s="177">
        <f t="shared" si="7"/>
        <v>0</v>
      </c>
      <c r="M184" s="108" t="s">
        <v>247</v>
      </c>
    </row>
    <row r="185" spans="1:13">
      <c r="A185" s="135" t="s">
        <v>263</v>
      </c>
      <c r="B185" s="135" t="s">
        <v>264</v>
      </c>
      <c r="C185" s="103" t="s">
        <v>18</v>
      </c>
      <c r="D185" s="104">
        <v>46170</v>
      </c>
      <c r="E185" s="105">
        <v>46171</v>
      </c>
      <c r="F185" s="105">
        <v>46178</v>
      </c>
      <c r="G185" s="178">
        <v>0.05</v>
      </c>
      <c r="H185" s="106"/>
      <c r="I185" s="106"/>
      <c r="J185" s="106"/>
      <c r="K185" s="107">
        <f t="shared" si="6"/>
        <v>0</v>
      </c>
      <c r="L185" s="177">
        <f t="shared" si="7"/>
        <v>0</v>
      </c>
      <c r="M185" s="108" t="s">
        <v>247</v>
      </c>
    </row>
    <row r="186" spans="1:13">
      <c r="A186" s="135" t="s">
        <v>266</v>
      </c>
      <c r="B186" s="135" t="s">
        <v>268</v>
      </c>
      <c r="C186" s="103" t="s">
        <v>18</v>
      </c>
      <c r="D186" s="104">
        <v>46170</v>
      </c>
      <c r="E186" s="105">
        <v>46171</v>
      </c>
      <c r="F186" s="105">
        <v>46178</v>
      </c>
      <c r="G186" s="178">
        <v>0.04</v>
      </c>
      <c r="H186" s="106"/>
      <c r="I186" s="106"/>
      <c r="J186" s="106"/>
      <c r="K186" s="185">
        <f>+J186-((J186*0.0563*0.125)+(J186*(1-0.0563)*0.26))</f>
        <v>0</v>
      </c>
      <c r="L186" s="177">
        <f t="shared" si="7"/>
        <v>0</v>
      </c>
      <c r="M186" s="108" t="s">
        <v>247</v>
      </c>
    </row>
    <row r="187" spans="1:13">
      <c r="A187" s="135" t="s">
        <v>265</v>
      </c>
      <c r="B187" s="135" t="s">
        <v>267</v>
      </c>
      <c r="C187" s="103" t="s">
        <v>18</v>
      </c>
      <c r="D187" s="104">
        <v>46170</v>
      </c>
      <c r="E187" s="105">
        <v>46171</v>
      </c>
      <c r="F187" s="105">
        <v>46178</v>
      </c>
      <c r="G187" s="178">
        <v>0.04</v>
      </c>
      <c r="H187" s="106"/>
      <c r="I187" s="106"/>
      <c r="J187" s="106"/>
      <c r="K187" s="185">
        <f>+J187-((J187*0.0563*0.125)+(J187*(1-0.0563)*0.26))</f>
        <v>0</v>
      </c>
      <c r="L187" s="177">
        <f t="shared" si="7"/>
        <v>0</v>
      </c>
      <c r="M187" s="108" t="s">
        <v>247</v>
      </c>
    </row>
    <row r="188" spans="1:13">
      <c r="A188" s="135" t="s">
        <v>258</v>
      </c>
      <c r="B188" s="135" t="s">
        <v>259</v>
      </c>
      <c r="C188" s="103" t="s">
        <v>18</v>
      </c>
      <c r="D188" s="104">
        <v>46262</v>
      </c>
      <c r="E188" s="105">
        <v>46265</v>
      </c>
      <c r="F188" s="105">
        <v>46272</v>
      </c>
      <c r="G188" s="178">
        <v>0.05</v>
      </c>
      <c r="H188" s="106"/>
      <c r="I188" s="106"/>
      <c r="J188" s="106"/>
      <c r="K188" s="184"/>
      <c r="L188" s="177">
        <f t="shared" ref="L188:L201" si="8">I188+K188</f>
        <v>0</v>
      </c>
      <c r="M188" s="108" t="s">
        <v>247</v>
      </c>
    </row>
    <row r="189" spans="1:13">
      <c r="A189" s="135" t="s">
        <v>500</v>
      </c>
      <c r="B189" s="135" t="s">
        <v>423</v>
      </c>
      <c r="C189" s="103" t="s">
        <v>18</v>
      </c>
      <c r="D189" s="104">
        <v>46262</v>
      </c>
      <c r="E189" s="105">
        <v>46265</v>
      </c>
      <c r="F189" s="105">
        <v>46272</v>
      </c>
      <c r="G189" s="178">
        <v>0.05</v>
      </c>
      <c r="H189" s="106"/>
      <c r="I189" s="106"/>
      <c r="J189" s="106"/>
      <c r="K189" s="184"/>
      <c r="L189" s="177">
        <f t="shared" si="8"/>
        <v>0</v>
      </c>
      <c r="M189" s="108" t="s">
        <v>247</v>
      </c>
    </row>
    <row r="190" spans="1:13">
      <c r="A190" s="135" t="s">
        <v>260</v>
      </c>
      <c r="B190" s="135" t="s">
        <v>415</v>
      </c>
      <c r="C190" s="103" t="s">
        <v>18</v>
      </c>
      <c r="D190" s="104">
        <v>46262</v>
      </c>
      <c r="E190" s="105">
        <v>46265</v>
      </c>
      <c r="F190" s="105">
        <v>46272</v>
      </c>
      <c r="G190" s="178"/>
      <c r="H190" s="106"/>
      <c r="I190" s="106"/>
      <c r="J190" s="106"/>
      <c r="K190" s="184"/>
      <c r="L190" s="177">
        <f t="shared" si="8"/>
        <v>0</v>
      </c>
      <c r="M190" s="108" t="s">
        <v>416</v>
      </c>
    </row>
    <row r="191" spans="1:13">
      <c r="A191" s="135" t="s">
        <v>261</v>
      </c>
      <c r="B191" s="135" t="s">
        <v>262</v>
      </c>
      <c r="C191" s="103" t="s">
        <v>18</v>
      </c>
      <c r="D191" s="104">
        <v>46262</v>
      </c>
      <c r="E191" s="105">
        <v>46265</v>
      </c>
      <c r="F191" s="105">
        <v>46272</v>
      </c>
      <c r="G191" s="178">
        <v>0.05</v>
      </c>
      <c r="H191" s="106"/>
      <c r="I191" s="106"/>
      <c r="J191" s="106"/>
      <c r="K191" s="184"/>
      <c r="L191" s="177">
        <f t="shared" si="8"/>
        <v>0</v>
      </c>
      <c r="M191" s="108" t="s">
        <v>247</v>
      </c>
    </row>
    <row r="192" spans="1:13">
      <c r="A192" s="135" t="s">
        <v>263</v>
      </c>
      <c r="B192" s="135" t="s">
        <v>264</v>
      </c>
      <c r="C192" s="103" t="s">
        <v>18</v>
      </c>
      <c r="D192" s="104">
        <v>46262</v>
      </c>
      <c r="E192" s="105">
        <v>46265</v>
      </c>
      <c r="F192" s="105">
        <v>46272</v>
      </c>
      <c r="G192" s="178">
        <v>0.05</v>
      </c>
      <c r="H192" s="106"/>
      <c r="I192" s="106"/>
      <c r="J192" s="106"/>
      <c r="K192" s="184"/>
      <c r="L192" s="177">
        <f t="shared" si="8"/>
        <v>0</v>
      </c>
      <c r="M192" s="108" t="s">
        <v>247</v>
      </c>
    </row>
    <row r="193" spans="1:13">
      <c r="A193" s="135" t="s">
        <v>266</v>
      </c>
      <c r="B193" s="135" t="s">
        <v>268</v>
      </c>
      <c r="C193" s="103" t="s">
        <v>18</v>
      </c>
      <c r="D193" s="104">
        <v>46262</v>
      </c>
      <c r="E193" s="105">
        <v>46265</v>
      </c>
      <c r="F193" s="105">
        <v>46272</v>
      </c>
      <c r="G193" s="178">
        <v>0.04</v>
      </c>
      <c r="H193" s="106"/>
      <c r="I193" s="106"/>
      <c r="J193" s="106"/>
      <c r="K193" s="184"/>
      <c r="L193" s="177">
        <f t="shared" si="8"/>
        <v>0</v>
      </c>
      <c r="M193" s="108" t="s">
        <v>247</v>
      </c>
    </row>
    <row r="194" spans="1:13">
      <c r="A194" s="135" t="s">
        <v>265</v>
      </c>
      <c r="B194" s="135" t="s">
        <v>267</v>
      </c>
      <c r="C194" s="103" t="s">
        <v>18</v>
      </c>
      <c r="D194" s="104">
        <v>46262</v>
      </c>
      <c r="E194" s="105">
        <v>46265</v>
      </c>
      <c r="F194" s="105">
        <v>46272</v>
      </c>
      <c r="G194" s="178">
        <v>0.04</v>
      </c>
      <c r="H194" s="106"/>
      <c r="I194" s="106"/>
      <c r="J194" s="106"/>
      <c r="K194" s="184"/>
      <c r="L194" s="177">
        <f t="shared" si="8"/>
        <v>0</v>
      </c>
      <c r="M194" s="108" t="s">
        <v>247</v>
      </c>
    </row>
    <row r="195" spans="1:13">
      <c r="A195" s="135" t="s">
        <v>258</v>
      </c>
      <c r="B195" s="135" t="s">
        <v>259</v>
      </c>
      <c r="C195" s="103" t="s">
        <v>18</v>
      </c>
      <c r="D195" s="104">
        <v>46353</v>
      </c>
      <c r="E195" s="105">
        <v>46356</v>
      </c>
      <c r="F195" s="105">
        <v>46363</v>
      </c>
      <c r="G195" s="178">
        <v>0.05</v>
      </c>
      <c r="H195" s="106"/>
      <c r="I195" s="106"/>
      <c r="J195" s="106"/>
      <c r="K195" s="184"/>
      <c r="L195" s="177">
        <f t="shared" si="8"/>
        <v>0</v>
      </c>
      <c r="M195" s="108" t="s">
        <v>247</v>
      </c>
    </row>
    <row r="196" spans="1:13">
      <c r="A196" s="135" t="s">
        <v>500</v>
      </c>
      <c r="B196" s="135" t="s">
        <v>423</v>
      </c>
      <c r="C196" s="103" t="s">
        <v>18</v>
      </c>
      <c r="D196" s="104">
        <v>46353</v>
      </c>
      <c r="E196" s="105">
        <v>46356</v>
      </c>
      <c r="F196" s="105">
        <v>46363</v>
      </c>
      <c r="G196" s="178">
        <v>0.05</v>
      </c>
      <c r="H196" s="106"/>
      <c r="I196" s="106"/>
      <c r="J196" s="106"/>
      <c r="K196" s="184"/>
      <c r="L196" s="177">
        <f t="shared" si="8"/>
        <v>0</v>
      </c>
      <c r="M196" s="108" t="s">
        <v>247</v>
      </c>
    </row>
    <row r="197" spans="1:13">
      <c r="A197" s="135" t="s">
        <v>260</v>
      </c>
      <c r="B197" s="135" t="s">
        <v>415</v>
      </c>
      <c r="C197" s="103" t="s">
        <v>18</v>
      </c>
      <c r="D197" s="104">
        <v>46353</v>
      </c>
      <c r="E197" s="105">
        <v>46356</v>
      </c>
      <c r="F197" s="105">
        <v>46363</v>
      </c>
      <c r="G197" s="178"/>
      <c r="H197" s="106"/>
      <c r="I197" s="106"/>
      <c r="J197" s="106"/>
      <c r="K197" s="184"/>
      <c r="L197" s="177">
        <f t="shared" si="8"/>
        <v>0</v>
      </c>
      <c r="M197" s="108" t="s">
        <v>416</v>
      </c>
    </row>
    <row r="198" spans="1:13">
      <c r="A198" s="135" t="s">
        <v>261</v>
      </c>
      <c r="B198" s="135" t="s">
        <v>262</v>
      </c>
      <c r="C198" s="103" t="s">
        <v>18</v>
      </c>
      <c r="D198" s="104">
        <v>46353</v>
      </c>
      <c r="E198" s="105">
        <v>46356</v>
      </c>
      <c r="F198" s="105">
        <v>46363</v>
      </c>
      <c r="G198" s="178">
        <v>0.05</v>
      </c>
      <c r="H198" s="106"/>
      <c r="I198" s="106"/>
      <c r="J198" s="106"/>
      <c r="K198" s="184"/>
      <c r="L198" s="177">
        <f t="shared" si="8"/>
        <v>0</v>
      </c>
      <c r="M198" s="108" t="s">
        <v>247</v>
      </c>
    </row>
    <row r="199" spans="1:13">
      <c r="A199" s="135" t="s">
        <v>263</v>
      </c>
      <c r="B199" s="135" t="s">
        <v>264</v>
      </c>
      <c r="C199" s="103" t="s">
        <v>18</v>
      </c>
      <c r="D199" s="104">
        <v>46353</v>
      </c>
      <c r="E199" s="105">
        <v>46356</v>
      </c>
      <c r="F199" s="105">
        <v>46363</v>
      </c>
      <c r="G199" s="178">
        <v>0.05</v>
      </c>
      <c r="H199" s="106"/>
      <c r="I199" s="106"/>
      <c r="J199" s="106"/>
      <c r="K199" s="184"/>
      <c r="L199" s="177">
        <f t="shared" si="8"/>
        <v>0</v>
      </c>
      <c r="M199" s="108" t="s">
        <v>247</v>
      </c>
    </row>
    <row r="200" spans="1:13">
      <c r="A200" s="135" t="s">
        <v>266</v>
      </c>
      <c r="B200" s="135" t="s">
        <v>268</v>
      </c>
      <c r="C200" s="103" t="s">
        <v>18</v>
      </c>
      <c r="D200" s="104">
        <v>46353</v>
      </c>
      <c r="E200" s="105">
        <v>46356</v>
      </c>
      <c r="F200" s="105">
        <v>46363</v>
      </c>
      <c r="G200" s="178">
        <v>0.04</v>
      </c>
      <c r="H200" s="106"/>
      <c r="I200" s="106"/>
      <c r="J200" s="106"/>
      <c r="K200" s="184"/>
      <c r="L200" s="177">
        <f t="shared" si="8"/>
        <v>0</v>
      </c>
      <c r="M200" s="108" t="s">
        <v>247</v>
      </c>
    </row>
    <row r="201" spans="1:13">
      <c r="A201" s="135" t="s">
        <v>265</v>
      </c>
      <c r="B201" s="135" t="s">
        <v>267</v>
      </c>
      <c r="C201" s="103" t="s">
        <v>18</v>
      </c>
      <c r="D201" s="104">
        <v>46353</v>
      </c>
      <c r="E201" s="105">
        <v>46356</v>
      </c>
      <c r="F201" s="105">
        <v>46363</v>
      </c>
      <c r="G201" s="178">
        <v>0.04</v>
      </c>
      <c r="H201" s="106"/>
      <c r="I201" s="106"/>
      <c r="J201" s="106"/>
      <c r="K201" s="184"/>
      <c r="L201" s="177">
        <f t="shared" si="8"/>
        <v>0</v>
      </c>
      <c r="M201" s="108" t="s">
        <v>247</v>
      </c>
    </row>
  </sheetData>
  <autoFilter ref="A5:GY173" xr:uid="{44575953-2D1D-4821-945A-386AC244B8E0}"/>
  <pageMargins left="0.7" right="0.7" top="0.75" bottom="0.75" header="0.3" footer="0.3"/>
  <pageSetup paperSize="9" scale="5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587C8-4458-4CE4-B40F-850F0512DBB6}">
  <sheetPr>
    <pageSetUpPr fitToPage="1"/>
  </sheetPr>
  <dimension ref="A1:GY24"/>
  <sheetViews>
    <sheetView topLeftCell="A11" zoomScale="80" zoomScaleNormal="80" workbookViewId="0">
      <selection activeCell="B20" sqref="B20"/>
    </sheetView>
  </sheetViews>
  <sheetFormatPr defaultRowHeight="15"/>
  <cols>
    <col min="1" max="1" width="20.140625" customWidth="1"/>
    <col min="2" max="2" width="34" customWidth="1"/>
    <col min="3" max="3" width="24" customWidth="1"/>
    <col min="4" max="6" width="22.5703125" customWidth="1"/>
    <col min="7" max="7" width="14.85546875" customWidth="1"/>
    <col min="8" max="8" width="17.140625" customWidth="1"/>
    <col min="9" max="9" width="15.85546875" customWidth="1"/>
  </cols>
  <sheetData>
    <row r="1" spans="1:207" s="3" customFormat="1" ht="26.25" customHeight="1">
      <c r="B1" s="4"/>
      <c r="C1" s="6"/>
      <c r="D1" s="4"/>
      <c r="E1" s="2"/>
      <c r="F1" s="4"/>
      <c r="G1" s="2"/>
      <c r="H1" s="2"/>
      <c r="I1" s="31"/>
      <c r="J1" s="31"/>
      <c r="K1" s="31"/>
      <c r="L1" s="31"/>
      <c r="M1" s="31"/>
      <c r="N1" s="7"/>
    </row>
    <row r="2" spans="1:207" s="3" customFormat="1" ht="26.25" customHeight="1">
      <c r="B2" s="4"/>
      <c r="C2" s="6"/>
      <c r="D2" s="4"/>
      <c r="E2" s="2"/>
      <c r="F2" s="4"/>
      <c r="G2" s="2"/>
      <c r="H2" s="2"/>
      <c r="I2" s="31"/>
      <c r="J2" s="31"/>
      <c r="K2" s="31"/>
      <c r="L2" s="31"/>
      <c r="M2" s="31"/>
      <c r="N2" s="7"/>
    </row>
    <row r="3" spans="1:207" s="3" customFormat="1" ht="26.25" customHeight="1">
      <c r="B3" s="4"/>
      <c r="C3" s="6"/>
      <c r="D3" s="4"/>
      <c r="E3" s="2"/>
      <c r="F3" s="4"/>
      <c r="G3" s="2"/>
      <c r="H3" s="2"/>
      <c r="I3" s="31"/>
      <c r="J3" s="31"/>
      <c r="K3" s="31"/>
      <c r="L3" s="31"/>
      <c r="M3" s="31"/>
      <c r="N3" s="7"/>
    </row>
    <row r="4" spans="1:207" s="3" customFormat="1" ht="23.25" customHeight="1">
      <c r="B4" s="4"/>
      <c r="C4" s="6"/>
      <c r="D4" s="4"/>
      <c r="E4" s="2"/>
      <c r="F4" s="4"/>
      <c r="G4" s="2"/>
      <c r="H4" s="2"/>
      <c r="I4" s="31"/>
      <c r="J4" s="31"/>
      <c r="K4" s="31"/>
      <c r="L4" s="31"/>
      <c r="M4" s="31"/>
      <c r="N4" s="7"/>
    </row>
    <row r="5" spans="1:207" s="11" customFormat="1" ht="90" customHeight="1">
      <c r="A5" s="85" t="s">
        <v>0</v>
      </c>
      <c r="B5" s="85" t="s">
        <v>1</v>
      </c>
      <c r="C5" s="86" t="s">
        <v>2</v>
      </c>
      <c r="D5" s="87" t="s">
        <v>680</v>
      </c>
      <c r="E5" s="87" t="s">
        <v>681</v>
      </c>
      <c r="F5" s="88" t="s">
        <v>682</v>
      </c>
      <c r="G5" s="89" t="s">
        <v>684</v>
      </c>
      <c r="H5" s="90" t="s">
        <v>689</v>
      </c>
      <c r="I5" s="85" t="s">
        <v>3</v>
      </c>
    </row>
    <row r="6" spans="1:207" s="3" customFormat="1" ht="26.25" customHeight="1">
      <c r="A6" s="52" t="s">
        <v>314</v>
      </c>
      <c r="B6" s="52" t="s">
        <v>315</v>
      </c>
      <c r="C6" s="1" t="s">
        <v>18</v>
      </c>
      <c r="D6" s="53">
        <v>43875</v>
      </c>
      <c r="E6" s="51">
        <v>43878</v>
      </c>
      <c r="F6" s="51">
        <v>43880</v>
      </c>
      <c r="G6" s="54">
        <v>1.4999999999999999E-2</v>
      </c>
      <c r="H6" s="55">
        <v>0.35</v>
      </c>
      <c r="I6" s="48" t="s">
        <v>247</v>
      </c>
      <c r="J6" s="18"/>
      <c r="K6" s="18"/>
      <c r="L6" s="18"/>
      <c r="M6" s="18"/>
      <c r="N6" s="18"/>
      <c r="O6" s="18"/>
      <c r="P6" s="18"/>
      <c r="Q6" s="18"/>
      <c r="R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</row>
    <row r="7" spans="1:207" s="3" customFormat="1" ht="26.25" customHeight="1">
      <c r="A7" s="52" t="s">
        <v>314</v>
      </c>
      <c r="B7" s="52" t="s">
        <v>315</v>
      </c>
      <c r="C7" s="1" t="s">
        <v>18</v>
      </c>
      <c r="D7" s="69">
        <v>43955</v>
      </c>
      <c r="E7" s="69">
        <v>43956</v>
      </c>
      <c r="F7" s="69">
        <v>43988</v>
      </c>
      <c r="G7" s="54">
        <v>5.0000000000000001E-3</v>
      </c>
      <c r="H7" s="55">
        <v>0.12</v>
      </c>
      <c r="I7" s="48" t="s">
        <v>247</v>
      </c>
      <c r="J7" s="18"/>
      <c r="K7" s="18"/>
      <c r="L7" s="18"/>
      <c r="M7" s="18"/>
      <c r="N7" s="18"/>
      <c r="O7" s="18"/>
      <c r="P7" s="18"/>
      <c r="Q7" s="18"/>
      <c r="R7" s="18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</row>
    <row r="8" spans="1:207" s="3" customFormat="1" ht="26.25" customHeight="1">
      <c r="A8" s="52" t="s">
        <v>314</v>
      </c>
      <c r="B8" s="52" t="s">
        <v>315</v>
      </c>
      <c r="C8" s="1" t="s">
        <v>18</v>
      </c>
      <c r="D8" s="53">
        <v>44041</v>
      </c>
      <c r="E8" s="51">
        <v>44042</v>
      </c>
      <c r="F8" s="51">
        <v>44043</v>
      </c>
      <c r="G8" s="54">
        <v>5.0000000000000001E-3</v>
      </c>
      <c r="H8" s="55">
        <v>0.12</v>
      </c>
      <c r="I8" s="48" t="s">
        <v>247</v>
      </c>
      <c r="J8" s="18"/>
      <c r="K8" s="18"/>
      <c r="L8" s="18"/>
      <c r="M8" s="18"/>
      <c r="N8" s="18"/>
      <c r="O8" s="18"/>
      <c r="P8" s="18"/>
      <c r="Q8" s="18"/>
      <c r="R8" s="18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</row>
    <row r="9" spans="1:207" s="3" customFormat="1" ht="26.25" customHeight="1">
      <c r="A9" s="52" t="s">
        <v>314</v>
      </c>
      <c r="B9" s="52" t="s">
        <v>315</v>
      </c>
      <c r="C9" s="1" t="s">
        <v>18</v>
      </c>
      <c r="D9" s="53">
        <v>44158</v>
      </c>
      <c r="E9" s="51">
        <v>44159</v>
      </c>
      <c r="F9" s="51">
        <v>44161</v>
      </c>
      <c r="G9" s="54">
        <v>5.0000000000000001E-3</v>
      </c>
      <c r="H9" s="55">
        <v>0.12</v>
      </c>
      <c r="I9" s="48" t="s">
        <v>247</v>
      </c>
      <c r="J9" s="18"/>
      <c r="K9" s="18"/>
      <c r="L9" s="18"/>
      <c r="M9" s="18"/>
      <c r="N9" s="18"/>
      <c r="O9" s="18"/>
      <c r="P9" s="18"/>
      <c r="Q9" s="18"/>
      <c r="R9" s="18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</row>
    <row r="10" spans="1:207" s="3" customFormat="1" ht="26.25" customHeight="1">
      <c r="A10" s="52" t="s">
        <v>314</v>
      </c>
      <c r="B10" s="52" t="s">
        <v>315</v>
      </c>
      <c r="C10" s="1" t="s">
        <v>18</v>
      </c>
      <c r="D10" s="53">
        <v>44251</v>
      </c>
      <c r="E10" s="51">
        <v>44252</v>
      </c>
      <c r="F10" s="51">
        <v>44253</v>
      </c>
      <c r="G10" s="54">
        <v>5.0000000000000001E-3</v>
      </c>
      <c r="H10" s="55">
        <v>0.12</v>
      </c>
      <c r="I10" s="48" t="s">
        <v>247</v>
      </c>
      <c r="J10" s="18"/>
      <c r="K10" s="18"/>
      <c r="L10" s="18"/>
      <c r="M10" s="18"/>
      <c r="N10" s="18"/>
      <c r="O10" s="18"/>
      <c r="P10" s="18"/>
      <c r="Q10" s="18"/>
      <c r="R10" s="18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</row>
    <row r="11" spans="1:207" s="3" customFormat="1" ht="26.25" customHeight="1">
      <c r="A11" s="52" t="s">
        <v>788</v>
      </c>
      <c r="B11" s="52" t="s">
        <v>789</v>
      </c>
      <c r="C11" s="1" t="s">
        <v>792</v>
      </c>
      <c r="D11" s="53">
        <v>45383</v>
      </c>
      <c r="E11" s="51">
        <v>45384</v>
      </c>
      <c r="F11" s="51">
        <v>45385</v>
      </c>
      <c r="G11" s="54">
        <v>3.2000000000000001E-2</v>
      </c>
      <c r="H11" s="55">
        <v>3.2</v>
      </c>
      <c r="I11" s="48" t="s">
        <v>288</v>
      </c>
      <c r="J11" s="18"/>
      <c r="K11" s="18"/>
      <c r="L11" s="18"/>
      <c r="M11" s="18"/>
      <c r="N11" s="18"/>
      <c r="O11" s="18"/>
      <c r="P11" s="18"/>
      <c r="Q11" s="18"/>
      <c r="R11" s="18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</row>
    <row r="12" spans="1:207" s="3" customFormat="1" ht="26.25" customHeight="1">
      <c r="A12" s="52" t="s">
        <v>791</v>
      </c>
      <c r="B12" s="52" t="s">
        <v>790</v>
      </c>
      <c r="C12" s="1" t="s">
        <v>792</v>
      </c>
      <c r="D12" s="53">
        <v>45383</v>
      </c>
      <c r="E12" s="51">
        <v>45384</v>
      </c>
      <c r="F12" s="51">
        <v>45385</v>
      </c>
      <c r="G12" s="54">
        <v>0.03</v>
      </c>
      <c r="H12" s="55">
        <v>3</v>
      </c>
      <c r="I12" s="48" t="s">
        <v>288</v>
      </c>
      <c r="J12" s="18"/>
      <c r="K12" s="18"/>
      <c r="L12" s="18"/>
      <c r="M12" s="18"/>
      <c r="N12" s="18"/>
      <c r="O12" s="18"/>
      <c r="P12" s="18"/>
      <c r="Q12" s="18"/>
      <c r="R12" s="18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</row>
    <row r="13" spans="1:207" s="3" customFormat="1" ht="26.25" customHeight="1">
      <c r="A13" s="43" t="s">
        <v>800</v>
      </c>
      <c r="B13" s="43" t="s">
        <v>799</v>
      </c>
      <c r="C13" s="9" t="s">
        <v>792</v>
      </c>
      <c r="D13" s="40">
        <v>45566</v>
      </c>
      <c r="E13" s="41">
        <v>45567</v>
      </c>
      <c r="F13" s="41">
        <v>45568</v>
      </c>
      <c r="G13" s="60">
        <v>3.4000000000000002E-2</v>
      </c>
      <c r="H13" s="155">
        <v>3.4</v>
      </c>
      <c r="I13" s="42" t="s">
        <v>288</v>
      </c>
      <c r="J13" s="18"/>
      <c r="K13" s="18"/>
      <c r="L13" s="18"/>
      <c r="M13" s="18"/>
      <c r="N13" s="18"/>
      <c r="O13" s="18"/>
      <c r="P13" s="18"/>
      <c r="Q13" s="18"/>
      <c r="R13" s="18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</row>
    <row r="14" spans="1:207" ht="25.5">
      <c r="A14" s="43" t="s">
        <v>900</v>
      </c>
      <c r="B14" s="43" t="s">
        <v>901</v>
      </c>
      <c r="C14" s="9" t="s">
        <v>792</v>
      </c>
      <c r="D14" s="40">
        <v>45630</v>
      </c>
      <c r="E14" s="40">
        <v>45631</v>
      </c>
      <c r="F14" s="40">
        <v>45632</v>
      </c>
      <c r="G14" s="60">
        <v>2.2499999999999999E-2</v>
      </c>
      <c r="H14" s="155">
        <v>2.25</v>
      </c>
      <c r="I14" s="42" t="s">
        <v>288</v>
      </c>
    </row>
    <row r="15" spans="1:207" ht="25.5">
      <c r="A15" s="43" t="s">
        <v>788</v>
      </c>
      <c r="B15" s="43" t="s">
        <v>789</v>
      </c>
      <c r="C15" s="9" t="s">
        <v>792</v>
      </c>
      <c r="D15" s="40">
        <v>45750</v>
      </c>
      <c r="E15" s="40">
        <v>45751</v>
      </c>
      <c r="F15" s="40">
        <v>45754</v>
      </c>
      <c r="G15" s="60">
        <v>3.2000000000000001E-2</v>
      </c>
      <c r="H15" s="155">
        <v>3.2</v>
      </c>
      <c r="I15" s="42" t="s">
        <v>288</v>
      </c>
    </row>
    <row r="16" spans="1:207" ht="25.5">
      <c r="A16" s="43" t="s">
        <v>791</v>
      </c>
      <c r="B16" s="43" t="s">
        <v>790</v>
      </c>
      <c r="C16" s="9" t="s">
        <v>792</v>
      </c>
      <c r="D16" s="40">
        <v>45750</v>
      </c>
      <c r="E16" s="40">
        <v>45751</v>
      </c>
      <c r="F16" s="40">
        <v>45754</v>
      </c>
      <c r="G16" s="60">
        <v>0.03</v>
      </c>
      <c r="H16" s="155">
        <v>3</v>
      </c>
      <c r="I16" s="42" t="s">
        <v>288</v>
      </c>
    </row>
    <row r="17" spans="1:9" ht="25.5">
      <c r="A17" s="43" t="s">
        <v>800</v>
      </c>
      <c r="B17" s="43" t="s">
        <v>799</v>
      </c>
      <c r="C17" s="9" t="s">
        <v>792</v>
      </c>
      <c r="D17" s="40">
        <v>45958</v>
      </c>
      <c r="E17" s="40">
        <v>45959</v>
      </c>
      <c r="F17" s="40">
        <v>45964</v>
      </c>
      <c r="G17" s="60">
        <v>3.4000000000000002E-2</v>
      </c>
      <c r="H17" s="155">
        <v>3.4</v>
      </c>
      <c r="I17" s="42" t="s">
        <v>288</v>
      </c>
    </row>
    <row r="18" spans="1:9" ht="25.5">
      <c r="A18" s="43" t="s">
        <v>900</v>
      </c>
      <c r="B18" s="43" t="s">
        <v>901</v>
      </c>
      <c r="C18" s="9" t="s">
        <v>792</v>
      </c>
      <c r="D18" s="40">
        <v>45994</v>
      </c>
      <c r="E18" s="40">
        <v>45995</v>
      </c>
      <c r="F18" s="40">
        <v>46000</v>
      </c>
      <c r="G18" s="60">
        <v>2.2499999999999999E-2</v>
      </c>
      <c r="H18" s="155">
        <v>2.25</v>
      </c>
      <c r="I18" s="42" t="s">
        <v>288</v>
      </c>
    </row>
    <row r="19" spans="1:9" ht="25.5">
      <c r="A19" s="135" t="s">
        <v>966</v>
      </c>
      <c r="B19" s="135" t="s">
        <v>967</v>
      </c>
      <c r="C19" s="103" t="s">
        <v>792</v>
      </c>
      <c r="D19" s="104" t="s">
        <v>965</v>
      </c>
      <c r="E19" s="104" t="s">
        <v>965</v>
      </c>
      <c r="F19" s="104" t="s">
        <v>965</v>
      </c>
      <c r="G19" s="140">
        <v>0.02</v>
      </c>
      <c r="H19" s="156">
        <v>2</v>
      </c>
      <c r="I19" s="108" t="s">
        <v>288</v>
      </c>
    </row>
    <row r="20" spans="1:9" ht="25.5">
      <c r="A20" s="135" t="s">
        <v>997</v>
      </c>
      <c r="B20" s="135" t="s">
        <v>996</v>
      </c>
      <c r="C20" s="103" t="s">
        <v>792</v>
      </c>
      <c r="D20" s="104" t="s">
        <v>998</v>
      </c>
      <c r="E20" s="104" t="s">
        <v>998</v>
      </c>
      <c r="F20" s="104" t="s">
        <v>998</v>
      </c>
      <c r="G20" s="140"/>
      <c r="H20" s="156"/>
      <c r="I20" s="108" t="s">
        <v>288</v>
      </c>
    </row>
    <row r="21" spans="1:9" ht="25.5">
      <c r="A21" s="135" t="s">
        <v>788</v>
      </c>
      <c r="B21" s="135" t="s">
        <v>789</v>
      </c>
      <c r="C21" s="103" t="s">
        <v>792</v>
      </c>
      <c r="D21" s="104" t="s">
        <v>1003</v>
      </c>
      <c r="E21" s="104" t="s">
        <v>1003</v>
      </c>
      <c r="F21" s="104" t="s">
        <v>1003</v>
      </c>
      <c r="G21" s="140">
        <v>3.2000000000000001E-2</v>
      </c>
      <c r="H21" s="156">
        <v>3.2</v>
      </c>
      <c r="I21" s="108" t="s">
        <v>288</v>
      </c>
    </row>
    <row r="22" spans="1:9" ht="25.5">
      <c r="A22" s="135" t="s">
        <v>791</v>
      </c>
      <c r="B22" s="135" t="s">
        <v>790</v>
      </c>
      <c r="C22" s="103" t="s">
        <v>792</v>
      </c>
      <c r="D22" s="104" t="s">
        <v>1003</v>
      </c>
      <c r="E22" s="104" t="s">
        <v>1003</v>
      </c>
      <c r="F22" s="104" t="s">
        <v>1003</v>
      </c>
      <c r="G22" s="140">
        <v>0.03</v>
      </c>
      <c r="H22" s="156">
        <v>3</v>
      </c>
      <c r="I22" s="108" t="s">
        <v>288</v>
      </c>
    </row>
    <row r="23" spans="1:9" ht="25.5">
      <c r="A23" s="135" t="s">
        <v>800</v>
      </c>
      <c r="B23" s="135" t="s">
        <v>799</v>
      </c>
      <c r="C23" s="103" t="s">
        <v>792</v>
      </c>
      <c r="D23" s="104" t="s">
        <v>1004</v>
      </c>
      <c r="E23" s="104" t="s">
        <v>1004</v>
      </c>
      <c r="F23" s="104" t="s">
        <v>1004</v>
      </c>
      <c r="G23" s="140">
        <v>3.4000000000000002E-2</v>
      </c>
      <c r="H23" s="156">
        <v>3.4</v>
      </c>
      <c r="I23" s="108" t="s">
        <v>288</v>
      </c>
    </row>
    <row r="24" spans="1:9" ht="25.5">
      <c r="A24" s="135" t="s">
        <v>900</v>
      </c>
      <c r="B24" s="135" t="s">
        <v>901</v>
      </c>
      <c r="C24" s="103" t="s">
        <v>792</v>
      </c>
      <c r="D24" s="104" t="s">
        <v>1005</v>
      </c>
      <c r="E24" s="104" t="s">
        <v>1005</v>
      </c>
      <c r="F24" s="104" t="s">
        <v>1005</v>
      </c>
      <c r="G24" s="140">
        <v>2.2499999999999999E-2</v>
      </c>
      <c r="H24" s="156">
        <v>2.25</v>
      </c>
      <c r="I24" s="108" t="s">
        <v>288</v>
      </c>
    </row>
  </sheetData>
  <autoFilter ref="A5:GY20" xr:uid="{5F190537-490E-43FF-8026-D0AF333C9ED8}"/>
  <pageMargins left="0.7" right="0.7" top="0.75" bottom="0.75" header="0.3" footer="0.3"/>
  <pageSetup paperSize="9" scale="66" fitToHeight="0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6D4C0-CBBE-490F-89F4-D5D98B23590E}">
  <dimension ref="A1:M23"/>
  <sheetViews>
    <sheetView topLeftCell="B5" workbookViewId="0">
      <selection activeCell="B17" sqref="B17"/>
    </sheetView>
  </sheetViews>
  <sheetFormatPr defaultColWidth="20.140625" defaultRowHeight="15"/>
  <cols>
    <col min="1" max="1" width="20.140625" customWidth="1"/>
    <col min="2" max="2" width="68" customWidth="1"/>
    <col min="3" max="3" width="24" customWidth="1"/>
    <col min="4" max="6" width="22.5703125" customWidth="1"/>
    <col min="7" max="7" width="14.85546875" customWidth="1"/>
    <col min="8" max="8" width="17.140625" customWidth="1"/>
    <col min="9" max="9" width="15.85546875" customWidth="1"/>
    <col min="10" max="255" width="9.140625" customWidth="1"/>
  </cols>
  <sheetData>
    <row r="1" spans="1:13" s="2" customFormat="1" ht="14.25">
      <c r="B1" s="4"/>
      <c r="C1" s="6"/>
      <c r="D1" s="4"/>
      <c r="F1" s="4"/>
      <c r="I1" s="31"/>
      <c r="J1" s="31"/>
      <c r="K1" s="31"/>
      <c r="L1" s="31"/>
      <c r="M1" s="7"/>
    </row>
    <row r="2" spans="1:13" s="2" customFormat="1" ht="14.25">
      <c r="B2" s="4"/>
      <c r="C2" s="6"/>
      <c r="D2" s="4"/>
      <c r="F2" s="4"/>
      <c r="I2" s="31"/>
      <c r="J2" s="31"/>
      <c r="K2" s="31"/>
      <c r="L2" s="31"/>
      <c r="M2" s="7"/>
    </row>
    <row r="3" spans="1:13" s="2" customFormat="1" ht="14.25">
      <c r="B3" s="4"/>
      <c r="C3" s="6"/>
      <c r="D3" s="4"/>
      <c r="F3" s="4"/>
      <c r="I3" s="31"/>
      <c r="J3" s="31"/>
      <c r="K3" s="31"/>
      <c r="L3" s="31"/>
      <c r="M3" s="7"/>
    </row>
    <row r="4" spans="1:13" s="2" customFormat="1" ht="14.25">
      <c r="B4" s="4"/>
      <c r="C4" s="6"/>
      <c r="D4" s="4"/>
      <c r="F4" s="4"/>
      <c r="I4" s="31"/>
      <c r="J4" s="31"/>
      <c r="K4" s="31"/>
      <c r="L4" s="31"/>
      <c r="M4" s="7"/>
    </row>
    <row r="5" spans="1:13" s="157" customFormat="1" ht="85.5">
      <c r="A5" s="85" t="s">
        <v>0</v>
      </c>
      <c r="B5" s="85" t="s">
        <v>1</v>
      </c>
      <c r="C5" s="86" t="s">
        <v>2</v>
      </c>
      <c r="D5" s="87" t="s">
        <v>680</v>
      </c>
      <c r="E5" s="87" t="s">
        <v>681</v>
      </c>
      <c r="F5" s="88" t="s">
        <v>682</v>
      </c>
      <c r="G5" s="89" t="s">
        <v>684</v>
      </c>
      <c r="H5" s="90" t="s">
        <v>689</v>
      </c>
      <c r="I5" s="85" t="s">
        <v>3</v>
      </c>
    </row>
    <row r="6" spans="1:13">
      <c r="A6" s="158" t="s">
        <v>902</v>
      </c>
      <c r="B6" s="159" t="s">
        <v>908</v>
      </c>
      <c r="C6" s="160" t="s">
        <v>792</v>
      </c>
      <c r="D6" s="161">
        <v>45625</v>
      </c>
      <c r="E6" s="161">
        <v>45628</v>
      </c>
      <c r="F6" s="161">
        <v>45631</v>
      </c>
      <c r="G6" s="162">
        <v>2.75E-2</v>
      </c>
      <c r="H6" s="175">
        <v>0.13750000000000001</v>
      </c>
      <c r="I6" s="163" t="s">
        <v>288</v>
      </c>
    </row>
    <row r="7" spans="1:13">
      <c r="A7" s="158" t="s">
        <v>903</v>
      </c>
      <c r="B7" s="159" t="s">
        <v>909</v>
      </c>
      <c r="C7" s="160" t="s">
        <v>792</v>
      </c>
      <c r="D7" s="161">
        <v>45712</v>
      </c>
      <c r="E7" s="161">
        <v>45713</v>
      </c>
      <c r="F7" s="161">
        <v>45716</v>
      </c>
      <c r="G7" s="162">
        <v>2.5000000000000001E-2</v>
      </c>
      <c r="H7" s="175">
        <v>0.125</v>
      </c>
      <c r="I7" s="163" t="s">
        <v>288</v>
      </c>
    </row>
    <row r="8" spans="1:13">
      <c r="A8" s="158" t="s">
        <v>904</v>
      </c>
      <c r="B8" s="159" t="s">
        <v>910</v>
      </c>
      <c r="C8" s="160" t="s">
        <v>792</v>
      </c>
      <c r="D8" s="161">
        <v>45866</v>
      </c>
      <c r="E8" s="161">
        <v>45867</v>
      </c>
      <c r="F8" s="161">
        <v>45870</v>
      </c>
      <c r="G8" s="162">
        <v>2.5000000000000001E-2</v>
      </c>
      <c r="H8" s="175">
        <v>0.125</v>
      </c>
      <c r="I8" s="163" t="s">
        <v>288</v>
      </c>
    </row>
    <row r="9" spans="1:13">
      <c r="A9" s="158" t="s">
        <v>905</v>
      </c>
      <c r="B9" s="159" t="s">
        <v>911</v>
      </c>
      <c r="C9" s="160" t="s">
        <v>792</v>
      </c>
      <c r="D9" s="161">
        <v>45952</v>
      </c>
      <c r="E9" s="161">
        <v>45953</v>
      </c>
      <c r="F9" s="161">
        <v>45958</v>
      </c>
      <c r="G9" s="162">
        <v>2.8000000000000001E-2</v>
      </c>
      <c r="H9" s="175">
        <v>0.14000000000000001</v>
      </c>
      <c r="I9" s="163" t="s">
        <v>288</v>
      </c>
    </row>
    <row r="10" spans="1:13">
      <c r="A10" s="158" t="s">
        <v>906</v>
      </c>
      <c r="B10" s="159" t="s">
        <v>912</v>
      </c>
      <c r="C10" s="160" t="s">
        <v>792</v>
      </c>
      <c r="D10" s="161">
        <v>45958</v>
      </c>
      <c r="E10" s="161">
        <v>45959</v>
      </c>
      <c r="F10" s="161">
        <v>45964</v>
      </c>
      <c r="G10" s="162">
        <v>3.7999999999999999E-2</v>
      </c>
      <c r="H10" s="175">
        <v>0.19</v>
      </c>
      <c r="I10" s="163" t="s">
        <v>288</v>
      </c>
    </row>
    <row r="11" spans="1:13">
      <c r="A11" s="158" t="s">
        <v>902</v>
      </c>
      <c r="B11" s="159" t="s">
        <v>908</v>
      </c>
      <c r="C11" s="160" t="s">
        <v>792</v>
      </c>
      <c r="D11" s="161">
        <v>45992</v>
      </c>
      <c r="E11" s="161">
        <v>45993</v>
      </c>
      <c r="F11" s="161">
        <v>45996</v>
      </c>
      <c r="G11" s="162">
        <v>2.75E-2</v>
      </c>
      <c r="H11" s="175">
        <v>0.13750000000000001</v>
      </c>
      <c r="I11" s="163" t="s">
        <v>288</v>
      </c>
    </row>
    <row r="12" spans="1:13">
      <c r="A12" s="158" t="s">
        <v>913</v>
      </c>
      <c r="B12" s="159" t="s">
        <v>907</v>
      </c>
      <c r="C12" s="160" t="s">
        <v>792</v>
      </c>
      <c r="D12" s="161">
        <v>46001</v>
      </c>
      <c r="E12" s="161">
        <v>46002</v>
      </c>
      <c r="F12" s="161">
        <v>46007</v>
      </c>
      <c r="G12" s="162">
        <v>2.5999999999999999E-2</v>
      </c>
      <c r="H12" s="176">
        <v>0.13</v>
      </c>
      <c r="I12" s="163" t="s">
        <v>288</v>
      </c>
    </row>
    <row r="13" spans="1:13">
      <c r="A13" s="187" t="s">
        <v>1022</v>
      </c>
      <c r="B13" s="188" t="s">
        <v>1023</v>
      </c>
      <c r="C13" s="189" t="s">
        <v>792</v>
      </c>
      <c r="D13" s="190">
        <v>46049</v>
      </c>
      <c r="E13" s="190">
        <v>46050</v>
      </c>
      <c r="F13" s="190">
        <v>46055</v>
      </c>
      <c r="G13" s="193">
        <v>2.75E-2</v>
      </c>
      <c r="H13" s="192">
        <v>0.13750000000000001</v>
      </c>
      <c r="I13" s="191" t="s">
        <v>288</v>
      </c>
    </row>
    <row r="14" spans="1:13">
      <c r="A14" s="187" t="s">
        <v>903</v>
      </c>
      <c r="B14" s="188" t="s">
        <v>909</v>
      </c>
      <c r="C14" s="189" t="s">
        <v>792</v>
      </c>
      <c r="D14" s="190">
        <v>46076</v>
      </c>
      <c r="E14" s="190">
        <v>46077</v>
      </c>
      <c r="F14" s="190">
        <v>46080</v>
      </c>
      <c r="G14" s="193">
        <v>2.5000000000000001E-2</v>
      </c>
      <c r="H14" s="192">
        <v>0.125</v>
      </c>
      <c r="I14" s="191" t="s">
        <v>288</v>
      </c>
    </row>
    <row r="15" spans="1:13">
      <c r="A15" s="187" t="s">
        <v>1024</v>
      </c>
      <c r="B15" s="188" t="s">
        <v>1025</v>
      </c>
      <c r="C15" s="189" t="s">
        <v>792</v>
      </c>
      <c r="D15" s="190">
        <v>46107</v>
      </c>
      <c r="E15" s="190">
        <v>46108</v>
      </c>
      <c r="F15" s="190">
        <v>46113</v>
      </c>
      <c r="G15" s="193">
        <v>0.04</v>
      </c>
      <c r="H15" s="192">
        <v>0.2</v>
      </c>
      <c r="I15" s="191" t="s">
        <v>288</v>
      </c>
    </row>
    <row r="16" spans="1:13">
      <c r="A16" s="187" t="s">
        <v>904</v>
      </c>
      <c r="B16" s="188" t="s">
        <v>910</v>
      </c>
      <c r="C16" s="189" t="s">
        <v>792</v>
      </c>
      <c r="D16" s="190">
        <v>46230</v>
      </c>
      <c r="E16" s="190">
        <v>46231</v>
      </c>
      <c r="F16" s="190">
        <v>46234</v>
      </c>
      <c r="G16" s="193">
        <v>2.5000000000000001E-2</v>
      </c>
      <c r="H16" s="192">
        <v>0.125</v>
      </c>
      <c r="I16" s="191" t="s">
        <v>288</v>
      </c>
    </row>
    <row r="17" spans="1:9">
      <c r="A17" s="187" t="s">
        <v>905</v>
      </c>
      <c r="B17" s="188" t="s">
        <v>911</v>
      </c>
      <c r="C17" s="189" t="s">
        <v>792</v>
      </c>
      <c r="D17" s="190">
        <v>46317</v>
      </c>
      <c r="E17" s="190">
        <v>46318</v>
      </c>
      <c r="F17" s="190">
        <v>46323</v>
      </c>
      <c r="G17" s="193">
        <v>2.8000000000000001E-2</v>
      </c>
      <c r="H17" s="192">
        <v>0.14000000000000001</v>
      </c>
      <c r="I17" s="191" t="s">
        <v>288</v>
      </c>
    </row>
    <row r="18" spans="1:9">
      <c r="A18" s="187" t="s">
        <v>906</v>
      </c>
      <c r="B18" s="188" t="s">
        <v>912</v>
      </c>
      <c r="C18" s="189" t="s">
        <v>792</v>
      </c>
      <c r="D18" s="190">
        <v>46323</v>
      </c>
      <c r="E18" s="190">
        <v>46324</v>
      </c>
      <c r="F18" s="190">
        <v>46329</v>
      </c>
      <c r="G18" s="193">
        <v>3.7999999999999999E-2</v>
      </c>
      <c r="H18" s="192">
        <v>0.19</v>
      </c>
      <c r="I18" s="191" t="s">
        <v>288</v>
      </c>
    </row>
    <row r="19" spans="1:9">
      <c r="A19" s="187" t="s">
        <v>1026</v>
      </c>
      <c r="B19" s="188" t="s">
        <v>1028</v>
      </c>
      <c r="C19" s="189" t="s">
        <v>792</v>
      </c>
      <c r="D19" s="190">
        <v>46323</v>
      </c>
      <c r="E19" s="190">
        <v>46324</v>
      </c>
      <c r="F19" s="190">
        <v>46329</v>
      </c>
      <c r="G19" s="193">
        <v>3.7999999999999999E-2</v>
      </c>
      <c r="H19" s="192">
        <v>0.19</v>
      </c>
      <c r="I19" s="191" t="s">
        <v>288</v>
      </c>
    </row>
    <row r="20" spans="1:9">
      <c r="A20" s="187" t="s">
        <v>902</v>
      </c>
      <c r="B20" s="188" t="s">
        <v>908</v>
      </c>
      <c r="C20" s="189" t="s">
        <v>792</v>
      </c>
      <c r="D20" s="190">
        <v>46356</v>
      </c>
      <c r="E20" s="190">
        <v>46357</v>
      </c>
      <c r="F20" s="190">
        <v>46360</v>
      </c>
      <c r="G20" s="193">
        <v>2.75E-2</v>
      </c>
      <c r="H20" s="192">
        <v>0.13750000000000001</v>
      </c>
      <c r="I20" s="191" t="s">
        <v>288</v>
      </c>
    </row>
    <row r="21" spans="1:9">
      <c r="A21" s="187" t="s">
        <v>902</v>
      </c>
      <c r="B21" s="188" t="s">
        <v>908</v>
      </c>
      <c r="C21" s="189" t="s">
        <v>792</v>
      </c>
      <c r="D21" s="190">
        <v>46356</v>
      </c>
      <c r="E21" s="190">
        <v>46357</v>
      </c>
      <c r="F21" s="190">
        <v>46360</v>
      </c>
      <c r="G21" s="193">
        <v>2.75E-2</v>
      </c>
      <c r="H21" s="192">
        <v>0.13750000000000001</v>
      </c>
      <c r="I21" s="191" t="s">
        <v>288</v>
      </c>
    </row>
    <row r="22" spans="1:9">
      <c r="A22" s="187" t="s">
        <v>913</v>
      </c>
      <c r="B22" s="188" t="s">
        <v>907</v>
      </c>
      <c r="C22" s="189" t="s">
        <v>792</v>
      </c>
      <c r="D22" s="190">
        <v>46366</v>
      </c>
      <c r="E22" s="190">
        <v>46367</v>
      </c>
      <c r="F22" s="190">
        <v>46372</v>
      </c>
      <c r="G22" s="193">
        <v>2.5999999999999999E-2</v>
      </c>
      <c r="H22" s="192">
        <v>0.13</v>
      </c>
      <c r="I22" s="191" t="s">
        <v>288</v>
      </c>
    </row>
    <row r="23" spans="1:9" ht="25.5">
      <c r="A23" s="187" t="s">
        <v>1027</v>
      </c>
      <c r="B23" s="188" t="s">
        <v>1029</v>
      </c>
      <c r="C23" s="189" t="s">
        <v>792</v>
      </c>
      <c r="D23" s="190">
        <v>46413</v>
      </c>
      <c r="E23" s="190">
        <v>46414</v>
      </c>
      <c r="F23" s="190">
        <v>46419</v>
      </c>
      <c r="G23" s="193" t="s">
        <v>1030</v>
      </c>
      <c r="H23" s="192" t="s">
        <v>1030</v>
      </c>
      <c r="I23" s="191" t="s">
        <v>288</v>
      </c>
    </row>
  </sheetData>
  <autoFilter ref="A5:M5" xr:uid="{40B5BFD6-4DA9-4E74-9CD7-311C5BAF13E2}">
    <sortState xmlns:xlrd2="http://schemas.microsoft.com/office/spreadsheetml/2017/richdata2" ref="A6:M24">
      <sortCondition ref="D5"/>
    </sortState>
  </autoFilter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DISTRIBUTION TYPE</vt:lpstr>
      <vt:lpstr>AF Classi E-E2 F-F2 G-G2</vt:lpstr>
      <vt:lpstr>AF Classi M-M2</vt:lpstr>
      <vt:lpstr>ASI-Amundi S.F.</vt:lpstr>
      <vt:lpstr>Amundi Fund Solutions</vt:lpstr>
      <vt:lpstr>First Eagle Amundi</vt:lpstr>
      <vt:lpstr>CPR Invest</vt:lpstr>
      <vt:lpstr>FCIP</vt:lpstr>
      <vt:lpstr>'AF Classi E-E2 F-F2 G-G2'!Print_Area</vt:lpstr>
      <vt:lpstr>'AF Classi M-M2'!Print_Area</vt:lpstr>
      <vt:lpstr>'Amundi Fund Solutions'!Print_Area</vt:lpstr>
      <vt:lpstr>'CPR Invest'!Print_Area</vt:lpstr>
      <vt:lpstr>'First Eagle Amundi'!Print_Area</vt:lpstr>
    </vt:vector>
  </TitlesOfParts>
  <Company>PIONEER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CAPONE</dc:creator>
  <cp:lastModifiedBy>Borroni Sabrina (AMUNDI.ITA)</cp:lastModifiedBy>
  <cp:lastPrinted>2021-02-03T12:53:14Z</cp:lastPrinted>
  <dcterms:created xsi:type="dcterms:W3CDTF">2013-11-13T12:58:41Z</dcterms:created>
  <dcterms:modified xsi:type="dcterms:W3CDTF">2026-01-16T07:56:10Z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9" name="MSIP_Label_6ac45191-74e4-40a9-a4c5-ab5c9391e33a_Enabled">
    <vt:lpwstr>true</vt:lpwstr>
  </property>
  <property fmtid="{D5CDD505-2E9C-101B-9397-08002B2CF9AE}" pid="10" name="MSIP_Label_6ac45191-74e4-40a9-a4c5-ab5c9391e33a_SetDate">
    <vt:lpwstr>2022-06-16T06:47:45Z</vt:lpwstr>
  </property>
  <property fmtid="{D5CDD505-2E9C-101B-9397-08002B2CF9AE}" pid="11" name="MSIP_Label_6ac45191-74e4-40a9-a4c5-ab5c9391e33a_Method">
    <vt:lpwstr>Standard</vt:lpwstr>
  </property>
  <property fmtid="{D5CDD505-2E9C-101B-9397-08002B2CF9AE}" pid="12" name="MSIP_Label_6ac45191-74e4-40a9-a4c5-ab5c9391e33a_Name">
    <vt:lpwstr>Internal Data</vt:lpwstr>
  </property>
  <property fmtid="{D5CDD505-2E9C-101B-9397-08002B2CF9AE}" pid="13" name="MSIP_Label_6ac45191-74e4-40a9-a4c5-ab5c9391e33a_SiteId">
    <vt:lpwstr>a5c34232-eadc-4609-bff3-dd6fcdae3fe2</vt:lpwstr>
  </property>
  <property fmtid="{D5CDD505-2E9C-101B-9397-08002B2CF9AE}" pid="14" name="MSIP_Label_6ac45191-74e4-40a9-a4c5-ab5c9391e33a_ActionId">
    <vt:lpwstr>2840e27b-4ae7-4698-89c9-82859f1f7a7a</vt:lpwstr>
  </property>
  <property fmtid="{D5CDD505-2E9C-101B-9397-08002B2CF9AE}" pid="15" name="MSIP_Label_6ac45191-74e4-40a9-a4c5-ab5c9391e33a_ContentBits">
    <vt:lpwstr>0</vt:lpwstr>
  </property>
</Properties>
</file>